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y_shaw\OneDrive - Grupo Unicomer Unicomer Group\Work_Files_optional_recreation\Completed Reports\CC KPI_and_Live Chat\"/>
    </mc:Choice>
  </mc:AlternateContent>
  <xr:revisionPtr revIDLastSave="5286" documentId="102_{28CE38D5-7BCA-4E29-A682-0AF0D7ACC440}" xr6:coauthVersionLast="36" xr6:coauthVersionMax="36" xr10:uidLastSave="{46F92FAE-A0D5-4707-895A-BB0038426EC0}"/>
  <bookViews>
    <workbookView xWindow="-110" yWindow="-110" windowWidth="16110" windowHeight="6060" firstSheet="2" activeTab="8" xr2:uid="{83609B99-848E-40A6-A0EE-BB7496E8433D}"/>
  </bookViews>
  <sheets>
    <sheet name="Live Chat - Composite" sheetId="19" r:id="rId1"/>
    <sheet name="Live Chat KPIs - Weekly" sheetId="2" r:id="rId2"/>
    <sheet name="Live Chat KPIs - Monthly" sheetId="16" r:id="rId3"/>
    <sheet name="Trinidad and Tobago" sheetId="8" r:id="rId4"/>
    <sheet name="OECS" sheetId="12" r:id="rId5"/>
    <sheet name="Guyana" sheetId="11" r:id="rId6"/>
    <sheet name="Jamaica" sheetId="9" r:id="rId7"/>
    <sheet name="Barbados" sheetId="10" r:id="rId8"/>
    <sheet name="Belize" sheetId="18" r:id="rId9"/>
    <sheet name="Annual_Regional" sheetId="20" r:id="rId10"/>
    <sheet name="Weekly_Regional" sheetId="13" r:id="rId11"/>
    <sheet name="Monthly_Regional" sheetId="15" r:id="rId12"/>
    <sheet name="Country_List" sheetId="7" r:id="rId13"/>
    <sheet name="Dashboard" sheetId="17" r:id="rId14"/>
  </sheets>
  <definedNames>
    <definedName name="_xlnm._FilterDatabase" localSheetId="7" hidden="1">Barbados!$A$1:$Q$96</definedName>
    <definedName name="_xlnm._FilterDatabase" localSheetId="8" hidden="1">Belize!$A$1:$T$367</definedName>
    <definedName name="ABR_BAR" localSheetId="2">Table3[ABR]</definedName>
    <definedName name="ABR_BAR">Table3[ABR]</definedName>
    <definedName name="ABR_GUY" localSheetId="2">Table9[ABR]</definedName>
    <definedName name="ABR_GUY">Table9[ABR]</definedName>
    <definedName name="ABR_JAM" localSheetId="2">Table6[ABR]</definedName>
    <definedName name="ABR_JAM">Table6[ABR]</definedName>
    <definedName name="ABR_OECS" localSheetId="2">Table2[ABR]</definedName>
    <definedName name="ABR_OECS">Table2[ABR]</definedName>
    <definedName name="ABR_TT" localSheetId="2">Table7[ABR]</definedName>
    <definedName name="ABR_TT">Table7[ABR]</definedName>
    <definedName name="ATT_BAR">Table3[AHT]</definedName>
    <definedName name="ATT_GUY">Table9[AHT]</definedName>
    <definedName name="ATT_JAM">Table6[AHT]</definedName>
    <definedName name="ATT_OECS">Table2[AHT]</definedName>
    <definedName name="ATT_TT">Table7[AHT]</definedName>
    <definedName name="AU_BAR" localSheetId="2">Table3[AU]</definedName>
    <definedName name="AU_BAR">Table3[AU]</definedName>
    <definedName name="AU_GUY" localSheetId="2">Table9[AU]</definedName>
    <definedName name="AU_GUY">Table9[AU]</definedName>
    <definedName name="AU_JAM" localSheetId="2">Table6[AU]</definedName>
    <definedName name="AU_JAM">Table6[AU]</definedName>
    <definedName name="AU_OECS" localSheetId="2">Table2[AU]</definedName>
    <definedName name="AU_OECS">Table2[AU]</definedName>
    <definedName name="AU_TT" localSheetId="2">Table7[AU]</definedName>
    <definedName name="AU_TT">Table7[AU]</definedName>
    <definedName name="avg_chart_ATT_JAM">AVG([0]!chart_ATT_JAM)</definedName>
    <definedName name="calls_ans_BAR" localSheetId="2">Table3[Calls Ans]</definedName>
    <definedName name="calls_ans_BAR">Table3[Calls Ans]</definedName>
    <definedName name="calls_ans_GUY" localSheetId="2">Table9[Calls Ans]</definedName>
    <definedName name="calls_ans_GUY">Table9[Calls Ans]</definedName>
    <definedName name="calls_ans_JAM" localSheetId="2">Table6[Calls Ans]</definedName>
    <definedName name="calls_ans_JAM">Table6[Calls Ans]</definedName>
    <definedName name="calls_ans_OECS" localSheetId="2">Table2[Calls Ans]</definedName>
    <definedName name="calls_ans_OECS">Table2[Calls Ans]</definedName>
    <definedName name="calls_ans_TT" localSheetId="2">Table7[Calls Ans]</definedName>
    <definedName name="calls_ans_TT">Table7[Calls Ans]</definedName>
    <definedName name="calls_off_BAR" localSheetId="2">Table3[Calls Off]</definedName>
    <definedName name="calls_off_BAR">Table3[Calls Off]</definedName>
    <definedName name="calls_off_GUY" localSheetId="2">Table9[Calls Off]</definedName>
    <definedName name="calls_off_GUY">Table9[Calls Off]</definedName>
    <definedName name="calls_off_JAM" localSheetId="2">Table6[Calls Off]</definedName>
    <definedName name="calls_off_JAM">Table6[Calls Off]</definedName>
    <definedName name="calls_off_OECS" localSheetId="2">Table2[Calls Off]</definedName>
    <definedName name="calls_off_OECS">Table2[Calls Off]</definedName>
    <definedName name="calls_off_TT" localSheetId="2">Table7[Calls Off]</definedName>
    <definedName name="calls_off_TT">Table7[Calls Off]</definedName>
    <definedName name="chart_ABR_BAR" localSheetId="2">INDEX('Live Chat KPIs - Monthly'!ABR_BAR,MATCH(Barbados!$AL$110,'Live Chat KPIs - Monthly'!period_BAR,0)):INDEX('Live Chat KPIs - Monthly'!ABR_BAR,MATCH(Barbados!$AL$111,'Live Chat KPIs - Monthly'!period_BAR,0))</definedName>
    <definedName name="chart_ABR_GUY" localSheetId="2">INDEX('Live Chat KPIs - Monthly'!ABR_GUY,MATCH(Guyana!$AK$110,'Live Chat KPIs - Monthly'!period_GUY,0)):INDEX('Live Chat KPIs - Monthly'!ABR_GUY,MATCH(Guyana!$AK$111,'Live Chat KPIs - Monthly'!period_GUY,0))</definedName>
    <definedName name="chart_ABR_JAM" localSheetId="2">INDEX('Live Chat KPIs - Monthly'!ABR_JAM,MATCH(Jamaica!$AO$107,'Live Chat KPIs - Monthly'!period_JAM,0)):INDEX('Live Chat KPIs - Monthly'!ABR_JAM,MATCH(Jamaica!$AO$108,'Live Chat KPIs - Monthly'!period_JAM,0))</definedName>
    <definedName name="chart_ABR_OECS" localSheetId="2">INDEX('Live Chat KPIs - Monthly'!ABR_OECS,MATCH(OECS!$AL$127,'Live Chat KPIs - Monthly'!period_OECS,0)):INDEX('Live Chat KPIs - Monthly'!ABR_OECS,MATCH(OECS!$AL$128,'Live Chat KPIs - Monthly'!period_OECS,0))</definedName>
    <definedName name="chart_ABR_TT" localSheetId="2">INDEX('Live Chat KPIs - Monthly'!ABR_TT,MATCH('Trinidad and Tobago'!$AI$120,'Live Chat KPIs - Monthly'!period_TT,0)):INDEX('Live Chat KPIs - Monthly'!ABR_TT,MATCH('Trinidad and Tobago'!$AI$121,'Live Chat KPIs - Monthly'!period_TT,0))</definedName>
    <definedName name="chart_ATT">INDEX(ATT_JAM,MATCH(Jamaica!$AT$5,WoW_dates_JAM,0)):INDEX(WoW_dates_JAM,MATCH(Jamaica!$AT$6,WoW_dates_JAM,0))</definedName>
    <definedName name="chart_ATT_BAR">INDEX([0]!ATT_BAR,MATCH(Barbados!$AL$110,'Live Chat KPIs - Monthly'!period_BAR,0)):INDEX([0]!ATT_BAR,MATCH(Barbados!$AL$111,'Live Chat KPIs - Monthly'!period_BAR,0))</definedName>
    <definedName name="chart_ATT_GUY">INDEX([0]!ATT_GUY,MATCH(Guyana!$AK$110,'Live Chat KPIs - Monthly'!period_GUY,0)):INDEX([0]!ATT_GUY,MATCH(Guyana!$AK$111,'Live Chat KPIs - Monthly'!period_GUY,0))</definedName>
    <definedName name="chart_ATT_JAM">INDEX([0]!ATT_JAM,MATCH(Jamaica!$AO$107,'Live Chat KPIs - Monthly'!period_JAM,0)):INDEX([0]!ATT_JAM,MATCH(Jamaica!$AO$108,'Live Chat KPIs - Monthly'!period_JAM,0))</definedName>
    <definedName name="chart_ATT_OECS">INDEX([0]!ATT_OECS,MATCH(OECS!$AL$127,'Live Chat KPIs - Monthly'!period_OECS,0)):INDEX([0]!ATT_OECS,MATCH(OECS!$AL$128,'Live Chat KPIs - Monthly'!period_OECS,0))</definedName>
    <definedName name="chart_ATT_TT">INDEX([0]!ATT_TT,MATCH('Trinidad and Tobago'!$AI$120,'Live Chat KPIs - Monthly'!period_TT,0)):INDEX([0]!ATT_TT,MATCH('Trinidad and Tobago'!$AI$121,'Live Chat KPIs - Monthly'!period_TT,0))</definedName>
    <definedName name="chart_AU_BAR" localSheetId="2">INDEX('Live Chat KPIs - Monthly'!AU_BAR,MATCH(Barbados!$AL$110,'Live Chat KPIs - Monthly'!period_BAR,0)):INDEX('Live Chat KPIs - Monthly'!AU_BAR,MATCH(Barbados!$AL$111,'Live Chat KPIs - Monthly'!period_BAR,0))</definedName>
    <definedName name="chart_AU_GUY" localSheetId="2">INDEX('Live Chat KPIs - Monthly'!AU_GUY,MATCH(Guyana!$AK$110,'Live Chat KPIs - Monthly'!period_GUY,0)):INDEX('Live Chat KPIs - Monthly'!AU_GUY,MATCH(Guyana!$AK$111,'Live Chat KPIs - Monthly'!period_GUY,0))</definedName>
    <definedName name="chart_AU_JAM" localSheetId="2">INDEX('Live Chat KPIs - Monthly'!AU_JAM,MATCH(Jamaica!$AO$107,'Live Chat KPIs - Monthly'!period_JAM,0)):INDEX('Live Chat KPIs - Monthly'!AU_JAM,MATCH(Jamaica!$AO$108,'Live Chat KPIs - Monthly'!period_JAM,0))</definedName>
    <definedName name="chart_AU_OECS" localSheetId="2">INDEX('Live Chat KPIs - Monthly'!AU_OECS,MATCH(OECS!$AL$127,'Live Chat KPIs - Monthly'!period_OECS,0)):INDEX('Live Chat KPIs - Monthly'!AU_OECS,MATCH(OECS!$AL$128,'Live Chat KPIs - Monthly'!period_OECS,0))</definedName>
    <definedName name="chart_AU_TT" localSheetId="2">INDEX('Live Chat KPIs - Monthly'!AU_TT,MATCH('Trinidad and Tobago'!$AI$120,'Live Chat KPIs - Monthly'!period_TT,0)):INDEX('Live Chat KPIs - Monthly'!AU_TT,MATCH('Trinidad and Tobago'!$AI$121,'Live Chat KPIs - Monthly'!period_TT,0))</definedName>
    <definedName name="chart_calls_ans_BAR" localSheetId="2">INDEX('Live Chat KPIs - Monthly'!calls_ans_BAR,MATCH(Barbados!$AL$110,'Live Chat KPIs - Monthly'!period_BAR,0)):INDEX('Live Chat KPIs - Monthly'!calls_ans_BAR,MATCH(Barbados!$AL$111,'Live Chat KPIs - Monthly'!period_BAR,0))</definedName>
    <definedName name="chart_calls_ans_GUY" localSheetId="2">INDEX('Live Chat KPIs - Monthly'!calls_ans_GUY,MATCH(Guyana!$AK$110,'Live Chat KPIs - Monthly'!period_GUY,0)):INDEX('Live Chat KPIs - Monthly'!calls_ans_GUY,MATCH(Guyana!$AK$111,'Live Chat KPIs - Monthly'!period_GUY,0))</definedName>
    <definedName name="chart_calls_ans_JAM" localSheetId="2">INDEX('Live Chat KPIs - Monthly'!calls_ans_JAM,MATCH(Jamaica!$AO$107,'Live Chat KPIs - Monthly'!period_JAM,0)):INDEX('Live Chat KPIs - Monthly'!calls_ans_JAM,MATCH(Jamaica!$AO$108,'Live Chat KPIs - Monthly'!period_JAM,0))</definedName>
    <definedName name="chart_calls_ans_OECS" localSheetId="2">INDEX('Live Chat KPIs - Monthly'!calls_ans_OECS,MATCH(OECS!$AL$127,'Live Chat KPIs - Monthly'!period_OECS,0)):INDEX('Live Chat KPIs - Monthly'!calls_ans_OECS,MATCH(OECS!$AL$128,'Live Chat KPIs - Monthly'!period_OECS,0))</definedName>
    <definedName name="chart_calls_ans_TT" localSheetId="2">INDEX('Live Chat KPIs - Monthly'!calls_ans_TT,MATCH('Trinidad and Tobago'!$AI$120,'Live Chat KPIs - Monthly'!period_TT,0)):INDEX('Live Chat KPIs - Monthly'!calls_ans_TT,MATCH('Trinidad and Tobago'!$AI$121,'Live Chat KPIs - Monthly'!period_TT,0))</definedName>
    <definedName name="chart_calls_off_BAR" localSheetId="2">INDEX('Live Chat KPIs - Monthly'!calls_off_BAR,MATCH(Barbados!$AL$110,'Live Chat KPIs - Monthly'!period_BAR,0)):INDEX('Live Chat KPIs - Monthly'!calls_off_BAR,MATCH(Barbados!$AL$111,'Live Chat KPIs - Monthly'!period_BAR,0))</definedName>
    <definedName name="chart_calls_off_GUY" localSheetId="2">INDEX('Live Chat KPIs - Monthly'!calls_off_GUY,MATCH(Guyana!$AK$110,'Live Chat KPIs - Monthly'!period_GUY,0)):INDEX('Live Chat KPIs - Monthly'!calls_off_GUY,MATCH(Guyana!$AK$111,'Live Chat KPIs - Monthly'!period_GUY,0))</definedName>
    <definedName name="chart_calls_off_JAM" localSheetId="2">INDEX('Live Chat KPIs - Monthly'!calls_off_JAM,MATCH(Jamaica!$AO$107,'Live Chat KPIs - Monthly'!period_JAM,0)):INDEX('Live Chat KPIs - Monthly'!calls_off_JAM,MATCH(Jamaica!$AO$108,'Live Chat KPIs - Monthly'!period_JAM,0))</definedName>
    <definedName name="chart_calls_off_OECS" localSheetId="2">INDEX('Live Chat KPIs - Monthly'!calls_off_OECS,MATCH(OECS!$AL$127,'Live Chat KPIs - Monthly'!period_OECS,0)):INDEX('Live Chat KPIs - Monthly'!calls_off_OECS,MATCH(OECS!$AL$128,'Live Chat KPIs - Monthly'!period_OECS,0))</definedName>
    <definedName name="chart_calls_off_TT" localSheetId="2">INDEX('Live Chat KPIs - Monthly'!calls_off_TT,MATCH('Trinidad and Tobago'!$AI$120,'Live Chat KPIs - Monthly'!period_TT,0)):INDEX('Live Chat KPIs - Monthly'!calls_off_TT,MATCH('Trinidad and Tobago'!$AI$121,'Live Chat KPIs - Monthly'!period_TT,0))</definedName>
    <definedName name="chart_period_ATT_JAM">INDEX([0]!period_JAM,MATCH(Jamaica!$AO$107,'Live Chat KPIs - Monthly'!period_JAM,0)):INDEX([0]!period_JAM,MATCH(Jamaica!$AO$108,'Live Chat KPIs - Monthly'!period_JAM,0))</definedName>
    <definedName name="chart_period_BAR" localSheetId="2">INDEX('Live Chat KPIs - Monthly'!period_BAR,MATCH(Barbados!$AL$110,'Live Chat KPIs - Monthly'!period_BAR,0)):INDEX('Live Chat KPIs - Monthly'!period_BAR,MATCH(Barbados!$AL$111,'Live Chat KPIs - Monthly'!period_BAR,0))</definedName>
    <definedName name="chart_period_GUY" localSheetId="2">INDEX('Live Chat KPIs - Monthly'!period_GUY,MATCH(Guyana!$AK$110,'Live Chat KPIs - Monthly'!period_GUY,0)):INDEX('Live Chat KPIs - Monthly'!period_GUY,MATCH(Guyana!$AK$111,'Live Chat KPIs - Monthly'!period_GUY,0))</definedName>
    <definedName name="chart_period_JAM" localSheetId="2">INDEX('Live Chat KPIs - Monthly'!period_JAM,MATCH(Jamaica!$AO$107,'Live Chat KPIs - Monthly'!period_JAM,0)):INDEX('Live Chat KPIs - Monthly'!period_JAM,MATCH(Jamaica!$AO$108,'Live Chat KPIs - Monthly'!period_JAM,0))</definedName>
    <definedName name="chart_period_OECS" localSheetId="2">INDEX('Live Chat KPIs - Monthly'!period_OECS,MATCH(OECS!$AL$127,'Live Chat KPIs - Monthly'!period_OECS,0)):INDEX('Live Chat KPIs - Monthly'!period_OECS,MATCH(OECS!$AL$128,'Live Chat KPIs - Monthly'!period_OECS,0))</definedName>
    <definedName name="chart_period_TT" localSheetId="2">INDEX('Live Chat KPIs - Monthly'!period_TT,MATCH('Trinidad and Tobago'!$AI$120,'Live Chat KPIs - Monthly'!period_TT,0)):INDEX('Live Chat KPIs - Monthly'!period_TT,MATCH('Trinidad and Tobago'!$AI$121,'Live Chat KPIs - Monthly'!period_TT,0))</definedName>
    <definedName name="chart_period_WoW_BAR" localSheetId="2">INDEX('Live Chat KPIs - Monthly'!WoW_dates_BAR,MATCH(Barbados!$AR$3,'Live Chat KPIs - Monthly'!WoW_dates_BAR,0)):INDEX('Live Chat KPIs - Monthly'!WoW_dates_BAR,MATCH(Barbados!$AR$4,'Live Chat KPIs - Monthly'!WoW_dates_BAR,0))</definedName>
    <definedName name="chart_period_WoW_BAR">INDEX(WoW_dates_BAR,MATCH(Barbados!$AR$3,WoW_dates_BAR,0)):INDEX(WoW_dates_BAR,MATCH(Barbados!$AR$4,WoW_dates_BAR,0))</definedName>
    <definedName name="chart_period_WoW_GUY" localSheetId="2">INDEX('Live Chat KPIs - Monthly'!WoW_dates_GUY,MATCH(Guyana!$AN$3,'Live Chat KPIs - Monthly'!WoW_dates_GUY,0)):INDEX('Live Chat KPIs - Monthly'!WoW_dates_GUY,MATCH(Guyana!$AN$4,'Live Chat KPIs - Monthly'!WoW_dates_GUY,0))</definedName>
    <definedName name="chart_period_WoW_GUY">INDEX(WoW_dates_GUY,MATCH(Guyana!$AN$3,WoW_dates_GUY,0)):INDEX(WoW_dates_GUY,MATCH(Guyana!$AN$4,WoW_dates_GUY,0))</definedName>
    <definedName name="chart_period_WoW_JAM" localSheetId="2">INDEX('Live Chat KPIs - Monthly'!WoW_dates_JAM,MATCH(Jamaica!$AT$5,'Live Chat KPIs - Monthly'!WoW_dates_JAM,0)):INDEX('Live Chat KPIs - Monthly'!WoW_dates_JAM,MATCH(Jamaica!$AT$6,'Live Chat KPIs - Monthly'!WoW_dates_JAM,0))</definedName>
    <definedName name="chart_period_WoW_JAM">INDEX(WoW_dates_JAM,MATCH(Jamaica!$AT$5,WoW_dates_JAM,0)):INDEX(WoW_dates_JAM,MATCH(Jamaica!$AT$6,WoW_dates_JAM,0))</definedName>
    <definedName name="chart_period_WoW_OECS" localSheetId="2">INDEX('Live Chat KPIs - Monthly'!WoW_dates_OECS,MATCH(OECS!$AO$7,'Live Chat KPIs - Monthly'!WoW_dates_OECS,0)):INDEX('Live Chat KPIs - Monthly'!WoW_dates_OECS,MATCH(OECS!$AO$8,'Live Chat KPIs - Monthly'!WoW_dates_OECS,0))</definedName>
    <definedName name="chart_period_WoW_OECS">INDEX(WoW_dates_OECS,MATCH(OECS!$AO$7,WoW_dates_OECS,0)):INDEX(WoW_dates_OECS,MATCH(OECS!$AO$8,WoW_dates_OECS,0))</definedName>
    <definedName name="chart_period_WoW_TT" localSheetId="2">INDEX('Live Chat KPIs - Monthly'!WoW_dates_TT,MATCH('Trinidad and Tobago'!$AL$6,'Live Chat KPIs - Monthly'!WoW_dates_TT,0)):INDEX('Live Chat KPIs - Monthly'!WoW_dates_TT,MATCH('Trinidad and Tobago'!$AL$7,'Live Chat KPIs - Monthly'!WoW_dates_TT,0))</definedName>
    <definedName name="chart_period_WoW_TT">INDEX(WoW_dates_TT,MATCH('Trinidad and Tobago'!$AL$6,WoW_dates_TT,0)):INDEX(WoW_dates_TT,MATCH('Trinidad and Tobago'!$AL$7,WoW_dates_TT,0))</definedName>
    <definedName name="chart_SL_BAR" localSheetId="2">INDEX('Live Chat KPIs - Monthly'!SL_BAR,MATCH(Barbados!$AL$110,'Live Chat KPIs - Monthly'!period_BAR,0)):INDEX('Live Chat KPIs - Monthly'!SL_BAR,MATCH(Barbados!$AL$111,'Live Chat KPIs - Monthly'!period_BAR,0))</definedName>
    <definedName name="chart_SL_GUY" localSheetId="2">INDEX('Live Chat KPIs - Monthly'!SL_GUY,MATCH(Guyana!$AK$110,'Live Chat KPIs - Monthly'!period_GUY,0)):INDEX('Live Chat KPIs - Monthly'!SL_GUY,MATCH(Guyana!$AK$111,'Live Chat KPIs - Monthly'!period_GUY,0))</definedName>
    <definedName name="chart_SL_JAM" localSheetId="2">INDEX('Live Chat KPIs - Monthly'!SL_JAM,MATCH(Jamaica!$AO$107,'Live Chat KPIs - Monthly'!period_JAM,0)):INDEX('Live Chat KPIs - Monthly'!SL_JAM,MATCH(Jamaica!$AO$108,'Live Chat KPIs - Monthly'!period_JAM,0))</definedName>
    <definedName name="chart_SL_OECS" localSheetId="2">INDEX('Live Chat KPIs - Monthly'!SL_OECS,MATCH(OECS!$AL$127,'Live Chat KPIs - Monthly'!period_OECS,0)):INDEX('Live Chat KPIs - Monthly'!SL_OECS,MATCH(OECS!$AL$128,'Live Chat KPIs - Monthly'!period_OECS,0))</definedName>
    <definedName name="chart_SL_TT" localSheetId="2">INDEX('Live Chat KPIs - Monthly'!SL_TT,MATCH('Trinidad and Tobago'!$AI$120,'Live Chat KPIs - Monthly'!period_TT,0)):INDEX('Live Chat KPIs - Monthly'!SL_TT,MATCH('Trinidad and Tobago'!$AI$121,'Live Chat KPIs - Monthly'!period_TT,0))</definedName>
    <definedName name="chart_WFM_BAR" localSheetId="2">INDEX('Live Chat KPIs - Monthly'!period_BAR_WFM,MATCH(Barbados!$AL$110,'Live Chat KPIs - Monthly'!period_BAR,0)):INDEX('Live Chat KPIs - Monthly'!period_BAR_WFM,MATCH(Barbados!$AL$111,'Live Chat KPIs - Monthly'!period_BAR,0))</definedName>
    <definedName name="chart_WFM_GUY">INDEX(period_GUY_WF,MATCH(Guyana!$AK$110,period_GUY,0)):INDEX(period_GUY_WF,MATCH(Guyana!$AK$111,period_GUY,0))</definedName>
    <definedName name="chart_WFM_JAM" localSheetId="2">INDEX('Live Chat KPIs - Monthly'!period_JAM_WFM,MATCH(Jamaica!$AO$107,'Live Chat KPIs - Monthly'!period_JAM,0)):INDEX('Live Chat KPIs - Monthly'!period_JAM_WFM,MATCH(Jamaica!$AO$108,'Live Chat KPIs - Monthly'!period_JAM,0))</definedName>
    <definedName name="chart_WFM_OECS" localSheetId="2">INDEX('Live Chat KPIs - Monthly'!period_OECS_WF,MATCH(OECS!$AL$127,'Live Chat KPIs - Monthly'!period_OECS,0)):INDEX('Live Chat KPIs - Monthly'!period_OECS_WF,MATCH(OECS!$AL$128,'Live Chat KPIs - Monthly'!period_OECS,0))</definedName>
    <definedName name="chart_WFM_TTO" localSheetId="2">INDEX('Live Chat KPIs - Monthly'!period_TT_WFM,MATCH('Trinidad and Tobago'!$AI$120,'Live Chat KPIs - Monthly'!period_TT,0)):INDEX('Live Chat KPIs - Monthly'!period_TT_WFM,MATCH('Trinidad and Tobago'!$AI$121,'Live Chat KPIs - Monthly'!period_TT,0))</definedName>
    <definedName name="chart_WoW_ans_BAR_percent" localSheetId="2">INDEX('Live Chat KPIs - Monthly'!percent_WoW_ans_BAR,MATCH(Barbados!$AL$110,'Live Chat KPIs - Monthly'!period_BAR,0)):INDEX('Live Chat KPIs - Monthly'!percent_WoW_ans_BAR,MATCH(Barbados!$AL$111,'Live Chat KPIs - Monthly'!period_BAR,0))</definedName>
    <definedName name="chart_WoW_ans_GUY_percent" localSheetId="2">INDEX('Live Chat KPIs - Monthly'!percent_WoW_ans_GUY,MATCH(Guyana!$AK$110,'Live Chat KPIs - Monthly'!period_GUY,0)):INDEX('Live Chat KPIs - Monthly'!percent_WoW_ans_GUY,MATCH(Guyana!$AK$111,'Live Chat KPIs - Monthly'!period_GUY,0))</definedName>
    <definedName name="chart_WoW_ans_JAM_percent" localSheetId="2">INDEX('Live Chat KPIs - Monthly'!percent_WoW_ans_JAM,MATCH(Jamaica!$AO$107,'Live Chat KPIs - Monthly'!period_JAM,0)):INDEX('Live Chat KPIs - Monthly'!percent_WoW_ans_JAM,MATCH(Jamaica!$AO$108,'Live Chat KPIs - Monthly'!period_JAM,0))</definedName>
    <definedName name="chart_WoW_ans_OECS" localSheetId="2">INDEX('Live Chat KPIs - Monthly'!percent_WoW_ans_OECS,MATCH(OECS!$AL$127,'Live Chat KPIs - Monthly'!period_OECS,0)):INDEX('Live Chat KPIs - Monthly'!percent_WoW_ans_OECS,MATCH(OECS!$AL$128,'Live Chat KPIs - Monthly'!period_OECS,0))</definedName>
    <definedName name="chart_WoW_ans_TT_percent" localSheetId="2">INDEX('Live Chat KPIs - Monthly'!percent_WoW_ans_TT,MATCH('Trinidad and Tobago'!$AI$120,'Live Chat KPIs - Monthly'!period_TT,0)):INDEX('Live Chat KPIs - Monthly'!percent_WoW_ans_TT,MATCH('Trinidad and Tobago'!$AI$121,'Live Chat KPIs - Monthly'!period_TT,0))</definedName>
    <definedName name="chart_WoW_off_BAR_percent" localSheetId="2">INDEX('Live Chat KPIs - Monthly'!percent_WoW_off_BAR,MATCH(Barbados!$AL$110,'Live Chat KPIs - Monthly'!period_BAR,0)):INDEX('Live Chat KPIs - Monthly'!percent_WoW_off_BAR,MATCH(Barbados!$AL$111,'Live Chat KPIs - Monthly'!period_BAR,0))</definedName>
    <definedName name="chart_WoW_off_GUY_percent" localSheetId="2">INDEX('Live Chat KPIs - Monthly'!percent_WoW_off_GUY,MATCH(Guyana!$AK$110,'Live Chat KPIs - Monthly'!period_GUY,0)):INDEX('Live Chat KPIs - Monthly'!percent_WoW_off_GUY,MATCH(Guyana!$AK$111,'Live Chat KPIs - Monthly'!period_GUY,0))</definedName>
    <definedName name="chart_WoW_off_JAM_percent" localSheetId="2">INDEX('Live Chat KPIs - Monthly'!percent_WoW_off_JAM,MATCH(Jamaica!$AO$107,'Live Chat KPIs - Monthly'!period_JAM,0)):INDEX('Live Chat KPIs - Monthly'!percent_WoW_off_JAM,MATCH(Jamaica!$AO$108,'Live Chat KPIs - Monthly'!period_JAM,0))</definedName>
    <definedName name="chart_WoW_off_OECS" localSheetId="2">INDEX('Live Chat KPIs - Monthly'!percent_WoW_off_OECS,MATCH(OECS!$AL$127,'Live Chat KPIs - Monthly'!period_OECS,0)):INDEX('Live Chat KPIs - Monthly'!percent_WoW_off_OECS,MATCH(OECS!$AL$128,'Live Chat KPIs - Monthly'!period_OECS,0))</definedName>
    <definedName name="chart_WoW_off_TT_percent" localSheetId="2">INDEX('Live Chat KPIs - Monthly'!percent_WoW_off_TT,MATCH('Trinidad and Tobago'!$AI$120,'Live Chat KPIs - Monthly'!period_TT,0)):INDEX('Live Chat KPIs - Monthly'!percent_WoW_off_TT,MATCH('Trinidad and Tobago'!$AI$121,'Live Chat KPIs - Monthly'!period_TT,0))</definedName>
    <definedName name="percent_WoW_ans_BAR" localSheetId="2">Table3[WoW % change ans]</definedName>
    <definedName name="percent_WoW_ans_BAR">Table3[WoW % change ans]</definedName>
    <definedName name="percent_WoW_ans_GUY" localSheetId="2">Table9[WoW % change ans]</definedName>
    <definedName name="percent_WoW_ans_GUY">Table9[WoW % change ans]</definedName>
    <definedName name="percent_WoW_ans_JAM" localSheetId="2">Table6[WoW % change ans]</definedName>
    <definedName name="percent_WoW_ans_JAM">Table6[WoW % change ans]</definedName>
    <definedName name="percent_WoW_ans_OECS" localSheetId="2">Table2[WoW % change (ans)]</definedName>
    <definedName name="percent_WoW_ans_OECS">Table2[WoW % change (ans)]</definedName>
    <definedName name="percent_WoW_ans_TT" localSheetId="2">Table7[WoW % change ans]</definedName>
    <definedName name="percent_WoW_ans_TT">Table7[WoW % change ans]</definedName>
    <definedName name="percent_WoW_off_BAR" localSheetId="2">Table3[WoW % change offer]</definedName>
    <definedName name="percent_WoW_off_BAR">Table3[WoW % change offer]</definedName>
    <definedName name="percent_WoW_off_GUY" localSheetId="2">Table9[WoW % change offer]</definedName>
    <definedName name="percent_WoW_off_GUY">Table9[WoW % change offer]</definedName>
    <definedName name="percent_WoW_off_JAM" localSheetId="2">Table6[WoW % change offer]</definedName>
    <definedName name="percent_WoW_off_JAM">Table6[WoW % change offer]</definedName>
    <definedName name="percent_WoW_off_OECS" localSheetId="2">Table2[WoW % change offer]</definedName>
    <definedName name="percent_WoW_off_OECS">Table2[WoW % change offer]</definedName>
    <definedName name="percent_WoW_off_TT" localSheetId="2">Table7[WoW % change offer]</definedName>
    <definedName name="percent_WoW_off_TT">Table7[WoW % change offer]</definedName>
    <definedName name="period_BAR" localSheetId="2">Table3[Date]</definedName>
    <definedName name="period_BAR">Table3[Date]</definedName>
    <definedName name="period_BAR_WFM" localSheetId="2">Table3[Agents Log]</definedName>
    <definedName name="period_BAR_WFM">Table3[Agents Log]</definedName>
    <definedName name="period_GUY" localSheetId="2">Table9[Date]</definedName>
    <definedName name="period_GUY">Table9[Date]</definedName>
    <definedName name="period_GUY_WF" localSheetId="2">Table9[Agents Log]</definedName>
    <definedName name="period_GUY_WF">Table9[Agents Log]</definedName>
    <definedName name="period_JAM" localSheetId="2">Table6[Date]</definedName>
    <definedName name="period_JAM">Table6[Date]</definedName>
    <definedName name="period_JAM_WFM" localSheetId="2">Table6[Agents Log]</definedName>
    <definedName name="period_JAM_WFM">Table6[Agents Log]</definedName>
    <definedName name="period_OECS" localSheetId="2">Table2[Date]</definedName>
    <definedName name="period_OECS">Table2[Date]</definedName>
    <definedName name="period_OECS_WF" localSheetId="2">#REF!</definedName>
    <definedName name="period_OECS_WF">#REF!</definedName>
    <definedName name="period_TT" localSheetId="2">Table7[Date]</definedName>
    <definedName name="period_TT">Table7[Date]</definedName>
    <definedName name="period_TT_WFM" localSheetId="2">Table7[Agents Log]</definedName>
    <definedName name="period_TT_WFM">Table7[Agents Log]</definedName>
    <definedName name="SL_BAR" localSheetId="2">Table3[SL]</definedName>
    <definedName name="SL_BAR">Table3[SL]</definedName>
    <definedName name="SL_GUY" localSheetId="2">Table9[SL]</definedName>
    <definedName name="SL_GUY">Table9[SL]</definedName>
    <definedName name="SL_JAM" localSheetId="2">Table6[SL]</definedName>
    <definedName name="SL_JAM">Table6[SL]</definedName>
    <definedName name="SL_OECS" localSheetId="2">Table2[SL]</definedName>
    <definedName name="SL_OECS">Table2[SL]</definedName>
    <definedName name="SL_TT" localSheetId="2">Table7[SL]</definedName>
    <definedName name="SL_TT">Table7[SL]</definedName>
    <definedName name="WoW_calls_ans" localSheetId="2">Table4[Sum of Calls - Answered]</definedName>
    <definedName name="WoW_calls_ans">Table4[Sum of Calls - Answered]</definedName>
    <definedName name="WoW_calls_off" localSheetId="2">Table4[Sum of Calls - Offered]</definedName>
    <definedName name="WoW_calls_off">Table4[Sum of Calls - Offered]</definedName>
    <definedName name="WoW_dates_BAR" localSheetId="2">Table14[Week of]</definedName>
    <definedName name="WoW_dates_BAR">Table14[Week of]</definedName>
    <definedName name="WoW_dates_GUY" localSheetId="2">Table10[Week of]</definedName>
    <definedName name="WoW_dates_GUY">Table10[Week of]</definedName>
    <definedName name="WoW_dates_JAM" localSheetId="2">Table13[Week of]</definedName>
    <definedName name="WoW_dates_JAM">Table13[Week of]</definedName>
    <definedName name="WoW_dates_OECS" localSheetId="2">Table8[Week Of]</definedName>
    <definedName name="WoW_dates_OECS">Table8[Week Of]</definedName>
    <definedName name="WoW_dates_TT" localSheetId="2">Table4[Week of]</definedName>
    <definedName name="WoW_dates_TT">Table4[Week of]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67" i="11" l="1"/>
  <c r="X367" i="11" s="1"/>
  <c r="U367" i="11"/>
  <c r="W367" i="11" s="1"/>
  <c r="V366" i="11"/>
  <c r="X366" i="11" s="1"/>
  <c r="U366" i="11"/>
  <c r="W366" i="11" s="1"/>
  <c r="V365" i="11"/>
  <c r="X365" i="11" s="1"/>
  <c r="U365" i="11"/>
  <c r="W365" i="11" s="1"/>
  <c r="V364" i="11"/>
  <c r="X364" i="11" s="1"/>
  <c r="U364" i="11"/>
  <c r="W364" i="11" s="1"/>
  <c r="V363" i="11"/>
  <c r="X363" i="11" s="1"/>
  <c r="U363" i="11"/>
  <c r="W363" i="11" s="1"/>
  <c r="V362" i="11"/>
  <c r="X362" i="11" s="1"/>
  <c r="U362" i="11"/>
  <c r="W362" i="11" s="1"/>
  <c r="V361" i="11"/>
  <c r="X361" i="11" s="1"/>
  <c r="U361" i="11"/>
  <c r="W361" i="11" s="1"/>
  <c r="V360" i="11"/>
  <c r="X360" i="11" s="1"/>
  <c r="U360" i="11"/>
  <c r="W360" i="11" s="1"/>
  <c r="V359" i="11"/>
  <c r="X359" i="11" s="1"/>
  <c r="U359" i="11"/>
  <c r="W359" i="11" s="1"/>
  <c r="V358" i="11"/>
  <c r="X358" i="11" s="1"/>
  <c r="U358" i="11"/>
  <c r="W358" i="11" s="1"/>
  <c r="V357" i="11"/>
  <c r="X357" i="11" s="1"/>
  <c r="U357" i="11"/>
  <c r="W357" i="11" s="1"/>
  <c r="V356" i="11"/>
  <c r="X356" i="11" s="1"/>
  <c r="U356" i="11"/>
  <c r="W356" i="11" s="1"/>
  <c r="V355" i="11"/>
  <c r="X355" i="11" s="1"/>
  <c r="U355" i="11"/>
  <c r="W355" i="11" s="1"/>
  <c r="V354" i="11"/>
  <c r="X354" i="11" s="1"/>
  <c r="U354" i="11"/>
  <c r="W354" i="11" s="1"/>
  <c r="V353" i="11"/>
  <c r="X353" i="11" s="1"/>
  <c r="U353" i="11"/>
  <c r="W353" i="11" s="1"/>
  <c r="V352" i="11"/>
  <c r="X352" i="11" s="1"/>
  <c r="U352" i="11"/>
  <c r="W352" i="11" s="1"/>
  <c r="V351" i="11"/>
  <c r="X351" i="11" s="1"/>
  <c r="U351" i="11"/>
  <c r="W351" i="11" s="1"/>
  <c r="V350" i="11"/>
  <c r="X350" i="11" s="1"/>
  <c r="U350" i="11"/>
  <c r="W350" i="11" s="1"/>
  <c r="V349" i="11"/>
  <c r="X349" i="11" s="1"/>
  <c r="U349" i="11"/>
  <c r="W349" i="11" s="1"/>
  <c r="V348" i="11"/>
  <c r="X348" i="11" s="1"/>
  <c r="U348" i="11"/>
  <c r="W348" i="11" s="1"/>
  <c r="V347" i="11"/>
  <c r="X347" i="11" s="1"/>
  <c r="U347" i="11"/>
  <c r="W347" i="11" s="1"/>
  <c r="V346" i="11"/>
  <c r="X346" i="11" s="1"/>
  <c r="U346" i="11"/>
  <c r="W346" i="11" s="1"/>
  <c r="V345" i="11"/>
  <c r="X345" i="11" s="1"/>
  <c r="U345" i="11"/>
  <c r="W345" i="11" s="1"/>
  <c r="V344" i="11"/>
  <c r="X344" i="11" s="1"/>
  <c r="U344" i="11"/>
  <c r="W344" i="11" s="1"/>
  <c r="V343" i="11"/>
  <c r="X343" i="11" s="1"/>
  <c r="U343" i="11"/>
  <c r="W343" i="11" s="1"/>
  <c r="V342" i="11"/>
  <c r="X342" i="11" s="1"/>
  <c r="U342" i="11"/>
  <c r="W342" i="11" s="1"/>
  <c r="V341" i="11"/>
  <c r="X341" i="11" s="1"/>
  <c r="U341" i="11"/>
  <c r="W341" i="11" s="1"/>
  <c r="V340" i="11"/>
  <c r="X340" i="11" s="1"/>
  <c r="U340" i="11"/>
  <c r="W340" i="11" s="1"/>
  <c r="V339" i="11"/>
  <c r="X339" i="11" s="1"/>
  <c r="U339" i="11"/>
  <c r="W339" i="11" s="1"/>
  <c r="V338" i="11"/>
  <c r="X338" i="11" s="1"/>
  <c r="U338" i="11"/>
  <c r="W338" i="11" s="1"/>
  <c r="V337" i="11"/>
  <c r="X337" i="11" s="1"/>
  <c r="U337" i="11"/>
  <c r="W337" i="11" s="1"/>
  <c r="V336" i="11"/>
  <c r="X336" i="11" s="1"/>
  <c r="U336" i="11"/>
  <c r="W336" i="11" s="1"/>
  <c r="V335" i="11"/>
  <c r="X335" i="11" s="1"/>
  <c r="U335" i="11"/>
  <c r="W335" i="11" s="1"/>
  <c r="V334" i="11"/>
  <c r="X334" i="11" s="1"/>
  <c r="U334" i="11"/>
  <c r="W334" i="11" s="1"/>
  <c r="V333" i="11"/>
  <c r="X333" i="11" s="1"/>
  <c r="U333" i="11"/>
  <c r="W333" i="11" s="1"/>
  <c r="V332" i="11"/>
  <c r="X332" i="11" s="1"/>
  <c r="U332" i="11"/>
  <c r="W332" i="11" s="1"/>
  <c r="V331" i="11"/>
  <c r="X331" i="11" s="1"/>
  <c r="U331" i="11"/>
  <c r="W331" i="11" s="1"/>
  <c r="V330" i="11"/>
  <c r="X330" i="11" s="1"/>
  <c r="U330" i="11"/>
  <c r="W330" i="11" s="1"/>
  <c r="V329" i="11"/>
  <c r="X329" i="11" s="1"/>
  <c r="U329" i="11"/>
  <c r="W329" i="11" s="1"/>
  <c r="V328" i="11"/>
  <c r="X328" i="11" s="1"/>
  <c r="U328" i="11"/>
  <c r="W328" i="11" s="1"/>
  <c r="V327" i="11"/>
  <c r="X327" i="11" s="1"/>
  <c r="U327" i="11"/>
  <c r="W327" i="11" s="1"/>
  <c r="V326" i="11"/>
  <c r="X326" i="11" s="1"/>
  <c r="U326" i="11"/>
  <c r="W326" i="11" s="1"/>
  <c r="V325" i="11"/>
  <c r="X325" i="11" s="1"/>
  <c r="U325" i="11"/>
  <c r="W325" i="11" s="1"/>
  <c r="V324" i="11"/>
  <c r="X324" i="11" s="1"/>
  <c r="U324" i="11"/>
  <c r="W324" i="11" s="1"/>
  <c r="V323" i="11"/>
  <c r="X323" i="11" s="1"/>
  <c r="U323" i="11"/>
  <c r="W323" i="11" s="1"/>
  <c r="V322" i="11"/>
  <c r="X322" i="11" s="1"/>
  <c r="U322" i="11"/>
  <c r="W322" i="11" s="1"/>
  <c r="V321" i="11"/>
  <c r="X321" i="11" s="1"/>
  <c r="U321" i="11"/>
  <c r="W321" i="11" s="1"/>
  <c r="V320" i="11"/>
  <c r="X320" i="11" s="1"/>
  <c r="U320" i="11"/>
  <c r="W320" i="11" s="1"/>
  <c r="V319" i="11"/>
  <c r="X319" i="11" s="1"/>
  <c r="U319" i="11"/>
  <c r="W319" i="11" s="1"/>
  <c r="V318" i="11"/>
  <c r="X318" i="11" s="1"/>
  <c r="U318" i="11"/>
  <c r="W318" i="11" s="1"/>
  <c r="V317" i="11"/>
  <c r="X317" i="11" s="1"/>
  <c r="U317" i="11"/>
  <c r="W317" i="11" s="1"/>
  <c r="V316" i="11"/>
  <c r="X316" i="11" s="1"/>
  <c r="U316" i="11"/>
  <c r="W316" i="11" s="1"/>
  <c r="V315" i="11"/>
  <c r="X315" i="11" s="1"/>
  <c r="U315" i="11"/>
  <c r="W315" i="11" s="1"/>
  <c r="V314" i="11"/>
  <c r="X314" i="11" s="1"/>
  <c r="U314" i="11"/>
  <c r="W314" i="11" s="1"/>
  <c r="V313" i="11"/>
  <c r="X313" i="11" s="1"/>
  <c r="U313" i="11"/>
  <c r="W313" i="11" s="1"/>
  <c r="V312" i="11"/>
  <c r="X312" i="11" s="1"/>
  <c r="U312" i="11"/>
  <c r="W312" i="11" s="1"/>
  <c r="V311" i="11"/>
  <c r="X311" i="11" s="1"/>
  <c r="U311" i="11"/>
  <c r="W311" i="11" s="1"/>
  <c r="V310" i="11"/>
  <c r="X310" i="11" s="1"/>
  <c r="U310" i="11"/>
  <c r="W310" i="11" s="1"/>
  <c r="V309" i="11"/>
  <c r="X309" i="11" s="1"/>
  <c r="U309" i="11"/>
  <c r="W309" i="11" s="1"/>
  <c r="V308" i="11"/>
  <c r="X308" i="11" s="1"/>
  <c r="U308" i="11"/>
  <c r="W308" i="11" s="1"/>
  <c r="V307" i="11"/>
  <c r="X307" i="11" s="1"/>
  <c r="U307" i="11"/>
  <c r="W307" i="11" s="1"/>
  <c r="V306" i="11"/>
  <c r="X306" i="11" s="1"/>
  <c r="U306" i="11"/>
  <c r="W306" i="11" s="1"/>
  <c r="V305" i="11"/>
  <c r="X305" i="11" s="1"/>
  <c r="U305" i="11"/>
  <c r="W305" i="11" s="1"/>
  <c r="V304" i="11"/>
  <c r="X304" i="11" s="1"/>
  <c r="U304" i="11"/>
  <c r="W304" i="11" s="1"/>
  <c r="V303" i="11"/>
  <c r="X303" i="11" s="1"/>
  <c r="U303" i="11"/>
  <c r="W303" i="11" s="1"/>
  <c r="V302" i="11"/>
  <c r="X302" i="11" s="1"/>
  <c r="U302" i="11"/>
  <c r="W302" i="11" s="1"/>
  <c r="V301" i="11"/>
  <c r="X301" i="11" s="1"/>
  <c r="U301" i="11"/>
  <c r="W301" i="11" s="1"/>
  <c r="V300" i="11"/>
  <c r="X300" i="11" s="1"/>
  <c r="U300" i="11"/>
  <c r="W300" i="11" s="1"/>
  <c r="V299" i="11"/>
  <c r="X299" i="11" s="1"/>
  <c r="U299" i="11"/>
  <c r="W299" i="11" s="1"/>
  <c r="V298" i="11"/>
  <c r="X298" i="11" s="1"/>
  <c r="U298" i="11"/>
  <c r="W298" i="11" s="1"/>
  <c r="V297" i="11"/>
  <c r="X297" i="11" s="1"/>
  <c r="U297" i="11"/>
  <c r="W297" i="11" s="1"/>
  <c r="V296" i="11"/>
  <c r="X296" i="11" s="1"/>
  <c r="U296" i="11"/>
  <c r="W296" i="11" s="1"/>
  <c r="V295" i="11"/>
  <c r="X295" i="11" s="1"/>
  <c r="U295" i="11"/>
  <c r="W295" i="11" s="1"/>
  <c r="V294" i="11"/>
  <c r="X294" i="11" s="1"/>
  <c r="U294" i="11"/>
  <c r="W294" i="11" s="1"/>
  <c r="V293" i="11"/>
  <c r="X293" i="11" s="1"/>
  <c r="U293" i="11"/>
  <c r="W293" i="11" s="1"/>
  <c r="V292" i="11"/>
  <c r="X292" i="11" s="1"/>
  <c r="U292" i="11"/>
  <c r="W292" i="11" s="1"/>
  <c r="V291" i="11"/>
  <c r="X291" i="11" s="1"/>
  <c r="U291" i="11"/>
  <c r="W291" i="11" s="1"/>
  <c r="V290" i="11"/>
  <c r="X290" i="11" s="1"/>
  <c r="U290" i="11"/>
  <c r="W290" i="11" s="1"/>
  <c r="V289" i="11"/>
  <c r="X289" i="11" s="1"/>
  <c r="U289" i="11"/>
  <c r="W289" i="11" s="1"/>
  <c r="V288" i="11"/>
  <c r="X288" i="11" s="1"/>
  <c r="U288" i="11"/>
  <c r="W288" i="11" s="1"/>
  <c r="V287" i="11"/>
  <c r="X287" i="11" s="1"/>
  <c r="U287" i="11"/>
  <c r="W287" i="11" s="1"/>
  <c r="V286" i="11"/>
  <c r="X286" i="11" s="1"/>
  <c r="U286" i="11"/>
  <c r="W286" i="11" s="1"/>
  <c r="V285" i="11"/>
  <c r="X285" i="11" s="1"/>
  <c r="U285" i="11"/>
  <c r="W285" i="11" s="1"/>
  <c r="V284" i="11"/>
  <c r="X284" i="11" s="1"/>
  <c r="U284" i="11"/>
  <c r="W284" i="11" s="1"/>
  <c r="V283" i="11"/>
  <c r="X283" i="11" s="1"/>
  <c r="U283" i="11"/>
  <c r="W283" i="11" s="1"/>
  <c r="V282" i="11"/>
  <c r="X282" i="11" s="1"/>
  <c r="U282" i="11"/>
  <c r="W282" i="11" s="1"/>
  <c r="V281" i="11"/>
  <c r="X281" i="11" s="1"/>
  <c r="U281" i="11"/>
  <c r="W281" i="11" s="1"/>
  <c r="V280" i="11"/>
  <c r="X280" i="11" s="1"/>
  <c r="U280" i="11"/>
  <c r="W280" i="11" s="1"/>
  <c r="V279" i="11"/>
  <c r="X279" i="11" s="1"/>
  <c r="U279" i="11"/>
  <c r="W279" i="11" s="1"/>
  <c r="V278" i="11"/>
  <c r="X278" i="11" s="1"/>
  <c r="U278" i="11"/>
  <c r="W278" i="11" s="1"/>
  <c r="V277" i="11"/>
  <c r="X277" i="11" s="1"/>
  <c r="U277" i="11"/>
  <c r="W277" i="11" s="1"/>
  <c r="V276" i="11"/>
  <c r="X276" i="11" s="1"/>
  <c r="U276" i="11"/>
  <c r="W276" i="11" s="1"/>
  <c r="V275" i="11"/>
  <c r="X275" i="11" s="1"/>
  <c r="U275" i="11"/>
  <c r="W275" i="11" s="1"/>
  <c r="V274" i="11"/>
  <c r="X274" i="11" s="1"/>
  <c r="U274" i="11"/>
  <c r="W274" i="11" s="1"/>
  <c r="V273" i="11"/>
  <c r="X273" i="11" s="1"/>
  <c r="U273" i="11"/>
  <c r="W273" i="11" s="1"/>
  <c r="V272" i="11"/>
  <c r="X272" i="11" s="1"/>
  <c r="U272" i="11"/>
  <c r="W272" i="11" s="1"/>
  <c r="V271" i="11"/>
  <c r="X271" i="11" s="1"/>
  <c r="U271" i="11"/>
  <c r="W271" i="11" s="1"/>
  <c r="V270" i="11"/>
  <c r="X270" i="11" s="1"/>
  <c r="U270" i="11"/>
  <c r="W270" i="11" s="1"/>
  <c r="V269" i="11"/>
  <c r="X269" i="11" s="1"/>
  <c r="U269" i="11"/>
  <c r="W269" i="11" s="1"/>
  <c r="V268" i="11"/>
  <c r="X268" i="11" s="1"/>
  <c r="U268" i="11"/>
  <c r="W268" i="11" s="1"/>
  <c r="V267" i="11"/>
  <c r="X267" i="11" s="1"/>
  <c r="U267" i="11"/>
  <c r="W267" i="11" s="1"/>
  <c r="V266" i="11"/>
  <c r="X266" i="11" s="1"/>
  <c r="U266" i="11"/>
  <c r="W266" i="11" s="1"/>
  <c r="V265" i="11"/>
  <c r="X265" i="11" s="1"/>
  <c r="U265" i="11"/>
  <c r="W265" i="11" s="1"/>
  <c r="V264" i="11"/>
  <c r="X264" i="11" s="1"/>
  <c r="U264" i="11"/>
  <c r="W264" i="11" s="1"/>
  <c r="V263" i="11"/>
  <c r="X263" i="11" s="1"/>
  <c r="U263" i="11"/>
  <c r="W263" i="11" s="1"/>
  <c r="V262" i="11"/>
  <c r="X262" i="11" s="1"/>
  <c r="U262" i="11"/>
  <c r="W262" i="11" s="1"/>
  <c r="V261" i="11"/>
  <c r="X261" i="11" s="1"/>
  <c r="U261" i="11"/>
  <c r="W261" i="11" s="1"/>
  <c r="V260" i="11"/>
  <c r="X260" i="11" s="1"/>
  <c r="U260" i="11"/>
  <c r="W260" i="11" s="1"/>
  <c r="V259" i="11"/>
  <c r="X259" i="11" s="1"/>
  <c r="U259" i="11"/>
  <c r="W259" i="11" s="1"/>
  <c r="V258" i="11"/>
  <c r="X258" i="11" s="1"/>
  <c r="U258" i="11"/>
  <c r="W258" i="11" s="1"/>
  <c r="V257" i="11"/>
  <c r="X257" i="11" s="1"/>
  <c r="U257" i="11"/>
  <c r="W257" i="11" s="1"/>
  <c r="V256" i="11"/>
  <c r="X256" i="11" s="1"/>
  <c r="U256" i="11"/>
  <c r="W256" i="11" s="1"/>
  <c r="V255" i="11"/>
  <c r="X255" i="11" s="1"/>
  <c r="U255" i="11"/>
  <c r="W255" i="11" s="1"/>
  <c r="V254" i="11"/>
  <c r="X254" i="11" s="1"/>
  <c r="U254" i="11"/>
  <c r="W254" i="11" s="1"/>
  <c r="V253" i="11"/>
  <c r="X253" i="11" s="1"/>
  <c r="U253" i="11"/>
  <c r="W253" i="11" s="1"/>
  <c r="V252" i="11"/>
  <c r="X252" i="11" s="1"/>
  <c r="U252" i="11"/>
  <c r="W252" i="11" s="1"/>
  <c r="V251" i="11"/>
  <c r="X251" i="11" s="1"/>
  <c r="U251" i="11"/>
  <c r="W251" i="11" s="1"/>
  <c r="V250" i="11"/>
  <c r="X250" i="11" s="1"/>
  <c r="U250" i="11"/>
  <c r="W250" i="11" s="1"/>
  <c r="V249" i="11"/>
  <c r="X249" i="11" s="1"/>
  <c r="U249" i="11"/>
  <c r="W249" i="11" s="1"/>
  <c r="W248" i="11"/>
  <c r="V248" i="11"/>
  <c r="X248" i="11" s="1"/>
  <c r="U248" i="11"/>
  <c r="V247" i="11"/>
  <c r="X247" i="11" s="1"/>
  <c r="U247" i="11"/>
  <c r="W247" i="11" s="1"/>
  <c r="V246" i="11"/>
  <c r="X246" i="11" s="1"/>
  <c r="U246" i="11"/>
  <c r="W246" i="11" s="1"/>
  <c r="V245" i="11"/>
  <c r="X245" i="11" s="1"/>
  <c r="U245" i="11"/>
  <c r="W245" i="11" s="1"/>
  <c r="V244" i="11"/>
  <c r="X244" i="11" s="1"/>
  <c r="U244" i="11"/>
  <c r="W244" i="11" s="1"/>
  <c r="V243" i="11"/>
  <c r="X243" i="11" s="1"/>
  <c r="U243" i="11"/>
  <c r="W243" i="11" s="1"/>
  <c r="W242" i="11"/>
  <c r="V242" i="11"/>
  <c r="X242" i="11" s="1"/>
  <c r="U242" i="11"/>
  <c r="V241" i="11"/>
  <c r="X241" i="11" s="1"/>
  <c r="U241" i="11"/>
  <c r="W241" i="11" s="1"/>
  <c r="W240" i="11"/>
  <c r="V240" i="11"/>
  <c r="X240" i="11" s="1"/>
  <c r="U240" i="11"/>
  <c r="V239" i="11"/>
  <c r="X239" i="11" s="1"/>
  <c r="U239" i="11"/>
  <c r="W239" i="11" s="1"/>
  <c r="V238" i="11"/>
  <c r="X238" i="11" s="1"/>
  <c r="U238" i="11"/>
  <c r="W238" i="11" s="1"/>
  <c r="V237" i="11"/>
  <c r="X237" i="11" s="1"/>
  <c r="U237" i="11"/>
  <c r="W237" i="11" s="1"/>
  <c r="V236" i="11"/>
  <c r="X236" i="11" s="1"/>
  <c r="U236" i="11"/>
  <c r="W236" i="11" s="1"/>
  <c r="V235" i="11"/>
  <c r="X235" i="11" s="1"/>
  <c r="U235" i="11"/>
  <c r="W235" i="11" s="1"/>
  <c r="V234" i="11"/>
  <c r="X234" i="11" s="1"/>
  <c r="U234" i="11"/>
  <c r="W234" i="11" s="1"/>
  <c r="V233" i="11"/>
  <c r="X233" i="11" s="1"/>
  <c r="U233" i="11"/>
  <c r="W233" i="11" s="1"/>
  <c r="W232" i="11"/>
  <c r="V232" i="11"/>
  <c r="X232" i="11" s="1"/>
  <c r="U232" i="11"/>
  <c r="V231" i="11"/>
  <c r="X231" i="11" s="1"/>
  <c r="U231" i="11"/>
  <c r="W231" i="11" s="1"/>
  <c r="V230" i="11"/>
  <c r="X230" i="11" s="1"/>
  <c r="U230" i="11"/>
  <c r="W230" i="11" s="1"/>
  <c r="V229" i="11"/>
  <c r="X229" i="11" s="1"/>
  <c r="U229" i="11"/>
  <c r="W229" i="11" s="1"/>
  <c r="V228" i="11"/>
  <c r="X228" i="11" s="1"/>
  <c r="U228" i="11"/>
  <c r="W228" i="11" s="1"/>
  <c r="V227" i="11"/>
  <c r="X227" i="11" s="1"/>
  <c r="U227" i="11"/>
  <c r="W227" i="11" s="1"/>
  <c r="W226" i="11"/>
  <c r="V226" i="11"/>
  <c r="X226" i="11" s="1"/>
  <c r="U226" i="11"/>
  <c r="V225" i="11"/>
  <c r="X225" i="11" s="1"/>
  <c r="U225" i="11"/>
  <c r="W225" i="11" s="1"/>
  <c r="W224" i="11"/>
  <c r="V224" i="11"/>
  <c r="X224" i="11" s="1"/>
  <c r="U224" i="11"/>
  <c r="V223" i="11"/>
  <c r="X223" i="11" s="1"/>
  <c r="U223" i="11"/>
  <c r="W223" i="11" s="1"/>
  <c r="V222" i="11"/>
  <c r="X222" i="11" s="1"/>
  <c r="U222" i="11"/>
  <c r="W222" i="11" s="1"/>
  <c r="V221" i="11"/>
  <c r="X221" i="11" s="1"/>
  <c r="U221" i="11"/>
  <c r="W221" i="11" s="1"/>
  <c r="V220" i="11"/>
  <c r="X220" i="11" s="1"/>
  <c r="U220" i="11"/>
  <c r="W220" i="11" s="1"/>
  <c r="V219" i="11"/>
  <c r="X219" i="11" s="1"/>
  <c r="U219" i="11"/>
  <c r="W219" i="11" s="1"/>
  <c r="V218" i="11"/>
  <c r="X218" i="11" s="1"/>
  <c r="U218" i="11"/>
  <c r="W218" i="11" s="1"/>
  <c r="V217" i="11"/>
  <c r="X217" i="11" s="1"/>
  <c r="U217" i="11"/>
  <c r="W217" i="11" s="1"/>
  <c r="W216" i="11"/>
  <c r="V216" i="11"/>
  <c r="X216" i="11" s="1"/>
  <c r="U216" i="11"/>
  <c r="V215" i="11"/>
  <c r="X215" i="11" s="1"/>
  <c r="U215" i="11"/>
  <c r="W215" i="11" s="1"/>
  <c r="V214" i="11"/>
  <c r="X214" i="11" s="1"/>
  <c r="U214" i="11"/>
  <c r="W214" i="11" s="1"/>
  <c r="V213" i="11"/>
  <c r="X213" i="11" s="1"/>
  <c r="U213" i="11"/>
  <c r="W213" i="11" s="1"/>
  <c r="V212" i="11"/>
  <c r="X212" i="11" s="1"/>
  <c r="U212" i="11"/>
  <c r="W212" i="11" s="1"/>
  <c r="V211" i="11"/>
  <c r="X211" i="11" s="1"/>
  <c r="U211" i="11"/>
  <c r="W211" i="11" s="1"/>
  <c r="W210" i="11"/>
  <c r="V210" i="11"/>
  <c r="X210" i="11" s="1"/>
  <c r="U210" i="11"/>
  <c r="V209" i="11"/>
  <c r="X209" i="11" s="1"/>
  <c r="U209" i="11"/>
  <c r="W209" i="11" s="1"/>
  <c r="X208" i="11"/>
  <c r="V208" i="11"/>
  <c r="U208" i="11"/>
  <c r="W208" i="11" s="1"/>
  <c r="V207" i="11"/>
  <c r="X207" i="11" s="1"/>
  <c r="U207" i="11"/>
  <c r="W207" i="11" s="1"/>
  <c r="V206" i="11"/>
  <c r="X206" i="11" s="1"/>
  <c r="U206" i="11"/>
  <c r="W206" i="11" s="1"/>
  <c r="V205" i="11"/>
  <c r="X205" i="11" s="1"/>
  <c r="U205" i="11"/>
  <c r="W205" i="11" s="1"/>
  <c r="X204" i="11"/>
  <c r="V204" i="11"/>
  <c r="U204" i="11"/>
  <c r="W204" i="11" s="1"/>
  <c r="V203" i="11"/>
  <c r="X203" i="11" s="1"/>
  <c r="U203" i="11"/>
  <c r="W203" i="11" s="1"/>
  <c r="W202" i="11"/>
  <c r="V202" i="11"/>
  <c r="X202" i="11" s="1"/>
  <c r="U202" i="11"/>
  <c r="V201" i="11"/>
  <c r="X201" i="11" s="1"/>
  <c r="U201" i="11"/>
  <c r="W201" i="11" s="1"/>
  <c r="X200" i="11"/>
  <c r="V200" i="11"/>
  <c r="U200" i="11"/>
  <c r="W200" i="11" s="1"/>
  <c r="V199" i="11"/>
  <c r="X199" i="11" s="1"/>
  <c r="U199" i="11"/>
  <c r="W199" i="11" s="1"/>
  <c r="V198" i="11"/>
  <c r="X198" i="11" s="1"/>
  <c r="U198" i="11"/>
  <c r="W198" i="11" s="1"/>
  <c r="W197" i="11"/>
  <c r="V197" i="11"/>
  <c r="X197" i="11" s="1"/>
  <c r="U197" i="11"/>
  <c r="V196" i="11"/>
  <c r="X196" i="11" s="1"/>
  <c r="U196" i="11"/>
  <c r="W196" i="11" s="1"/>
  <c r="W195" i="11"/>
  <c r="V195" i="11"/>
  <c r="X195" i="11" s="1"/>
  <c r="U195" i="11"/>
  <c r="V194" i="11"/>
  <c r="X194" i="11" s="1"/>
  <c r="U194" i="11"/>
  <c r="W194" i="11" s="1"/>
  <c r="W193" i="11"/>
  <c r="V193" i="11"/>
  <c r="X193" i="11" s="1"/>
  <c r="U193" i="11"/>
  <c r="V192" i="11"/>
  <c r="X192" i="11" s="1"/>
  <c r="U192" i="11"/>
  <c r="W192" i="11" s="1"/>
  <c r="W191" i="11"/>
  <c r="V191" i="11"/>
  <c r="X191" i="11" s="1"/>
  <c r="U191" i="11"/>
  <c r="V190" i="11"/>
  <c r="X190" i="11" s="1"/>
  <c r="U190" i="11"/>
  <c r="W190" i="11" s="1"/>
  <c r="W189" i="11"/>
  <c r="V189" i="11"/>
  <c r="X189" i="11" s="1"/>
  <c r="U189" i="11"/>
  <c r="V188" i="11"/>
  <c r="X188" i="11" s="1"/>
  <c r="U188" i="11"/>
  <c r="W188" i="11" s="1"/>
  <c r="W187" i="11"/>
  <c r="V187" i="11"/>
  <c r="X187" i="11" s="1"/>
  <c r="U187" i="11"/>
  <c r="V186" i="11"/>
  <c r="X186" i="11" s="1"/>
  <c r="U186" i="11"/>
  <c r="W186" i="11" s="1"/>
  <c r="W185" i="11"/>
  <c r="V185" i="11"/>
  <c r="X185" i="11" s="1"/>
  <c r="U185" i="11"/>
  <c r="V184" i="11"/>
  <c r="X184" i="11" s="1"/>
  <c r="U184" i="11"/>
  <c r="W184" i="11" s="1"/>
  <c r="W183" i="11"/>
  <c r="V183" i="11"/>
  <c r="X183" i="11" s="1"/>
  <c r="U183" i="11"/>
  <c r="V182" i="11"/>
  <c r="X182" i="11" s="1"/>
  <c r="U182" i="11"/>
  <c r="W182" i="11" s="1"/>
  <c r="W181" i="11"/>
  <c r="V181" i="11"/>
  <c r="X181" i="11" s="1"/>
  <c r="U181" i="11"/>
  <c r="V180" i="11"/>
  <c r="X180" i="11" s="1"/>
  <c r="U180" i="11"/>
  <c r="W180" i="11" s="1"/>
  <c r="W179" i="11"/>
  <c r="V179" i="11"/>
  <c r="X179" i="11" s="1"/>
  <c r="U179" i="11"/>
  <c r="V178" i="11"/>
  <c r="X178" i="11" s="1"/>
  <c r="U178" i="11"/>
  <c r="W178" i="11" s="1"/>
  <c r="W177" i="11"/>
  <c r="V177" i="11"/>
  <c r="X177" i="11" s="1"/>
  <c r="U177" i="11"/>
  <c r="V176" i="11"/>
  <c r="X176" i="11" s="1"/>
  <c r="U176" i="11"/>
  <c r="W176" i="11" s="1"/>
  <c r="W175" i="11"/>
  <c r="V175" i="11"/>
  <c r="X175" i="11" s="1"/>
  <c r="U175" i="11"/>
  <c r="V174" i="11"/>
  <c r="X174" i="11" s="1"/>
  <c r="U174" i="11"/>
  <c r="W174" i="11" s="1"/>
  <c r="W173" i="11"/>
  <c r="V173" i="11"/>
  <c r="X173" i="11" s="1"/>
  <c r="U173" i="11"/>
  <c r="V172" i="11"/>
  <c r="X172" i="11" s="1"/>
  <c r="U172" i="11"/>
  <c r="W172" i="11" s="1"/>
  <c r="W171" i="11"/>
  <c r="V171" i="11"/>
  <c r="X171" i="11" s="1"/>
  <c r="U171" i="11"/>
  <c r="V170" i="11"/>
  <c r="X170" i="11" s="1"/>
  <c r="U170" i="11"/>
  <c r="W170" i="11" s="1"/>
  <c r="W169" i="11"/>
  <c r="V169" i="11"/>
  <c r="X169" i="11" s="1"/>
  <c r="U169" i="11"/>
  <c r="V168" i="11"/>
  <c r="X168" i="11" s="1"/>
  <c r="U168" i="11"/>
  <c r="W168" i="11" s="1"/>
  <c r="W167" i="11"/>
  <c r="V167" i="11"/>
  <c r="X167" i="11" s="1"/>
  <c r="U167" i="11"/>
  <c r="V166" i="11"/>
  <c r="X166" i="11" s="1"/>
  <c r="U166" i="11"/>
  <c r="W166" i="11" s="1"/>
  <c r="W165" i="11"/>
  <c r="V165" i="11"/>
  <c r="X165" i="11" s="1"/>
  <c r="U165" i="11"/>
  <c r="V164" i="11"/>
  <c r="X164" i="11" s="1"/>
  <c r="U164" i="11"/>
  <c r="W164" i="11" s="1"/>
  <c r="W163" i="11"/>
  <c r="V163" i="11"/>
  <c r="X163" i="11" s="1"/>
  <c r="U163" i="11"/>
  <c r="V162" i="11"/>
  <c r="X162" i="11" s="1"/>
  <c r="U162" i="11"/>
  <c r="W162" i="11" s="1"/>
  <c r="W161" i="11"/>
  <c r="V161" i="11"/>
  <c r="X161" i="11" s="1"/>
  <c r="U161" i="11"/>
  <c r="V160" i="11"/>
  <c r="X160" i="11" s="1"/>
  <c r="U160" i="11"/>
  <c r="W160" i="11" s="1"/>
  <c r="W159" i="11"/>
  <c r="V159" i="11"/>
  <c r="X159" i="11" s="1"/>
  <c r="U159" i="11"/>
  <c r="V158" i="11"/>
  <c r="X158" i="11" s="1"/>
  <c r="U158" i="11"/>
  <c r="W158" i="11" s="1"/>
  <c r="W157" i="11"/>
  <c r="V157" i="11"/>
  <c r="X157" i="11" s="1"/>
  <c r="U157" i="11"/>
  <c r="V156" i="11"/>
  <c r="X156" i="11" s="1"/>
  <c r="U156" i="11"/>
  <c r="W156" i="11" s="1"/>
  <c r="W155" i="11"/>
  <c r="V155" i="11"/>
  <c r="X155" i="11" s="1"/>
  <c r="U155" i="11"/>
  <c r="V154" i="11"/>
  <c r="X154" i="11" s="1"/>
  <c r="U154" i="11"/>
  <c r="W154" i="11" s="1"/>
  <c r="W153" i="11"/>
  <c r="V153" i="11"/>
  <c r="X153" i="11" s="1"/>
  <c r="U153" i="11"/>
  <c r="V152" i="11"/>
  <c r="X152" i="11" s="1"/>
  <c r="U152" i="11"/>
  <c r="W152" i="11" s="1"/>
  <c r="W151" i="11"/>
  <c r="V151" i="11"/>
  <c r="X151" i="11" s="1"/>
  <c r="U151" i="11"/>
  <c r="V150" i="11"/>
  <c r="X150" i="11" s="1"/>
  <c r="U150" i="11"/>
  <c r="W150" i="11" s="1"/>
  <c r="W149" i="11"/>
  <c r="V149" i="11"/>
  <c r="X149" i="11" s="1"/>
  <c r="U149" i="11"/>
  <c r="V148" i="11"/>
  <c r="X148" i="11" s="1"/>
  <c r="U148" i="11"/>
  <c r="W148" i="11" s="1"/>
  <c r="W147" i="11"/>
  <c r="V147" i="11"/>
  <c r="X147" i="11" s="1"/>
  <c r="U147" i="11"/>
  <c r="V146" i="11"/>
  <c r="X146" i="11" s="1"/>
  <c r="U146" i="11"/>
  <c r="W146" i="11" s="1"/>
  <c r="W145" i="11"/>
  <c r="V145" i="11"/>
  <c r="X145" i="11" s="1"/>
  <c r="U145" i="11"/>
  <c r="V144" i="11"/>
  <c r="X144" i="11" s="1"/>
  <c r="U144" i="11"/>
  <c r="W144" i="11" s="1"/>
  <c r="W143" i="11"/>
  <c r="V143" i="11"/>
  <c r="X143" i="11" s="1"/>
  <c r="U143" i="11"/>
  <c r="V142" i="11"/>
  <c r="X142" i="11" s="1"/>
  <c r="U142" i="11"/>
  <c r="W142" i="11" s="1"/>
  <c r="W141" i="11"/>
  <c r="V141" i="11"/>
  <c r="X141" i="11" s="1"/>
  <c r="U141" i="11"/>
  <c r="V140" i="11"/>
  <c r="X140" i="11" s="1"/>
  <c r="U140" i="11"/>
  <c r="W140" i="11" s="1"/>
  <c r="W139" i="11"/>
  <c r="V139" i="11"/>
  <c r="X139" i="11" s="1"/>
  <c r="U139" i="11"/>
  <c r="V138" i="11"/>
  <c r="X138" i="11" s="1"/>
  <c r="U138" i="11"/>
  <c r="W138" i="11" s="1"/>
  <c r="W137" i="11"/>
  <c r="V137" i="11"/>
  <c r="X137" i="11" s="1"/>
  <c r="U137" i="11"/>
  <c r="V136" i="11"/>
  <c r="X136" i="11" s="1"/>
  <c r="U136" i="11"/>
  <c r="W136" i="11" s="1"/>
  <c r="W135" i="11"/>
  <c r="V135" i="11"/>
  <c r="X135" i="11" s="1"/>
  <c r="U135" i="11"/>
  <c r="V134" i="11"/>
  <c r="X134" i="11" s="1"/>
  <c r="U134" i="11"/>
  <c r="W134" i="11" s="1"/>
  <c r="W133" i="11"/>
  <c r="V133" i="11"/>
  <c r="X133" i="11" s="1"/>
  <c r="U133" i="11"/>
  <c r="V132" i="11"/>
  <c r="X132" i="11" s="1"/>
  <c r="U132" i="11"/>
  <c r="W132" i="11" s="1"/>
  <c r="W131" i="11"/>
  <c r="V131" i="11"/>
  <c r="X131" i="11" s="1"/>
  <c r="U131" i="11"/>
  <c r="V130" i="11"/>
  <c r="X130" i="11" s="1"/>
  <c r="U130" i="11"/>
  <c r="W130" i="11" s="1"/>
  <c r="W129" i="11"/>
  <c r="V129" i="11"/>
  <c r="X129" i="11" s="1"/>
  <c r="U129" i="11"/>
  <c r="V128" i="11"/>
  <c r="X128" i="11" s="1"/>
  <c r="U128" i="11"/>
  <c r="W128" i="11" s="1"/>
  <c r="W127" i="11"/>
  <c r="V127" i="11"/>
  <c r="X127" i="11" s="1"/>
  <c r="U127" i="11"/>
  <c r="V126" i="11"/>
  <c r="X126" i="11" s="1"/>
  <c r="U126" i="11"/>
  <c r="W126" i="11" s="1"/>
  <c r="W125" i="11"/>
  <c r="V125" i="11"/>
  <c r="X125" i="11" s="1"/>
  <c r="U125" i="11"/>
  <c r="V124" i="11"/>
  <c r="X124" i="11" s="1"/>
  <c r="U124" i="11"/>
  <c r="W124" i="11" s="1"/>
  <c r="W123" i="11"/>
  <c r="V123" i="11"/>
  <c r="X123" i="11" s="1"/>
  <c r="U123" i="11"/>
  <c r="V122" i="11"/>
  <c r="X122" i="11" s="1"/>
  <c r="U122" i="11"/>
  <c r="W122" i="11" s="1"/>
  <c r="W121" i="11"/>
  <c r="V121" i="11"/>
  <c r="X121" i="11" s="1"/>
  <c r="U121" i="11"/>
  <c r="V120" i="11"/>
  <c r="X120" i="11" s="1"/>
  <c r="U120" i="11"/>
  <c r="W120" i="11" s="1"/>
  <c r="W119" i="11"/>
  <c r="V119" i="11"/>
  <c r="X119" i="11" s="1"/>
  <c r="U119" i="11"/>
  <c r="V118" i="11"/>
  <c r="X118" i="11" s="1"/>
  <c r="U118" i="11"/>
  <c r="W118" i="11" s="1"/>
  <c r="W117" i="11"/>
  <c r="V117" i="11"/>
  <c r="X117" i="11" s="1"/>
  <c r="U117" i="11"/>
  <c r="V116" i="11"/>
  <c r="X116" i="11" s="1"/>
  <c r="U116" i="11"/>
  <c r="W116" i="11" s="1"/>
  <c r="W115" i="11"/>
  <c r="V115" i="11"/>
  <c r="X115" i="11" s="1"/>
  <c r="U115" i="11"/>
  <c r="V114" i="11"/>
  <c r="X114" i="11" s="1"/>
  <c r="U114" i="11"/>
  <c r="W114" i="11" s="1"/>
  <c r="W113" i="11"/>
  <c r="V113" i="11"/>
  <c r="X113" i="11" s="1"/>
  <c r="U113" i="11"/>
  <c r="V112" i="11"/>
  <c r="X112" i="11" s="1"/>
  <c r="U112" i="11"/>
  <c r="W112" i="11" s="1"/>
  <c r="W111" i="11"/>
  <c r="V111" i="11"/>
  <c r="X111" i="11" s="1"/>
  <c r="U111" i="11"/>
  <c r="V110" i="11"/>
  <c r="X110" i="11" s="1"/>
  <c r="U110" i="11"/>
  <c r="W110" i="11" s="1"/>
  <c r="W109" i="11"/>
  <c r="V109" i="11"/>
  <c r="X109" i="11" s="1"/>
  <c r="U109" i="11"/>
  <c r="V108" i="11"/>
  <c r="X108" i="11" s="1"/>
  <c r="U108" i="11"/>
  <c r="W108" i="11" s="1"/>
  <c r="W107" i="11"/>
  <c r="V107" i="11"/>
  <c r="X107" i="11" s="1"/>
  <c r="U107" i="11"/>
  <c r="V106" i="11"/>
  <c r="X106" i="11" s="1"/>
  <c r="U106" i="11"/>
  <c r="W106" i="11" s="1"/>
  <c r="W105" i="11"/>
  <c r="V105" i="11"/>
  <c r="X105" i="11" s="1"/>
  <c r="U105" i="11"/>
  <c r="V104" i="11"/>
  <c r="X104" i="11" s="1"/>
  <c r="U104" i="11"/>
  <c r="W104" i="11" s="1"/>
  <c r="W103" i="11"/>
  <c r="V103" i="11"/>
  <c r="X103" i="11" s="1"/>
  <c r="U103" i="11"/>
  <c r="V102" i="11"/>
  <c r="X102" i="11" s="1"/>
  <c r="U102" i="11"/>
  <c r="W102" i="11" s="1"/>
  <c r="W101" i="11"/>
  <c r="V101" i="11"/>
  <c r="X101" i="11" s="1"/>
  <c r="U101" i="11"/>
  <c r="V100" i="11"/>
  <c r="X100" i="11" s="1"/>
  <c r="U100" i="11"/>
  <c r="W100" i="11" s="1"/>
  <c r="W99" i="11"/>
  <c r="V99" i="11"/>
  <c r="X99" i="11" s="1"/>
  <c r="U99" i="11"/>
  <c r="V98" i="11"/>
  <c r="X98" i="11" s="1"/>
  <c r="U98" i="11"/>
  <c r="W98" i="11" s="1"/>
  <c r="W97" i="11"/>
  <c r="V97" i="11"/>
  <c r="X97" i="11" s="1"/>
  <c r="U97" i="11"/>
  <c r="V96" i="11"/>
  <c r="X96" i="11" s="1"/>
  <c r="U96" i="11"/>
  <c r="W96" i="11" s="1"/>
  <c r="W95" i="11"/>
  <c r="V95" i="11"/>
  <c r="X95" i="11" s="1"/>
  <c r="U95" i="11"/>
  <c r="V94" i="11"/>
  <c r="X94" i="11" s="1"/>
  <c r="U94" i="11"/>
  <c r="W94" i="11" s="1"/>
  <c r="W93" i="11"/>
  <c r="V93" i="11"/>
  <c r="X93" i="11" s="1"/>
  <c r="U93" i="11"/>
  <c r="B367" i="18" l="1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V367" i="18" l="1"/>
  <c r="V366" i="18"/>
  <c r="X366" i="18" s="1"/>
  <c r="U366" i="18"/>
  <c r="W366" i="18" s="1"/>
  <c r="V365" i="18"/>
  <c r="X365" i="18" s="1"/>
  <c r="U365" i="18"/>
  <c r="W365" i="18" s="1"/>
  <c r="V364" i="18"/>
  <c r="V363" i="18"/>
  <c r="V362" i="18"/>
  <c r="V361" i="18"/>
  <c r="V360" i="18"/>
  <c r="X360" i="18" s="1"/>
  <c r="U360" i="18"/>
  <c r="W360" i="18" s="1"/>
  <c r="V359" i="18"/>
  <c r="V358" i="18"/>
  <c r="V357" i="18"/>
  <c r="V356" i="18"/>
  <c r="V355" i="18"/>
  <c r="V354" i="18"/>
  <c r="V353" i="18"/>
  <c r="V352" i="18"/>
  <c r="V351" i="18"/>
  <c r="V350" i="18"/>
  <c r="V349" i="18"/>
  <c r="V348" i="18"/>
  <c r="V347" i="18"/>
  <c r="X347" i="18" s="1"/>
  <c r="U347" i="18"/>
  <c r="W347" i="18" s="1"/>
  <c r="V346" i="18"/>
  <c r="X346" i="18" s="1"/>
  <c r="U346" i="18"/>
  <c r="W346" i="18" s="1"/>
  <c r="V345" i="18"/>
  <c r="V344" i="18"/>
  <c r="V343" i="18"/>
  <c r="V342" i="18"/>
  <c r="V341" i="18"/>
  <c r="V340" i="18"/>
  <c r="V339" i="18"/>
  <c r="X339" i="18" s="1"/>
  <c r="U339" i="18"/>
  <c r="W339" i="18" s="1"/>
  <c r="V338" i="18"/>
  <c r="V337" i="18"/>
  <c r="V336" i="18"/>
  <c r="V335" i="18"/>
  <c r="V334" i="18"/>
  <c r="V333" i="18"/>
  <c r="V332" i="18"/>
  <c r="X332" i="18" s="1"/>
  <c r="U332" i="18"/>
  <c r="W332" i="18" s="1"/>
  <c r="V331" i="18"/>
  <c r="V330" i="18"/>
  <c r="V329" i="18"/>
  <c r="V328" i="18"/>
  <c r="V327" i="18"/>
  <c r="V326" i="18"/>
  <c r="V325" i="18"/>
  <c r="X325" i="18" s="1"/>
  <c r="U325" i="18"/>
  <c r="W325" i="18" s="1"/>
  <c r="V324" i="18"/>
  <c r="V323" i="18"/>
  <c r="V322" i="18"/>
  <c r="V321" i="18"/>
  <c r="V320" i="18"/>
  <c r="V319" i="18"/>
  <c r="V318" i="18"/>
  <c r="X318" i="18" s="1"/>
  <c r="U318" i="18"/>
  <c r="W318" i="18" s="1"/>
  <c r="V317" i="18"/>
  <c r="V316" i="18"/>
  <c r="V315" i="18"/>
  <c r="V314" i="18"/>
  <c r="V313" i="18"/>
  <c r="V312" i="18"/>
  <c r="V311" i="18"/>
  <c r="X311" i="18" s="1"/>
  <c r="U311" i="18"/>
  <c r="W311" i="18" s="1"/>
  <c r="V310" i="18"/>
  <c r="V309" i="18"/>
  <c r="V308" i="18"/>
  <c r="V307" i="18"/>
  <c r="V306" i="18"/>
  <c r="V305" i="18"/>
  <c r="V304" i="18"/>
  <c r="X304" i="18" s="1"/>
  <c r="U304" i="18"/>
  <c r="W304" i="18" s="1"/>
  <c r="V303" i="18"/>
  <c r="V302" i="18"/>
  <c r="V301" i="18"/>
  <c r="V300" i="18"/>
  <c r="V299" i="18"/>
  <c r="V298" i="18"/>
  <c r="V297" i="18"/>
  <c r="V296" i="18"/>
  <c r="V295" i="18"/>
  <c r="V294" i="18"/>
  <c r="V293" i="18"/>
  <c r="V292" i="18"/>
  <c r="V291" i="18"/>
  <c r="X291" i="18" s="1"/>
  <c r="U291" i="18"/>
  <c r="W291" i="18" s="1"/>
  <c r="V290" i="18"/>
  <c r="X290" i="18" s="1"/>
  <c r="U290" i="18"/>
  <c r="W290" i="18" s="1"/>
  <c r="V289" i="18"/>
  <c r="V288" i="18"/>
  <c r="V287" i="18"/>
  <c r="V286" i="18"/>
  <c r="V285" i="18"/>
  <c r="V284" i="18"/>
  <c r="V283" i="18"/>
  <c r="V282" i="18"/>
  <c r="V281" i="18"/>
  <c r="V280" i="18"/>
  <c r="V279" i="18"/>
  <c r="V278" i="18"/>
  <c r="V277" i="18"/>
  <c r="V276" i="18"/>
  <c r="V275" i="18"/>
  <c r="V274" i="18"/>
  <c r="V273" i="18"/>
  <c r="V272" i="18"/>
  <c r="V271" i="18"/>
  <c r="X271" i="18" s="1"/>
  <c r="U271" i="18"/>
  <c r="W271" i="18" s="1"/>
  <c r="V270" i="18"/>
  <c r="X270" i="18" s="1"/>
  <c r="U270" i="18"/>
  <c r="W270" i="18" s="1"/>
  <c r="V269" i="18"/>
  <c r="X269" i="18" s="1"/>
  <c r="U269" i="18"/>
  <c r="W269" i="18" s="1"/>
  <c r="V268" i="18"/>
  <c r="V267" i="18"/>
  <c r="V266" i="18"/>
  <c r="V265" i="18"/>
  <c r="V264" i="18"/>
  <c r="V263" i="18"/>
  <c r="V235" i="18"/>
  <c r="X235" i="18" s="1"/>
  <c r="U235" i="18"/>
  <c r="W235" i="18" s="1"/>
  <c r="V234" i="18"/>
  <c r="X234" i="18" s="1"/>
  <c r="U234" i="18"/>
  <c r="W234" i="18" s="1"/>
  <c r="V227" i="18"/>
  <c r="X227" i="18" s="1"/>
  <c r="U227" i="18"/>
  <c r="W227" i="18" s="1"/>
  <c r="V220" i="18"/>
  <c r="X220" i="18" s="1"/>
  <c r="U220" i="18"/>
  <c r="W220" i="18" s="1"/>
  <c r="V213" i="18"/>
  <c r="X213" i="18" s="1"/>
  <c r="U213" i="18"/>
  <c r="W213" i="18" s="1"/>
  <c r="V206" i="18"/>
  <c r="V199" i="18"/>
  <c r="V193" i="18"/>
  <c r="X193" i="18" s="1"/>
  <c r="U193" i="18"/>
  <c r="W193" i="18" s="1"/>
  <c r="V192" i="18"/>
  <c r="X192" i="18" s="1"/>
  <c r="U192" i="18"/>
  <c r="W192" i="18" s="1"/>
  <c r="V185" i="18"/>
  <c r="X185" i="18" s="1"/>
  <c r="U185" i="18"/>
  <c r="W185" i="18" s="1"/>
  <c r="V178" i="18"/>
  <c r="X178" i="18" s="1"/>
  <c r="U178" i="18"/>
  <c r="W178" i="18" s="1"/>
  <c r="V175" i="18"/>
  <c r="X175" i="18" s="1"/>
  <c r="U175" i="18"/>
  <c r="W175" i="18" s="1"/>
  <c r="V171" i="18"/>
  <c r="X171" i="18" s="1"/>
  <c r="U171" i="18"/>
  <c r="W171" i="18" s="1"/>
  <c r="V165" i="18"/>
  <c r="X165" i="18" s="1"/>
  <c r="U165" i="18"/>
  <c r="W165" i="18" s="1"/>
  <c r="V164" i="18"/>
  <c r="X164" i="18" s="1"/>
  <c r="U164" i="18"/>
  <c r="W164" i="18" s="1"/>
  <c r="V157" i="18"/>
  <c r="V150" i="18"/>
  <c r="X150" i="18" s="1"/>
  <c r="U150" i="18"/>
  <c r="W150" i="18" s="1"/>
  <c r="V143" i="18"/>
  <c r="X143" i="18" s="1"/>
  <c r="U143" i="18"/>
  <c r="W143" i="18" s="1"/>
  <c r="V136" i="18"/>
  <c r="X136" i="18" s="1"/>
  <c r="U136" i="18"/>
  <c r="W136" i="18" s="1"/>
  <c r="U130" i="18"/>
  <c r="W130" i="18" s="1"/>
  <c r="V129" i="18"/>
  <c r="X129" i="18" s="1"/>
  <c r="U129" i="18"/>
  <c r="W129" i="18" s="1"/>
  <c r="U128" i="18"/>
  <c r="W128" i="18" s="1"/>
  <c r="U127" i="18"/>
  <c r="W127" i="18" s="1"/>
  <c r="U126" i="18"/>
  <c r="W126" i="18" s="1"/>
  <c r="U125" i="18"/>
  <c r="W125" i="18" s="1"/>
  <c r="U124" i="18"/>
  <c r="W124" i="18" s="1"/>
  <c r="V123" i="18"/>
  <c r="X123" i="18" s="1"/>
  <c r="U123" i="18"/>
  <c r="W123" i="18" s="1"/>
  <c r="V122" i="18"/>
  <c r="X122" i="18" s="1"/>
  <c r="U122" i="18"/>
  <c r="W122" i="18" s="1"/>
  <c r="V121" i="18"/>
  <c r="X121" i="18" s="1"/>
  <c r="U121" i="18"/>
  <c r="W121" i="18" s="1"/>
  <c r="V120" i="18"/>
  <c r="X120" i="18" s="1"/>
  <c r="U120" i="18"/>
  <c r="W120" i="18" s="1"/>
  <c r="V119" i="18"/>
  <c r="X119" i="18" s="1"/>
  <c r="U119" i="18"/>
  <c r="W119" i="18" s="1"/>
  <c r="V118" i="18"/>
  <c r="X118" i="18" s="1"/>
  <c r="U118" i="18"/>
  <c r="W118" i="18" s="1"/>
  <c r="V117" i="18"/>
  <c r="X117" i="18" s="1"/>
  <c r="U117" i="18"/>
  <c r="W117" i="18" s="1"/>
  <c r="V116" i="18"/>
  <c r="X116" i="18" s="1"/>
  <c r="U116" i="18"/>
  <c r="W116" i="18" s="1"/>
  <c r="V115" i="18"/>
  <c r="X115" i="18" s="1"/>
  <c r="U115" i="18"/>
  <c r="W115" i="18" s="1"/>
  <c r="V114" i="18"/>
  <c r="X114" i="18" s="1"/>
  <c r="U114" i="18"/>
  <c r="W114" i="18" s="1"/>
  <c r="V113" i="18"/>
  <c r="X113" i="18" s="1"/>
  <c r="U113" i="18"/>
  <c r="W113" i="18" s="1"/>
  <c r="V112" i="18"/>
  <c r="X112" i="18" s="1"/>
  <c r="U112" i="18"/>
  <c r="W112" i="18" s="1"/>
  <c r="V111" i="18"/>
  <c r="X111" i="18" s="1"/>
  <c r="U111" i="18"/>
  <c r="W111" i="18" s="1"/>
  <c r="V110" i="18"/>
  <c r="X110" i="18" s="1"/>
  <c r="U110" i="18"/>
  <c r="W110" i="18" s="1"/>
  <c r="V109" i="18"/>
  <c r="X109" i="18" s="1"/>
  <c r="U109" i="18"/>
  <c r="W109" i="18" s="1"/>
  <c r="V108" i="18"/>
  <c r="X108" i="18" s="1"/>
  <c r="U108" i="18"/>
  <c r="W108" i="18" s="1"/>
  <c r="V107" i="18"/>
  <c r="X107" i="18" s="1"/>
  <c r="U107" i="18"/>
  <c r="W107" i="18" s="1"/>
  <c r="V106" i="18"/>
  <c r="X106" i="18" s="1"/>
  <c r="U106" i="18"/>
  <c r="W106" i="18" s="1"/>
  <c r="V105" i="18"/>
  <c r="X105" i="18" s="1"/>
  <c r="U105" i="18"/>
  <c r="W105" i="18" s="1"/>
  <c r="V104" i="18"/>
  <c r="X104" i="18" s="1"/>
  <c r="U104" i="18"/>
  <c r="W104" i="18" s="1"/>
  <c r="V103" i="18"/>
  <c r="X103" i="18" s="1"/>
  <c r="U103" i="18"/>
  <c r="W103" i="18" s="1"/>
  <c r="V102" i="18"/>
  <c r="X102" i="18" s="1"/>
  <c r="U102" i="18"/>
  <c r="W102" i="18" s="1"/>
  <c r="V101" i="18"/>
  <c r="X101" i="18" s="1"/>
  <c r="U101" i="18"/>
  <c r="W101" i="18" s="1"/>
  <c r="V100" i="18"/>
  <c r="X100" i="18" s="1"/>
  <c r="U100" i="18"/>
  <c r="W100" i="18" s="1"/>
  <c r="V99" i="18"/>
  <c r="X99" i="18" s="1"/>
  <c r="U99" i="18"/>
  <c r="W99" i="18" s="1"/>
  <c r="V98" i="18"/>
  <c r="X98" i="18" s="1"/>
  <c r="U98" i="18"/>
  <c r="W98" i="18" s="1"/>
  <c r="V97" i="18"/>
  <c r="X97" i="18" s="1"/>
  <c r="U97" i="18"/>
  <c r="W97" i="18" s="1"/>
  <c r="V96" i="18"/>
  <c r="X96" i="18" s="1"/>
  <c r="U96" i="18"/>
  <c r="W96" i="18" s="1"/>
  <c r="V95" i="18"/>
  <c r="X95" i="18" s="1"/>
  <c r="U95" i="18"/>
  <c r="W95" i="18" s="1"/>
  <c r="V94" i="18"/>
  <c r="X94" i="18" s="1"/>
  <c r="U94" i="18"/>
  <c r="W94" i="18" s="1"/>
  <c r="V93" i="18"/>
  <c r="X93" i="18" s="1"/>
  <c r="U93" i="18"/>
  <c r="W93" i="18" s="1"/>
  <c r="V92" i="18"/>
  <c r="X92" i="18" s="1"/>
  <c r="U92" i="18"/>
  <c r="W92" i="18" s="1"/>
  <c r="V91" i="18"/>
  <c r="X91" i="18" s="1"/>
  <c r="U91" i="18"/>
  <c r="W91" i="18" s="1"/>
  <c r="V90" i="18"/>
  <c r="X90" i="18" s="1"/>
  <c r="U90" i="18"/>
  <c r="W90" i="18" s="1"/>
  <c r="V89" i="18"/>
  <c r="X89" i="18" s="1"/>
  <c r="U89" i="18"/>
  <c r="W89" i="18" s="1"/>
  <c r="V88" i="18"/>
  <c r="X88" i="18" s="1"/>
  <c r="U88" i="18"/>
  <c r="W88" i="18" s="1"/>
  <c r="V87" i="18"/>
  <c r="X87" i="18" s="1"/>
  <c r="U87" i="18"/>
  <c r="W87" i="18" s="1"/>
  <c r="V86" i="18"/>
  <c r="X86" i="18" s="1"/>
  <c r="U86" i="18"/>
  <c r="W86" i="18" s="1"/>
  <c r="V85" i="18"/>
  <c r="X85" i="18" s="1"/>
  <c r="U85" i="18"/>
  <c r="W85" i="18" s="1"/>
  <c r="V84" i="18"/>
  <c r="X84" i="18" s="1"/>
  <c r="U84" i="18"/>
  <c r="W84" i="18" s="1"/>
  <c r="V83" i="18"/>
  <c r="X83" i="18" s="1"/>
  <c r="U83" i="18"/>
  <c r="W83" i="18" s="1"/>
  <c r="V82" i="18"/>
  <c r="X82" i="18" s="1"/>
  <c r="U82" i="18"/>
  <c r="W82" i="18" s="1"/>
  <c r="V81" i="18"/>
  <c r="X81" i="18" s="1"/>
  <c r="U81" i="18"/>
  <c r="W81" i="18" s="1"/>
  <c r="V80" i="18"/>
  <c r="X80" i="18" s="1"/>
  <c r="U80" i="18"/>
  <c r="W80" i="18" s="1"/>
  <c r="V79" i="18"/>
  <c r="X79" i="18" s="1"/>
  <c r="U79" i="18"/>
  <c r="W79" i="18" s="1"/>
  <c r="V78" i="18"/>
  <c r="X78" i="18" s="1"/>
  <c r="U78" i="18"/>
  <c r="W78" i="18" s="1"/>
  <c r="V77" i="18"/>
  <c r="X77" i="18" s="1"/>
  <c r="U77" i="18"/>
  <c r="W77" i="18" s="1"/>
  <c r="V76" i="18"/>
  <c r="X76" i="18" s="1"/>
  <c r="U76" i="18"/>
  <c r="W76" i="18" s="1"/>
  <c r="V75" i="18"/>
  <c r="X75" i="18" s="1"/>
  <c r="U75" i="18"/>
  <c r="W75" i="18" s="1"/>
  <c r="V74" i="18"/>
  <c r="X74" i="18" s="1"/>
  <c r="U74" i="18"/>
  <c r="W74" i="18" s="1"/>
  <c r="V73" i="18"/>
  <c r="X73" i="18" s="1"/>
  <c r="U73" i="18"/>
  <c r="W73" i="18" s="1"/>
  <c r="V72" i="18"/>
  <c r="X72" i="18" s="1"/>
  <c r="U72" i="18"/>
  <c r="W72" i="18" s="1"/>
  <c r="V71" i="18"/>
  <c r="X71" i="18" s="1"/>
  <c r="U71" i="18"/>
  <c r="W71" i="18" s="1"/>
  <c r="V70" i="18"/>
  <c r="X70" i="18" s="1"/>
  <c r="U70" i="18"/>
  <c r="W70" i="18" s="1"/>
  <c r="V69" i="18"/>
  <c r="X69" i="18" s="1"/>
  <c r="U69" i="18"/>
  <c r="W69" i="18" s="1"/>
  <c r="V68" i="18"/>
  <c r="X68" i="18" s="1"/>
  <c r="U68" i="18"/>
  <c r="W68" i="18" s="1"/>
  <c r="V67" i="18"/>
  <c r="X67" i="18" s="1"/>
  <c r="U67" i="18"/>
  <c r="W67" i="18" s="1"/>
  <c r="V66" i="18"/>
  <c r="X66" i="18" s="1"/>
  <c r="U66" i="18"/>
  <c r="W66" i="18" s="1"/>
  <c r="V65" i="18"/>
  <c r="X65" i="18" s="1"/>
  <c r="U65" i="18"/>
  <c r="W65" i="18" s="1"/>
  <c r="V64" i="18"/>
  <c r="X64" i="18" s="1"/>
  <c r="U64" i="18"/>
  <c r="W64" i="18" s="1"/>
  <c r="V63" i="18"/>
  <c r="X63" i="18" s="1"/>
  <c r="U63" i="18"/>
  <c r="W63" i="18" s="1"/>
  <c r="V62" i="18"/>
  <c r="X62" i="18" s="1"/>
  <c r="U62" i="18"/>
  <c r="W62" i="18" s="1"/>
  <c r="V61" i="18"/>
  <c r="X61" i="18" s="1"/>
  <c r="U61" i="18"/>
  <c r="W61" i="18" s="1"/>
  <c r="V60" i="18"/>
  <c r="X60" i="18" s="1"/>
  <c r="U60" i="18"/>
  <c r="W60" i="18" s="1"/>
  <c r="V59" i="18"/>
  <c r="X59" i="18" s="1"/>
  <c r="U59" i="18"/>
  <c r="W59" i="18" s="1"/>
  <c r="V58" i="18"/>
  <c r="X58" i="18" s="1"/>
  <c r="U58" i="18"/>
  <c r="W58" i="18" s="1"/>
  <c r="V57" i="18"/>
  <c r="X57" i="18" s="1"/>
  <c r="U57" i="18"/>
  <c r="W57" i="18" s="1"/>
  <c r="V56" i="18"/>
  <c r="X56" i="18" s="1"/>
  <c r="U56" i="18"/>
  <c r="W56" i="18" s="1"/>
  <c r="V55" i="18"/>
  <c r="X55" i="18" s="1"/>
  <c r="U55" i="18"/>
  <c r="W55" i="18" s="1"/>
  <c r="V54" i="18"/>
  <c r="X54" i="18" s="1"/>
  <c r="U54" i="18"/>
  <c r="W54" i="18" s="1"/>
  <c r="V53" i="18"/>
  <c r="X53" i="18" s="1"/>
  <c r="U53" i="18"/>
  <c r="W53" i="18" s="1"/>
  <c r="V52" i="18"/>
  <c r="X52" i="18" s="1"/>
  <c r="U52" i="18"/>
  <c r="W52" i="18" s="1"/>
  <c r="V51" i="18"/>
  <c r="X51" i="18" s="1"/>
  <c r="U51" i="18"/>
  <c r="W51" i="18" s="1"/>
  <c r="V50" i="18"/>
  <c r="X50" i="18" s="1"/>
  <c r="U50" i="18"/>
  <c r="W50" i="18" s="1"/>
  <c r="V49" i="18"/>
  <c r="X49" i="18" s="1"/>
  <c r="U49" i="18"/>
  <c r="W49" i="18" s="1"/>
  <c r="V48" i="18"/>
  <c r="X48" i="18" s="1"/>
  <c r="U48" i="18"/>
  <c r="W48" i="18" s="1"/>
  <c r="V47" i="18"/>
  <c r="X47" i="18" s="1"/>
  <c r="U47" i="18"/>
  <c r="W47" i="18" s="1"/>
  <c r="V46" i="18"/>
  <c r="X46" i="18" s="1"/>
  <c r="U46" i="18"/>
  <c r="W46" i="18" s="1"/>
  <c r="V45" i="18"/>
  <c r="X45" i="18" s="1"/>
  <c r="U45" i="18"/>
  <c r="W45" i="18" s="1"/>
  <c r="V44" i="18"/>
  <c r="X44" i="18" s="1"/>
  <c r="U44" i="18"/>
  <c r="W44" i="18" s="1"/>
  <c r="V43" i="18"/>
  <c r="X43" i="18" s="1"/>
  <c r="U43" i="18"/>
  <c r="W43" i="18" s="1"/>
  <c r="V42" i="18"/>
  <c r="X42" i="18" s="1"/>
  <c r="U42" i="18"/>
  <c r="W42" i="18" s="1"/>
  <c r="V41" i="18"/>
  <c r="X41" i="18" s="1"/>
  <c r="U41" i="18"/>
  <c r="W41" i="18" s="1"/>
  <c r="V40" i="18"/>
  <c r="X40" i="18" s="1"/>
  <c r="U40" i="18"/>
  <c r="W40" i="18" s="1"/>
  <c r="V39" i="18"/>
  <c r="X39" i="18" s="1"/>
  <c r="U39" i="18"/>
  <c r="W39" i="18" s="1"/>
  <c r="V38" i="18"/>
  <c r="X38" i="18" s="1"/>
  <c r="U38" i="18"/>
  <c r="W38" i="18" s="1"/>
  <c r="V37" i="18"/>
  <c r="X37" i="18" s="1"/>
  <c r="U37" i="18"/>
  <c r="W37" i="18" s="1"/>
  <c r="V36" i="18"/>
  <c r="X36" i="18" s="1"/>
  <c r="U36" i="18"/>
  <c r="W36" i="18" s="1"/>
  <c r="V35" i="18"/>
  <c r="X35" i="18" s="1"/>
  <c r="U35" i="18"/>
  <c r="W35" i="18" s="1"/>
  <c r="V34" i="18"/>
  <c r="X34" i="18" s="1"/>
  <c r="U34" i="18"/>
  <c r="W34" i="18" s="1"/>
  <c r="V33" i="18"/>
  <c r="X33" i="18" s="1"/>
  <c r="U33" i="18"/>
  <c r="W33" i="18" s="1"/>
  <c r="V32" i="18"/>
  <c r="X32" i="18" s="1"/>
  <c r="U32" i="18"/>
  <c r="W32" i="18" s="1"/>
  <c r="V31" i="18"/>
  <c r="X31" i="18" s="1"/>
  <c r="U31" i="18"/>
  <c r="W31" i="18" s="1"/>
  <c r="V30" i="18"/>
  <c r="X30" i="18" s="1"/>
  <c r="U30" i="18"/>
  <c r="W30" i="18" s="1"/>
  <c r="V29" i="18"/>
  <c r="X29" i="18" s="1"/>
  <c r="U29" i="18"/>
  <c r="W29" i="18" s="1"/>
  <c r="V28" i="18"/>
  <c r="X28" i="18" s="1"/>
  <c r="U28" i="18"/>
  <c r="W28" i="18" s="1"/>
  <c r="V27" i="18"/>
  <c r="X27" i="18" s="1"/>
  <c r="U27" i="18"/>
  <c r="W27" i="18" s="1"/>
  <c r="V26" i="18"/>
  <c r="X26" i="18" s="1"/>
  <c r="U26" i="18"/>
  <c r="W26" i="18" s="1"/>
  <c r="V25" i="18"/>
  <c r="X25" i="18" s="1"/>
  <c r="U25" i="18"/>
  <c r="W25" i="18" s="1"/>
  <c r="V24" i="18"/>
  <c r="X24" i="18" s="1"/>
  <c r="U24" i="18"/>
  <c r="W24" i="18" s="1"/>
  <c r="V23" i="18"/>
  <c r="X23" i="18" s="1"/>
  <c r="U23" i="18"/>
  <c r="W23" i="18" s="1"/>
  <c r="V22" i="18"/>
  <c r="X22" i="18" s="1"/>
  <c r="U22" i="18"/>
  <c r="W22" i="18" s="1"/>
  <c r="V21" i="18"/>
  <c r="X21" i="18" s="1"/>
  <c r="U21" i="18"/>
  <c r="W21" i="18" s="1"/>
  <c r="V20" i="18"/>
  <c r="X20" i="18" s="1"/>
  <c r="U20" i="18"/>
  <c r="W20" i="18" s="1"/>
  <c r="V19" i="18"/>
  <c r="X19" i="18" s="1"/>
  <c r="U19" i="18"/>
  <c r="W19" i="18" s="1"/>
  <c r="V18" i="18"/>
  <c r="X18" i="18" s="1"/>
  <c r="U18" i="18"/>
  <c r="W18" i="18" s="1"/>
  <c r="V17" i="18"/>
  <c r="X17" i="18" s="1"/>
  <c r="U17" i="18"/>
  <c r="W17" i="18" s="1"/>
  <c r="V16" i="18"/>
  <c r="X16" i="18" s="1"/>
  <c r="U16" i="18"/>
  <c r="W16" i="18" s="1"/>
  <c r="V15" i="18"/>
  <c r="X15" i="18" s="1"/>
  <c r="U15" i="18"/>
  <c r="W15" i="18" s="1"/>
  <c r="V14" i="18"/>
  <c r="X14" i="18" s="1"/>
  <c r="U14" i="18"/>
  <c r="W14" i="18" s="1"/>
  <c r="V13" i="18"/>
  <c r="X13" i="18" s="1"/>
  <c r="U13" i="18"/>
  <c r="W13" i="18" s="1"/>
  <c r="V12" i="18"/>
  <c r="X12" i="18" s="1"/>
  <c r="U12" i="18"/>
  <c r="W12" i="18" s="1"/>
  <c r="V11" i="18"/>
  <c r="X11" i="18" s="1"/>
  <c r="U11" i="18"/>
  <c r="W11" i="18" s="1"/>
  <c r="V10" i="18"/>
  <c r="X10" i="18" s="1"/>
  <c r="U10" i="18"/>
  <c r="W10" i="18" s="1"/>
  <c r="V9" i="18"/>
  <c r="X9" i="18" s="1"/>
  <c r="U9" i="18"/>
  <c r="W9" i="18" s="1"/>
  <c r="V8" i="18"/>
  <c r="X8" i="18" s="1"/>
  <c r="U8" i="18"/>
  <c r="W8" i="18" s="1"/>
  <c r="V7" i="18"/>
  <c r="X7" i="18" s="1"/>
  <c r="U7" i="18"/>
  <c r="W7" i="18" s="1"/>
  <c r="V6" i="18"/>
  <c r="X6" i="18" s="1"/>
  <c r="U6" i="18"/>
  <c r="W6" i="18" s="1"/>
  <c r="V5" i="18"/>
  <c r="X5" i="18" s="1"/>
  <c r="U5" i="18"/>
  <c r="W5" i="18" s="1"/>
  <c r="V4" i="18"/>
  <c r="X4" i="18" s="1"/>
  <c r="U4" i="18"/>
  <c r="W4" i="18" s="1"/>
  <c r="V3" i="18"/>
  <c r="X3" i="18" s="1"/>
  <c r="U3" i="18"/>
  <c r="W3" i="18" s="1"/>
  <c r="V2" i="18"/>
  <c r="X2" i="18" s="1"/>
  <c r="U2" i="18"/>
  <c r="W2" i="18" s="1"/>
  <c r="AE11" i="18"/>
  <c r="AA11" i="18"/>
  <c r="W6" i="10"/>
  <c r="W15" i="10"/>
  <c r="W31" i="10"/>
  <c r="W39" i="10"/>
  <c r="W47" i="10"/>
  <c r="W55" i="10"/>
  <c r="W63" i="10"/>
  <c r="W71" i="10"/>
  <c r="W79" i="10"/>
  <c r="W87" i="10"/>
  <c r="V367" i="10"/>
  <c r="V366" i="10"/>
  <c r="V365" i="10"/>
  <c r="V364" i="10"/>
  <c r="V363" i="10"/>
  <c r="V362" i="10"/>
  <c r="V361" i="10"/>
  <c r="V360" i="10"/>
  <c r="V359" i="10"/>
  <c r="V358" i="10"/>
  <c r="V357" i="10"/>
  <c r="V356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7" i="10"/>
  <c r="V316" i="10"/>
  <c r="V315" i="10"/>
  <c r="V314" i="10"/>
  <c r="V313" i="10"/>
  <c r="V312" i="10"/>
  <c r="V311" i="10"/>
  <c r="V310" i="10"/>
  <c r="V309" i="10"/>
  <c r="V308" i="10"/>
  <c r="V307" i="10"/>
  <c r="V306" i="10"/>
  <c r="V305" i="10"/>
  <c r="V304" i="10"/>
  <c r="V303" i="10"/>
  <c r="V302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X213" i="10" s="1"/>
  <c r="U213" i="10"/>
  <c r="W213" i="10" s="1"/>
  <c r="V212" i="10"/>
  <c r="V211" i="10"/>
  <c r="V210" i="10"/>
  <c r="V209" i="10"/>
  <c r="V208" i="10"/>
  <c r="V207" i="10"/>
  <c r="V206" i="10"/>
  <c r="X206" i="10" s="1"/>
  <c r="U206" i="10"/>
  <c r="W206" i="10" s="1"/>
  <c r="V205" i="10"/>
  <c r="V204" i="10"/>
  <c r="V203" i="10"/>
  <c r="V202" i="10"/>
  <c r="V201" i="10"/>
  <c r="V200" i="10"/>
  <c r="V199" i="10"/>
  <c r="X199" i="10" s="1"/>
  <c r="U199" i="10"/>
  <c r="W199" i="10" s="1"/>
  <c r="V198" i="10"/>
  <c r="V197" i="10"/>
  <c r="V196" i="10"/>
  <c r="V195" i="10"/>
  <c r="V194" i="10"/>
  <c r="V193" i="10"/>
  <c r="V192" i="10"/>
  <c r="X192" i="10" s="1"/>
  <c r="U192" i="10"/>
  <c r="W192" i="10" s="1"/>
  <c r="V191" i="10"/>
  <c r="V190" i="10"/>
  <c r="V189" i="10"/>
  <c r="V188" i="10"/>
  <c r="V187" i="10"/>
  <c r="V186" i="10"/>
  <c r="V185" i="10"/>
  <c r="X185" i="10" s="1"/>
  <c r="U185" i="10"/>
  <c r="W185" i="10" s="1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X141" i="10" s="1"/>
  <c r="U141" i="10"/>
  <c r="W141" i="10" s="1"/>
  <c r="V140" i="10"/>
  <c r="V139" i="10"/>
  <c r="V138" i="10"/>
  <c r="V137" i="10"/>
  <c r="V136" i="10"/>
  <c r="X136" i="10" s="1"/>
  <c r="U136" i="10"/>
  <c r="W136" i="10" s="1"/>
  <c r="U131" i="10"/>
  <c r="W131" i="10" s="1"/>
  <c r="V130" i="10"/>
  <c r="X130" i="10" s="1"/>
  <c r="U130" i="10"/>
  <c r="W130" i="10" s="1"/>
  <c r="V129" i="10"/>
  <c r="X129" i="10" s="1"/>
  <c r="U129" i="10"/>
  <c r="W129" i="10" s="1"/>
  <c r="U128" i="10"/>
  <c r="W128" i="10" s="1"/>
  <c r="U127" i="10"/>
  <c r="W127" i="10" s="1"/>
  <c r="U126" i="10"/>
  <c r="W126" i="10" s="1"/>
  <c r="U125" i="10"/>
  <c r="W125" i="10" s="1"/>
  <c r="V124" i="10"/>
  <c r="X124" i="10" s="1"/>
  <c r="U124" i="10"/>
  <c r="W124" i="10" s="1"/>
  <c r="V123" i="10"/>
  <c r="X123" i="10" s="1"/>
  <c r="U123" i="10"/>
  <c r="W123" i="10" s="1"/>
  <c r="V122" i="10"/>
  <c r="X122" i="10" s="1"/>
  <c r="U122" i="10"/>
  <c r="W122" i="10" s="1"/>
  <c r="V121" i="10"/>
  <c r="X121" i="10" s="1"/>
  <c r="U121" i="10"/>
  <c r="W121" i="10" s="1"/>
  <c r="V120" i="10"/>
  <c r="X120" i="10" s="1"/>
  <c r="U120" i="10"/>
  <c r="W120" i="10" s="1"/>
  <c r="V119" i="10"/>
  <c r="X119" i="10" s="1"/>
  <c r="U119" i="10"/>
  <c r="W119" i="10" s="1"/>
  <c r="V118" i="10"/>
  <c r="X118" i="10" s="1"/>
  <c r="U118" i="10"/>
  <c r="W118" i="10" s="1"/>
  <c r="V117" i="10"/>
  <c r="X117" i="10" s="1"/>
  <c r="U117" i="10"/>
  <c r="W117" i="10" s="1"/>
  <c r="V116" i="10"/>
  <c r="X116" i="10" s="1"/>
  <c r="U116" i="10"/>
  <c r="W116" i="10" s="1"/>
  <c r="V115" i="10"/>
  <c r="X115" i="10" s="1"/>
  <c r="U115" i="10"/>
  <c r="W115" i="10" s="1"/>
  <c r="V114" i="10"/>
  <c r="X114" i="10" s="1"/>
  <c r="U114" i="10"/>
  <c r="W114" i="10" s="1"/>
  <c r="V113" i="10"/>
  <c r="X113" i="10" s="1"/>
  <c r="U113" i="10"/>
  <c r="W113" i="10" s="1"/>
  <c r="V112" i="10"/>
  <c r="X112" i="10" s="1"/>
  <c r="U112" i="10"/>
  <c r="W112" i="10" s="1"/>
  <c r="V111" i="10"/>
  <c r="X111" i="10" s="1"/>
  <c r="U111" i="10"/>
  <c r="W111" i="10" s="1"/>
  <c r="V110" i="10"/>
  <c r="X110" i="10" s="1"/>
  <c r="U110" i="10"/>
  <c r="W110" i="10" s="1"/>
  <c r="V109" i="10"/>
  <c r="X109" i="10" s="1"/>
  <c r="U109" i="10"/>
  <c r="W109" i="10" s="1"/>
  <c r="V108" i="10"/>
  <c r="X108" i="10" s="1"/>
  <c r="U108" i="10"/>
  <c r="W108" i="10" s="1"/>
  <c r="V107" i="10"/>
  <c r="X107" i="10" s="1"/>
  <c r="U107" i="10"/>
  <c r="W107" i="10" s="1"/>
  <c r="V106" i="10"/>
  <c r="X106" i="10" s="1"/>
  <c r="U106" i="10"/>
  <c r="W106" i="10" s="1"/>
  <c r="V105" i="10"/>
  <c r="X105" i="10" s="1"/>
  <c r="U105" i="10"/>
  <c r="W105" i="10" s="1"/>
  <c r="V104" i="10"/>
  <c r="X104" i="10" s="1"/>
  <c r="U104" i="10"/>
  <c r="W104" i="10" s="1"/>
  <c r="V103" i="10"/>
  <c r="X103" i="10" s="1"/>
  <c r="U103" i="10"/>
  <c r="W103" i="10" s="1"/>
  <c r="V102" i="10"/>
  <c r="X102" i="10" s="1"/>
  <c r="U102" i="10"/>
  <c r="W102" i="10" s="1"/>
  <c r="V101" i="10"/>
  <c r="X101" i="10" s="1"/>
  <c r="U101" i="10"/>
  <c r="W101" i="10" s="1"/>
  <c r="V100" i="10"/>
  <c r="X100" i="10" s="1"/>
  <c r="U100" i="10"/>
  <c r="W100" i="10" s="1"/>
  <c r="V99" i="10"/>
  <c r="X99" i="10" s="1"/>
  <c r="U99" i="10"/>
  <c r="W99" i="10" s="1"/>
  <c r="V98" i="10"/>
  <c r="X98" i="10" s="1"/>
  <c r="U98" i="10"/>
  <c r="W98" i="10" s="1"/>
  <c r="V97" i="10"/>
  <c r="X97" i="10" s="1"/>
  <c r="U97" i="10"/>
  <c r="W97" i="10" s="1"/>
  <c r="V96" i="10"/>
  <c r="X96" i="10" s="1"/>
  <c r="U96" i="10"/>
  <c r="W96" i="10" s="1"/>
  <c r="V95" i="10"/>
  <c r="X95" i="10" s="1"/>
  <c r="U95" i="10"/>
  <c r="W95" i="10" s="1"/>
  <c r="V94" i="10"/>
  <c r="X94" i="10" s="1"/>
  <c r="U94" i="10"/>
  <c r="W94" i="10" s="1"/>
  <c r="V93" i="10"/>
  <c r="X93" i="10" s="1"/>
  <c r="U93" i="10"/>
  <c r="W93" i="10" s="1"/>
  <c r="V92" i="10"/>
  <c r="X92" i="10" s="1"/>
  <c r="U92" i="10"/>
  <c r="W92" i="10" s="1"/>
  <c r="V91" i="10"/>
  <c r="X91" i="10" s="1"/>
  <c r="U91" i="10"/>
  <c r="W91" i="10" s="1"/>
  <c r="V90" i="10"/>
  <c r="X90" i="10" s="1"/>
  <c r="U90" i="10"/>
  <c r="W90" i="10" s="1"/>
  <c r="V89" i="10"/>
  <c r="X89" i="10" s="1"/>
  <c r="U89" i="10"/>
  <c r="W89" i="10" s="1"/>
  <c r="V88" i="10"/>
  <c r="X88" i="10" s="1"/>
  <c r="U88" i="10"/>
  <c r="W88" i="10" s="1"/>
  <c r="V87" i="10"/>
  <c r="X87" i="10" s="1"/>
  <c r="U87" i="10"/>
  <c r="V86" i="10"/>
  <c r="X86" i="10" s="1"/>
  <c r="U86" i="10"/>
  <c r="W86" i="10" s="1"/>
  <c r="V85" i="10"/>
  <c r="X85" i="10" s="1"/>
  <c r="U85" i="10"/>
  <c r="W85" i="10" s="1"/>
  <c r="V84" i="10"/>
  <c r="X84" i="10" s="1"/>
  <c r="U84" i="10"/>
  <c r="W84" i="10" s="1"/>
  <c r="V83" i="10"/>
  <c r="X83" i="10" s="1"/>
  <c r="U83" i="10"/>
  <c r="W83" i="10" s="1"/>
  <c r="V82" i="10"/>
  <c r="X82" i="10" s="1"/>
  <c r="U82" i="10"/>
  <c r="W82" i="10" s="1"/>
  <c r="V81" i="10"/>
  <c r="X81" i="10" s="1"/>
  <c r="U81" i="10"/>
  <c r="W81" i="10" s="1"/>
  <c r="V80" i="10"/>
  <c r="X80" i="10" s="1"/>
  <c r="U80" i="10"/>
  <c r="W80" i="10" s="1"/>
  <c r="V79" i="10"/>
  <c r="X79" i="10" s="1"/>
  <c r="U79" i="10"/>
  <c r="V78" i="10"/>
  <c r="X78" i="10" s="1"/>
  <c r="U78" i="10"/>
  <c r="W78" i="10" s="1"/>
  <c r="V77" i="10"/>
  <c r="X77" i="10" s="1"/>
  <c r="U77" i="10"/>
  <c r="W77" i="10" s="1"/>
  <c r="V76" i="10"/>
  <c r="X76" i="10" s="1"/>
  <c r="U76" i="10"/>
  <c r="W76" i="10" s="1"/>
  <c r="V75" i="10"/>
  <c r="X75" i="10" s="1"/>
  <c r="U75" i="10"/>
  <c r="W75" i="10" s="1"/>
  <c r="V74" i="10"/>
  <c r="X74" i="10" s="1"/>
  <c r="U74" i="10"/>
  <c r="W74" i="10" s="1"/>
  <c r="V73" i="10"/>
  <c r="X73" i="10" s="1"/>
  <c r="U73" i="10"/>
  <c r="W73" i="10" s="1"/>
  <c r="V72" i="10"/>
  <c r="X72" i="10" s="1"/>
  <c r="U72" i="10"/>
  <c r="W72" i="10" s="1"/>
  <c r="V71" i="10"/>
  <c r="X71" i="10" s="1"/>
  <c r="U71" i="10"/>
  <c r="V70" i="10"/>
  <c r="X70" i="10" s="1"/>
  <c r="U70" i="10"/>
  <c r="W70" i="10" s="1"/>
  <c r="V69" i="10"/>
  <c r="X69" i="10" s="1"/>
  <c r="U69" i="10"/>
  <c r="W69" i="10" s="1"/>
  <c r="V68" i="10"/>
  <c r="X68" i="10" s="1"/>
  <c r="U68" i="10"/>
  <c r="W68" i="10" s="1"/>
  <c r="V67" i="10"/>
  <c r="X67" i="10" s="1"/>
  <c r="U67" i="10"/>
  <c r="W67" i="10" s="1"/>
  <c r="V66" i="10"/>
  <c r="X66" i="10" s="1"/>
  <c r="U66" i="10"/>
  <c r="W66" i="10" s="1"/>
  <c r="V65" i="10"/>
  <c r="X65" i="10" s="1"/>
  <c r="U65" i="10"/>
  <c r="W65" i="10" s="1"/>
  <c r="V64" i="10"/>
  <c r="X64" i="10" s="1"/>
  <c r="U64" i="10"/>
  <c r="W64" i="10" s="1"/>
  <c r="V63" i="10"/>
  <c r="X63" i="10" s="1"/>
  <c r="U63" i="10"/>
  <c r="V62" i="10"/>
  <c r="X62" i="10" s="1"/>
  <c r="U62" i="10"/>
  <c r="W62" i="10" s="1"/>
  <c r="V61" i="10"/>
  <c r="X61" i="10" s="1"/>
  <c r="U61" i="10"/>
  <c r="W61" i="10" s="1"/>
  <c r="V60" i="10"/>
  <c r="X60" i="10" s="1"/>
  <c r="U60" i="10"/>
  <c r="W60" i="10" s="1"/>
  <c r="V59" i="10"/>
  <c r="X59" i="10" s="1"/>
  <c r="U59" i="10"/>
  <c r="W59" i="10" s="1"/>
  <c r="V58" i="10"/>
  <c r="X58" i="10" s="1"/>
  <c r="U58" i="10"/>
  <c r="W58" i="10" s="1"/>
  <c r="V57" i="10"/>
  <c r="X57" i="10" s="1"/>
  <c r="U57" i="10"/>
  <c r="W57" i="10" s="1"/>
  <c r="V56" i="10"/>
  <c r="X56" i="10" s="1"/>
  <c r="U56" i="10"/>
  <c r="W56" i="10" s="1"/>
  <c r="V55" i="10"/>
  <c r="X55" i="10" s="1"/>
  <c r="U55" i="10"/>
  <c r="V54" i="10"/>
  <c r="X54" i="10" s="1"/>
  <c r="U54" i="10"/>
  <c r="W54" i="10" s="1"/>
  <c r="V53" i="10"/>
  <c r="X53" i="10" s="1"/>
  <c r="U53" i="10"/>
  <c r="W53" i="10" s="1"/>
  <c r="V52" i="10"/>
  <c r="X52" i="10" s="1"/>
  <c r="U52" i="10"/>
  <c r="W52" i="10" s="1"/>
  <c r="V51" i="10"/>
  <c r="X51" i="10" s="1"/>
  <c r="U51" i="10"/>
  <c r="W51" i="10" s="1"/>
  <c r="V50" i="10"/>
  <c r="X50" i="10" s="1"/>
  <c r="U50" i="10"/>
  <c r="W50" i="10" s="1"/>
  <c r="V49" i="10"/>
  <c r="X49" i="10" s="1"/>
  <c r="U49" i="10"/>
  <c r="W49" i="10" s="1"/>
  <c r="V48" i="10"/>
  <c r="X48" i="10" s="1"/>
  <c r="U48" i="10"/>
  <c r="W48" i="10" s="1"/>
  <c r="V47" i="10"/>
  <c r="X47" i="10" s="1"/>
  <c r="U47" i="10"/>
  <c r="V46" i="10"/>
  <c r="X46" i="10" s="1"/>
  <c r="U46" i="10"/>
  <c r="W46" i="10" s="1"/>
  <c r="V45" i="10"/>
  <c r="X45" i="10" s="1"/>
  <c r="U45" i="10"/>
  <c r="W45" i="10" s="1"/>
  <c r="V44" i="10"/>
  <c r="X44" i="10" s="1"/>
  <c r="U44" i="10"/>
  <c r="W44" i="10" s="1"/>
  <c r="V43" i="10"/>
  <c r="X43" i="10" s="1"/>
  <c r="U43" i="10"/>
  <c r="W43" i="10" s="1"/>
  <c r="V42" i="10"/>
  <c r="X42" i="10" s="1"/>
  <c r="U42" i="10"/>
  <c r="W42" i="10" s="1"/>
  <c r="V41" i="10"/>
  <c r="X41" i="10" s="1"/>
  <c r="U41" i="10"/>
  <c r="W41" i="10" s="1"/>
  <c r="V40" i="10"/>
  <c r="X40" i="10" s="1"/>
  <c r="U40" i="10"/>
  <c r="W40" i="10" s="1"/>
  <c r="V39" i="10"/>
  <c r="X39" i="10" s="1"/>
  <c r="U39" i="10"/>
  <c r="V38" i="10"/>
  <c r="X38" i="10" s="1"/>
  <c r="U38" i="10"/>
  <c r="W38" i="10" s="1"/>
  <c r="V37" i="10"/>
  <c r="X37" i="10" s="1"/>
  <c r="U37" i="10"/>
  <c r="W37" i="10" s="1"/>
  <c r="V36" i="10"/>
  <c r="X36" i="10" s="1"/>
  <c r="U36" i="10"/>
  <c r="W36" i="10" s="1"/>
  <c r="V35" i="10"/>
  <c r="X35" i="10" s="1"/>
  <c r="U35" i="10"/>
  <c r="W35" i="10" s="1"/>
  <c r="V34" i="10"/>
  <c r="X34" i="10" s="1"/>
  <c r="U34" i="10"/>
  <c r="W34" i="10" s="1"/>
  <c r="V33" i="10"/>
  <c r="X33" i="10" s="1"/>
  <c r="U33" i="10"/>
  <c r="W33" i="10" s="1"/>
  <c r="V32" i="10"/>
  <c r="X32" i="10" s="1"/>
  <c r="U32" i="10"/>
  <c r="W32" i="10" s="1"/>
  <c r="V31" i="10"/>
  <c r="X31" i="10" s="1"/>
  <c r="U31" i="10"/>
  <c r="V30" i="10"/>
  <c r="X30" i="10" s="1"/>
  <c r="U30" i="10"/>
  <c r="W30" i="10" s="1"/>
  <c r="V29" i="10"/>
  <c r="X29" i="10" s="1"/>
  <c r="U29" i="10"/>
  <c r="W29" i="10" s="1"/>
  <c r="V24" i="10"/>
  <c r="X24" i="10" s="1"/>
  <c r="U24" i="10"/>
  <c r="W24" i="10" s="1"/>
  <c r="V19" i="10"/>
  <c r="X19" i="10" s="1"/>
  <c r="U19" i="10"/>
  <c r="W19" i="10" s="1"/>
  <c r="V18" i="10"/>
  <c r="X18" i="10" s="1"/>
  <c r="U18" i="10"/>
  <c r="W18" i="10" s="1"/>
  <c r="V17" i="10"/>
  <c r="X17" i="10" s="1"/>
  <c r="U17" i="10"/>
  <c r="W17" i="10" s="1"/>
  <c r="V16" i="10"/>
  <c r="X16" i="10" s="1"/>
  <c r="U16" i="10"/>
  <c r="W16" i="10" s="1"/>
  <c r="V15" i="10"/>
  <c r="X15" i="10" s="1"/>
  <c r="U15" i="10"/>
  <c r="V14" i="10"/>
  <c r="X14" i="10" s="1"/>
  <c r="U14" i="10"/>
  <c r="W14" i="10" s="1"/>
  <c r="V13" i="10"/>
  <c r="X13" i="10" s="1"/>
  <c r="U13" i="10"/>
  <c r="W13" i="10" s="1"/>
  <c r="V12" i="10"/>
  <c r="X12" i="10" s="1"/>
  <c r="U12" i="10"/>
  <c r="W12" i="10" s="1"/>
  <c r="V11" i="10"/>
  <c r="X11" i="10" s="1"/>
  <c r="U11" i="10"/>
  <c r="W11" i="10" s="1"/>
  <c r="V10" i="10"/>
  <c r="X10" i="10" s="1"/>
  <c r="U10" i="10"/>
  <c r="W10" i="10" s="1"/>
  <c r="V9" i="10"/>
  <c r="X9" i="10" s="1"/>
  <c r="U9" i="10"/>
  <c r="W9" i="10" s="1"/>
  <c r="V8" i="10"/>
  <c r="X8" i="10" s="1"/>
  <c r="U8" i="10"/>
  <c r="W8" i="10" s="1"/>
  <c r="V7" i="10"/>
  <c r="X7" i="10" s="1"/>
  <c r="U7" i="10"/>
  <c r="W7" i="10" s="1"/>
  <c r="V6" i="10"/>
  <c r="X6" i="10" s="1"/>
  <c r="U6" i="10"/>
  <c r="V5" i="10"/>
  <c r="X5" i="10" s="1"/>
  <c r="U5" i="10"/>
  <c r="W5" i="10" s="1"/>
  <c r="V4" i="10"/>
  <c r="X4" i="10" s="1"/>
  <c r="U4" i="10"/>
  <c r="W4" i="10" s="1"/>
  <c r="V3" i="10"/>
  <c r="X3" i="10" s="1"/>
  <c r="U3" i="10"/>
  <c r="W3" i="10" s="1"/>
  <c r="V2" i="10"/>
  <c r="X2" i="10" s="1"/>
  <c r="U2" i="10"/>
  <c r="W2" i="10" s="1"/>
  <c r="AE11" i="11"/>
  <c r="AA11" i="11"/>
  <c r="H324" i="8" l="1"/>
  <c r="G324" i="8"/>
  <c r="H323" i="8"/>
  <c r="G323" i="8"/>
  <c r="H322" i="8"/>
  <c r="G322" i="8"/>
  <c r="H321" i="8"/>
  <c r="G321" i="8"/>
  <c r="H364" i="8"/>
  <c r="G364" i="8"/>
  <c r="H363" i="8"/>
  <c r="G363" i="8"/>
  <c r="H362" i="8"/>
  <c r="G362" i="8"/>
  <c r="H361" i="8"/>
  <c r="G361" i="8"/>
  <c r="H359" i="8"/>
  <c r="G359" i="8"/>
  <c r="H358" i="8"/>
  <c r="G358" i="8"/>
  <c r="H357" i="8"/>
  <c r="G357" i="8"/>
  <c r="H356" i="8"/>
  <c r="G356" i="8"/>
  <c r="H355" i="8"/>
  <c r="G355" i="8"/>
  <c r="H354" i="8"/>
  <c r="G354" i="8"/>
  <c r="H351" i="8"/>
  <c r="G351" i="8"/>
  <c r="H350" i="8"/>
  <c r="G350" i="8"/>
  <c r="H349" i="8"/>
  <c r="G349" i="8"/>
  <c r="H348" i="8"/>
  <c r="G348" i="8"/>
  <c r="H347" i="8"/>
  <c r="G347" i="8"/>
  <c r="H345" i="8"/>
  <c r="G345" i="8"/>
  <c r="H344" i="8"/>
  <c r="G344" i="8"/>
  <c r="H343" i="8"/>
  <c r="G343" i="8"/>
  <c r="H342" i="8"/>
  <c r="G342" i="8"/>
  <c r="H341" i="8"/>
  <c r="G341" i="8"/>
  <c r="H340" i="8"/>
  <c r="G340" i="8"/>
  <c r="H338" i="8"/>
  <c r="G338" i="8"/>
  <c r="H337" i="8"/>
  <c r="G337" i="8"/>
  <c r="H336" i="8"/>
  <c r="G336" i="8"/>
  <c r="H335" i="8"/>
  <c r="G335" i="8"/>
  <c r="H334" i="8"/>
  <c r="G334" i="8"/>
  <c r="H333" i="8"/>
  <c r="G333" i="8"/>
  <c r="H331" i="8"/>
  <c r="G331" i="8"/>
  <c r="H330" i="8"/>
  <c r="G330" i="8"/>
  <c r="H329" i="8"/>
  <c r="G329" i="8"/>
  <c r="H328" i="8"/>
  <c r="G328" i="8"/>
  <c r="H327" i="8"/>
  <c r="G327" i="8"/>
  <c r="H326" i="8"/>
  <c r="G326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0" i="8"/>
  <c r="G310" i="8"/>
  <c r="H309" i="8"/>
  <c r="G309" i="8"/>
  <c r="H308" i="8"/>
  <c r="G308" i="8"/>
  <c r="H307" i="8"/>
  <c r="G307" i="8"/>
  <c r="H306" i="8"/>
  <c r="G306" i="8"/>
  <c r="H305" i="8"/>
  <c r="G305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AE11" i="9"/>
  <c r="AE11" i="8"/>
  <c r="Q370" i="10" l="1"/>
  <c r="P370" i="10"/>
  <c r="O370" i="10"/>
  <c r="N370" i="10"/>
  <c r="M370" i="10"/>
  <c r="Q370" i="11"/>
  <c r="P370" i="11"/>
  <c r="O370" i="11"/>
  <c r="N370" i="11"/>
  <c r="M370" i="11"/>
  <c r="Q370" i="9"/>
  <c r="P370" i="9"/>
  <c r="O370" i="9"/>
  <c r="N370" i="9"/>
  <c r="M370" i="9"/>
  <c r="N370" i="8"/>
  <c r="O370" i="8"/>
  <c r="P370" i="8"/>
  <c r="Q370" i="8"/>
  <c r="M370" i="8"/>
  <c r="N374" i="12"/>
  <c r="O374" i="12"/>
  <c r="P374" i="12"/>
  <c r="Q374" i="12"/>
  <c r="M374" i="12"/>
  <c r="DH22" i="16" l="1"/>
  <c r="DI22" i="16"/>
  <c r="DJ22" i="16"/>
  <c r="DK22" i="16"/>
  <c r="DL22" i="16"/>
  <c r="DG22" i="16"/>
  <c r="DH21" i="16"/>
  <c r="DI21" i="16"/>
  <c r="DJ21" i="16"/>
  <c r="DK21" i="16"/>
  <c r="DL21" i="16"/>
  <c r="DG21" i="16"/>
  <c r="DH20" i="16"/>
  <c r="DI20" i="16"/>
  <c r="DJ20" i="16"/>
  <c r="DK20" i="16"/>
  <c r="DL20" i="16"/>
  <c r="DG20" i="16"/>
  <c r="DH19" i="16"/>
  <c r="DI19" i="16"/>
  <c r="DJ19" i="16"/>
  <c r="DK19" i="16"/>
  <c r="DL19" i="16"/>
  <c r="DG19" i="16"/>
  <c r="DH18" i="16"/>
  <c r="DI18" i="16"/>
  <c r="DJ18" i="16"/>
  <c r="DK18" i="16"/>
  <c r="DL18" i="16"/>
  <c r="DG18" i="16"/>
  <c r="DH17" i="16"/>
  <c r="DI17" i="16"/>
  <c r="DJ17" i="16"/>
  <c r="DK17" i="16"/>
  <c r="DL17" i="16"/>
  <c r="DG17" i="16"/>
  <c r="DH16" i="16"/>
  <c r="DI16" i="16"/>
  <c r="DJ16" i="16"/>
  <c r="DK16" i="16"/>
  <c r="DL16" i="16"/>
  <c r="DG16" i="16"/>
  <c r="DH11" i="16"/>
  <c r="DI11" i="16"/>
  <c r="DJ11" i="16"/>
  <c r="DK11" i="16"/>
  <c r="DL11" i="16"/>
  <c r="DG11" i="16"/>
  <c r="DH12" i="16"/>
  <c r="DI12" i="16"/>
  <c r="DJ12" i="16"/>
  <c r="DK12" i="16"/>
  <c r="DL12" i="16"/>
  <c r="DG12" i="16"/>
  <c r="DH10" i="16"/>
  <c r="DI10" i="16"/>
  <c r="DJ10" i="16"/>
  <c r="DK10" i="16"/>
  <c r="DL10" i="16"/>
  <c r="DG10" i="16"/>
  <c r="DH9" i="16"/>
  <c r="DI9" i="16"/>
  <c r="DJ9" i="16"/>
  <c r="DK9" i="16"/>
  <c r="DL9" i="16"/>
  <c r="DG9" i="16"/>
  <c r="DH8" i="16"/>
  <c r="DI8" i="16"/>
  <c r="DJ8" i="16"/>
  <c r="DK8" i="16"/>
  <c r="DL8" i="16"/>
  <c r="DG8" i="16"/>
  <c r="DH7" i="16"/>
  <c r="DI7" i="16"/>
  <c r="DJ7" i="16"/>
  <c r="DK7" i="16"/>
  <c r="DL7" i="16"/>
  <c r="DG7" i="16"/>
  <c r="DH6" i="16"/>
  <c r="DI6" i="16"/>
  <c r="DJ6" i="16"/>
  <c r="DK6" i="16"/>
  <c r="DL6" i="16"/>
  <c r="DG6" i="16"/>
  <c r="DH5" i="16"/>
  <c r="DI5" i="16"/>
  <c r="DJ5" i="16"/>
  <c r="DK5" i="16"/>
  <c r="DL5" i="16"/>
  <c r="DG5" i="16"/>
  <c r="DH4" i="16"/>
  <c r="DI4" i="16"/>
  <c r="DJ4" i="16"/>
  <c r="DK4" i="16"/>
  <c r="DL4" i="16"/>
  <c r="DG4" i="16"/>
  <c r="AL191" i="12" l="1"/>
  <c r="AL190" i="12"/>
  <c r="AL189" i="12"/>
  <c r="AL187" i="12"/>
  <c r="AL186" i="12"/>
  <c r="AH224" i="8"/>
  <c r="AH223" i="8"/>
  <c r="AH222" i="8"/>
  <c r="AH221" i="8"/>
  <c r="AH220" i="8"/>
  <c r="AO191" i="9"/>
  <c r="AO190" i="9"/>
  <c r="AO189" i="9"/>
  <c r="AO188" i="9"/>
  <c r="AK194" i="11"/>
  <c r="AK193" i="11"/>
  <c r="AK192" i="11"/>
  <c r="AK191" i="11"/>
  <c r="AK190" i="11"/>
  <c r="AL190" i="10"/>
  <c r="AL189" i="10"/>
  <c r="AL188" i="10"/>
  <c r="AL187" i="10"/>
  <c r="AL186" i="10"/>
  <c r="I35" i="15"/>
  <c r="H35" i="15"/>
  <c r="E35" i="15"/>
  <c r="D35" i="15"/>
  <c r="C35" i="15"/>
  <c r="F34" i="15"/>
  <c r="G34" i="15" s="1"/>
  <c r="F33" i="15"/>
  <c r="G33" i="15" s="1"/>
  <c r="F32" i="15"/>
  <c r="G32" i="15" s="1"/>
  <c r="F31" i="15"/>
  <c r="G31" i="15" s="1"/>
  <c r="F30" i="15"/>
  <c r="G30" i="15" s="1"/>
  <c r="F29" i="15"/>
  <c r="F35" i="15" s="1"/>
  <c r="G29" i="15" l="1"/>
  <c r="G35" i="15" s="1"/>
  <c r="G7" i="20" l="1"/>
  <c r="H7" i="20" s="1"/>
  <c r="G8" i="20"/>
  <c r="H8" i="20" s="1"/>
  <c r="G9" i="20"/>
  <c r="H9" i="20"/>
  <c r="G10" i="20"/>
  <c r="H10" i="20" s="1"/>
  <c r="G11" i="20"/>
  <c r="H11" i="20" s="1"/>
  <c r="G6" i="20"/>
  <c r="H6" i="20" s="1"/>
  <c r="J12" i="20"/>
  <c r="I12" i="20"/>
  <c r="F12" i="20"/>
  <c r="E12" i="20"/>
  <c r="D12" i="20"/>
  <c r="H12" i="20" l="1"/>
  <c r="G12" i="20"/>
  <c r="G363" i="18"/>
  <c r="H367" i="18"/>
  <c r="G367" i="18"/>
  <c r="H364" i="18"/>
  <c r="G364" i="18"/>
  <c r="H363" i="18"/>
  <c r="H362" i="18"/>
  <c r="G362" i="18"/>
  <c r="H361" i="18"/>
  <c r="G361" i="18"/>
  <c r="U364" i="18" l="1"/>
  <c r="W364" i="18" s="1"/>
  <c r="X364" i="18"/>
  <c r="X363" i="18"/>
  <c r="U363" i="18"/>
  <c r="W363" i="18" s="1"/>
  <c r="X367" i="18"/>
  <c r="U367" i="18"/>
  <c r="W367" i="18" s="1"/>
  <c r="U361" i="18"/>
  <c r="W361" i="18" s="1"/>
  <c r="X361" i="18"/>
  <c r="U362" i="18"/>
  <c r="W362" i="18" s="1"/>
  <c r="X362" i="18"/>
  <c r="G67" i="12"/>
  <c r="H67" i="12"/>
  <c r="G68" i="12"/>
  <c r="H68" i="12"/>
  <c r="G69" i="12"/>
  <c r="H69" i="12"/>
  <c r="G70" i="12"/>
  <c r="H70" i="12"/>
  <c r="G71" i="12"/>
  <c r="H71" i="12"/>
  <c r="G72" i="12"/>
  <c r="H72" i="12"/>
  <c r="G73" i="12"/>
  <c r="H73" i="12"/>
  <c r="G74" i="12"/>
  <c r="H74" i="12"/>
  <c r="G75" i="12"/>
  <c r="H75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0" i="12"/>
  <c r="H100" i="12"/>
  <c r="G101" i="12"/>
  <c r="H101" i="12"/>
  <c r="G102" i="12"/>
  <c r="H102" i="12"/>
  <c r="G103" i="12"/>
  <c r="H103" i="12"/>
  <c r="G104" i="12"/>
  <c r="H104" i="12"/>
  <c r="G105" i="12"/>
  <c r="H105" i="12"/>
  <c r="G106" i="12"/>
  <c r="H106" i="12"/>
  <c r="G107" i="12"/>
  <c r="H107" i="12"/>
  <c r="G108" i="12"/>
  <c r="H108" i="12"/>
  <c r="G109" i="12"/>
  <c r="H109" i="12"/>
  <c r="G110" i="12"/>
  <c r="H110" i="12"/>
  <c r="G111" i="12"/>
  <c r="H111" i="12"/>
  <c r="G112" i="12"/>
  <c r="H112" i="12"/>
  <c r="G113" i="12"/>
  <c r="H113" i="12"/>
  <c r="G114" i="12"/>
  <c r="H114" i="12"/>
  <c r="G115" i="12"/>
  <c r="H115" i="12"/>
  <c r="G116" i="12"/>
  <c r="H116" i="12"/>
  <c r="G117" i="12"/>
  <c r="H117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6" i="12"/>
  <c r="H126" i="12"/>
  <c r="G127" i="12"/>
  <c r="H127" i="12"/>
  <c r="G128" i="12"/>
  <c r="H128" i="12"/>
  <c r="G129" i="12"/>
  <c r="H129" i="12"/>
  <c r="G130" i="12"/>
  <c r="H130" i="12"/>
  <c r="G131" i="12"/>
  <c r="H131" i="12"/>
  <c r="G132" i="12"/>
  <c r="H132" i="12"/>
  <c r="G133" i="12"/>
  <c r="H133" i="12"/>
  <c r="G134" i="12"/>
  <c r="H134" i="12"/>
  <c r="G135" i="12"/>
  <c r="H135" i="12"/>
  <c r="G136" i="12"/>
  <c r="H136" i="12"/>
  <c r="G137" i="12"/>
  <c r="H137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8" i="12"/>
  <c r="H148" i="12"/>
  <c r="G149" i="12"/>
  <c r="H149" i="12"/>
  <c r="G150" i="12"/>
  <c r="H150" i="12"/>
  <c r="G151" i="12"/>
  <c r="H151" i="12"/>
  <c r="G152" i="12"/>
  <c r="H152" i="12"/>
  <c r="G153" i="12"/>
  <c r="H153" i="12"/>
  <c r="G154" i="12"/>
  <c r="H154" i="12"/>
  <c r="G155" i="12"/>
  <c r="H155" i="12"/>
  <c r="G156" i="12"/>
  <c r="H156" i="12"/>
  <c r="G157" i="12"/>
  <c r="H157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66" i="12"/>
  <c r="H166" i="12"/>
  <c r="G167" i="12"/>
  <c r="H167" i="12"/>
  <c r="G168" i="12"/>
  <c r="H168" i="12"/>
  <c r="G169" i="12"/>
  <c r="H169" i="12"/>
  <c r="G170" i="12"/>
  <c r="H170" i="12"/>
  <c r="G171" i="12"/>
  <c r="H171" i="12"/>
  <c r="G172" i="12"/>
  <c r="H172" i="12"/>
  <c r="G173" i="12"/>
  <c r="H173" i="12"/>
  <c r="G174" i="12"/>
  <c r="H174" i="12"/>
  <c r="G175" i="12"/>
  <c r="H175" i="12"/>
  <c r="G176" i="12"/>
  <c r="H176" i="12"/>
  <c r="G177" i="12"/>
  <c r="H177" i="12"/>
  <c r="G178" i="12"/>
  <c r="H178" i="12"/>
  <c r="G179" i="12"/>
  <c r="H179" i="12"/>
  <c r="G180" i="12"/>
  <c r="H180" i="12"/>
  <c r="G181" i="12"/>
  <c r="H181" i="12"/>
  <c r="G182" i="12"/>
  <c r="H182" i="12"/>
  <c r="G183" i="12"/>
  <c r="H183" i="12"/>
  <c r="G184" i="12"/>
  <c r="H184" i="12"/>
  <c r="G185" i="12"/>
  <c r="H185" i="12"/>
  <c r="G186" i="12"/>
  <c r="H186" i="12"/>
  <c r="G187" i="12"/>
  <c r="H187" i="12"/>
  <c r="G188" i="12"/>
  <c r="H188" i="12"/>
  <c r="G189" i="12"/>
  <c r="H189" i="12"/>
  <c r="G190" i="12"/>
  <c r="H190" i="12"/>
  <c r="G191" i="12"/>
  <c r="H191" i="12"/>
  <c r="G192" i="12"/>
  <c r="H192" i="12"/>
  <c r="G193" i="12"/>
  <c r="H193" i="12"/>
  <c r="G194" i="12"/>
  <c r="H194" i="12"/>
  <c r="G195" i="12"/>
  <c r="H195" i="12"/>
  <c r="G196" i="12"/>
  <c r="H196" i="12"/>
  <c r="G197" i="12"/>
  <c r="H197" i="12"/>
  <c r="G198" i="12"/>
  <c r="H198" i="12"/>
  <c r="G199" i="12"/>
  <c r="H199" i="12"/>
  <c r="G200" i="12"/>
  <c r="H200" i="12"/>
  <c r="G201" i="12"/>
  <c r="H201" i="12"/>
  <c r="G202" i="12"/>
  <c r="H202" i="12"/>
  <c r="G203" i="12"/>
  <c r="H203" i="12"/>
  <c r="G204" i="12"/>
  <c r="H204" i="12"/>
  <c r="G205" i="12"/>
  <c r="H205" i="12"/>
  <c r="G206" i="12"/>
  <c r="H206" i="12"/>
  <c r="G207" i="12"/>
  <c r="H207" i="12"/>
  <c r="G208" i="12"/>
  <c r="H208" i="12"/>
  <c r="G209" i="12"/>
  <c r="H209" i="12"/>
  <c r="G210" i="12"/>
  <c r="H210" i="12"/>
  <c r="G211" i="12"/>
  <c r="H211" i="12"/>
  <c r="G212" i="12"/>
  <c r="H212" i="12"/>
  <c r="G213" i="12"/>
  <c r="H213" i="12"/>
  <c r="G214" i="12"/>
  <c r="H214" i="12"/>
  <c r="G215" i="12"/>
  <c r="H215" i="12"/>
  <c r="G216" i="12"/>
  <c r="H216" i="12"/>
  <c r="G217" i="12"/>
  <c r="H217" i="12"/>
  <c r="G218" i="12"/>
  <c r="H218" i="12"/>
  <c r="G219" i="12"/>
  <c r="H219" i="12"/>
  <c r="G220" i="12"/>
  <c r="H220" i="12"/>
  <c r="G221" i="12"/>
  <c r="H221" i="12"/>
  <c r="G222" i="12"/>
  <c r="H222" i="12"/>
  <c r="G223" i="12"/>
  <c r="H223" i="12"/>
  <c r="G224" i="12"/>
  <c r="H224" i="12"/>
  <c r="G225" i="12"/>
  <c r="H225" i="12"/>
  <c r="G226" i="12"/>
  <c r="H226" i="12"/>
  <c r="G227" i="12"/>
  <c r="H227" i="12"/>
  <c r="G228" i="12"/>
  <c r="H228" i="12"/>
  <c r="G229" i="12"/>
  <c r="H229" i="12"/>
  <c r="G230" i="12"/>
  <c r="H230" i="12"/>
  <c r="G231" i="12"/>
  <c r="H231" i="12"/>
  <c r="G232" i="12"/>
  <c r="H232" i="12"/>
  <c r="G233" i="12"/>
  <c r="H233" i="12"/>
  <c r="G234" i="12"/>
  <c r="H234" i="12"/>
  <c r="G235" i="12"/>
  <c r="H235" i="12"/>
  <c r="G236" i="12"/>
  <c r="H236" i="12"/>
  <c r="G237" i="12"/>
  <c r="H237" i="12"/>
  <c r="G238" i="12"/>
  <c r="H238" i="12"/>
  <c r="G239" i="12"/>
  <c r="H239" i="12"/>
  <c r="G240" i="12"/>
  <c r="H240" i="12"/>
  <c r="G242" i="12"/>
  <c r="H242" i="12"/>
  <c r="G243" i="12"/>
  <c r="H243" i="12"/>
  <c r="G244" i="12"/>
  <c r="H244" i="12"/>
  <c r="G245" i="12"/>
  <c r="H245" i="12"/>
  <c r="G246" i="12"/>
  <c r="H246" i="12"/>
  <c r="G247" i="12"/>
  <c r="H247" i="12"/>
  <c r="G248" i="12"/>
  <c r="H248" i="12"/>
  <c r="G249" i="12"/>
  <c r="H249" i="12"/>
  <c r="G250" i="12"/>
  <c r="H250" i="12"/>
  <c r="G251" i="12"/>
  <c r="H251" i="12"/>
  <c r="G252" i="12"/>
  <c r="H252" i="12"/>
  <c r="G253" i="12"/>
  <c r="H253" i="12"/>
  <c r="G254" i="12"/>
  <c r="H254" i="12"/>
  <c r="G255" i="12"/>
  <c r="H255" i="12"/>
  <c r="G256" i="12"/>
  <c r="H256" i="12"/>
  <c r="G257" i="12"/>
  <c r="H257" i="12"/>
  <c r="G258" i="12"/>
  <c r="H258" i="12"/>
  <c r="G259" i="12"/>
  <c r="H259" i="12"/>
  <c r="G260" i="12"/>
  <c r="H260" i="12"/>
  <c r="G261" i="12"/>
  <c r="H261" i="12"/>
  <c r="G262" i="12"/>
  <c r="H262" i="12"/>
  <c r="G263" i="12"/>
  <c r="H263" i="12"/>
  <c r="G264" i="12"/>
  <c r="H264" i="12"/>
  <c r="G265" i="12"/>
  <c r="H265" i="12"/>
  <c r="G266" i="12"/>
  <c r="H266" i="12"/>
  <c r="G267" i="12"/>
  <c r="H267" i="12"/>
  <c r="G268" i="12"/>
  <c r="H268" i="12"/>
  <c r="G272" i="12"/>
  <c r="H272" i="12"/>
  <c r="G273" i="12"/>
  <c r="H273" i="12"/>
  <c r="G274" i="12"/>
  <c r="H274" i="12"/>
  <c r="G275" i="12"/>
  <c r="H275" i="12"/>
  <c r="G276" i="12"/>
  <c r="H276" i="12"/>
  <c r="G277" i="12"/>
  <c r="H277" i="12"/>
  <c r="G278" i="12"/>
  <c r="H278" i="12"/>
  <c r="G279" i="12"/>
  <c r="H279" i="12"/>
  <c r="G280" i="12"/>
  <c r="H280" i="12"/>
  <c r="G281" i="12"/>
  <c r="H281" i="12"/>
  <c r="G282" i="12"/>
  <c r="H282" i="12"/>
  <c r="G283" i="12"/>
  <c r="H283" i="12"/>
  <c r="G284" i="12"/>
  <c r="H284" i="12"/>
  <c r="G285" i="12"/>
  <c r="H285" i="12"/>
  <c r="G286" i="12"/>
  <c r="H286" i="12"/>
  <c r="G287" i="12"/>
  <c r="H287" i="12"/>
  <c r="G288" i="12"/>
  <c r="H288" i="12"/>
  <c r="G289" i="12"/>
  <c r="H289" i="12"/>
  <c r="G290" i="12"/>
  <c r="H290" i="12"/>
  <c r="G291" i="12"/>
  <c r="H291" i="12"/>
  <c r="G292" i="12"/>
  <c r="H292" i="12"/>
  <c r="G293" i="12"/>
  <c r="H293" i="12"/>
  <c r="G294" i="12"/>
  <c r="H294" i="12"/>
  <c r="G295" i="12"/>
  <c r="H295" i="12"/>
  <c r="G296" i="12"/>
  <c r="H296" i="12"/>
  <c r="G297" i="12"/>
  <c r="H297" i="12"/>
  <c r="G298" i="12"/>
  <c r="H298" i="12"/>
  <c r="G299" i="12"/>
  <c r="H299" i="12"/>
  <c r="G300" i="12"/>
  <c r="H300" i="12"/>
  <c r="G301" i="12"/>
  <c r="H301" i="12"/>
  <c r="G302" i="12"/>
  <c r="H302" i="12"/>
  <c r="G303" i="12"/>
  <c r="H303" i="12"/>
  <c r="G304" i="12"/>
  <c r="H304" i="12"/>
  <c r="G305" i="12"/>
  <c r="H305" i="12"/>
  <c r="G306" i="12"/>
  <c r="H306" i="12"/>
  <c r="G307" i="12"/>
  <c r="H307" i="12"/>
  <c r="G308" i="12"/>
  <c r="H308" i="12"/>
  <c r="G309" i="12"/>
  <c r="H309" i="12"/>
  <c r="G310" i="12"/>
  <c r="H310" i="12"/>
  <c r="G311" i="12"/>
  <c r="H311" i="12"/>
  <c r="G312" i="12"/>
  <c r="H312" i="12"/>
  <c r="G313" i="12"/>
  <c r="H313" i="12"/>
  <c r="G314" i="12"/>
  <c r="H314" i="12"/>
  <c r="G315" i="12"/>
  <c r="H315" i="12"/>
  <c r="G316" i="12"/>
  <c r="H316" i="12"/>
  <c r="G317" i="12"/>
  <c r="H317" i="12"/>
  <c r="G318" i="12"/>
  <c r="H318" i="12"/>
  <c r="G319" i="12"/>
  <c r="H319" i="12"/>
  <c r="G320" i="12"/>
  <c r="H320" i="12"/>
  <c r="G321" i="12"/>
  <c r="H321" i="12"/>
  <c r="G322" i="12"/>
  <c r="H322" i="12"/>
  <c r="G323" i="12"/>
  <c r="H323" i="12"/>
  <c r="G324" i="12"/>
  <c r="H324" i="12"/>
  <c r="G325" i="12"/>
  <c r="H325" i="12"/>
  <c r="G326" i="12"/>
  <c r="H326" i="12"/>
  <c r="G327" i="12"/>
  <c r="H327" i="12"/>
  <c r="G328" i="12"/>
  <c r="H328" i="12"/>
  <c r="G329" i="12"/>
  <c r="H329" i="12"/>
  <c r="G330" i="12"/>
  <c r="H330" i="12"/>
  <c r="G331" i="12"/>
  <c r="H331" i="12"/>
  <c r="G332" i="12"/>
  <c r="H332" i="12"/>
  <c r="G333" i="12"/>
  <c r="H333" i="12"/>
  <c r="G334" i="12"/>
  <c r="H334" i="12"/>
  <c r="G335" i="12"/>
  <c r="H335" i="12"/>
  <c r="G336" i="12"/>
  <c r="H336" i="12"/>
  <c r="G337" i="12"/>
  <c r="H337" i="12"/>
  <c r="G338" i="12"/>
  <c r="H338" i="12"/>
  <c r="G339" i="12"/>
  <c r="H339" i="12"/>
  <c r="G340" i="12"/>
  <c r="H340" i="12"/>
  <c r="G341" i="12"/>
  <c r="H341" i="12"/>
  <c r="G342" i="12"/>
  <c r="H342" i="12"/>
  <c r="G343" i="12"/>
  <c r="H343" i="12"/>
  <c r="G344" i="12"/>
  <c r="H344" i="12"/>
  <c r="G345" i="12"/>
  <c r="H345" i="12"/>
  <c r="G346" i="12"/>
  <c r="H346" i="12"/>
  <c r="G347" i="12"/>
  <c r="H347" i="12"/>
  <c r="G348" i="12"/>
  <c r="H348" i="12"/>
  <c r="G349" i="12"/>
  <c r="H349" i="12"/>
  <c r="G350" i="12"/>
  <c r="H350" i="12"/>
  <c r="G351" i="12"/>
  <c r="H351" i="12"/>
  <c r="G352" i="12"/>
  <c r="H352" i="12"/>
  <c r="G353" i="12"/>
  <c r="H353" i="12"/>
  <c r="G354" i="12"/>
  <c r="H354" i="12"/>
  <c r="G355" i="12"/>
  <c r="H355" i="12"/>
  <c r="G356" i="12"/>
  <c r="H356" i="12"/>
  <c r="G357" i="12"/>
  <c r="H357" i="12"/>
  <c r="G358" i="12"/>
  <c r="H358" i="12"/>
  <c r="G359" i="12"/>
  <c r="H359" i="12"/>
  <c r="G360" i="12"/>
  <c r="H360" i="12"/>
  <c r="G361" i="12"/>
  <c r="H361" i="12"/>
  <c r="G362" i="12"/>
  <c r="H362" i="12"/>
  <c r="G363" i="12"/>
  <c r="H363" i="12"/>
  <c r="G364" i="12"/>
  <c r="H364" i="12"/>
  <c r="G366" i="12"/>
  <c r="H366" i="12"/>
  <c r="G367" i="12"/>
  <c r="H367" i="12"/>
  <c r="G66" i="12"/>
  <c r="H66" i="12"/>
  <c r="G64" i="12"/>
  <c r="H64" i="12"/>
  <c r="G65" i="12"/>
  <c r="H65" i="12"/>
  <c r="H63" i="12"/>
  <c r="G63" i="12"/>
  <c r="G10" i="8"/>
  <c r="H10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66" i="8"/>
  <c r="H266" i="8"/>
  <c r="G267" i="8"/>
  <c r="H267" i="8"/>
  <c r="G268" i="8"/>
  <c r="H268" i="8"/>
  <c r="G269" i="8"/>
  <c r="H269" i="8"/>
  <c r="G272" i="8"/>
  <c r="H272" i="8"/>
  <c r="G273" i="8"/>
  <c r="H273" i="8"/>
  <c r="G274" i="8"/>
  <c r="H274" i="8"/>
  <c r="G275" i="8"/>
  <c r="H275" i="8"/>
  <c r="G276" i="8"/>
  <c r="H276" i="8"/>
  <c r="G277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89" i="8"/>
  <c r="H289" i="8"/>
  <c r="G290" i="8"/>
  <c r="H290" i="8"/>
  <c r="G291" i="8"/>
  <c r="H291" i="8"/>
  <c r="G292" i="8"/>
  <c r="H292" i="8"/>
  <c r="G293" i="8"/>
  <c r="H293" i="8"/>
  <c r="G294" i="8"/>
  <c r="H294" i="8"/>
  <c r="G295" i="8"/>
  <c r="H295" i="8"/>
  <c r="G296" i="8"/>
  <c r="H296" i="8"/>
  <c r="G297" i="8"/>
  <c r="H297" i="8"/>
  <c r="H9" i="8"/>
  <c r="G9" i="8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5" i="9"/>
  <c r="H125" i="9"/>
  <c r="G126" i="9"/>
  <c r="H126" i="9"/>
  <c r="G127" i="9"/>
  <c r="H127" i="9"/>
  <c r="G128" i="9"/>
  <c r="H128" i="9"/>
  <c r="G129" i="9"/>
  <c r="H129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2" i="9"/>
  <c r="H272" i="9"/>
  <c r="G273" i="9"/>
  <c r="H273" i="9"/>
  <c r="G274" i="9"/>
  <c r="H274" i="9"/>
  <c r="G275" i="9"/>
  <c r="H275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2" i="9"/>
  <c r="H322" i="9"/>
  <c r="G323" i="9"/>
  <c r="H323" i="9"/>
  <c r="G325" i="9"/>
  <c r="H325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G362" i="9"/>
  <c r="H362" i="9"/>
  <c r="G363" i="9"/>
  <c r="H363" i="9"/>
  <c r="G364" i="9"/>
  <c r="H364" i="9"/>
  <c r="G366" i="9"/>
  <c r="H366" i="9"/>
  <c r="G367" i="9"/>
  <c r="H367" i="9"/>
  <c r="H63" i="9"/>
  <c r="G63" i="9"/>
  <c r="G64" i="11"/>
  <c r="H64" i="11"/>
  <c r="G65" i="11"/>
  <c r="H65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8" i="11"/>
  <c r="H88" i="11"/>
  <c r="G89" i="11"/>
  <c r="H89" i="11"/>
  <c r="G90" i="11"/>
  <c r="H90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5" i="11"/>
  <c r="H125" i="11"/>
  <c r="G126" i="11"/>
  <c r="H126" i="11"/>
  <c r="G127" i="11"/>
  <c r="H127" i="11"/>
  <c r="G128" i="11"/>
  <c r="H128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49" i="11"/>
  <c r="H149" i="11"/>
  <c r="G150" i="11"/>
  <c r="H150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7" i="11"/>
  <c r="H157" i="11"/>
  <c r="G158" i="11"/>
  <c r="H158" i="11"/>
  <c r="G159" i="11"/>
  <c r="H159" i="11"/>
  <c r="G160" i="11"/>
  <c r="H160" i="11"/>
  <c r="G161" i="11"/>
  <c r="H161" i="11"/>
  <c r="G162" i="11"/>
  <c r="H162" i="11"/>
  <c r="G163" i="11"/>
  <c r="H163" i="11"/>
  <c r="G164" i="11"/>
  <c r="H164" i="11"/>
  <c r="G165" i="11"/>
  <c r="H165" i="11"/>
  <c r="G166" i="11"/>
  <c r="H166" i="11"/>
  <c r="G167" i="11"/>
  <c r="H167" i="11"/>
  <c r="G168" i="11"/>
  <c r="H168" i="11"/>
  <c r="G169" i="11"/>
  <c r="H169" i="11"/>
  <c r="G170" i="11"/>
  <c r="H170" i="11"/>
  <c r="G171" i="11"/>
  <c r="H171" i="11"/>
  <c r="G172" i="11"/>
  <c r="H172" i="11"/>
  <c r="G173" i="11"/>
  <c r="H173" i="11"/>
  <c r="G174" i="11"/>
  <c r="H174" i="11"/>
  <c r="G175" i="11"/>
  <c r="H175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3" i="11"/>
  <c r="H183" i="11"/>
  <c r="G184" i="11"/>
  <c r="H184" i="11"/>
  <c r="G185" i="11"/>
  <c r="H185" i="11"/>
  <c r="G186" i="11"/>
  <c r="H186" i="11"/>
  <c r="G187" i="11"/>
  <c r="H187" i="11"/>
  <c r="G188" i="11"/>
  <c r="H188" i="11"/>
  <c r="G189" i="11"/>
  <c r="H189" i="11"/>
  <c r="G190" i="11"/>
  <c r="H190" i="11"/>
  <c r="G191" i="11"/>
  <c r="H191" i="11"/>
  <c r="G192" i="11"/>
  <c r="H192" i="11"/>
  <c r="G193" i="11"/>
  <c r="H193" i="11"/>
  <c r="G194" i="11"/>
  <c r="H194" i="11"/>
  <c r="G195" i="11"/>
  <c r="H195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09" i="11"/>
  <c r="H209" i="11"/>
  <c r="G210" i="11"/>
  <c r="H210" i="11"/>
  <c r="G211" i="11"/>
  <c r="H211" i="11"/>
  <c r="G212" i="11"/>
  <c r="H212" i="11"/>
  <c r="G213" i="11"/>
  <c r="H213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9" i="11"/>
  <c r="H229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2" i="11"/>
  <c r="H262" i="11"/>
  <c r="G263" i="11"/>
  <c r="H263" i="11"/>
  <c r="G264" i="11"/>
  <c r="H264" i="11"/>
  <c r="G265" i="11"/>
  <c r="H265" i="11"/>
  <c r="G266" i="11"/>
  <c r="H266" i="11"/>
  <c r="G267" i="11"/>
  <c r="H267" i="11"/>
  <c r="G268" i="11"/>
  <c r="H268" i="11"/>
  <c r="G269" i="11"/>
  <c r="H269" i="11"/>
  <c r="G272" i="11"/>
  <c r="H272" i="11"/>
  <c r="G273" i="11"/>
  <c r="H273" i="11"/>
  <c r="G274" i="11"/>
  <c r="H274" i="11"/>
  <c r="G275" i="11"/>
  <c r="H275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3" i="11"/>
  <c r="H293" i="11"/>
  <c r="G294" i="11"/>
  <c r="H294" i="11"/>
  <c r="G295" i="11"/>
  <c r="H295" i="11"/>
  <c r="G296" i="11"/>
  <c r="H296" i="11"/>
  <c r="G297" i="11"/>
  <c r="H297" i="11"/>
  <c r="G298" i="11"/>
  <c r="H298" i="11"/>
  <c r="G299" i="11"/>
  <c r="H299" i="11"/>
  <c r="G300" i="11"/>
  <c r="H300" i="11"/>
  <c r="G301" i="11"/>
  <c r="H301" i="11"/>
  <c r="G302" i="11"/>
  <c r="H302" i="11"/>
  <c r="G303" i="11"/>
  <c r="H303" i="11"/>
  <c r="G304" i="11"/>
  <c r="H304" i="11"/>
  <c r="G305" i="11"/>
  <c r="H305" i="11"/>
  <c r="G306" i="11"/>
  <c r="H306" i="11"/>
  <c r="G307" i="11"/>
  <c r="H307" i="11"/>
  <c r="G308" i="11"/>
  <c r="H308" i="11"/>
  <c r="G309" i="11"/>
  <c r="H309" i="11"/>
  <c r="G310" i="11"/>
  <c r="H310" i="11"/>
  <c r="G311" i="11"/>
  <c r="H311" i="11"/>
  <c r="G312" i="11"/>
  <c r="H312" i="11"/>
  <c r="G313" i="11"/>
  <c r="H313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5" i="11"/>
  <c r="H325" i="11"/>
  <c r="G326" i="11"/>
  <c r="H326" i="11"/>
  <c r="G327" i="11"/>
  <c r="H327" i="11"/>
  <c r="G328" i="11"/>
  <c r="H328" i="11"/>
  <c r="G329" i="11"/>
  <c r="H329" i="11"/>
  <c r="G331" i="11"/>
  <c r="H331" i="11"/>
  <c r="G332" i="11"/>
  <c r="H332" i="11"/>
  <c r="G333" i="11"/>
  <c r="H333" i="11"/>
  <c r="G334" i="11"/>
  <c r="H334" i="11"/>
  <c r="G335" i="11"/>
  <c r="H335" i="11"/>
  <c r="G336" i="11"/>
  <c r="H336" i="11"/>
  <c r="G337" i="11"/>
  <c r="H337" i="11"/>
  <c r="G338" i="11"/>
  <c r="H338" i="11"/>
  <c r="G339" i="11"/>
  <c r="H339" i="11"/>
  <c r="G340" i="11"/>
  <c r="H340" i="11"/>
  <c r="G341" i="11"/>
  <c r="H341" i="11"/>
  <c r="G342" i="11"/>
  <c r="H342" i="11"/>
  <c r="G343" i="11"/>
  <c r="H343" i="11"/>
  <c r="G344" i="11"/>
  <c r="H344" i="11"/>
  <c r="G345" i="11"/>
  <c r="H345" i="11"/>
  <c r="G346" i="11"/>
  <c r="H346" i="11"/>
  <c r="G347" i="11"/>
  <c r="H347" i="11"/>
  <c r="G348" i="11"/>
  <c r="H348" i="11"/>
  <c r="G349" i="11"/>
  <c r="H349" i="11"/>
  <c r="G350" i="11"/>
  <c r="H350" i="11"/>
  <c r="G351" i="11"/>
  <c r="H351" i="11"/>
  <c r="G352" i="11"/>
  <c r="H352" i="11"/>
  <c r="G353" i="11"/>
  <c r="H353" i="11"/>
  <c r="G354" i="11"/>
  <c r="H354" i="11"/>
  <c r="G355" i="11"/>
  <c r="H355" i="11"/>
  <c r="G356" i="11"/>
  <c r="H356" i="11"/>
  <c r="G357" i="11"/>
  <c r="H357" i="11"/>
  <c r="G358" i="11"/>
  <c r="H358" i="11"/>
  <c r="G359" i="11"/>
  <c r="H359" i="11"/>
  <c r="G360" i="11"/>
  <c r="H360" i="11"/>
  <c r="G362" i="11"/>
  <c r="H362" i="11"/>
  <c r="G363" i="11"/>
  <c r="H363" i="11"/>
  <c r="G364" i="11"/>
  <c r="H364" i="11"/>
  <c r="G366" i="11"/>
  <c r="H366" i="11"/>
  <c r="G367" i="11"/>
  <c r="H367" i="11"/>
  <c r="H63" i="11"/>
  <c r="G63" i="11"/>
  <c r="H367" i="10"/>
  <c r="G367" i="10"/>
  <c r="H366" i="10"/>
  <c r="G366" i="10"/>
  <c r="H365" i="10"/>
  <c r="G365" i="10"/>
  <c r="H364" i="10"/>
  <c r="G364" i="10"/>
  <c r="H363" i="10"/>
  <c r="G363" i="10"/>
  <c r="H362" i="10"/>
  <c r="G362" i="10"/>
  <c r="H361" i="10"/>
  <c r="G361" i="10"/>
  <c r="H360" i="10"/>
  <c r="G360" i="10"/>
  <c r="H359" i="10"/>
  <c r="G359" i="10"/>
  <c r="H358" i="10"/>
  <c r="G358" i="10"/>
  <c r="H357" i="10"/>
  <c r="G357" i="10"/>
  <c r="H356" i="10"/>
  <c r="G356" i="10"/>
  <c r="H355" i="10"/>
  <c r="G355" i="10"/>
  <c r="H354" i="10"/>
  <c r="G354" i="10"/>
  <c r="H353" i="10"/>
  <c r="G353" i="10"/>
  <c r="H352" i="10"/>
  <c r="G352" i="10"/>
  <c r="H351" i="10"/>
  <c r="G351" i="10"/>
  <c r="H350" i="10"/>
  <c r="G350" i="10"/>
  <c r="H349" i="10"/>
  <c r="G349" i="10"/>
  <c r="H348" i="10"/>
  <c r="G348" i="10"/>
  <c r="H347" i="10"/>
  <c r="G347" i="10"/>
  <c r="H346" i="10"/>
  <c r="G346" i="10"/>
  <c r="H345" i="10"/>
  <c r="G345" i="10"/>
  <c r="H344" i="10"/>
  <c r="G344" i="10"/>
  <c r="H343" i="10"/>
  <c r="G343" i="10"/>
  <c r="H342" i="10"/>
  <c r="G342" i="10"/>
  <c r="H341" i="10"/>
  <c r="G341" i="10"/>
  <c r="H340" i="10"/>
  <c r="G340" i="10"/>
  <c r="H339" i="10"/>
  <c r="G339" i="10"/>
  <c r="H338" i="10"/>
  <c r="G338" i="10"/>
  <c r="H337" i="10"/>
  <c r="G337" i="10"/>
  <c r="H336" i="10"/>
  <c r="G336" i="10"/>
  <c r="H335" i="10"/>
  <c r="G335" i="10"/>
  <c r="H334" i="10"/>
  <c r="G334" i="10"/>
  <c r="H333" i="10"/>
  <c r="G333" i="10"/>
  <c r="H332" i="10"/>
  <c r="G332" i="10"/>
  <c r="H331" i="10"/>
  <c r="G331" i="10"/>
  <c r="H330" i="10"/>
  <c r="G330" i="10"/>
  <c r="H329" i="10"/>
  <c r="G329" i="10"/>
  <c r="H328" i="10"/>
  <c r="G328" i="10"/>
  <c r="H327" i="10"/>
  <c r="G327" i="10"/>
  <c r="H326" i="10"/>
  <c r="G326" i="10"/>
  <c r="H325" i="10"/>
  <c r="G325" i="10"/>
  <c r="H324" i="10"/>
  <c r="G324" i="10"/>
  <c r="H323" i="10"/>
  <c r="G323" i="10"/>
  <c r="H322" i="10"/>
  <c r="G322" i="10"/>
  <c r="H321" i="10"/>
  <c r="G321" i="10"/>
  <c r="H320" i="10"/>
  <c r="G320" i="10"/>
  <c r="H319" i="10"/>
  <c r="G319" i="10"/>
  <c r="H318" i="10"/>
  <c r="G318" i="10"/>
  <c r="H317" i="10"/>
  <c r="G317" i="10"/>
  <c r="H316" i="10"/>
  <c r="G316" i="10"/>
  <c r="H315" i="10"/>
  <c r="G315" i="10"/>
  <c r="H314" i="10"/>
  <c r="G314" i="10"/>
  <c r="H313" i="10"/>
  <c r="G313" i="10"/>
  <c r="H312" i="10"/>
  <c r="G312" i="10"/>
  <c r="H311" i="10"/>
  <c r="G311" i="10"/>
  <c r="H310" i="10"/>
  <c r="G310" i="10"/>
  <c r="H309" i="10"/>
  <c r="G309" i="10"/>
  <c r="H308" i="10"/>
  <c r="G308" i="10"/>
  <c r="H307" i="10"/>
  <c r="G307" i="10"/>
  <c r="H306" i="10"/>
  <c r="G306" i="10"/>
  <c r="H305" i="10"/>
  <c r="G305" i="10"/>
  <c r="H304" i="10"/>
  <c r="G304" i="10"/>
  <c r="H303" i="10"/>
  <c r="G303" i="10"/>
  <c r="H302" i="10"/>
  <c r="G302" i="10"/>
  <c r="H301" i="10"/>
  <c r="G301" i="10"/>
  <c r="H300" i="10"/>
  <c r="G300" i="10"/>
  <c r="H299" i="10"/>
  <c r="G299" i="10"/>
  <c r="H298" i="10"/>
  <c r="G298" i="10"/>
  <c r="H297" i="10"/>
  <c r="G297" i="10"/>
  <c r="H296" i="10"/>
  <c r="G296" i="10"/>
  <c r="H295" i="10"/>
  <c r="G295" i="10"/>
  <c r="H294" i="10"/>
  <c r="G294" i="10"/>
  <c r="H293" i="10"/>
  <c r="G293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H282" i="10"/>
  <c r="G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H272" i="10"/>
  <c r="G272" i="10"/>
  <c r="H271" i="10"/>
  <c r="G271" i="10"/>
  <c r="H270" i="10"/>
  <c r="G270" i="10"/>
  <c r="H269" i="10"/>
  <c r="G269" i="10"/>
  <c r="H268" i="10"/>
  <c r="G268" i="10"/>
  <c r="H267" i="10"/>
  <c r="G267" i="10"/>
  <c r="H266" i="10"/>
  <c r="G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H259" i="10"/>
  <c r="G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H250" i="10"/>
  <c r="G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71" i="10"/>
  <c r="G171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0" i="10"/>
  <c r="G140" i="10"/>
  <c r="H139" i="10"/>
  <c r="G139" i="10"/>
  <c r="H138" i="10"/>
  <c r="G138" i="10"/>
  <c r="H137" i="10"/>
  <c r="G137" i="10"/>
  <c r="G133" i="10"/>
  <c r="H133" i="10"/>
  <c r="U133" i="10" s="1"/>
  <c r="G134" i="10"/>
  <c r="H134" i="10"/>
  <c r="U134" i="10" s="1"/>
  <c r="W134" i="10" s="1"/>
  <c r="G135" i="10"/>
  <c r="H135" i="10"/>
  <c r="U135" i="10" s="1"/>
  <c r="W135" i="10" s="1"/>
  <c r="H132" i="10"/>
  <c r="U132" i="10" s="1"/>
  <c r="G132" i="10"/>
  <c r="J125" i="10"/>
  <c r="J126" i="10" s="1"/>
  <c r="J127" i="10" s="1"/>
  <c r="J128" i="10" s="1"/>
  <c r="J131" i="10" s="1"/>
  <c r="J132" i="10" s="1"/>
  <c r="J133" i="10" s="1"/>
  <c r="J134" i="10" s="1"/>
  <c r="J135" i="10" s="1"/>
  <c r="I125" i="10"/>
  <c r="J20" i="10"/>
  <c r="I20" i="10"/>
  <c r="K20" i="10" s="1"/>
  <c r="L19" i="10"/>
  <c r="K19" i="10"/>
  <c r="H28" i="10"/>
  <c r="U28" i="10" s="1"/>
  <c r="G28" i="10"/>
  <c r="H27" i="10"/>
  <c r="U27" i="10" s="1"/>
  <c r="W27" i="10" s="1"/>
  <c r="G27" i="10"/>
  <c r="H26" i="10"/>
  <c r="U26" i="10" s="1"/>
  <c r="G26" i="10"/>
  <c r="H25" i="10"/>
  <c r="U25" i="10" s="1"/>
  <c r="G25" i="10"/>
  <c r="H23" i="10"/>
  <c r="U23" i="10" s="1"/>
  <c r="G23" i="10"/>
  <c r="H22" i="10"/>
  <c r="U22" i="10" s="1"/>
  <c r="W22" i="10" s="1"/>
  <c r="G22" i="10"/>
  <c r="H21" i="10"/>
  <c r="U21" i="10" s="1"/>
  <c r="G21" i="10"/>
  <c r="H20" i="10"/>
  <c r="G20" i="10"/>
  <c r="J246" i="18"/>
  <c r="J247" i="18" s="1"/>
  <c r="I246" i="18"/>
  <c r="J216" i="18"/>
  <c r="J217" i="18" s="1"/>
  <c r="J219" i="18" s="1"/>
  <c r="J221" i="18" s="1"/>
  <c r="J222" i="18" s="1"/>
  <c r="J224" i="18" s="1"/>
  <c r="J225" i="18" s="1"/>
  <c r="J226" i="18" s="1"/>
  <c r="J228" i="18" s="1"/>
  <c r="J229" i="18" s="1"/>
  <c r="J231" i="18" s="1"/>
  <c r="J232" i="18" s="1"/>
  <c r="J233" i="18" s="1"/>
  <c r="J236" i="18" s="1"/>
  <c r="J237" i="18" s="1"/>
  <c r="J239" i="18" s="1"/>
  <c r="J240" i="18" s="1"/>
  <c r="J241" i="18" s="1"/>
  <c r="I216" i="18"/>
  <c r="J186" i="18"/>
  <c r="J188" i="18" s="1"/>
  <c r="I186" i="18"/>
  <c r="J162" i="18"/>
  <c r="J163" i="18" s="1"/>
  <c r="J166" i="18" s="1"/>
  <c r="J167" i="18" s="1"/>
  <c r="J169" i="18" s="1"/>
  <c r="J170" i="18" s="1"/>
  <c r="J172" i="18" s="1"/>
  <c r="I162" i="18"/>
  <c r="J155" i="18"/>
  <c r="J156" i="18" s="1"/>
  <c r="J158" i="18" s="1"/>
  <c r="I155" i="18"/>
  <c r="H359" i="18"/>
  <c r="G359" i="18"/>
  <c r="H358" i="18"/>
  <c r="G358" i="18"/>
  <c r="H357" i="18"/>
  <c r="G357" i="18"/>
  <c r="H356" i="18"/>
  <c r="G356" i="18"/>
  <c r="H355" i="18"/>
  <c r="G355" i="18"/>
  <c r="H354" i="18"/>
  <c r="G354" i="18"/>
  <c r="H353" i="18"/>
  <c r="G353" i="18"/>
  <c r="H352" i="18"/>
  <c r="G352" i="18"/>
  <c r="H351" i="18"/>
  <c r="G351" i="18"/>
  <c r="H350" i="18"/>
  <c r="G350" i="18"/>
  <c r="H349" i="18"/>
  <c r="G349" i="18"/>
  <c r="H348" i="18"/>
  <c r="G348" i="18"/>
  <c r="H345" i="18"/>
  <c r="G345" i="18"/>
  <c r="H344" i="18"/>
  <c r="G344" i="18"/>
  <c r="H343" i="18"/>
  <c r="G343" i="18"/>
  <c r="H342" i="18"/>
  <c r="G342" i="18"/>
  <c r="H341" i="18"/>
  <c r="G341" i="18"/>
  <c r="H340" i="18"/>
  <c r="G340" i="18"/>
  <c r="H338" i="18"/>
  <c r="G338" i="18"/>
  <c r="H337" i="18"/>
  <c r="G337" i="18"/>
  <c r="H336" i="18"/>
  <c r="G336" i="18"/>
  <c r="H335" i="18"/>
  <c r="G335" i="18"/>
  <c r="H334" i="18"/>
  <c r="G334" i="18"/>
  <c r="H333" i="18"/>
  <c r="G333" i="18"/>
  <c r="H331" i="18"/>
  <c r="G331" i="18"/>
  <c r="H330" i="18"/>
  <c r="G330" i="18"/>
  <c r="H329" i="18"/>
  <c r="G329" i="18"/>
  <c r="H328" i="18"/>
  <c r="G328" i="18"/>
  <c r="H327" i="18"/>
  <c r="G327" i="18"/>
  <c r="H326" i="18"/>
  <c r="G326" i="18"/>
  <c r="H324" i="18"/>
  <c r="G324" i="18"/>
  <c r="H323" i="18"/>
  <c r="G323" i="18"/>
  <c r="H322" i="18"/>
  <c r="G322" i="18"/>
  <c r="H321" i="18"/>
  <c r="G321" i="18"/>
  <c r="H320" i="18"/>
  <c r="G320" i="18"/>
  <c r="H319" i="18"/>
  <c r="G319" i="18"/>
  <c r="H317" i="18"/>
  <c r="G317" i="18"/>
  <c r="H316" i="18"/>
  <c r="G316" i="18"/>
  <c r="H315" i="18"/>
  <c r="G315" i="18"/>
  <c r="H314" i="18"/>
  <c r="G314" i="18"/>
  <c r="H313" i="18"/>
  <c r="G313" i="18"/>
  <c r="H312" i="18"/>
  <c r="G312" i="18"/>
  <c r="H310" i="18"/>
  <c r="G310" i="18"/>
  <c r="H309" i="18"/>
  <c r="G309" i="18"/>
  <c r="H308" i="18"/>
  <c r="G308" i="18"/>
  <c r="H307" i="18"/>
  <c r="G307" i="18"/>
  <c r="H306" i="18"/>
  <c r="G306" i="18"/>
  <c r="H305" i="18"/>
  <c r="G305" i="18"/>
  <c r="H303" i="18"/>
  <c r="G303" i="18"/>
  <c r="H302" i="18"/>
  <c r="G302" i="18"/>
  <c r="H301" i="18"/>
  <c r="G301" i="18"/>
  <c r="H300" i="18"/>
  <c r="G300" i="18"/>
  <c r="H299" i="18"/>
  <c r="G299" i="18"/>
  <c r="H298" i="18"/>
  <c r="G298" i="18"/>
  <c r="H297" i="18"/>
  <c r="G297" i="18"/>
  <c r="H296" i="18"/>
  <c r="G296" i="18"/>
  <c r="H295" i="18"/>
  <c r="G295" i="18"/>
  <c r="H294" i="18"/>
  <c r="G294" i="18"/>
  <c r="H293" i="18"/>
  <c r="G293" i="18"/>
  <c r="H292" i="18"/>
  <c r="G292" i="18"/>
  <c r="H289" i="18"/>
  <c r="G289" i="18"/>
  <c r="H288" i="18"/>
  <c r="G288" i="18"/>
  <c r="H287" i="18"/>
  <c r="G287" i="18"/>
  <c r="H286" i="18"/>
  <c r="G286" i="18"/>
  <c r="H285" i="18"/>
  <c r="G285" i="18"/>
  <c r="H284" i="18"/>
  <c r="G284" i="18"/>
  <c r="H283" i="18"/>
  <c r="G283" i="18"/>
  <c r="H282" i="18"/>
  <c r="G282" i="18"/>
  <c r="H281" i="18"/>
  <c r="G281" i="18"/>
  <c r="H280" i="18"/>
  <c r="G280" i="18"/>
  <c r="H279" i="18"/>
  <c r="G279" i="18"/>
  <c r="H278" i="18"/>
  <c r="G278" i="18"/>
  <c r="H277" i="18"/>
  <c r="G277" i="18"/>
  <c r="H276" i="18"/>
  <c r="G276" i="18"/>
  <c r="H275" i="18"/>
  <c r="G275" i="18"/>
  <c r="H274" i="18"/>
  <c r="G274" i="18"/>
  <c r="H273" i="18"/>
  <c r="G273" i="18"/>
  <c r="H272" i="18"/>
  <c r="G272" i="18"/>
  <c r="H268" i="18"/>
  <c r="G268" i="18"/>
  <c r="H267" i="18"/>
  <c r="G267" i="18"/>
  <c r="H266" i="18"/>
  <c r="G266" i="18"/>
  <c r="H265" i="18"/>
  <c r="G265" i="18"/>
  <c r="H264" i="18"/>
  <c r="G264" i="18"/>
  <c r="H263" i="18"/>
  <c r="G263" i="18"/>
  <c r="H262" i="18"/>
  <c r="U262" i="18" s="1"/>
  <c r="G262" i="18"/>
  <c r="H261" i="18"/>
  <c r="U261" i="18" s="1"/>
  <c r="G261" i="18"/>
  <c r="H260" i="18"/>
  <c r="U260" i="18" s="1"/>
  <c r="G260" i="18"/>
  <c r="H259" i="18"/>
  <c r="U259" i="18" s="1"/>
  <c r="G259" i="18"/>
  <c r="H258" i="18"/>
  <c r="U258" i="18" s="1"/>
  <c r="G258" i="18"/>
  <c r="H257" i="18"/>
  <c r="U257" i="18" s="1"/>
  <c r="G257" i="18"/>
  <c r="H256" i="18"/>
  <c r="U256" i="18" s="1"/>
  <c r="G256" i="18"/>
  <c r="H255" i="18"/>
  <c r="U255" i="18" s="1"/>
  <c r="G255" i="18"/>
  <c r="H254" i="18"/>
  <c r="U254" i="18" s="1"/>
  <c r="G254" i="18"/>
  <c r="H253" i="18"/>
  <c r="U253" i="18" s="1"/>
  <c r="G253" i="18"/>
  <c r="H252" i="18"/>
  <c r="U252" i="18" s="1"/>
  <c r="G252" i="18"/>
  <c r="H251" i="18"/>
  <c r="U251" i="18" s="1"/>
  <c r="G251" i="18"/>
  <c r="H250" i="18"/>
  <c r="U250" i="18" s="1"/>
  <c r="G250" i="18"/>
  <c r="H249" i="18"/>
  <c r="U249" i="18" s="1"/>
  <c r="G249" i="18"/>
  <c r="H248" i="18"/>
  <c r="U248" i="18" s="1"/>
  <c r="G248" i="18"/>
  <c r="H247" i="18"/>
  <c r="U247" i="18" s="1"/>
  <c r="G247" i="18"/>
  <c r="H246" i="18"/>
  <c r="U246" i="18" s="1"/>
  <c r="G246" i="18"/>
  <c r="H245" i="18"/>
  <c r="U245" i="18" s="1"/>
  <c r="G245" i="18"/>
  <c r="H244" i="18"/>
  <c r="U244" i="18" s="1"/>
  <c r="G244" i="18"/>
  <c r="H243" i="18"/>
  <c r="U243" i="18" s="1"/>
  <c r="G243" i="18"/>
  <c r="H242" i="18"/>
  <c r="U242" i="18" s="1"/>
  <c r="G242" i="18"/>
  <c r="H241" i="18"/>
  <c r="U241" i="18" s="1"/>
  <c r="G241" i="18"/>
  <c r="H240" i="18"/>
  <c r="U240" i="18" s="1"/>
  <c r="G240" i="18"/>
  <c r="H239" i="18"/>
  <c r="U239" i="18" s="1"/>
  <c r="G239" i="18"/>
  <c r="H238" i="18"/>
  <c r="U238" i="18" s="1"/>
  <c r="G238" i="18"/>
  <c r="H237" i="18"/>
  <c r="U237" i="18" s="1"/>
  <c r="G237" i="18"/>
  <c r="H236" i="18"/>
  <c r="U236" i="18" s="1"/>
  <c r="G236" i="18"/>
  <c r="H233" i="18"/>
  <c r="U233" i="18" s="1"/>
  <c r="G233" i="18"/>
  <c r="H232" i="18"/>
  <c r="U232" i="18" s="1"/>
  <c r="G232" i="18"/>
  <c r="H231" i="18"/>
  <c r="U231" i="18" s="1"/>
  <c r="G231" i="18"/>
  <c r="H230" i="18"/>
  <c r="U230" i="18" s="1"/>
  <c r="G230" i="18"/>
  <c r="H229" i="18"/>
  <c r="U229" i="18" s="1"/>
  <c r="G229" i="18"/>
  <c r="H228" i="18"/>
  <c r="U228" i="18" s="1"/>
  <c r="G228" i="18"/>
  <c r="H226" i="18"/>
  <c r="U226" i="18" s="1"/>
  <c r="G226" i="18"/>
  <c r="H225" i="18"/>
  <c r="U225" i="18" s="1"/>
  <c r="G225" i="18"/>
  <c r="H224" i="18"/>
  <c r="U224" i="18" s="1"/>
  <c r="G224" i="18"/>
  <c r="H223" i="18"/>
  <c r="U223" i="18" s="1"/>
  <c r="G223" i="18"/>
  <c r="H222" i="18"/>
  <c r="U222" i="18" s="1"/>
  <c r="G222" i="18"/>
  <c r="H221" i="18"/>
  <c r="U221" i="18" s="1"/>
  <c r="G221" i="18"/>
  <c r="H219" i="18"/>
  <c r="U219" i="18" s="1"/>
  <c r="G219" i="18"/>
  <c r="H218" i="18"/>
  <c r="U218" i="18" s="1"/>
  <c r="G218" i="18"/>
  <c r="H217" i="18"/>
  <c r="U217" i="18" s="1"/>
  <c r="G217" i="18"/>
  <c r="H216" i="18"/>
  <c r="U216" i="18" s="1"/>
  <c r="G216" i="18"/>
  <c r="H215" i="18"/>
  <c r="U215" i="18" s="1"/>
  <c r="G215" i="18"/>
  <c r="H214" i="18"/>
  <c r="U214" i="18" s="1"/>
  <c r="G214" i="18"/>
  <c r="H212" i="18"/>
  <c r="U212" i="18" s="1"/>
  <c r="G212" i="18"/>
  <c r="H211" i="18"/>
  <c r="U211" i="18" s="1"/>
  <c r="G211" i="18"/>
  <c r="H210" i="18"/>
  <c r="U210" i="18" s="1"/>
  <c r="G210" i="18"/>
  <c r="H209" i="18"/>
  <c r="U209" i="18" s="1"/>
  <c r="G209" i="18"/>
  <c r="H208" i="18"/>
  <c r="U208" i="18" s="1"/>
  <c r="G208" i="18"/>
  <c r="H207" i="18"/>
  <c r="U207" i="18" s="1"/>
  <c r="G207" i="18"/>
  <c r="H206" i="18"/>
  <c r="G206" i="18"/>
  <c r="H205" i="18"/>
  <c r="U205" i="18" s="1"/>
  <c r="G205" i="18"/>
  <c r="H204" i="18"/>
  <c r="U204" i="18" s="1"/>
  <c r="G204" i="18"/>
  <c r="H203" i="18"/>
  <c r="U203" i="18" s="1"/>
  <c r="G203" i="18"/>
  <c r="H202" i="18"/>
  <c r="U202" i="18" s="1"/>
  <c r="G202" i="18"/>
  <c r="H201" i="18"/>
  <c r="U201" i="18" s="1"/>
  <c r="G201" i="18"/>
  <c r="H200" i="18"/>
  <c r="U200" i="18" s="1"/>
  <c r="G200" i="18"/>
  <c r="H199" i="18"/>
  <c r="G199" i="18"/>
  <c r="H198" i="18"/>
  <c r="U198" i="18" s="1"/>
  <c r="G198" i="18"/>
  <c r="H197" i="18"/>
  <c r="U197" i="18" s="1"/>
  <c r="G197" i="18"/>
  <c r="H196" i="18"/>
  <c r="U196" i="18" s="1"/>
  <c r="G196" i="18"/>
  <c r="H195" i="18"/>
  <c r="U195" i="18" s="1"/>
  <c r="G195" i="18"/>
  <c r="H194" i="18"/>
  <c r="U194" i="18" s="1"/>
  <c r="G194" i="18"/>
  <c r="H191" i="18"/>
  <c r="U191" i="18" s="1"/>
  <c r="G191" i="18"/>
  <c r="H190" i="18"/>
  <c r="U190" i="18" s="1"/>
  <c r="G190" i="18"/>
  <c r="H189" i="18"/>
  <c r="U189" i="18" s="1"/>
  <c r="G189" i="18"/>
  <c r="H188" i="18"/>
  <c r="U188" i="18" s="1"/>
  <c r="G188" i="18"/>
  <c r="H187" i="18"/>
  <c r="U187" i="18" s="1"/>
  <c r="G187" i="18"/>
  <c r="H186" i="18"/>
  <c r="U186" i="18" s="1"/>
  <c r="G186" i="18"/>
  <c r="H184" i="18"/>
  <c r="U184" i="18" s="1"/>
  <c r="G184" i="18"/>
  <c r="H183" i="18"/>
  <c r="U183" i="18" s="1"/>
  <c r="G183" i="18"/>
  <c r="H182" i="18"/>
  <c r="U182" i="18" s="1"/>
  <c r="G182" i="18"/>
  <c r="H181" i="18"/>
  <c r="U181" i="18" s="1"/>
  <c r="G181" i="18"/>
  <c r="H180" i="18"/>
  <c r="U180" i="18" s="1"/>
  <c r="G180" i="18"/>
  <c r="H179" i="18"/>
  <c r="U179" i="18" s="1"/>
  <c r="G179" i="18"/>
  <c r="H177" i="18"/>
  <c r="U177" i="18" s="1"/>
  <c r="G177" i="18"/>
  <c r="H176" i="18"/>
  <c r="U176" i="18" s="1"/>
  <c r="G176" i="18"/>
  <c r="H174" i="18"/>
  <c r="U174" i="18" s="1"/>
  <c r="G174" i="18"/>
  <c r="H173" i="18"/>
  <c r="U173" i="18" s="1"/>
  <c r="G173" i="18"/>
  <c r="H172" i="18"/>
  <c r="U172" i="18" s="1"/>
  <c r="G172" i="18"/>
  <c r="H170" i="18"/>
  <c r="U170" i="18" s="1"/>
  <c r="G170" i="18"/>
  <c r="H169" i="18"/>
  <c r="U169" i="18" s="1"/>
  <c r="G169" i="18"/>
  <c r="H168" i="18"/>
  <c r="U168" i="18" s="1"/>
  <c r="G168" i="18"/>
  <c r="H167" i="18"/>
  <c r="U167" i="18" s="1"/>
  <c r="G167" i="18"/>
  <c r="H166" i="18"/>
  <c r="U166" i="18" s="1"/>
  <c r="G166" i="18"/>
  <c r="H163" i="18"/>
  <c r="U163" i="18" s="1"/>
  <c r="G163" i="18"/>
  <c r="H162" i="18"/>
  <c r="U162" i="18" s="1"/>
  <c r="G162" i="18"/>
  <c r="H161" i="18"/>
  <c r="U161" i="18" s="1"/>
  <c r="G161" i="18"/>
  <c r="H160" i="18"/>
  <c r="U160" i="18" s="1"/>
  <c r="G160" i="18"/>
  <c r="H159" i="18"/>
  <c r="U159" i="18" s="1"/>
  <c r="G159" i="18"/>
  <c r="H158" i="18"/>
  <c r="U158" i="18" s="1"/>
  <c r="G158" i="18"/>
  <c r="H157" i="18"/>
  <c r="G157" i="18"/>
  <c r="H156" i="18"/>
  <c r="U156" i="18" s="1"/>
  <c r="G156" i="18"/>
  <c r="H155" i="18"/>
  <c r="U155" i="18" s="1"/>
  <c r="G155" i="18"/>
  <c r="H154" i="18"/>
  <c r="U154" i="18" s="1"/>
  <c r="G154" i="18"/>
  <c r="H153" i="18"/>
  <c r="U153" i="18" s="1"/>
  <c r="G153" i="18"/>
  <c r="H152" i="18"/>
  <c r="U152" i="18" s="1"/>
  <c r="G152" i="18"/>
  <c r="H151" i="18"/>
  <c r="U151" i="18" s="1"/>
  <c r="G151" i="18"/>
  <c r="H149" i="18"/>
  <c r="U149" i="18" s="1"/>
  <c r="G149" i="18"/>
  <c r="H148" i="18"/>
  <c r="U148" i="18" s="1"/>
  <c r="G148" i="18"/>
  <c r="H147" i="18"/>
  <c r="U147" i="18" s="1"/>
  <c r="G147" i="18"/>
  <c r="H146" i="18"/>
  <c r="U146" i="18" s="1"/>
  <c r="G146" i="18"/>
  <c r="H145" i="18"/>
  <c r="U145" i="18" s="1"/>
  <c r="G145" i="18"/>
  <c r="H144" i="18"/>
  <c r="U144" i="18" s="1"/>
  <c r="G144" i="18"/>
  <c r="H142" i="18"/>
  <c r="U142" i="18" s="1"/>
  <c r="G142" i="18"/>
  <c r="H141" i="18"/>
  <c r="U141" i="18" s="1"/>
  <c r="G141" i="18"/>
  <c r="H140" i="18"/>
  <c r="U140" i="18" s="1"/>
  <c r="G140" i="18"/>
  <c r="H139" i="18"/>
  <c r="U139" i="18" s="1"/>
  <c r="G139" i="18"/>
  <c r="H138" i="18"/>
  <c r="U138" i="18" s="1"/>
  <c r="G138" i="18"/>
  <c r="H137" i="18"/>
  <c r="U137" i="18" s="1"/>
  <c r="G137" i="18"/>
  <c r="H135" i="18"/>
  <c r="U135" i="18" s="1"/>
  <c r="G135" i="18"/>
  <c r="H134" i="18"/>
  <c r="U134" i="18" s="1"/>
  <c r="G134" i="18"/>
  <c r="H133" i="18"/>
  <c r="U133" i="18" s="1"/>
  <c r="G133" i="18"/>
  <c r="H132" i="18"/>
  <c r="U132" i="18" s="1"/>
  <c r="G132" i="18"/>
  <c r="H131" i="18"/>
  <c r="G131" i="18"/>
  <c r="L124" i="18"/>
  <c r="L125" i="18" s="1"/>
  <c r="L126" i="18" s="1"/>
  <c r="L127" i="18" s="1"/>
  <c r="L128" i="18" s="1"/>
  <c r="L130" i="18" s="1"/>
  <c r="L131" i="18" s="1"/>
  <c r="L132" i="18" s="1"/>
  <c r="L133" i="18" s="1"/>
  <c r="L134" i="18" s="1"/>
  <c r="L135" i="18" s="1"/>
  <c r="L137" i="18" s="1"/>
  <c r="K124" i="18"/>
  <c r="K125" i="18" s="1"/>
  <c r="K126" i="18" s="1"/>
  <c r="K127" i="18" s="1"/>
  <c r="K128" i="18" s="1"/>
  <c r="K130" i="18" s="1"/>
  <c r="K131" i="18" s="1"/>
  <c r="K132" i="18" s="1"/>
  <c r="K133" i="18" s="1"/>
  <c r="K134" i="18" s="1"/>
  <c r="K135" i="18" s="1"/>
  <c r="K137" i="18" s="1"/>
  <c r="J124" i="18"/>
  <c r="J125" i="18" s="1"/>
  <c r="J126" i="18" s="1"/>
  <c r="J127" i="18" s="1"/>
  <c r="J128" i="18" s="1"/>
  <c r="J130" i="18" s="1"/>
  <c r="J131" i="18" s="1"/>
  <c r="J132" i="18" s="1"/>
  <c r="J133" i="18" s="1"/>
  <c r="J134" i="18" s="1"/>
  <c r="J135" i="18" s="1"/>
  <c r="J137" i="18" s="1"/>
  <c r="I124" i="18"/>
  <c r="AA9" i="18" l="1"/>
  <c r="AA10" i="18"/>
  <c r="AE10" i="18"/>
  <c r="AE9" i="18"/>
  <c r="W137" i="18"/>
  <c r="W146" i="18"/>
  <c r="W155" i="18"/>
  <c r="W163" i="18"/>
  <c r="W169" i="18"/>
  <c r="W174" i="18"/>
  <c r="W184" i="18"/>
  <c r="W189" i="18"/>
  <c r="W195" i="18"/>
  <c r="W203" i="18"/>
  <c r="W207" i="18"/>
  <c r="W211" i="18"/>
  <c r="W216" i="18"/>
  <c r="W221" i="18"/>
  <c r="W225" i="18"/>
  <c r="W230" i="18"/>
  <c r="W236" i="18"/>
  <c r="W240" i="18"/>
  <c r="W244" i="18"/>
  <c r="W248" i="18"/>
  <c r="W252" i="18"/>
  <c r="W256" i="18"/>
  <c r="W260" i="18"/>
  <c r="W132" i="18"/>
  <c r="W141" i="18"/>
  <c r="W151" i="18"/>
  <c r="W159" i="18"/>
  <c r="W180" i="18"/>
  <c r="W23" i="10"/>
  <c r="W28" i="10"/>
  <c r="AA9" i="10"/>
  <c r="AE9" i="10"/>
  <c r="W25" i="10"/>
  <c r="W21" i="10"/>
  <c r="W26" i="10"/>
  <c r="W133" i="18"/>
  <c r="W138" i="18"/>
  <c r="W142" i="18"/>
  <c r="W147" i="18"/>
  <c r="W152" i="18"/>
  <c r="W156" i="18"/>
  <c r="W160" i="18"/>
  <c r="W166" i="18"/>
  <c r="W170" i="18"/>
  <c r="W176" i="18"/>
  <c r="W181" i="18"/>
  <c r="W186" i="18"/>
  <c r="W190" i="18"/>
  <c r="W196" i="18"/>
  <c r="W200" i="18"/>
  <c r="W204" i="18"/>
  <c r="W208" i="18"/>
  <c r="W212" i="18"/>
  <c r="W217" i="18"/>
  <c r="W222" i="18"/>
  <c r="W226" i="18"/>
  <c r="W231" i="18"/>
  <c r="W237" i="18"/>
  <c r="W241" i="18"/>
  <c r="W245" i="18"/>
  <c r="W249" i="18"/>
  <c r="W253" i="18"/>
  <c r="W257" i="18"/>
  <c r="W261" i="18"/>
  <c r="AH5" i="11"/>
  <c r="AH4" i="11"/>
  <c r="AE10" i="11"/>
  <c r="AE9" i="11"/>
  <c r="AE5" i="11"/>
  <c r="AE4" i="11"/>
  <c r="AA9" i="11"/>
  <c r="AA10" i="11"/>
  <c r="AE10" i="8"/>
  <c r="AH5" i="8"/>
  <c r="AE9" i="8"/>
  <c r="AE4" i="8"/>
  <c r="AA9" i="8"/>
  <c r="AA10" i="8"/>
  <c r="I217" i="18"/>
  <c r="V217" i="18" s="1"/>
  <c r="X217" i="18" s="1"/>
  <c r="V216" i="18"/>
  <c r="X216" i="18" s="1"/>
  <c r="W134" i="18"/>
  <c r="W139" i="18"/>
  <c r="W144" i="18"/>
  <c r="W148" i="18"/>
  <c r="W153" i="18"/>
  <c r="U157" i="18"/>
  <c r="W157" i="18" s="1"/>
  <c r="X157" i="18"/>
  <c r="W161" i="18"/>
  <c r="W167" i="18"/>
  <c r="W172" i="18"/>
  <c r="W177" i="18"/>
  <c r="W182" i="18"/>
  <c r="W187" i="18"/>
  <c r="W191" i="18"/>
  <c r="W197" i="18"/>
  <c r="W201" i="18"/>
  <c r="W205" i="18"/>
  <c r="W209" i="18"/>
  <c r="W214" i="18"/>
  <c r="W218" i="18"/>
  <c r="W223" i="18"/>
  <c r="W228" i="18"/>
  <c r="W232" i="18"/>
  <c r="W238" i="18"/>
  <c r="W242" i="18"/>
  <c r="W246" i="18"/>
  <c r="W250" i="18"/>
  <c r="W254" i="18"/>
  <c r="W258" i="18"/>
  <c r="W262" i="18"/>
  <c r="U266" i="18"/>
  <c r="W266" i="18" s="1"/>
  <c r="X266" i="18"/>
  <c r="U273" i="18"/>
  <c r="W273" i="18" s="1"/>
  <c r="X273" i="18"/>
  <c r="U277" i="18"/>
  <c r="W277" i="18" s="1"/>
  <c r="X277" i="18"/>
  <c r="U281" i="18"/>
  <c r="W281" i="18" s="1"/>
  <c r="X281" i="18"/>
  <c r="X285" i="18"/>
  <c r="U285" i="18"/>
  <c r="W285" i="18" s="1"/>
  <c r="U289" i="18"/>
  <c r="W289" i="18" s="1"/>
  <c r="X289" i="18"/>
  <c r="U295" i="18"/>
  <c r="W295" i="18" s="1"/>
  <c r="X295" i="18"/>
  <c r="U299" i="18"/>
  <c r="W299" i="18" s="1"/>
  <c r="X299" i="18"/>
  <c r="U303" i="18"/>
  <c r="W303" i="18" s="1"/>
  <c r="X303" i="18"/>
  <c r="U308" i="18"/>
  <c r="W308" i="18" s="1"/>
  <c r="X308" i="18"/>
  <c r="U313" i="18"/>
  <c r="W313" i="18" s="1"/>
  <c r="X313" i="18"/>
  <c r="X317" i="18"/>
  <c r="U317" i="18"/>
  <c r="W317" i="18" s="1"/>
  <c r="U322" i="18"/>
  <c r="W322" i="18" s="1"/>
  <c r="X322" i="18"/>
  <c r="U327" i="18"/>
  <c r="W327" i="18" s="1"/>
  <c r="X327" i="18"/>
  <c r="U331" i="18"/>
  <c r="W331" i="18" s="1"/>
  <c r="X331" i="18"/>
  <c r="U336" i="18"/>
  <c r="W336" i="18" s="1"/>
  <c r="X336" i="18"/>
  <c r="U341" i="18"/>
  <c r="W341" i="18" s="1"/>
  <c r="X341" i="18"/>
  <c r="U345" i="18"/>
  <c r="W345" i="18" s="1"/>
  <c r="X345" i="18"/>
  <c r="X351" i="18"/>
  <c r="U351" i="18"/>
  <c r="W351" i="18" s="1"/>
  <c r="X355" i="18"/>
  <c r="U355" i="18"/>
  <c r="W355" i="18" s="1"/>
  <c r="X359" i="18"/>
  <c r="U359" i="18"/>
  <c r="W359" i="18" s="1"/>
  <c r="I156" i="18"/>
  <c r="V155" i="18"/>
  <c r="X155" i="18" s="1"/>
  <c r="U131" i="18"/>
  <c r="W131" i="18" s="1"/>
  <c r="AH5" i="18"/>
  <c r="AH4" i="18"/>
  <c r="W140" i="18"/>
  <c r="W149" i="18"/>
  <c r="W158" i="18"/>
  <c r="W173" i="18"/>
  <c r="W183" i="18"/>
  <c r="W194" i="18"/>
  <c r="W202" i="18"/>
  <c r="W210" i="18"/>
  <c r="W215" i="18"/>
  <c r="W219" i="18"/>
  <c r="W229" i="18"/>
  <c r="W233" i="18"/>
  <c r="W239" i="18"/>
  <c r="W243" i="18"/>
  <c r="W247" i="18"/>
  <c r="W251" i="18"/>
  <c r="W255" i="18"/>
  <c r="W259" i="18"/>
  <c r="U263" i="18"/>
  <c r="W263" i="18" s="1"/>
  <c r="X263" i="18"/>
  <c r="U267" i="18"/>
  <c r="W267" i="18" s="1"/>
  <c r="X267" i="18"/>
  <c r="U274" i="18"/>
  <c r="W274" i="18" s="1"/>
  <c r="X274" i="18"/>
  <c r="U278" i="18"/>
  <c r="W278" i="18" s="1"/>
  <c r="X278" i="18"/>
  <c r="U282" i="18"/>
  <c r="W282" i="18" s="1"/>
  <c r="X282" i="18"/>
  <c r="U286" i="18"/>
  <c r="W286" i="18" s="1"/>
  <c r="X286" i="18"/>
  <c r="U292" i="18"/>
  <c r="W292" i="18" s="1"/>
  <c r="X292" i="18"/>
  <c r="U296" i="18"/>
  <c r="W296" i="18" s="1"/>
  <c r="X296" i="18"/>
  <c r="U300" i="18"/>
  <c r="W300" i="18" s="1"/>
  <c r="X300" i="18"/>
  <c r="U305" i="18"/>
  <c r="W305" i="18" s="1"/>
  <c r="X305" i="18"/>
  <c r="U309" i="18"/>
  <c r="W309" i="18" s="1"/>
  <c r="X309" i="18"/>
  <c r="U314" i="18"/>
  <c r="W314" i="18" s="1"/>
  <c r="X314" i="18"/>
  <c r="U319" i="18"/>
  <c r="W319" i="18" s="1"/>
  <c r="X319" i="18"/>
  <c r="U323" i="18"/>
  <c r="W323" i="18" s="1"/>
  <c r="X323" i="18"/>
  <c r="U328" i="18"/>
  <c r="W328" i="18" s="1"/>
  <c r="X328" i="18"/>
  <c r="X333" i="18"/>
  <c r="U333" i="18"/>
  <c r="W333" i="18" s="1"/>
  <c r="X337" i="18"/>
  <c r="U337" i="18"/>
  <c r="W337" i="18" s="1"/>
  <c r="U342" i="18"/>
  <c r="W342" i="18" s="1"/>
  <c r="X342" i="18"/>
  <c r="U348" i="18"/>
  <c r="W348" i="18" s="1"/>
  <c r="X348" i="18"/>
  <c r="U352" i="18"/>
  <c r="W352" i="18" s="1"/>
  <c r="X352" i="18"/>
  <c r="U356" i="18"/>
  <c r="W356" i="18" s="1"/>
  <c r="X356" i="18"/>
  <c r="AE4" i="18"/>
  <c r="AE5" i="18"/>
  <c r="I247" i="18"/>
  <c r="V247" i="18" s="1"/>
  <c r="X247" i="18" s="1"/>
  <c r="V246" i="18"/>
  <c r="X246" i="18" s="1"/>
  <c r="W135" i="18"/>
  <c r="W145" i="18"/>
  <c r="W154" i="18"/>
  <c r="W162" i="18"/>
  <c r="W168" i="18"/>
  <c r="W179" i="18"/>
  <c r="W188" i="18"/>
  <c r="W198" i="18"/>
  <c r="U206" i="18"/>
  <c r="W206" i="18" s="1"/>
  <c r="X206" i="18"/>
  <c r="W224" i="18"/>
  <c r="I163" i="18"/>
  <c r="V162" i="18"/>
  <c r="X162" i="18" s="1"/>
  <c r="U264" i="18"/>
  <c r="W264" i="18" s="1"/>
  <c r="X264" i="18"/>
  <c r="U275" i="18"/>
  <c r="W275" i="18" s="1"/>
  <c r="X275" i="18"/>
  <c r="U283" i="18"/>
  <c r="W283" i="18" s="1"/>
  <c r="X283" i="18"/>
  <c r="U293" i="18"/>
  <c r="W293" i="18" s="1"/>
  <c r="X293" i="18"/>
  <c r="U301" i="18"/>
  <c r="W301" i="18" s="1"/>
  <c r="X301" i="18"/>
  <c r="U310" i="18"/>
  <c r="W310" i="18" s="1"/>
  <c r="X310" i="18"/>
  <c r="U315" i="18"/>
  <c r="W315" i="18" s="1"/>
  <c r="X315" i="18"/>
  <c r="U324" i="18"/>
  <c r="W324" i="18" s="1"/>
  <c r="X324" i="18"/>
  <c r="U329" i="18"/>
  <c r="W329" i="18" s="1"/>
  <c r="X329" i="18"/>
  <c r="U334" i="18"/>
  <c r="W334" i="18" s="1"/>
  <c r="X334" i="18"/>
  <c r="U338" i="18"/>
  <c r="W338" i="18" s="1"/>
  <c r="X338" i="18"/>
  <c r="X343" i="18"/>
  <c r="U343" i="18"/>
  <c r="W343" i="18" s="1"/>
  <c r="U349" i="18"/>
  <c r="W349" i="18" s="1"/>
  <c r="X349" i="18"/>
  <c r="U353" i="18"/>
  <c r="W353" i="18" s="1"/>
  <c r="X353" i="18"/>
  <c r="U199" i="18"/>
  <c r="W199" i="18" s="1"/>
  <c r="X199" i="18"/>
  <c r="U268" i="18"/>
  <c r="W268" i="18" s="1"/>
  <c r="X268" i="18"/>
  <c r="U279" i="18"/>
  <c r="W279" i="18" s="1"/>
  <c r="X279" i="18"/>
  <c r="U287" i="18"/>
  <c r="W287" i="18" s="1"/>
  <c r="X287" i="18"/>
  <c r="U297" i="18"/>
  <c r="W297" i="18" s="1"/>
  <c r="X297" i="18"/>
  <c r="U306" i="18"/>
  <c r="W306" i="18" s="1"/>
  <c r="X306" i="18"/>
  <c r="U320" i="18"/>
  <c r="W320" i="18" s="1"/>
  <c r="X320" i="18"/>
  <c r="U357" i="18"/>
  <c r="W357" i="18" s="1"/>
  <c r="X357" i="18"/>
  <c r="I125" i="18"/>
  <c r="V124" i="18"/>
  <c r="X124" i="18" s="1"/>
  <c r="I188" i="18"/>
  <c r="V188" i="18" s="1"/>
  <c r="X188" i="18" s="1"/>
  <c r="V186" i="18"/>
  <c r="X186" i="18" s="1"/>
  <c r="U265" i="18"/>
  <c r="W265" i="18" s="1"/>
  <c r="X265" i="18"/>
  <c r="U272" i="18"/>
  <c r="W272" i="18" s="1"/>
  <c r="X272" i="18"/>
  <c r="U276" i="18"/>
  <c r="W276" i="18" s="1"/>
  <c r="X276" i="18"/>
  <c r="U280" i="18"/>
  <c r="W280" i="18" s="1"/>
  <c r="X280" i="18"/>
  <c r="U284" i="18"/>
  <c r="W284" i="18" s="1"/>
  <c r="X284" i="18"/>
  <c r="U288" i="18"/>
  <c r="W288" i="18" s="1"/>
  <c r="X288" i="18"/>
  <c r="U294" i="18"/>
  <c r="W294" i="18" s="1"/>
  <c r="X294" i="18"/>
  <c r="U298" i="18"/>
  <c r="W298" i="18" s="1"/>
  <c r="X298" i="18"/>
  <c r="U302" i="18"/>
  <c r="W302" i="18" s="1"/>
  <c r="X302" i="18"/>
  <c r="U307" i="18"/>
  <c r="W307" i="18" s="1"/>
  <c r="X307" i="18"/>
  <c r="U312" i="18"/>
  <c r="W312" i="18" s="1"/>
  <c r="X312" i="18"/>
  <c r="U316" i="18"/>
  <c r="W316" i="18" s="1"/>
  <c r="X316" i="18"/>
  <c r="U321" i="18"/>
  <c r="W321" i="18" s="1"/>
  <c r="X321" i="18"/>
  <c r="U326" i="18"/>
  <c r="W326" i="18" s="1"/>
  <c r="X326" i="18"/>
  <c r="U330" i="18"/>
  <c r="W330" i="18" s="1"/>
  <c r="X330" i="18"/>
  <c r="U335" i="18"/>
  <c r="W335" i="18" s="1"/>
  <c r="X335" i="18"/>
  <c r="U340" i="18"/>
  <c r="W340" i="18" s="1"/>
  <c r="X340" i="18"/>
  <c r="U344" i="18"/>
  <c r="W344" i="18" s="1"/>
  <c r="X344" i="18"/>
  <c r="U350" i="18"/>
  <c r="W350" i="18" s="1"/>
  <c r="X350" i="18"/>
  <c r="U354" i="18"/>
  <c r="W354" i="18" s="1"/>
  <c r="X354" i="18"/>
  <c r="U358" i="18"/>
  <c r="W358" i="18" s="1"/>
  <c r="X358" i="18"/>
  <c r="I187" i="18"/>
  <c r="J21" i="10"/>
  <c r="J22" i="10" s="1"/>
  <c r="J23" i="10" s="1"/>
  <c r="J25" i="10" s="1"/>
  <c r="J26" i="10" s="1"/>
  <c r="J27" i="10" s="1"/>
  <c r="J28" i="10" s="1"/>
  <c r="AE11" i="10"/>
  <c r="AE5" i="10"/>
  <c r="AE4" i="10"/>
  <c r="AA10" i="10"/>
  <c r="AA11" i="10"/>
  <c r="U20" i="10"/>
  <c r="W20" i="10" s="1"/>
  <c r="AE10" i="10"/>
  <c r="AH5" i="10"/>
  <c r="AH4" i="10"/>
  <c r="W133" i="10"/>
  <c r="W132" i="10"/>
  <c r="I21" i="10"/>
  <c r="V21" i="10" s="1"/>
  <c r="X21" i="10" s="1"/>
  <c r="V20" i="10"/>
  <c r="X20" i="10" s="1"/>
  <c r="U139" i="10"/>
  <c r="W139" i="10" s="1"/>
  <c r="X139" i="10"/>
  <c r="U144" i="10"/>
  <c r="W144" i="10" s="1"/>
  <c r="X144" i="10"/>
  <c r="X148" i="10"/>
  <c r="U148" i="10"/>
  <c r="W148" i="10" s="1"/>
  <c r="U152" i="10"/>
  <c r="W152" i="10" s="1"/>
  <c r="X152" i="10"/>
  <c r="U156" i="10"/>
  <c r="W156" i="10" s="1"/>
  <c r="X156" i="10"/>
  <c r="X160" i="10"/>
  <c r="U160" i="10"/>
  <c r="W160" i="10" s="1"/>
  <c r="U164" i="10"/>
  <c r="W164" i="10" s="1"/>
  <c r="X164" i="10"/>
  <c r="U168" i="10"/>
  <c r="W168" i="10" s="1"/>
  <c r="X168" i="10"/>
  <c r="U173" i="10"/>
  <c r="W173" i="10" s="1"/>
  <c r="X173" i="10"/>
  <c r="U177" i="10"/>
  <c r="W177" i="10" s="1"/>
  <c r="X177" i="10"/>
  <c r="U181" i="10"/>
  <c r="W181" i="10" s="1"/>
  <c r="X181" i="10"/>
  <c r="U171" i="10"/>
  <c r="W171" i="10" s="1"/>
  <c r="X171" i="10"/>
  <c r="X189" i="10"/>
  <c r="U189" i="10"/>
  <c r="W189" i="10" s="1"/>
  <c r="X194" i="10"/>
  <c r="U194" i="10"/>
  <c r="W194" i="10" s="1"/>
  <c r="U198" i="10"/>
  <c r="W198" i="10" s="1"/>
  <c r="X198" i="10"/>
  <c r="U203" i="10"/>
  <c r="W203" i="10" s="1"/>
  <c r="X203" i="10"/>
  <c r="U208" i="10"/>
  <c r="W208" i="10" s="1"/>
  <c r="X208" i="10"/>
  <c r="U212" i="10"/>
  <c r="W212" i="10" s="1"/>
  <c r="X212" i="10"/>
  <c r="U217" i="10"/>
  <c r="W217" i="10" s="1"/>
  <c r="X217" i="10"/>
  <c r="U221" i="10"/>
  <c r="W221" i="10" s="1"/>
  <c r="X221" i="10"/>
  <c r="U225" i="10"/>
  <c r="W225" i="10" s="1"/>
  <c r="X225" i="10"/>
  <c r="U229" i="10"/>
  <c r="W229" i="10" s="1"/>
  <c r="X229" i="10"/>
  <c r="U233" i="10"/>
  <c r="W233" i="10" s="1"/>
  <c r="X233" i="10"/>
  <c r="U237" i="10"/>
  <c r="W237" i="10" s="1"/>
  <c r="X237" i="10"/>
  <c r="U241" i="10"/>
  <c r="W241" i="10" s="1"/>
  <c r="X241" i="10"/>
  <c r="U245" i="10"/>
  <c r="W245" i="10" s="1"/>
  <c r="X245" i="10"/>
  <c r="U249" i="10"/>
  <c r="W249" i="10" s="1"/>
  <c r="X249" i="10"/>
  <c r="U253" i="10"/>
  <c r="W253" i="10" s="1"/>
  <c r="X253" i="10"/>
  <c r="U257" i="10"/>
  <c r="W257" i="10" s="1"/>
  <c r="X257" i="10"/>
  <c r="U261" i="10"/>
  <c r="W261" i="10" s="1"/>
  <c r="X261" i="10"/>
  <c r="U265" i="10"/>
  <c r="W265" i="10" s="1"/>
  <c r="X265" i="10"/>
  <c r="U269" i="10"/>
  <c r="W269" i="10" s="1"/>
  <c r="X269" i="10"/>
  <c r="U273" i="10"/>
  <c r="W273" i="10" s="1"/>
  <c r="X273" i="10"/>
  <c r="U277" i="10"/>
  <c r="W277" i="10" s="1"/>
  <c r="X277" i="10"/>
  <c r="U281" i="10"/>
  <c r="W281" i="10" s="1"/>
  <c r="X281" i="10"/>
  <c r="U285" i="10"/>
  <c r="W285" i="10" s="1"/>
  <c r="X285" i="10"/>
  <c r="U289" i="10"/>
  <c r="W289" i="10" s="1"/>
  <c r="X289" i="10"/>
  <c r="U293" i="10"/>
  <c r="W293" i="10" s="1"/>
  <c r="X293" i="10"/>
  <c r="U297" i="10"/>
  <c r="W297" i="10" s="1"/>
  <c r="X297" i="10"/>
  <c r="U301" i="10"/>
  <c r="W301" i="10" s="1"/>
  <c r="X301" i="10"/>
  <c r="U305" i="10"/>
  <c r="W305" i="10" s="1"/>
  <c r="X305" i="10"/>
  <c r="U309" i="10"/>
  <c r="W309" i="10" s="1"/>
  <c r="X309" i="10"/>
  <c r="U313" i="10"/>
  <c r="W313" i="10" s="1"/>
  <c r="X313" i="10"/>
  <c r="U317" i="10"/>
  <c r="W317" i="10" s="1"/>
  <c r="X317" i="10"/>
  <c r="U321" i="10"/>
  <c r="W321" i="10" s="1"/>
  <c r="X321" i="10"/>
  <c r="U325" i="10"/>
  <c r="W325" i="10" s="1"/>
  <c r="X325" i="10"/>
  <c r="U329" i="10"/>
  <c r="W329" i="10" s="1"/>
  <c r="X329" i="10"/>
  <c r="U333" i="10"/>
  <c r="W333" i="10" s="1"/>
  <c r="X333" i="10"/>
  <c r="U337" i="10"/>
  <c r="W337" i="10" s="1"/>
  <c r="X337" i="10"/>
  <c r="U341" i="10"/>
  <c r="W341" i="10" s="1"/>
  <c r="X341" i="10"/>
  <c r="U345" i="10"/>
  <c r="W345" i="10" s="1"/>
  <c r="X345" i="10"/>
  <c r="U349" i="10"/>
  <c r="W349" i="10" s="1"/>
  <c r="X349" i="10"/>
  <c r="U353" i="10"/>
  <c r="W353" i="10" s="1"/>
  <c r="X353" i="10"/>
  <c r="U357" i="10"/>
  <c r="W357" i="10" s="1"/>
  <c r="X357" i="10"/>
  <c r="U361" i="10"/>
  <c r="W361" i="10" s="1"/>
  <c r="X361" i="10"/>
  <c r="U365" i="10"/>
  <c r="W365" i="10" s="1"/>
  <c r="X365" i="10"/>
  <c r="I126" i="10"/>
  <c r="V125" i="10"/>
  <c r="X125" i="10" s="1"/>
  <c r="U140" i="10"/>
  <c r="W140" i="10" s="1"/>
  <c r="X140" i="10"/>
  <c r="U145" i="10"/>
  <c r="W145" i="10" s="1"/>
  <c r="X145" i="10"/>
  <c r="U149" i="10"/>
  <c r="W149" i="10" s="1"/>
  <c r="X149" i="10"/>
  <c r="U153" i="10"/>
  <c r="W153" i="10" s="1"/>
  <c r="X153" i="10"/>
  <c r="U157" i="10"/>
  <c r="W157" i="10" s="1"/>
  <c r="X157" i="10"/>
  <c r="U161" i="10"/>
  <c r="W161" i="10" s="1"/>
  <c r="X161" i="10"/>
  <c r="U165" i="10"/>
  <c r="W165" i="10" s="1"/>
  <c r="X165" i="10"/>
  <c r="U169" i="10"/>
  <c r="W169" i="10" s="1"/>
  <c r="X169" i="10"/>
  <c r="U174" i="10"/>
  <c r="W174" i="10" s="1"/>
  <c r="X174" i="10"/>
  <c r="X178" i="10"/>
  <c r="U178" i="10"/>
  <c r="W178" i="10" s="1"/>
  <c r="U182" i="10"/>
  <c r="W182" i="10" s="1"/>
  <c r="X182" i="10"/>
  <c r="X186" i="10"/>
  <c r="U186" i="10"/>
  <c r="W186" i="10" s="1"/>
  <c r="U190" i="10"/>
  <c r="W190" i="10" s="1"/>
  <c r="X190" i="10"/>
  <c r="U195" i="10"/>
  <c r="W195" i="10" s="1"/>
  <c r="X195" i="10"/>
  <c r="U200" i="10"/>
  <c r="W200" i="10" s="1"/>
  <c r="X200" i="10"/>
  <c r="U204" i="10"/>
  <c r="W204" i="10" s="1"/>
  <c r="X204" i="10"/>
  <c r="U209" i="10"/>
  <c r="W209" i="10" s="1"/>
  <c r="X209" i="10"/>
  <c r="U214" i="10"/>
  <c r="W214" i="10" s="1"/>
  <c r="X214" i="10"/>
  <c r="U218" i="10"/>
  <c r="W218" i="10" s="1"/>
  <c r="X218" i="10"/>
  <c r="U222" i="10"/>
  <c r="W222" i="10" s="1"/>
  <c r="X222" i="10"/>
  <c r="U226" i="10"/>
  <c r="W226" i="10" s="1"/>
  <c r="X226" i="10"/>
  <c r="U230" i="10"/>
  <c r="W230" i="10" s="1"/>
  <c r="X230" i="10"/>
  <c r="U234" i="10"/>
  <c r="W234" i="10" s="1"/>
  <c r="X234" i="10"/>
  <c r="U238" i="10"/>
  <c r="W238" i="10" s="1"/>
  <c r="X238" i="10"/>
  <c r="U242" i="10"/>
  <c r="W242" i="10" s="1"/>
  <c r="X242" i="10"/>
  <c r="U246" i="10"/>
  <c r="W246" i="10" s="1"/>
  <c r="X246" i="10"/>
  <c r="U250" i="10"/>
  <c r="W250" i="10" s="1"/>
  <c r="X250" i="10"/>
  <c r="U254" i="10"/>
  <c r="W254" i="10" s="1"/>
  <c r="X254" i="10"/>
  <c r="U258" i="10"/>
  <c r="W258" i="10" s="1"/>
  <c r="X258" i="10"/>
  <c r="U262" i="10"/>
  <c r="W262" i="10" s="1"/>
  <c r="X262" i="10"/>
  <c r="U266" i="10"/>
  <c r="W266" i="10" s="1"/>
  <c r="X266" i="10"/>
  <c r="U270" i="10"/>
  <c r="W270" i="10" s="1"/>
  <c r="X270" i="10"/>
  <c r="U274" i="10"/>
  <c r="W274" i="10" s="1"/>
  <c r="X274" i="10"/>
  <c r="U278" i="10"/>
  <c r="W278" i="10" s="1"/>
  <c r="X278" i="10"/>
  <c r="U282" i="10"/>
  <c r="W282" i="10" s="1"/>
  <c r="X282" i="10"/>
  <c r="U286" i="10"/>
  <c r="W286" i="10" s="1"/>
  <c r="X286" i="10"/>
  <c r="U290" i="10"/>
  <c r="W290" i="10" s="1"/>
  <c r="X290" i="10"/>
  <c r="U294" i="10"/>
  <c r="W294" i="10" s="1"/>
  <c r="X294" i="10"/>
  <c r="U298" i="10"/>
  <c r="W298" i="10" s="1"/>
  <c r="X298" i="10"/>
  <c r="U302" i="10"/>
  <c r="W302" i="10" s="1"/>
  <c r="X302" i="10"/>
  <c r="U306" i="10"/>
  <c r="W306" i="10" s="1"/>
  <c r="X306" i="10"/>
  <c r="U310" i="10"/>
  <c r="W310" i="10" s="1"/>
  <c r="X310" i="10"/>
  <c r="U314" i="10"/>
  <c r="W314" i="10" s="1"/>
  <c r="X314" i="10"/>
  <c r="U318" i="10"/>
  <c r="W318" i="10" s="1"/>
  <c r="X318" i="10"/>
  <c r="U322" i="10"/>
  <c r="W322" i="10" s="1"/>
  <c r="X322" i="10"/>
  <c r="U326" i="10"/>
  <c r="W326" i="10" s="1"/>
  <c r="X326" i="10"/>
  <c r="U330" i="10"/>
  <c r="W330" i="10" s="1"/>
  <c r="X330" i="10"/>
  <c r="U334" i="10"/>
  <c r="W334" i="10" s="1"/>
  <c r="X334" i="10"/>
  <c r="U338" i="10"/>
  <c r="W338" i="10" s="1"/>
  <c r="X338" i="10"/>
  <c r="U342" i="10"/>
  <c r="W342" i="10" s="1"/>
  <c r="X342" i="10"/>
  <c r="U346" i="10"/>
  <c r="W346" i="10" s="1"/>
  <c r="X346" i="10"/>
  <c r="U350" i="10"/>
  <c r="W350" i="10" s="1"/>
  <c r="X350" i="10"/>
  <c r="U354" i="10"/>
  <c r="W354" i="10" s="1"/>
  <c r="X354" i="10"/>
  <c r="U358" i="10"/>
  <c r="W358" i="10" s="1"/>
  <c r="X358" i="10"/>
  <c r="U362" i="10"/>
  <c r="W362" i="10" s="1"/>
  <c r="X362" i="10"/>
  <c r="U366" i="10"/>
  <c r="W366" i="10" s="1"/>
  <c r="X366" i="10"/>
  <c r="U137" i="10"/>
  <c r="W137" i="10" s="1"/>
  <c r="X137" i="10"/>
  <c r="U142" i="10"/>
  <c r="W142" i="10" s="1"/>
  <c r="X142" i="10"/>
  <c r="U146" i="10"/>
  <c r="W146" i="10" s="1"/>
  <c r="X146" i="10"/>
  <c r="U150" i="10"/>
  <c r="W150" i="10" s="1"/>
  <c r="X150" i="10"/>
  <c r="X154" i="10"/>
  <c r="U154" i="10"/>
  <c r="W154" i="10" s="1"/>
  <c r="U158" i="10"/>
  <c r="W158" i="10" s="1"/>
  <c r="X158" i="10"/>
  <c r="U162" i="10"/>
  <c r="W162" i="10" s="1"/>
  <c r="X162" i="10"/>
  <c r="X166" i="10"/>
  <c r="U166" i="10"/>
  <c r="W166" i="10" s="1"/>
  <c r="U170" i="10"/>
  <c r="W170" i="10" s="1"/>
  <c r="X170" i="10"/>
  <c r="U175" i="10"/>
  <c r="W175" i="10" s="1"/>
  <c r="X175" i="10"/>
  <c r="U179" i="10"/>
  <c r="W179" i="10" s="1"/>
  <c r="X179" i="10"/>
  <c r="U183" i="10"/>
  <c r="W183" i="10" s="1"/>
  <c r="X183" i="10"/>
  <c r="U187" i="10"/>
  <c r="W187" i="10" s="1"/>
  <c r="X187" i="10"/>
  <c r="U191" i="10"/>
  <c r="W191" i="10" s="1"/>
  <c r="X191" i="10"/>
  <c r="U196" i="10"/>
  <c r="W196" i="10" s="1"/>
  <c r="X196" i="10"/>
  <c r="U201" i="10"/>
  <c r="W201" i="10" s="1"/>
  <c r="X201" i="10"/>
  <c r="U205" i="10"/>
  <c r="W205" i="10" s="1"/>
  <c r="X205" i="10"/>
  <c r="U210" i="10"/>
  <c r="W210" i="10" s="1"/>
  <c r="X210" i="10"/>
  <c r="U215" i="10"/>
  <c r="W215" i="10" s="1"/>
  <c r="X215" i="10"/>
  <c r="U219" i="10"/>
  <c r="W219" i="10" s="1"/>
  <c r="X219" i="10"/>
  <c r="U223" i="10"/>
  <c r="W223" i="10" s="1"/>
  <c r="X223" i="10"/>
  <c r="U227" i="10"/>
  <c r="W227" i="10" s="1"/>
  <c r="X227" i="10"/>
  <c r="U231" i="10"/>
  <c r="W231" i="10" s="1"/>
  <c r="X231" i="10"/>
  <c r="U235" i="10"/>
  <c r="W235" i="10" s="1"/>
  <c r="X235" i="10"/>
  <c r="U239" i="10"/>
  <c r="W239" i="10" s="1"/>
  <c r="X239" i="10"/>
  <c r="U243" i="10"/>
  <c r="W243" i="10" s="1"/>
  <c r="X243" i="10"/>
  <c r="U247" i="10"/>
  <c r="W247" i="10" s="1"/>
  <c r="X247" i="10"/>
  <c r="U251" i="10"/>
  <c r="W251" i="10" s="1"/>
  <c r="X251" i="10"/>
  <c r="U255" i="10"/>
  <c r="W255" i="10" s="1"/>
  <c r="X255" i="10"/>
  <c r="U259" i="10"/>
  <c r="W259" i="10" s="1"/>
  <c r="X259" i="10"/>
  <c r="U263" i="10"/>
  <c r="W263" i="10" s="1"/>
  <c r="X263" i="10"/>
  <c r="U267" i="10"/>
  <c r="W267" i="10" s="1"/>
  <c r="X267" i="10"/>
  <c r="U271" i="10"/>
  <c r="W271" i="10" s="1"/>
  <c r="X271" i="10"/>
  <c r="U275" i="10"/>
  <c r="W275" i="10" s="1"/>
  <c r="X275" i="10"/>
  <c r="U279" i="10"/>
  <c r="W279" i="10" s="1"/>
  <c r="X279" i="10"/>
  <c r="U283" i="10"/>
  <c r="W283" i="10" s="1"/>
  <c r="X283" i="10"/>
  <c r="U287" i="10"/>
  <c r="W287" i="10" s="1"/>
  <c r="X287" i="10"/>
  <c r="U291" i="10"/>
  <c r="W291" i="10" s="1"/>
  <c r="X291" i="10"/>
  <c r="U295" i="10"/>
  <c r="W295" i="10" s="1"/>
  <c r="X295" i="10"/>
  <c r="U299" i="10"/>
  <c r="W299" i="10" s="1"/>
  <c r="X299" i="10"/>
  <c r="U303" i="10"/>
  <c r="W303" i="10" s="1"/>
  <c r="X303" i="10"/>
  <c r="U307" i="10"/>
  <c r="W307" i="10" s="1"/>
  <c r="X307" i="10"/>
  <c r="U311" i="10"/>
  <c r="W311" i="10" s="1"/>
  <c r="X311" i="10"/>
  <c r="U315" i="10"/>
  <c r="W315" i="10" s="1"/>
  <c r="X315" i="10"/>
  <c r="U319" i="10"/>
  <c r="W319" i="10" s="1"/>
  <c r="X319" i="10"/>
  <c r="U323" i="10"/>
  <c r="W323" i="10" s="1"/>
  <c r="X323" i="10"/>
  <c r="U327" i="10"/>
  <c r="W327" i="10" s="1"/>
  <c r="X327" i="10"/>
  <c r="U331" i="10"/>
  <c r="W331" i="10" s="1"/>
  <c r="X331" i="10"/>
  <c r="U335" i="10"/>
  <c r="W335" i="10" s="1"/>
  <c r="X335" i="10"/>
  <c r="U339" i="10"/>
  <c r="W339" i="10" s="1"/>
  <c r="X339" i="10"/>
  <c r="U343" i="10"/>
  <c r="W343" i="10" s="1"/>
  <c r="X343" i="10"/>
  <c r="U347" i="10"/>
  <c r="W347" i="10" s="1"/>
  <c r="X347" i="10"/>
  <c r="U351" i="10"/>
  <c r="W351" i="10" s="1"/>
  <c r="X351" i="10"/>
  <c r="U355" i="10"/>
  <c r="W355" i="10" s="1"/>
  <c r="X355" i="10"/>
  <c r="U359" i="10"/>
  <c r="W359" i="10" s="1"/>
  <c r="X359" i="10"/>
  <c r="U363" i="10"/>
  <c r="W363" i="10" s="1"/>
  <c r="X363" i="10"/>
  <c r="U367" i="10"/>
  <c r="W367" i="10" s="1"/>
  <c r="X367" i="10"/>
  <c r="X138" i="10"/>
  <c r="U138" i="10"/>
  <c r="W138" i="10" s="1"/>
  <c r="U143" i="10"/>
  <c r="W143" i="10" s="1"/>
  <c r="X143" i="10"/>
  <c r="U147" i="10"/>
  <c r="W147" i="10" s="1"/>
  <c r="X147" i="10"/>
  <c r="U151" i="10"/>
  <c r="W151" i="10" s="1"/>
  <c r="X151" i="10"/>
  <c r="U155" i="10"/>
  <c r="W155" i="10" s="1"/>
  <c r="X155" i="10"/>
  <c r="U159" i="10"/>
  <c r="W159" i="10" s="1"/>
  <c r="X159" i="10"/>
  <c r="U163" i="10"/>
  <c r="W163" i="10" s="1"/>
  <c r="X163" i="10"/>
  <c r="U167" i="10"/>
  <c r="W167" i="10" s="1"/>
  <c r="X167" i="10"/>
  <c r="X172" i="10"/>
  <c r="U172" i="10"/>
  <c r="W172" i="10" s="1"/>
  <c r="U176" i="10"/>
  <c r="W176" i="10" s="1"/>
  <c r="X176" i="10"/>
  <c r="U180" i="10"/>
  <c r="W180" i="10" s="1"/>
  <c r="X180" i="10"/>
  <c r="X184" i="10"/>
  <c r="U184" i="10"/>
  <c r="W184" i="10" s="1"/>
  <c r="X188" i="10"/>
  <c r="U188" i="10"/>
  <c r="W188" i="10" s="1"/>
  <c r="U193" i="10"/>
  <c r="W193" i="10" s="1"/>
  <c r="X193" i="10"/>
  <c r="U197" i="10"/>
  <c r="W197" i="10" s="1"/>
  <c r="X197" i="10"/>
  <c r="U202" i="10"/>
  <c r="W202" i="10" s="1"/>
  <c r="X202" i="10"/>
  <c r="U207" i="10"/>
  <c r="W207" i="10" s="1"/>
  <c r="X207" i="10"/>
  <c r="U211" i="10"/>
  <c r="W211" i="10" s="1"/>
  <c r="X211" i="10"/>
  <c r="U216" i="10"/>
  <c r="W216" i="10" s="1"/>
  <c r="X216" i="10"/>
  <c r="U220" i="10"/>
  <c r="W220" i="10" s="1"/>
  <c r="X220" i="10"/>
  <c r="U224" i="10"/>
  <c r="W224" i="10" s="1"/>
  <c r="X224" i="10"/>
  <c r="U228" i="10"/>
  <c r="W228" i="10" s="1"/>
  <c r="X228" i="10"/>
  <c r="U232" i="10"/>
  <c r="W232" i="10" s="1"/>
  <c r="X232" i="10"/>
  <c r="U236" i="10"/>
  <c r="W236" i="10" s="1"/>
  <c r="X236" i="10"/>
  <c r="U240" i="10"/>
  <c r="W240" i="10" s="1"/>
  <c r="X240" i="10"/>
  <c r="U244" i="10"/>
  <c r="W244" i="10" s="1"/>
  <c r="X244" i="10"/>
  <c r="U248" i="10"/>
  <c r="W248" i="10" s="1"/>
  <c r="X248" i="10"/>
  <c r="U252" i="10"/>
  <c r="W252" i="10" s="1"/>
  <c r="X252" i="10"/>
  <c r="U256" i="10"/>
  <c r="W256" i="10" s="1"/>
  <c r="X256" i="10"/>
  <c r="U260" i="10"/>
  <c r="W260" i="10" s="1"/>
  <c r="X260" i="10"/>
  <c r="U264" i="10"/>
  <c r="W264" i="10" s="1"/>
  <c r="X264" i="10"/>
  <c r="U268" i="10"/>
  <c r="W268" i="10" s="1"/>
  <c r="X268" i="10"/>
  <c r="U272" i="10"/>
  <c r="W272" i="10" s="1"/>
  <c r="X272" i="10"/>
  <c r="U276" i="10"/>
  <c r="W276" i="10" s="1"/>
  <c r="X276" i="10"/>
  <c r="U280" i="10"/>
  <c r="W280" i="10" s="1"/>
  <c r="X280" i="10"/>
  <c r="U284" i="10"/>
  <c r="W284" i="10" s="1"/>
  <c r="X284" i="10"/>
  <c r="U288" i="10"/>
  <c r="W288" i="10" s="1"/>
  <c r="X288" i="10"/>
  <c r="U292" i="10"/>
  <c r="W292" i="10" s="1"/>
  <c r="X292" i="10"/>
  <c r="U296" i="10"/>
  <c r="W296" i="10" s="1"/>
  <c r="X296" i="10"/>
  <c r="U300" i="10"/>
  <c r="W300" i="10" s="1"/>
  <c r="X300" i="10"/>
  <c r="U304" i="10"/>
  <c r="W304" i="10" s="1"/>
  <c r="X304" i="10"/>
  <c r="U308" i="10"/>
  <c r="W308" i="10" s="1"/>
  <c r="X308" i="10"/>
  <c r="U312" i="10"/>
  <c r="W312" i="10" s="1"/>
  <c r="X312" i="10"/>
  <c r="U316" i="10"/>
  <c r="W316" i="10" s="1"/>
  <c r="X316" i="10"/>
  <c r="U320" i="10"/>
  <c r="W320" i="10" s="1"/>
  <c r="X320" i="10"/>
  <c r="U324" i="10"/>
  <c r="W324" i="10" s="1"/>
  <c r="X324" i="10"/>
  <c r="U328" i="10"/>
  <c r="W328" i="10" s="1"/>
  <c r="X328" i="10"/>
  <c r="U332" i="10"/>
  <c r="W332" i="10" s="1"/>
  <c r="X332" i="10"/>
  <c r="U336" i="10"/>
  <c r="W336" i="10" s="1"/>
  <c r="X336" i="10"/>
  <c r="U340" i="10"/>
  <c r="W340" i="10" s="1"/>
  <c r="X340" i="10"/>
  <c r="U344" i="10"/>
  <c r="W344" i="10" s="1"/>
  <c r="X344" i="10"/>
  <c r="U348" i="10"/>
  <c r="W348" i="10" s="1"/>
  <c r="X348" i="10"/>
  <c r="U352" i="10"/>
  <c r="W352" i="10" s="1"/>
  <c r="X352" i="10"/>
  <c r="U356" i="10"/>
  <c r="W356" i="10" s="1"/>
  <c r="X356" i="10"/>
  <c r="U360" i="10"/>
  <c r="W360" i="10" s="1"/>
  <c r="X360" i="10"/>
  <c r="U364" i="10"/>
  <c r="W364" i="10" s="1"/>
  <c r="X364" i="10"/>
  <c r="AE5" i="9"/>
  <c r="AA11" i="9"/>
  <c r="AE4" i="9"/>
  <c r="AA10" i="9"/>
  <c r="AA9" i="9"/>
  <c r="AE9" i="9"/>
  <c r="AH4" i="9"/>
  <c r="AE10" i="9"/>
  <c r="AH5" i="9"/>
  <c r="AH4" i="8"/>
  <c r="AE5" i="8"/>
  <c r="AA11" i="8"/>
  <c r="L139" i="18"/>
  <c r="L141" i="18" s="1"/>
  <c r="L138" i="18"/>
  <c r="L140" i="18" s="1"/>
  <c r="L142" i="18" s="1"/>
  <c r="L144" i="18" s="1"/>
  <c r="L145" i="18" s="1"/>
  <c r="L147" i="18" s="1"/>
  <c r="L149" i="18" s="1"/>
  <c r="L151" i="18" s="1"/>
  <c r="L152" i="18" s="1"/>
  <c r="L154" i="18" s="1"/>
  <c r="L156" i="18" s="1"/>
  <c r="L158" i="18" s="1"/>
  <c r="L159" i="18" s="1"/>
  <c r="L161" i="18" s="1"/>
  <c r="L163" i="18" s="1"/>
  <c r="L166" i="18" s="1"/>
  <c r="J138" i="18"/>
  <c r="J139" i="18"/>
  <c r="J141" i="18" s="1"/>
  <c r="K139" i="18"/>
  <c r="K141" i="18" s="1"/>
  <c r="K138" i="18"/>
  <c r="K140" i="18" s="1"/>
  <c r="K142" i="18" s="1"/>
  <c r="K144" i="18" s="1"/>
  <c r="K145" i="18" s="1"/>
  <c r="K147" i="18" s="1"/>
  <c r="K149" i="18" s="1"/>
  <c r="K151" i="18" s="1"/>
  <c r="K152" i="18" s="1"/>
  <c r="K154" i="18" s="1"/>
  <c r="K156" i="18" s="1"/>
  <c r="K158" i="18" s="1"/>
  <c r="K159" i="18" s="1"/>
  <c r="K161" i="18" s="1"/>
  <c r="K163" i="18" s="1"/>
  <c r="K166" i="18" s="1"/>
  <c r="J243" i="18"/>
  <c r="J242" i="18"/>
  <c r="J244" i="18" s="1"/>
  <c r="J245" i="18" s="1"/>
  <c r="J249" i="18"/>
  <c r="J248" i="18"/>
  <c r="J250" i="18" s="1"/>
  <c r="J251" i="18" s="1"/>
  <c r="J252" i="18" s="1"/>
  <c r="J253" i="18" s="1"/>
  <c r="J254" i="18" s="1"/>
  <c r="J160" i="18"/>
  <c r="J159" i="18"/>
  <c r="J161" i="18" s="1"/>
  <c r="J174" i="18"/>
  <c r="J176" i="18" s="1"/>
  <c r="J177" i="18" s="1"/>
  <c r="J179" i="18" s="1"/>
  <c r="J180" i="18" s="1"/>
  <c r="J182" i="18" s="1"/>
  <c r="J183" i="18" s="1"/>
  <c r="J184" i="18" s="1"/>
  <c r="J173" i="18"/>
  <c r="J168" i="18"/>
  <c r="J187" i="18"/>
  <c r="J189" i="18" s="1"/>
  <c r="J190" i="18" s="1"/>
  <c r="J191" i="18" s="1"/>
  <c r="J194" i="18" s="1"/>
  <c r="J195" i="18" s="1"/>
  <c r="J197" i="18" s="1"/>
  <c r="J198" i="18" s="1"/>
  <c r="J200" i="18" s="1"/>
  <c r="J201" i="18" s="1"/>
  <c r="J203" i="18" s="1"/>
  <c r="J204" i="18" s="1"/>
  <c r="J205" i="18" s="1"/>
  <c r="J207" i="18" s="1"/>
  <c r="J208" i="18" s="1"/>
  <c r="J210" i="18" s="1"/>
  <c r="J211" i="18" s="1"/>
  <c r="J212" i="18" s="1"/>
  <c r="J214" i="18" s="1"/>
  <c r="J215" i="18" s="1"/>
  <c r="L20" i="10"/>
  <c r="L21" i="10"/>
  <c r="J238" i="18"/>
  <c r="J230" i="18"/>
  <c r="J223" i="18"/>
  <c r="J218" i="18"/>
  <c r="I248" i="18" l="1"/>
  <c r="I250" i="18" s="1"/>
  <c r="I249" i="18"/>
  <c r="V249" i="18" s="1"/>
  <c r="X249" i="18" s="1"/>
  <c r="I219" i="18"/>
  <c r="I218" i="18"/>
  <c r="V218" i="18" s="1"/>
  <c r="X218" i="18" s="1"/>
  <c r="L146" i="18"/>
  <c r="L148" i="18" s="1"/>
  <c r="AH6" i="9"/>
  <c r="AB6" i="9" s="1"/>
  <c r="L153" i="18"/>
  <c r="L155" i="18" s="1"/>
  <c r="AE6" i="11"/>
  <c r="AB5" i="11" s="1"/>
  <c r="AH6" i="11"/>
  <c r="AB6" i="11" s="1"/>
  <c r="AE6" i="18"/>
  <c r="AB5" i="18" s="1"/>
  <c r="AH6" i="18"/>
  <c r="AB6" i="18" s="1"/>
  <c r="I166" i="18"/>
  <c r="V163" i="18"/>
  <c r="X163" i="18" s="1"/>
  <c r="K153" i="18"/>
  <c r="K155" i="18" s="1"/>
  <c r="L160" i="18"/>
  <c r="L162" i="18" s="1"/>
  <c r="V248" i="18"/>
  <c r="X248" i="18" s="1"/>
  <c r="I126" i="18"/>
  <c r="V125" i="18"/>
  <c r="X125" i="18" s="1"/>
  <c r="I189" i="18"/>
  <c r="V187" i="18"/>
  <c r="X187" i="18" s="1"/>
  <c r="I158" i="18"/>
  <c r="V156" i="18"/>
  <c r="X156" i="18" s="1"/>
  <c r="I221" i="18"/>
  <c r="I223" i="18" s="1"/>
  <c r="V223" i="18" s="1"/>
  <c r="X223" i="18" s="1"/>
  <c r="V219" i="18"/>
  <c r="X219" i="18" s="1"/>
  <c r="J196" i="18"/>
  <c r="J209" i="18"/>
  <c r="AH6" i="10"/>
  <c r="AA6" i="10" s="1"/>
  <c r="AE6" i="10"/>
  <c r="AA5" i="10" s="1"/>
  <c r="I22" i="10"/>
  <c r="V22" i="10" s="1"/>
  <c r="X22" i="10" s="1"/>
  <c r="K21" i="10"/>
  <c r="L22" i="10" s="1"/>
  <c r="I23" i="10"/>
  <c r="K23" i="10" s="1"/>
  <c r="K25" i="10" s="1"/>
  <c r="K26" i="10" s="1"/>
  <c r="K27" i="10" s="1"/>
  <c r="K28" i="10" s="1"/>
  <c r="K125" i="10" s="1"/>
  <c r="K126" i="10" s="1"/>
  <c r="K127" i="10" s="1"/>
  <c r="K128" i="10" s="1"/>
  <c r="K131" i="10" s="1"/>
  <c r="K132" i="10" s="1"/>
  <c r="K133" i="10" s="1"/>
  <c r="K134" i="10" s="1"/>
  <c r="K135" i="10" s="1"/>
  <c r="I127" i="10"/>
  <c r="V126" i="10"/>
  <c r="X126" i="10" s="1"/>
  <c r="AE6" i="9"/>
  <c r="AB5" i="9" s="1"/>
  <c r="AE6" i="8"/>
  <c r="AB5" i="8" s="1"/>
  <c r="AH6" i="8"/>
  <c r="AA6" i="8" s="1"/>
  <c r="K160" i="18"/>
  <c r="K162" i="18" s="1"/>
  <c r="J202" i="18"/>
  <c r="J181" i="18"/>
  <c r="K167" i="18"/>
  <c r="K169" i="18" s="1"/>
  <c r="K170" i="18" s="1"/>
  <c r="K172" i="18" s="1"/>
  <c r="K168" i="18"/>
  <c r="J256" i="18"/>
  <c r="J257" i="18" s="1"/>
  <c r="J258" i="18" s="1"/>
  <c r="J259" i="18" s="1"/>
  <c r="J260" i="18" s="1"/>
  <c r="J261" i="18" s="1"/>
  <c r="J262" i="18" s="1"/>
  <c r="J255" i="18"/>
  <c r="L167" i="18"/>
  <c r="L169" i="18" s="1"/>
  <c r="L170" i="18" s="1"/>
  <c r="L172" i="18" s="1"/>
  <c r="L168" i="18"/>
  <c r="K146" i="18"/>
  <c r="K148" i="18" s="1"/>
  <c r="AA6" i="9" l="1"/>
  <c r="V285" i="9" s="1"/>
  <c r="X285" i="9" s="1"/>
  <c r="AA5" i="18"/>
  <c r="AA6" i="18"/>
  <c r="AA6" i="11"/>
  <c r="AA5" i="11"/>
  <c r="I222" i="18"/>
  <c r="V221" i="18"/>
  <c r="X221" i="18" s="1"/>
  <c r="I251" i="18"/>
  <c r="V250" i="18"/>
  <c r="X250" i="18" s="1"/>
  <c r="I127" i="18"/>
  <c r="V126" i="18"/>
  <c r="X126" i="18" s="1"/>
  <c r="I159" i="18"/>
  <c r="V158" i="18"/>
  <c r="X158" i="18" s="1"/>
  <c r="I160" i="18"/>
  <c r="V160" i="18" s="1"/>
  <c r="X160" i="18" s="1"/>
  <c r="I190" i="18"/>
  <c r="V189" i="18"/>
  <c r="X189" i="18" s="1"/>
  <c r="V166" i="18"/>
  <c r="X166" i="18" s="1"/>
  <c r="I168" i="18"/>
  <c r="V168" i="18" s="1"/>
  <c r="X168" i="18" s="1"/>
  <c r="I167" i="18"/>
  <c r="AB5" i="10"/>
  <c r="K22" i="10"/>
  <c r="L23" i="10" s="1"/>
  <c r="L25" i="10" s="1"/>
  <c r="L26" i="10" s="1"/>
  <c r="L27" i="10" s="1"/>
  <c r="L28" i="10" s="1"/>
  <c r="L125" i="10" s="1"/>
  <c r="L126" i="10" s="1"/>
  <c r="L127" i="10" s="1"/>
  <c r="L128" i="10" s="1"/>
  <c r="L131" i="10" s="1"/>
  <c r="L132" i="10" s="1"/>
  <c r="L133" i="10" s="1"/>
  <c r="L134" i="10" s="1"/>
  <c r="L135" i="10" s="1"/>
  <c r="AB6" i="10"/>
  <c r="I25" i="10"/>
  <c r="V23" i="10"/>
  <c r="X23" i="10" s="1"/>
  <c r="I128" i="10"/>
  <c r="V127" i="10"/>
  <c r="X127" i="10" s="1"/>
  <c r="AA5" i="9"/>
  <c r="V296" i="9"/>
  <c r="X296" i="9" s="1"/>
  <c r="V251" i="9"/>
  <c r="X251" i="9" s="1"/>
  <c r="V215" i="9"/>
  <c r="X215" i="9" s="1"/>
  <c r="V194" i="9"/>
  <c r="X194" i="9" s="1"/>
  <c r="V144" i="9"/>
  <c r="X144" i="9" s="1"/>
  <c r="V359" i="9"/>
  <c r="X359" i="9" s="1"/>
  <c r="V317" i="9"/>
  <c r="X317" i="9" s="1"/>
  <c r="V233" i="9"/>
  <c r="X233" i="9" s="1"/>
  <c r="V152" i="9"/>
  <c r="X152" i="9" s="1"/>
  <c r="V88" i="9"/>
  <c r="X88" i="9" s="1"/>
  <c r="V316" i="9"/>
  <c r="X316" i="9" s="1"/>
  <c r="V280" i="9"/>
  <c r="X280" i="9" s="1"/>
  <c r="V232" i="9"/>
  <c r="X232" i="9" s="1"/>
  <c r="V179" i="9"/>
  <c r="X179" i="9" s="1"/>
  <c r="V115" i="9"/>
  <c r="X115" i="9" s="1"/>
  <c r="V103" i="9"/>
  <c r="X103" i="9" s="1"/>
  <c r="V96" i="9"/>
  <c r="X96" i="9" s="1"/>
  <c r="V347" i="9"/>
  <c r="X347" i="9" s="1"/>
  <c r="V306" i="9"/>
  <c r="X306" i="9" s="1"/>
  <c r="V289" i="9"/>
  <c r="X289" i="9" s="1"/>
  <c r="V224" i="9"/>
  <c r="X224" i="9" s="1"/>
  <c r="V195" i="9"/>
  <c r="X195" i="9" s="1"/>
  <c r="V159" i="9"/>
  <c r="X159" i="9" s="1"/>
  <c r="V111" i="9"/>
  <c r="X111" i="9" s="1"/>
  <c r="V84" i="9"/>
  <c r="X84" i="9" s="1"/>
  <c r="V62" i="9"/>
  <c r="X62" i="9" s="1"/>
  <c r="V345" i="9"/>
  <c r="X345" i="9" s="1"/>
  <c r="V328" i="9"/>
  <c r="X328" i="9" s="1"/>
  <c r="V287" i="9"/>
  <c r="X287" i="9" s="1"/>
  <c r="V228" i="9"/>
  <c r="X228" i="9" s="1"/>
  <c r="V185" i="9"/>
  <c r="X185" i="9" s="1"/>
  <c r="V181" i="9"/>
  <c r="X181" i="9" s="1"/>
  <c r="V126" i="9"/>
  <c r="X126" i="9" s="1"/>
  <c r="V95" i="9"/>
  <c r="X95" i="9" s="1"/>
  <c r="V83" i="9"/>
  <c r="X83" i="9" s="1"/>
  <c r="V52" i="9"/>
  <c r="X52" i="9" s="1"/>
  <c r="V365" i="9"/>
  <c r="X365" i="9" s="1"/>
  <c r="V327" i="9"/>
  <c r="X327" i="9" s="1"/>
  <c r="V275" i="9"/>
  <c r="X275" i="9" s="1"/>
  <c r="V263" i="9"/>
  <c r="X263" i="9" s="1"/>
  <c r="V245" i="9"/>
  <c r="X245" i="9" s="1"/>
  <c r="V198" i="9"/>
  <c r="X198" i="9" s="1"/>
  <c r="V189" i="9"/>
  <c r="X189" i="9" s="1"/>
  <c r="V171" i="9"/>
  <c r="X171" i="9" s="1"/>
  <c r="V100" i="9"/>
  <c r="X100" i="9" s="1"/>
  <c r="V86" i="9"/>
  <c r="X86" i="9" s="1"/>
  <c r="V79" i="9"/>
  <c r="X79" i="9" s="1"/>
  <c r="V45" i="9"/>
  <c r="X45" i="9" s="1"/>
  <c r="V37" i="9"/>
  <c r="X37" i="9" s="1"/>
  <c r="V32" i="9"/>
  <c r="X32" i="9" s="1"/>
  <c r="V13" i="9"/>
  <c r="X13" i="9" s="1"/>
  <c r="V5" i="9"/>
  <c r="X5" i="9" s="1"/>
  <c r="V360" i="9"/>
  <c r="X360" i="9" s="1"/>
  <c r="V262" i="9"/>
  <c r="X262" i="9" s="1"/>
  <c r="V227" i="9"/>
  <c r="X227" i="9" s="1"/>
  <c r="V209" i="9"/>
  <c r="X209" i="9" s="1"/>
  <c r="V129" i="9"/>
  <c r="X129" i="9" s="1"/>
  <c r="V114" i="9"/>
  <c r="X114" i="9" s="1"/>
  <c r="V109" i="9"/>
  <c r="X109" i="9" s="1"/>
  <c r="V63" i="9"/>
  <c r="X63" i="9" s="1"/>
  <c r="V364" i="9"/>
  <c r="X364" i="9" s="1"/>
  <c r="V354" i="9"/>
  <c r="X354" i="9" s="1"/>
  <c r="V273" i="9"/>
  <c r="X273" i="9" s="1"/>
  <c r="V261" i="9"/>
  <c r="X261" i="9" s="1"/>
  <c r="V249" i="9"/>
  <c r="X249" i="9" s="1"/>
  <c r="V148" i="9"/>
  <c r="X148" i="9" s="1"/>
  <c r="V139" i="9"/>
  <c r="X139" i="9" s="1"/>
  <c r="V124" i="9"/>
  <c r="X124" i="9" s="1"/>
  <c r="V54" i="9"/>
  <c r="X54" i="9" s="1"/>
  <c r="V42" i="9"/>
  <c r="X42" i="9" s="1"/>
  <c r="V39" i="9"/>
  <c r="X39" i="9" s="1"/>
  <c r="V18" i="9"/>
  <c r="X18" i="9" s="1"/>
  <c r="V10" i="9"/>
  <c r="X10" i="9" s="1"/>
  <c r="V7" i="9"/>
  <c r="X7" i="9" s="1"/>
  <c r="V313" i="9"/>
  <c r="X313" i="9" s="1"/>
  <c r="V290" i="9"/>
  <c r="X290" i="9" s="1"/>
  <c r="V272" i="9"/>
  <c r="X272" i="9" s="1"/>
  <c r="V208" i="9"/>
  <c r="X208" i="9" s="1"/>
  <c r="V192" i="9"/>
  <c r="X192" i="9" s="1"/>
  <c r="V187" i="9"/>
  <c r="X187" i="9" s="1"/>
  <c r="V98" i="9"/>
  <c r="X98" i="9" s="1"/>
  <c r="V85" i="9"/>
  <c r="X85" i="9" s="1"/>
  <c r="V81" i="9"/>
  <c r="X81" i="9" s="1"/>
  <c r="V337" i="9"/>
  <c r="X337" i="9" s="1"/>
  <c r="V265" i="9"/>
  <c r="X265" i="9" s="1"/>
  <c r="V242" i="9"/>
  <c r="X242" i="9" s="1"/>
  <c r="V264" i="9"/>
  <c r="X264" i="9" s="1"/>
  <c r="V217" i="9"/>
  <c r="X217" i="9" s="1"/>
  <c r="V46" i="9"/>
  <c r="X46" i="9" s="1"/>
  <c r="V260" i="9"/>
  <c r="X260" i="9" s="1"/>
  <c r="V213" i="9"/>
  <c r="X213" i="9" s="1"/>
  <c r="V173" i="9"/>
  <c r="X173" i="9" s="1"/>
  <c r="V12" i="9"/>
  <c r="X12" i="9" s="1"/>
  <c r="V351" i="9"/>
  <c r="X351" i="9" s="1"/>
  <c r="V329" i="9"/>
  <c r="X329" i="9" s="1"/>
  <c r="V117" i="9"/>
  <c r="X117" i="9" s="1"/>
  <c r="V68" i="9"/>
  <c r="X68" i="9" s="1"/>
  <c r="V43" i="9"/>
  <c r="X43" i="9" s="1"/>
  <c r="V323" i="9"/>
  <c r="X323" i="9" s="1"/>
  <c r="V252" i="9"/>
  <c r="X252" i="9" s="1"/>
  <c r="V229" i="9"/>
  <c r="X229" i="9" s="1"/>
  <c r="V77" i="9"/>
  <c r="X77" i="9" s="1"/>
  <c r="V19" i="9"/>
  <c r="X19" i="9" s="1"/>
  <c r="V301" i="9"/>
  <c r="X301" i="9" s="1"/>
  <c r="V78" i="9"/>
  <c r="X78" i="9" s="1"/>
  <c r="V41" i="9"/>
  <c r="X41" i="9" s="1"/>
  <c r="V9" i="9"/>
  <c r="X9" i="9" s="1"/>
  <c r="V147" i="9"/>
  <c r="X147" i="9" s="1"/>
  <c r="V75" i="9"/>
  <c r="X75" i="9" s="1"/>
  <c r="V28" i="9"/>
  <c r="X28" i="9" s="1"/>
  <c r="V199" i="9"/>
  <c r="X199" i="9" s="1"/>
  <c r="V145" i="9"/>
  <c r="X145" i="9" s="1"/>
  <c r="V87" i="9"/>
  <c r="X87" i="9" s="1"/>
  <c r="V178" i="9"/>
  <c r="X178" i="9" s="1"/>
  <c r="V25" i="9"/>
  <c r="X25" i="9" s="1"/>
  <c r="V4" i="9"/>
  <c r="X4" i="9" s="1"/>
  <c r="AB6" i="8"/>
  <c r="V3" i="8" s="1"/>
  <c r="AA5" i="8"/>
  <c r="K174" i="18"/>
  <c r="K176" i="18" s="1"/>
  <c r="K177" i="18" s="1"/>
  <c r="K179" i="18" s="1"/>
  <c r="K173" i="18"/>
  <c r="L174" i="18"/>
  <c r="L176" i="18" s="1"/>
  <c r="L177" i="18" s="1"/>
  <c r="L179" i="18" s="1"/>
  <c r="L173" i="18"/>
  <c r="V182" i="9" l="1"/>
  <c r="X182" i="9" s="1"/>
  <c r="V243" i="9"/>
  <c r="X243" i="9" s="1"/>
  <c r="V320" i="9"/>
  <c r="X320" i="9" s="1"/>
  <c r="V91" i="9"/>
  <c r="X91" i="9" s="1"/>
  <c r="V163" i="9"/>
  <c r="X163" i="9" s="1"/>
  <c r="V244" i="9"/>
  <c r="X244" i="9" s="1"/>
  <c r="V321" i="9"/>
  <c r="X321" i="9" s="1"/>
  <c r="V97" i="9"/>
  <c r="X97" i="9" s="1"/>
  <c r="V155" i="9"/>
  <c r="X155" i="9" s="1"/>
  <c r="V197" i="9"/>
  <c r="X197" i="9" s="1"/>
  <c r="V255" i="9"/>
  <c r="X255" i="9" s="1"/>
  <c r="V307" i="9"/>
  <c r="X307" i="9" s="1"/>
  <c r="V123" i="9"/>
  <c r="X123" i="9" s="1"/>
  <c r="V164" i="9"/>
  <c r="X164" i="9" s="1"/>
  <c r="V108" i="9"/>
  <c r="X108" i="9" s="1"/>
  <c r="V65" i="9"/>
  <c r="X65" i="9" s="1"/>
  <c r="V30" i="9"/>
  <c r="X30" i="9" s="1"/>
  <c r="V300" i="9"/>
  <c r="X300" i="9" s="1"/>
  <c r="V80" i="9"/>
  <c r="X80" i="9" s="1"/>
  <c r="V72" i="9"/>
  <c r="X72" i="9" s="1"/>
  <c r="V236" i="9"/>
  <c r="X236" i="9" s="1"/>
  <c r="V241" i="9"/>
  <c r="X241" i="9" s="1"/>
  <c r="V312" i="9"/>
  <c r="X312" i="9" s="1"/>
  <c r="V89" i="9"/>
  <c r="X89" i="9" s="1"/>
  <c r="V201" i="9"/>
  <c r="X201" i="9" s="1"/>
  <c r="V308" i="9"/>
  <c r="X308" i="9" s="1"/>
  <c r="V15" i="9"/>
  <c r="X15" i="9" s="1"/>
  <c r="V47" i="9"/>
  <c r="X47" i="9" s="1"/>
  <c r="V143" i="9"/>
  <c r="X143" i="9" s="1"/>
  <c r="V267" i="9"/>
  <c r="X267" i="9" s="1"/>
  <c r="V51" i="9"/>
  <c r="X51" i="9" s="1"/>
  <c r="V120" i="9"/>
  <c r="X120" i="9" s="1"/>
  <c r="V256" i="9"/>
  <c r="X256" i="9" s="1"/>
  <c r="V8" i="9"/>
  <c r="X8" i="9" s="1"/>
  <c r="V40" i="9"/>
  <c r="X40" i="9" s="1"/>
  <c r="V90" i="9"/>
  <c r="X90" i="9" s="1"/>
  <c r="V193" i="9"/>
  <c r="X193" i="9" s="1"/>
  <c r="V268" i="9"/>
  <c r="X268" i="9" s="1"/>
  <c r="V2" i="9"/>
  <c r="X2" i="9" s="1"/>
  <c r="V121" i="9"/>
  <c r="X121" i="9" s="1"/>
  <c r="V223" i="9"/>
  <c r="X223" i="9" s="1"/>
  <c r="V334" i="9"/>
  <c r="X334" i="9" s="1"/>
  <c r="V102" i="9"/>
  <c r="X102" i="9" s="1"/>
  <c r="V218" i="9"/>
  <c r="X218" i="9" s="1"/>
  <c r="V318" i="9"/>
  <c r="X318" i="9" s="1"/>
  <c r="V106" i="9"/>
  <c r="X106" i="9" s="1"/>
  <c r="V196" i="9"/>
  <c r="X196" i="9" s="1"/>
  <c r="V250" i="9"/>
  <c r="X250" i="9" s="1"/>
  <c r="V324" i="9"/>
  <c r="X324" i="9" s="1"/>
  <c r="V94" i="9"/>
  <c r="X94" i="9" s="1"/>
  <c r="V166" i="9"/>
  <c r="X166" i="9" s="1"/>
  <c r="V247" i="9"/>
  <c r="X247" i="9" s="1"/>
  <c r="V325" i="9"/>
  <c r="X325" i="9" s="1"/>
  <c r="V101" i="9"/>
  <c r="X101" i="9" s="1"/>
  <c r="V158" i="9"/>
  <c r="X158" i="9" s="1"/>
  <c r="V200" i="9"/>
  <c r="X200" i="9" s="1"/>
  <c r="V259" i="9"/>
  <c r="X259" i="9" s="1"/>
  <c r="V314" i="9"/>
  <c r="X314" i="9" s="1"/>
  <c r="V350" i="9"/>
  <c r="X350" i="9" s="1"/>
  <c r="V248" i="9"/>
  <c r="X248" i="9" s="1"/>
  <c r="V288" i="9"/>
  <c r="X288" i="9" s="1"/>
  <c r="V220" i="9"/>
  <c r="X220" i="9" s="1"/>
  <c r="V23" i="9"/>
  <c r="X23" i="9" s="1"/>
  <c r="V66" i="9"/>
  <c r="X66" i="9" s="1"/>
  <c r="V161" i="9"/>
  <c r="X161" i="9" s="1"/>
  <c r="V279" i="9"/>
  <c r="X279" i="9" s="1"/>
  <c r="V153" i="9"/>
  <c r="X153" i="9" s="1"/>
  <c r="V286" i="9"/>
  <c r="X286" i="9" s="1"/>
  <c r="V16" i="9"/>
  <c r="X16" i="9" s="1"/>
  <c r="V48" i="9"/>
  <c r="X48" i="9" s="1"/>
  <c r="V140" i="9"/>
  <c r="X140" i="9" s="1"/>
  <c r="V204" i="9"/>
  <c r="X204" i="9" s="1"/>
  <c r="V293" i="9"/>
  <c r="X293" i="9" s="1"/>
  <c r="V61" i="9"/>
  <c r="X61" i="9" s="1"/>
  <c r="V130" i="9"/>
  <c r="X130" i="9" s="1"/>
  <c r="V240" i="9"/>
  <c r="X240" i="9" s="1"/>
  <c r="V49" i="9"/>
  <c r="X49" i="9" s="1"/>
  <c r="V122" i="9"/>
  <c r="X122" i="9" s="1"/>
  <c r="V235" i="9"/>
  <c r="X235" i="9" s="1"/>
  <c r="V357" i="9"/>
  <c r="X357" i="9" s="1"/>
  <c r="V127" i="9"/>
  <c r="X127" i="9" s="1"/>
  <c r="V206" i="9"/>
  <c r="X206" i="9" s="1"/>
  <c r="V284" i="9"/>
  <c r="X284" i="9" s="1"/>
  <c r="V335" i="9"/>
  <c r="X335" i="9" s="1"/>
  <c r="V125" i="9"/>
  <c r="X125" i="9" s="1"/>
  <c r="V203" i="9"/>
  <c r="X203" i="9" s="1"/>
  <c r="V292" i="9"/>
  <c r="X292" i="9" s="1"/>
  <c r="V336" i="9"/>
  <c r="X336" i="9" s="1"/>
  <c r="V107" i="9"/>
  <c r="X107" i="9" s="1"/>
  <c r="V172" i="9"/>
  <c r="X172" i="9" s="1"/>
  <c r="V219" i="9"/>
  <c r="X219" i="9" s="1"/>
  <c r="V270" i="9"/>
  <c r="X270" i="9" s="1"/>
  <c r="V353" i="9"/>
  <c r="X353" i="9" s="1"/>
  <c r="V202" i="9"/>
  <c r="X202" i="9" s="1"/>
  <c r="V116" i="9"/>
  <c r="X116" i="9" s="1"/>
  <c r="V180" i="9"/>
  <c r="X180" i="9" s="1"/>
  <c r="V104" i="9"/>
  <c r="X104" i="9" s="1"/>
  <c r="V169" i="9"/>
  <c r="X169" i="9" s="1"/>
  <c r="V266" i="9"/>
  <c r="X266" i="9" s="1"/>
  <c r="V361" i="9"/>
  <c r="X361" i="9" s="1"/>
  <c r="V92" i="9"/>
  <c r="X92" i="9" s="1"/>
  <c r="V190" i="9"/>
  <c r="X190" i="9" s="1"/>
  <c r="V363" i="9"/>
  <c r="X363" i="9" s="1"/>
  <c r="V113" i="9"/>
  <c r="X113" i="9" s="1"/>
  <c r="V319" i="9"/>
  <c r="X319" i="9" s="1"/>
  <c r="V70" i="9"/>
  <c r="X70" i="9" s="1"/>
  <c r="V6" i="9"/>
  <c r="X6" i="9" s="1"/>
  <c r="V294" i="9"/>
  <c r="X294" i="9" s="1"/>
  <c r="V295" i="9"/>
  <c r="X295" i="9" s="1"/>
  <c r="V133" i="9"/>
  <c r="X133" i="9" s="1"/>
  <c r="V131" i="9"/>
  <c r="X131" i="9" s="1"/>
  <c r="V20" i="9"/>
  <c r="X20" i="9" s="1"/>
  <c r="V212" i="9"/>
  <c r="X212" i="9" s="1"/>
  <c r="V44" i="9"/>
  <c r="X44" i="9" s="1"/>
  <c r="V3" i="9"/>
  <c r="X3" i="9" s="1"/>
  <c r="V311" i="9"/>
  <c r="X311" i="9" s="1"/>
  <c r="V50" i="9"/>
  <c r="X50" i="9" s="1"/>
  <c r="V118" i="9"/>
  <c r="X118" i="9" s="1"/>
  <c r="V225" i="9"/>
  <c r="X225" i="9" s="1"/>
  <c r="V326" i="9"/>
  <c r="X326" i="9" s="1"/>
  <c r="V26" i="9"/>
  <c r="X26" i="9" s="1"/>
  <c r="V73" i="9"/>
  <c r="X73" i="9" s="1"/>
  <c r="V170" i="9"/>
  <c r="X170" i="9" s="1"/>
  <c r="V297" i="9"/>
  <c r="X297" i="9" s="1"/>
  <c r="V82" i="9"/>
  <c r="X82" i="9" s="1"/>
  <c r="V157" i="9"/>
  <c r="X157" i="9" s="1"/>
  <c r="V304" i="9"/>
  <c r="X304" i="9" s="1"/>
  <c r="V21" i="9"/>
  <c r="X21" i="9" s="1"/>
  <c r="V55" i="9"/>
  <c r="X55" i="9" s="1"/>
  <c r="V149" i="9"/>
  <c r="X149" i="9" s="1"/>
  <c r="V216" i="9"/>
  <c r="X216" i="9" s="1"/>
  <c r="V298" i="9"/>
  <c r="X298" i="9" s="1"/>
  <c r="V64" i="9"/>
  <c r="X64" i="9" s="1"/>
  <c r="V136" i="9"/>
  <c r="X136" i="9" s="1"/>
  <c r="V257" i="9"/>
  <c r="X257" i="9" s="1"/>
  <c r="V53" i="9"/>
  <c r="X53" i="9" s="1"/>
  <c r="V137" i="9"/>
  <c r="X137" i="9" s="1"/>
  <c r="V271" i="9"/>
  <c r="X271" i="9" s="1"/>
  <c r="V362" i="9"/>
  <c r="X362" i="9" s="1"/>
  <c r="V134" i="9"/>
  <c r="X134" i="9" s="1"/>
  <c r="V210" i="9"/>
  <c r="X210" i="9" s="1"/>
  <c r="V291" i="9"/>
  <c r="X291" i="9" s="1"/>
  <c r="V339" i="9"/>
  <c r="X339" i="9" s="1"/>
  <c r="V128" i="9"/>
  <c r="X128" i="9" s="1"/>
  <c r="V207" i="9"/>
  <c r="X207" i="9" s="1"/>
  <c r="V299" i="9"/>
  <c r="X299" i="9" s="1"/>
  <c r="V340" i="9"/>
  <c r="X340" i="9" s="1"/>
  <c r="V110" i="9"/>
  <c r="X110" i="9" s="1"/>
  <c r="V177" i="9"/>
  <c r="X177" i="9" s="1"/>
  <c r="V226" i="9"/>
  <c r="X226" i="9" s="1"/>
  <c r="V274" i="9"/>
  <c r="X274" i="9" s="1"/>
  <c r="V366" i="9"/>
  <c r="X366" i="9" s="1"/>
  <c r="V332" i="9"/>
  <c r="X332" i="9" s="1"/>
  <c r="V112" i="9"/>
  <c r="X112" i="9" s="1"/>
  <c r="V330" i="9"/>
  <c r="X330" i="9" s="1"/>
  <c r="V27" i="9"/>
  <c r="X27" i="9" s="1"/>
  <c r="V341" i="9"/>
  <c r="X341" i="9" s="1"/>
  <c r="V342" i="9"/>
  <c r="X342" i="9" s="1"/>
  <c r="V151" i="9"/>
  <c r="X151" i="9" s="1"/>
  <c r="V186" i="9"/>
  <c r="X186" i="9" s="1"/>
  <c r="V11" i="9"/>
  <c r="X11" i="9" s="1"/>
  <c r="V258" i="9"/>
  <c r="X258" i="9" s="1"/>
  <c r="V69" i="9"/>
  <c r="X69" i="9" s="1"/>
  <c r="V14" i="9"/>
  <c r="X14" i="9" s="1"/>
  <c r="V36" i="9"/>
  <c r="X36" i="9" s="1"/>
  <c r="V57" i="9"/>
  <c r="X57" i="9" s="1"/>
  <c r="V165" i="9"/>
  <c r="X165" i="9" s="1"/>
  <c r="V231" i="9"/>
  <c r="X231" i="9" s="1"/>
  <c r="V348" i="9"/>
  <c r="X348" i="9" s="1"/>
  <c r="V31" i="9"/>
  <c r="X31" i="9" s="1"/>
  <c r="V76" i="9"/>
  <c r="X76" i="9" s="1"/>
  <c r="V188" i="9"/>
  <c r="X188" i="9" s="1"/>
  <c r="V338" i="9"/>
  <c r="X338" i="9" s="1"/>
  <c r="V99" i="9"/>
  <c r="X99" i="9" s="1"/>
  <c r="V175" i="9"/>
  <c r="X175" i="9" s="1"/>
  <c r="V333" i="9"/>
  <c r="X333" i="9" s="1"/>
  <c r="V24" i="9"/>
  <c r="X24" i="9" s="1"/>
  <c r="V58" i="9"/>
  <c r="X58" i="9" s="1"/>
  <c r="V162" i="9"/>
  <c r="X162" i="9" s="1"/>
  <c r="V234" i="9"/>
  <c r="X234" i="9" s="1"/>
  <c r="V315" i="9"/>
  <c r="X315" i="9" s="1"/>
  <c r="V71" i="9"/>
  <c r="X71" i="9" s="1"/>
  <c r="V150" i="9"/>
  <c r="X150" i="9" s="1"/>
  <c r="V269" i="9"/>
  <c r="X269" i="9" s="1"/>
  <c r="V56" i="9"/>
  <c r="X56" i="9" s="1"/>
  <c r="V142" i="9"/>
  <c r="X142" i="9" s="1"/>
  <c r="V277" i="9"/>
  <c r="X277" i="9" s="1"/>
  <c r="V367" i="9"/>
  <c r="X367" i="9" s="1"/>
  <c r="V154" i="9"/>
  <c r="X154" i="9" s="1"/>
  <c r="V214" i="9"/>
  <c r="X214" i="9" s="1"/>
  <c r="V302" i="9"/>
  <c r="X302" i="9" s="1"/>
  <c r="V352" i="9"/>
  <c r="X352" i="9" s="1"/>
  <c r="V135" i="9"/>
  <c r="X135" i="9" s="1"/>
  <c r="V211" i="9"/>
  <c r="X211" i="9" s="1"/>
  <c r="V303" i="9"/>
  <c r="X303" i="9" s="1"/>
  <c r="V343" i="9"/>
  <c r="X343" i="9" s="1"/>
  <c r="V132" i="9"/>
  <c r="X132" i="9" s="1"/>
  <c r="V183" i="9"/>
  <c r="X183" i="9" s="1"/>
  <c r="V230" i="9"/>
  <c r="X230" i="9" s="1"/>
  <c r="V278" i="9"/>
  <c r="X278" i="9" s="1"/>
  <c r="V331" i="9"/>
  <c r="X331" i="9" s="1"/>
  <c r="V281" i="9"/>
  <c r="X281" i="9" s="1"/>
  <c r="V246" i="9"/>
  <c r="X246" i="9" s="1"/>
  <c r="V346" i="9"/>
  <c r="X346" i="9" s="1"/>
  <c r="V33" i="9"/>
  <c r="X33" i="9" s="1"/>
  <c r="V38" i="9"/>
  <c r="X38" i="9" s="1"/>
  <c r="V17" i="9"/>
  <c r="X17" i="9" s="1"/>
  <c r="V276" i="9"/>
  <c r="X276" i="9" s="1"/>
  <c r="V253" i="9"/>
  <c r="X253" i="9" s="1"/>
  <c r="V205" i="9"/>
  <c r="X205" i="9" s="1"/>
  <c r="V22" i="9"/>
  <c r="X22" i="9" s="1"/>
  <c r="V305" i="9"/>
  <c r="X305" i="9" s="1"/>
  <c r="V156" i="9"/>
  <c r="X156" i="9" s="1"/>
  <c r="V35" i="9"/>
  <c r="X35" i="9" s="1"/>
  <c r="V160" i="9"/>
  <c r="X160" i="9" s="1"/>
  <c r="V60" i="9"/>
  <c r="X60" i="9" s="1"/>
  <c r="V174" i="9"/>
  <c r="X174" i="9" s="1"/>
  <c r="V254" i="9"/>
  <c r="X254" i="9" s="1"/>
  <c r="V358" i="9"/>
  <c r="X358" i="9" s="1"/>
  <c r="V34" i="9"/>
  <c r="X34" i="9" s="1"/>
  <c r="V119" i="9"/>
  <c r="X119" i="9" s="1"/>
  <c r="V238" i="9"/>
  <c r="X238" i="9" s="1"/>
  <c r="V344" i="9"/>
  <c r="X344" i="9" s="1"/>
  <c r="V105" i="9"/>
  <c r="X105" i="9" s="1"/>
  <c r="V184" i="9"/>
  <c r="X184" i="9" s="1"/>
  <c r="V349" i="9"/>
  <c r="X349" i="9" s="1"/>
  <c r="V29" i="9"/>
  <c r="X29" i="9" s="1"/>
  <c r="V67" i="9"/>
  <c r="X67" i="9" s="1"/>
  <c r="V167" i="9"/>
  <c r="X167" i="9" s="1"/>
  <c r="V239" i="9"/>
  <c r="X239" i="9" s="1"/>
  <c r="V322" i="9"/>
  <c r="X322" i="9" s="1"/>
  <c r="V74" i="9"/>
  <c r="X74" i="9" s="1"/>
  <c r="V176" i="9"/>
  <c r="X176" i="9" s="1"/>
  <c r="V282" i="9"/>
  <c r="X282" i="9" s="1"/>
  <c r="V59" i="9"/>
  <c r="X59" i="9" s="1"/>
  <c r="V146" i="9"/>
  <c r="X146" i="9" s="1"/>
  <c r="V283" i="9"/>
  <c r="X283" i="9" s="1"/>
  <c r="V93" i="9"/>
  <c r="X93" i="9" s="1"/>
  <c r="V168" i="9"/>
  <c r="X168" i="9" s="1"/>
  <c r="V221" i="9"/>
  <c r="X221" i="9" s="1"/>
  <c r="V309" i="9"/>
  <c r="X309" i="9" s="1"/>
  <c r="V355" i="9"/>
  <c r="X355" i="9" s="1"/>
  <c r="V138" i="9"/>
  <c r="X138" i="9" s="1"/>
  <c r="V222" i="9"/>
  <c r="X222" i="9" s="1"/>
  <c r="V310" i="9"/>
  <c r="X310" i="9" s="1"/>
  <c r="V356" i="9"/>
  <c r="X356" i="9" s="1"/>
  <c r="V141" i="9"/>
  <c r="X141" i="9" s="1"/>
  <c r="V191" i="9"/>
  <c r="X191" i="9" s="1"/>
  <c r="V237" i="9"/>
  <c r="X237" i="9" s="1"/>
  <c r="U90" i="11"/>
  <c r="W90" i="11" s="1"/>
  <c r="U58" i="11"/>
  <c r="W58" i="11" s="1"/>
  <c r="U26" i="11"/>
  <c r="W26" i="11" s="1"/>
  <c r="U81" i="11"/>
  <c r="W81" i="11" s="1"/>
  <c r="U49" i="11"/>
  <c r="W49" i="11" s="1"/>
  <c r="U17" i="11"/>
  <c r="W17" i="11" s="1"/>
  <c r="U63" i="11"/>
  <c r="W63" i="11" s="1"/>
  <c r="U60" i="11"/>
  <c r="W60" i="11" s="1"/>
  <c r="U28" i="11"/>
  <c r="W28" i="11" s="1"/>
  <c r="U83" i="11"/>
  <c r="W83" i="11" s="1"/>
  <c r="U19" i="11"/>
  <c r="W19" i="11" s="1"/>
  <c r="U53" i="11"/>
  <c r="W53" i="11" s="1"/>
  <c r="U86" i="11"/>
  <c r="W86" i="11" s="1"/>
  <c r="U54" i="11"/>
  <c r="W54" i="11" s="1"/>
  <c r="U22" i="11"/>
  <c r="W22" i="11" s="1"/>
  <c r="U77" i="11"/>
  <c r="W77" i="11" s="1"/>
  <c r="U45" i="11"/>
  <c r="W45" i="11" s="1"/>
  <c r="U13" i="11"/>
  <c r="W13" i="11" s="1"/>
  <c r="U55" i="11"/>
  <c r="W55" i="11" s="1"/>
  <c r="U88" i="11"/>
  <c r="W88" i="11" s="1"/>
  <c r="U56" i="11"/>
  <c r="W56" i="11" s="1"/>
  <c r="U24" i="11"/>
  <c r="W24" i="11" s="1"/>
  <c r="U75" i="11"/>
  <c r="W75" i="11" s="1"/>
  <c r="U11" i="11"/>
  <c r="W11" i="11" s="1"/>
  <c r="U85" i="11"/>
  <c r="W85" i="11" s="1"/>
  <c r="U64" i="11"/>
  <c r="W64" i="11" s="1"/>
  <c r="U82" i="11"/>
  <c r="W82" i="11" s="1"/>
  <c r="U50" i="11"/>
  <c r="W50" i="11" s="1"/>
  <c r="U18" i="11"/>
  <c r="W18" i="11" s="1"/>
  <c r="U73" i="11"/>
  <c r="W73" i="11" s="1"/>
  <c r="U41" i="11"/>
  <c r="W41" i="11" s="1"/>
  <c r="U9" i="11"/>
  <c r="W9" i="11" s="1"/>
  <c r="U47" i="11"/>
  <c r="W47" i="11" s="1"/>
  <c r="U84" i="11"/>
  <c r="W84" i="11" s="1"/>
  <c r="U52" i="11"/>
  <c r="W52" i="11" s="1"/>
  <c r="U20" i="11"/>
  <c r="W20" i="11" s="1"/>
  <c r="U67" i="11"/>
  <c r="W67" i="11" s="1"/>
  <c r="U3" i="11"/>
  <c r="W3" i="11" s="1"/>
  <c r="U71" i="11"/>
  <c r="W71" i="11" s="1"/>
  <c r="U87" i="11"/>
  <c r="W87" i="11" s="1"/>
  <c r="U78" i="11"/>
  <c r="W78" i="11" s="1"/>
  <c r="U46" i="11"/>
  <c r="W46" i="11" s="1"/>
  <c r="U14" i="11"/>
  <c r="W14" i="11" s="1"/>
  <c r="U69" i="11"/>
  <c r="W69" i="11" s="1"/>
  <c r="U37" i="11"/>
  <c r="W37" i="11" s="1"/>
  <c r="U5" i="11"/>
  <c r="W5" i="11" s="1"/>
  <c r="U39" i="11"/>
  <c r="W39" i="11" s="1"/>
  <c r="U80" i="11"/>
  <c r="W80" i="11" s="1"/>
  <c r="U48" i="11"/>
  <c r="W48" i="11" s="1"/>
  <c r="U16" i="11"/>
  <c r="W16" i="11" s="1"/>
  <c r="U59" i="11"/>
  <c r="W59" i="11" s="1"/>
  <c r="U21" i="11"/>
  <c r="W21" i="11" s="1"/>
  <c r="U74" i="11"/>
  <c r="W74" i="11" s="1"/>
  <c r="U42" i="11"/>
  <c r="W42" i="11" s="1"/>
  <c r="U10" i="11"/>
  <c r="W10" i="11" s="1"/>
  <c r="U65" i="11"/>
  <c r="W65" i="11" s="1"/>
  <c r="U33" i="11"/>
  <c r="W33" i="11" s="1"/>
  <c r="U2" i="11"/>
  <c r="W2" i="11" s="1"/>
  <c r="U31" i="11"/>
  <c r="W31" i="11" s="1"/>
  <c r="U76" i="11"/>
  <c r="W76" i="11" s="1"/>
  <c r="U44" i="11"/>
  <c r="W44" i="11" s="1"/>
  <c r="U12" i="11"/>
  <c r="W12" i="11" s="1"/>
  <c r="U51" i="11"/>
  <c r="W51" i="11" s="1"/>
  <c r="U70" i="11"/>
  <c r="W70" i="11" s="1"/>
  <c r="U38" i="11"/>
  <c r="W38" i="11" s="1"/>
  <c r="U6" i="11"/>
  <c r="W6" i="11" s="1"/>
  <c r="U61" i="11"/>
  <c r="W61" i="11" s="1"/>
  <c r="U29" i="11"/>
  <c r="W29" i="11" s="1"/>
  <c r="U91" i="11"/>
  <c r="W91" i="11" s="1"/>
  <c r="U23" i="11"/>
  <c r="W23" i="11" s="1"/>
  <c r="U72" i="11"/>
  <c r="W72" i="11" s="1"/>
  <c r="U40" i="11"/>
  <c r="W40" i="11" s="1"/>
  <c r="U8" i="11"/>
  <c r="W8" i="11" s="1"/>
  <c r="U43" i="11"/>
  <c r="W43" i="11" s="1"/>
  <c r="U30" i="11"/>
  <c r="W30" i="11" s="1"/>
  <c r="U66" i="11"/>
  <c r="W66" i="11" s="1"/>
  <c r="U34" i="11"/>
  <c r="W34" i="11" s="1"/>
  <c r="U89" i="11"/>
  <c r="W89" i="11" s="1"/>
  <c r="U57" i="11"/>
  <c r="W57" i="11" s="1"/>
  <c r="U25" i="11"/>
  <c r="W25" i="11" s="1"/>
  <c r="U79" i="11"/>
  <c r="W79" i="11" s="1"/>
  <c r="U15" i="11"/>
  <c r="W15" i="11" s="1"/>
  <c r="U68" i="11"/>
  <c r="W68" i="11" s="1"/>
  <c r="U36" i="11"/>
  <c r="W36" i="11" s="1"/>
  <c r="U4" i="11"/>
  <c r="W4" i="11" s="1"/>
  <c r="U35" i="11"/>
  <c r="W35" i="11" s="1"/>
  <c r="U62" i="11"/>
  <c r="W62" i="11" s="1"/>
  <c r="U7" i="11"/>
  <c r="W7" i="11" s="1"/>
  <c r="U32" i="11"/>
  <c r="W32" i="11" s="1"/>
  <c r="U27" i="11"/>
  <c r="W27" i="11" s="1"/>
  <c r="U92" i="11"/>
  <c r="W92" i="11" s="1"/>
  <c r="V70" i="11"/>
  <c r="X70" i="11" s="1"/>
  <c r="V38" i="11"/>
  <c r="X38" i="11" s="1"/>
  <c r="V6" i="11"/>
  <c r="X6" i="11" s="1"/>
  <c r="V61" i="11"/>
  <c r="X61" i="11" s="1"/>
  <c r="V29" i="11"/>
  <c r="X29" i="11" s="1"/>
  <c r="V60" i="11"/>
  <c r="X60" i="11" s="1"/>
  <c r="V28" i="11"/>
  <c r="X28" i="11" s="1"/>
  <c r="V63" i="11"/>
  <c r="X63" i="11" s="1"/>
  <c r="V71" i="11"/>
  <c r="X71" i="11" s="1"/>
  <c r="V3" i="11"/>
  <c r="X3" i="11" s="1"/>
  <c r="V2" i="11"/>
  <c r="X2" i="11" s="1"/>
  <c r="V66" i="11"/>
  <c r="X66" i="11" s="1"/>
  <c r="V34" i="11"/>
  <c r="X34" i="11" s="1"/>
  <c r="V89" i="11"/>
  <c r="X89" i="11" s="1"/>
  <c r="V57" i="11"/>
  <c r="X57" i="11" s="1"/>
  <c r="V25" i="11"/>
  <c r="X25" i="11" s="1"/>
  <c r="V88" i="11"/>
  <c r="X88" i="11" s="1"/>
  <c r="V56" i="11"/>
  <c r="X56" i="11" s="1"/>
  <c r="V24" i="11"/>
  <c r="X24" i="11" s="1"/>
  <c r="V55" i="11"/>
  <c r="X55" i="11" s="1"/>
  <c r="V59" i="11"/>
  <c r="X59" i="11" s="1"/>
  <c r="V91" i="11"/>
  <c r="X91" i="11" s="1"/>
  <c r="V74" i="11"/>
  <c r="X74" i="11" s="1"/>
  <c r="V33" i="11"/>
  <c r="X33" i="11" s="1"/>
  <c r="V7" i="11"/>
  <c r="X7" i="11" s="1"/>
  <c r="V62" i="11"/>
  <c r="X62" i="11" s="1"/>
  <c r="V30" i="11"/>
  <c r="X30" i="11" s="1"/>
  <c r="V85" i="11"/>
  <c r="X85" i="11" s="1"/>
  <c r="V53" i="11"/>
  <c r="X53" i="11" s="1"/>
  <c r="V21" i="11"/>
  <c r="X21" i="11" s="1"/>
  <c r="V84" i="11"/>
  <c r="X84" i="11" s="1"/>
  <c r="V52" i="11"/>
  <c r="X52" i="11" s="1"/>
  <c r="V20" i="11"/>
  <c r="X20" i="11" s="1"/>
  <c r="V47" i="11"/>
  <c r="X47" i="11" s="1"/>
  <c r="V51" i="11"/>
  <c r="X51" i="11" s="1"/>
  <c r="V87" i="11"/>
  <c r="X87" i="11" s="1"/>
  <c r="V79" i="11"/>
  <c r="X79" i="11" s="1"/>
  <c r="V42" i="11"/>
  <c r="X42" i="11" s="1"/>
  <c r="V32" i="11"/>
  <c r="X32" i="11" s="1"/>
  <c r="V90" i="11"/>
  <c r="X90" i="11" s="1"/>
  <c r="V58" i="11"/>
  <c r="X58" i="11" s="1"/>
  <c r="V26" i="11"/>
  <c r="X26" i="11" s="1"/>
  <c r="V81" i="11"/>
  <c r="X81" i="11" s="1"/>
  <c r="V49" i="11"/>
  <c r="X49" i="11" s="1"/>
  <c r="V17" i="11"/>
  <c r="X17" i="11" s="1"/>
  <c r="V80" i="11"/>
  <c r="X80" i="11" s="1"/>
  <c r="V48" i="11"/>
  <c r="X48" i="11" s="1"/>
  <c r="V16" i="11"/>
  <c r="X16" i="11" s="1"/>
  <c r="V39" i="11"/>
  <c r="X39" i="11" s="1"/>
  <c r="V43" i="11"/>
  <c r="X43" i="11" s="1"/>
  <c r="V83" i="11"/>
  <c r="X83" i="11" s="1"/>
  <c r="V31" i="11"/>
  <c r="X31" i="11" s="1"/>
  <c r="V65" i="11"/>
  <c r="X65" i="11" s="1"/>
  <c r="V11" i="11"/>
  <c r="X11" i="11" s="1"/>
  <c r="V86" i="11"/>
  <c r="X86" i="11" s="1"/>
  <c r="V54" i="11"/>
  <c r="X54" i="11" s="1"/>
  <c r="V22" i="11"/>
  <c r="X22" i="11" s="1"/>
  <c r="V77" i="11"/>
  <c r="X77" i="11" s="1"/>
  <c r="V45" i="11"/>
  <c r="X45" i="11" s="1"/>
  <c r="V13" i="11"/>
  <c r="X13" i="11" s="1"/>
  <c r="V76" i="11"/>
  <c r="X76" i="11" s="1"/>
  <c r="V44" i="11"/>
  <c r="X44" i="11" s="1"/>
  <c r="V12" i="11"/>
  <c r="X12" i="11" s="1"/>
  <c r="V35" i="11"/>
  <c r="X35" i="11" s="1"/>
  <c r="V64" i="11"/>
  <c r="X64" i="11" s="1"/>
  <c r="V82" i="11"/>
  <c r="X82" i="11" s="1"/>
  <c r="V50" i="11"/>
  <c r="X50" i="11" s="1"/>
  <c r="V18" i="11"/>
  <c r="X18" i="11" s="1"/>
  <c r="V73" i="11"/>
  <c r="X73" i="11" s="1"/>
  <c r="V41" i="11"/>
  <c r="X41" i="11" s="1"/>
  <c r="V9" i="11"/>
  <c r="X9" i="11" s="1"/>
  <c r="V72" i="11"/>
  <c r="X72" i="11" s="1"/>
  <c r="V40" i="11"/>
  <c r="X40" i="11" s="1"/>
  <c r="V8" i="11"/>
  <c r="X8" i="11" s="1"/>
  <c r="V23" i="11"/>
  <c r="X23" i="11" s="1"/>
  <c r="V27" i="11"/>
  <c r="X27" i="11" s="1"/>
  <c r="V75" i="11"/>
  <c r="X75" i="11" s="1"/>
  <c r="V78" i="11"/>
  <c r="X78" i="11" s="1"/>
  <c r="V46" i="11"/>
  <c r="X46" i="11" s="1"/>
  <c r="V14" i="11"/>
  <c r="X14" i="11" s="1"/>
  <c r="V69" i="11"/>
  <c r="X69" i="11" s="1"/>
  <c r="V37" i="11"/>
  <c r="X37" i="11" s="1"/>
  <c r="V5" i="11"/>
  <c r="X5" i="11" s="1"/>
  <c r="V68" i="11"/>
  <c r="X68" i="11" s="1"/>
  <c r="V36" i="11"/>
  <c r="X36" i="11" s="1"/>
  <c r="V4" i="11"/>
  <c r="X4" i="11" s="1"/>
  <c r="V15" i="11"/>
  <c r="X15" i="11" s="1"/>
  <c r="V19" i="11"/>
  <c r="X19" i="11" s="1"/>
  <c r="V10" i="11"/>
  <c r="X10" i="11" s="1"/>
  <c r="V67" i="11"/>
  <c r="X67" i="11" s="1"/>
  <c r="V92" i="11"/>
  <c r="X92" i="11" s="1"/>
  <c r="V44" i="8"/>
  <c r="X44" i="8" s="1"/>
  <c r="V189" i="8"/>
  <c r="V64" i="8"/>
  <c r="V126" i="8"/>
  <c r="X126" i="8" s="1"/>
  <c r="V337" i="8"/>
  <c r="V196" i="8"/>
  <c r="V229" i="8"/>
  <c r="X229" i="8" s="1"/>
  <c r="V104" i="8"/>
  <c r="X104" i="8" s="1"/>
  <c r="V177" i="8"/>
  <c r="X177" i="8" s="1"/>
  <c r="V298" i="8"/>
  <c r="V36" i="8"/>
  <c r="V209" i="8"/>
  <c r="V85" i="8"/>
  <c r="V145" i="8"/>
  <c r="V306" i="8"/>
  <c r="X306" i="8" s="1"/>
  <c r="V282" i="8"/>
  <c r="X282" i="8" s="1"/>
  <c r="V24" i="8"/>
  <c r="X24" i="8" s="1"/>
  <c r="V119" i="8"/>
  <c r="V169" i="8"/>
  <c r="X169" i="8" s="1"/>
  <c r="V106" i="8"/>
  <c r="X106" i="8" s="1"/>
  <c r="V300" i="8"/>
  <c r="V116" i="8"/>
  <c r="V291" i="8"/>
  <c r="X291" i="8" s="1"/>
  <c r="V166" i="8"/>
  <c r="X166" i="8" s="1"/>
  <c r="V107" i="8"/>
  <c r="X107" i="8" s="1"/>
  <c r="V264" i="8"/>
  <c r="V61" i="8"/>
  <c r="X61" i="8" s="1"/>
  <c r="V134" i="8"/>
  <c r="X134" i="8" s="1"/>
  <c r="V272" i="8"/>
  <c r="V146" i="8"/>
  <c r="V241" i="8"/>
  <c r="X241" i="8" s="1"/>
  <c r="V358" i="8"/>
  <c r="X358" i="8" s="1"/>
  <c r="V360" i="8"/>
  <c r="X360" i="8" s="1"/>
  <c r="V29" i="8"/>
  <c r="V251" i="8"/>
  <c r="X251" i="8" s="1"/>
  <c r="V127" i="8"/>
  <c r="X127" i="8" s="1"/>
  <c r="V221" i="8"/>
  <c r="V345" i="8"/>
  <c r="X345" i="8" s="1"/>
  <c r="V6" i="8"/>
  <c r="X6" i="8" s="1"/>
  <c r="V34" i="8"/>
  <c r="X34" i="8" s="1"/>
  <c r="V60" i="8"/>
  <c r="X60" i="8" s="1"/>
  <c r="V173" i="8"/>
  <c r="V201" i="8"/>
  <c r="X201" i="8" s="1"/>
  <c r="V331" i="8"/>
  <c r="X331" i="8" s="1"/>
  <c r="V311" i="8"/>
  <c r="V15" i="8"/>
  <c r="X15" i="8" s="1"/>
  <c r="V230" i="8"/>
  <c r="X230" i="8" s="1"/>
  <c r="V266" i="8"/>
  <c r="X266" i="8" s="1"/>
  <c r="V163" i="8"/>
  <c r="X163" i="8" s="1"/>
  <c r="V167" i="8"/>
  <c r="V77" i="8"/>
  <c r="X77" i="8" s="1"/>
  <c r="V157" i="8"/>
  <c r="X157" i="8" s="1"/>
  <c r="V161" i="8"/>
  <c r="V57" i="8"/>
  <c r="X57" i="8" s="1"/>
  <c r="V38" i="8"/>
  <c r="X38" i="8" s="1"/>
  <c r="V17" i="8"/>
  <c r="X17" i="8" s="1"/>
  <c r="V285" i="8"/>
  <c r="X285" i="8" s="1"/>
  <c r="V202" i="8"/>
  <c r="V261" i="8"/>
  <c r="X261" i="8" s="1"/>
  <c r="V242" i="8"/>
  <c r="X242" i="8" s="1"/>
  <c r="V222" i="8"/>
  <c r="V278" i="8"/>
  <c r="V199" i="8"/>
  <c r="X199" i="8" s="1"/>
  <c r="V180" i="8"/>
  <c r="X180" i="8" s="1"/>
  <c r="V160" i="8"/>
  <c r="X160" i="8" s="1"/>
  <c r="V91" i="8"/>
  <c r="V137" i="8"/>
  <c r="X137" i="8" s="1"/>
  <c r="V117" i="8"/>
  <c r="X117" i="8" s="1"/>
  <c r="V98" i="8"/>
  <c r="V99" i="8"/>
  <c r="V248" i="8"/>
  <c r="X248" i="8" s="1"/>
  <c r="V275" i="8"/>
  <c r="X275" i="8" s="1"/>
  <c r="V254" i="8"/>
  <c r="X254" i="8" s="1"/>
  <c r="V235" i="8"/>
  <c r="V18" i="8"/>
  <c r="X18" i="8" s="1"/>
  <c r="V178" i="8"/>
  <c r="X178" i="8" s="1"/>
  <c r="V159" i="8"/>
  <c r="V139" i="8"/>
  <c r="V78" i="8"/>
  <c r="V342" i="8"/>
  <c r="X342" i="8" s="1"/>
  <c r="V336" i="8"/>
  <c r="X336" i="8" s="1"/>
  <c r="V327" i="8"/>
  <c r="V354" i="8"/>
  <c r="X354" i="8" s="1"/>
  <c r="V357" i="8"/>
  <c r="X357" i="8" s="1"/>
  <c r="V355" i="8"/>
  <c r="V363" i="8"/>
  <c r="X363" i="8" s="1"/>
  <c r="V365" i="8"/>
  <c r="X365" i="8" s="1"/>
  <c r="V318" i="8"/>
  <c r="X318" i="8" s="1"/>
  <c r="V228" i="8"/>
  <c r="X228" i="8" s="1"/>
  <c r="V271" i="8"/>
  <c r="V149" i="8"/>
  <c r="X149" i="8" s="1"/>
  <c r="V253" i="8"/>
  <c r="X253" i="8" s="1"/>
  <c r="V13" i="8"/>
  <c r="V296" i="8"/>
  <c r="X296" i="8" s="1"/>
  <c r="V47" i="8"/>
  <c r="X47" i="8" s="1"/>
  <c r="V40" i="8"/>
  <c r="X40" i="8" s="1"/>
  <c r="V114" i="8"/>
  <c r="X114" i="8" s="1"/>
  <c r="V115" i="8"/>
  <c r="V92" i="8"/>
  <c r="X92" i="8" s="1"/>
  <c r="V72" i="8"/>
  <c r="X72" i="8" s="1"/>
  <c r="V51" i="8"/>
  <c r="V52" i="8"/>
  <c r="X52" i="8" s="1"/>
  <c r="V28" i="8"/>
  <c r="X28" i="8" s="1"/>
  <c r="V295" i="8"/>
  <c r="X295" i="8" s="1"/>
  <c r="V276" i="8"/>
  <c r="X276" i="8" s="1"/>
  <c r="V255" i="8"/>
  <c r="V69" i="8"/>
  <c r="V233" i="8"/>
  <c r="X233" i="8" s="1"/>
  <c r="V213" i="8"/>
  <c r="V193" i="8"/>
  <c r="V132" i="8"/>
  <c r="X132" i="8" s="1"/>
  <c r="V170" i="8"/>
  <c r="X170" i="8" s="1"/>
  <c r="V150" i="8"/>
  <c r="X150" i="8" s="1"/>
  <c r="V131" i="8"/>
  <c r="V227" i="8"/>
  <c r="X227" i="8" s="1"/>
  <c r="V41" i="8"/>
  <c r="X41" i="8" s="1"/>
  <c r="V20" i="8"/>
  <c r="V288" i="8"/>
  <c r="V267" i="8"/>
  <c r="X267" i="8" s="1"/>
  <c r="V123" i="8"/>
  <c r="X123" i="8" s="1"/>
  <c r="V212" i="8"/>
  <c r="X212" i="8" s="1"/>
  <c r="V192" i="8"/>
  <c r="V172" i="8"/>
  <c r="X172" i="8" s="1"/>
  <c r="V232" i="8"/>
  <c r="X232" i="8" s="1"/>
  <c r="V361" i="8"/>
  <c r="V364" i="8"/>
  <c r="X364" i="8" s="1"/>
  <c r="V313" i="8"/>
  <c r="X313" i="8" s="1"/>
  <c r="V359" i="8"/>
  <c r="X359" i="8" s="1"/>
  <c r="V312" i="8"/>
  <c r="X312" i="8" s="1"/>
  <c r="V334" i="8"/>
  <c r="V317" i="8"/>
  <c r="X317" i="8" s="1"/>
  <c r="V320" i="8"/>
  <c r="X320" i="8" s="1"/>
  <c r="V270" i="8"/>
  <c r="V124" i="8"/>
  <c r="V203" i="8"/>
  <c r="X203" i="8" s="1"/>
  <c r="V249" i="8"/>
  <c r="X249" i="8" s="1"/>
  <c r="V283" i="8"/>
  <c r="X283" i="8" s="1"/>
  <c r="V101" i="8"/>
  <c r="V210" i="8"/>
  <c r="X210" i="8" s="1"/>
  <c r="V43" i="8"/>
  <c r="V277" i="8"/>
  <c r="V88" i="8"/>
  <c r="X88" i="8" s="1"/>
  <c r="V147" i="8"/>
  <c r="X147" i="8" s="1"/>
  <c r="V274" i="8"/>
  <c r="X274" i="8" s="1"/>
  <c r="V125" i="8"/>
  <c r="X125" i="8" s="1"/>
  <c r="V105" i="8"/>
  <c r="V86" i="8"/>
  <c r="X86" i="8" s="1"/>
  <c r="V186" i="8"/>
  <c r="X186" i="8" s="1"/>
  <c r="V62" i="8"/>
  <c r="V42" i="8"/>
  <c r="X42" i="8" s="1"/>
  <c r="V21" i="8"/>
  <c r="X21" i="8" s="1"/>
  <c r="V289" i="8"/>
  <c r="X289" i="8" s="1"/>
  <c r="V223" i="8"/>
  <c r="X223" i="8" s="1"/>
  <c r="V265" i="8"/>
  <c r="V246" i="8"/>
  <c r="X246" i="8" s="1"/>
  <c r="V226" i="8"/>
  <c r="X226" i="8" s="1"/>
  <c r="V294" i="8"/>
  <c r="V204" i="8"/>
  <c r="X204" i="8" s="1"/>
  <c r="V184" i="8"/>
  <c r="X184" i="8" s="1"/>
  <c r="V164" i="8"/>
  <c r="X164" i="8" s="1"/>
  <c r="V27" i="8"/>
  <c r="X27" i="8" s="1"/>
  <c r="V75" i="8"/>
  <c r="V54" i="8"/>
  <c r="X54" i="8" s="1"/>
  <c r="V35" i="8"/>
  <c r="X35" i="8" s="1"/>
  <c r="V111" i="8"/>
  <c r="V268" i="8"/>
  <c r="X268" i="8" s="1"/>
  <c r="V245" i="8"/>
  <c r="X245" i="8" s="1"/>
  <c r="V225" i="8"/>
  <c r="X225" i="8" s="1"/>
  <c r="V206" i="8"/>
  <c r="X206" i="8" s="1"/>
  <c r="V194" i="8"/>
  <c r="V324" i="8"/>
  <c r="X324" i="8" s="1"/>
  <c r="V326" i="8"/>
  <c r="X326" i="8" s="1"/>
  <c r="V321" i="8"/>
  <c r="V314" i="8"/>
  <c r="V301" i="8"/>
  <c r="X301" i="8" s="1"/>
  <c r="V349" i="8"/>
  <c r="X349" i="8" s="1"/>
  <c r="V310" i="8"/>
  <c r="X310" i="8" s="1"/>
  <c r="V304" i="8"/>
  <c r="V352" i="8"/>
  <c r="V32" i="8"/>
  <c r="X32" i="8" s="1"/>
  <c r="V179" i="8"/>
  <c r="V97" i="8"/>
  <c r="X97" i="8" s="1"/>
  <c r="V130" i="8"/>
  <c r="X130" i="8" s="1"/>
  <c r="V143" i="8"/>
  <c r="X143" i="8" s="1"/>
  <c r="V252" i="8"/>
  <c r="X252" i="8" s="1"/>
  <c r="V243" i="8"/>
  <c r="V215" i="8"/>
  <c r="X215" i="8" s="1"/>
  <c r="V220" i="8"/>
  <c r="X220" i="8" s="1"/>
  <c r="V181" i="8"/>
  <c r="V74" i="8"/>
  <c r="X74" i="8" s="1"/>
  <c r="V158" i="8"/>
  <c r="X158" i="8" s="1"/>
  <c r="V138" i="8"/>
  <c r="X138" i="8" s="1"/>
  <c r="V118" i="8"/>
  <c r="X118" i="8" s="1"/>
  <c r="V136" i="8"/>
  <c r="V96" i="8"/>
  <c r="X96" i="8" s="1"/>
  <c r="V76" i="8"/>
  <c r="X76" i="8" s="1"/>
  <c r="V55" i="8"/>
  <c r="V65" i="8"/>
  <c r="X65" i="8" s="1"/>
  <c r="V33" i="8"/>
  <c r="X33" i="8" s="1"/>
  <c r="V12" i="8"/>
  <c r="X12" i="8" s="1"/>
  <c r="V280" i="8"/>
  <c r="X280" i="8" s="1"/>
  <c r="V259" i="8"/>
  <c r="V87" i="8"/>
  <c r="X87" i="8" s="1"/>
  <c r="V237" i="8"/>
  <c r="X237" i="8" s="1"/>
  <c r="V217" i="8"/>
  <c r="V197" i="8"/>
  <c r="X197" i="8" s="1"/>
  <c r="V190" i="8"/>
  <c r="X190" i="8" s="1"/>
  <c r="V108" i="8"/>
  <c r="X108" i="8" s="1"/>
  <c r="V89" i="8"/>
  <c r="X89" i="8" s="1"/>
  <c r="V68" i="8"/>
  <c r="V244" i="8"/>
  <c r="X244" i="8" s="1"/>
  <c r="V10" i="8"/>
  <c r="X10" i="8" s="1"/>
  <c r="V279" i="8"/>
  <c r="V258" i="8"/>
  <c r="V239" i="8"/>
  <c r="X239" i="8" s="1"/>
  <c r="V31" i="8"/>
  <c r="X31" i="8" s="1"/>
  <c r="V330" i="8"/>
  <c r="X330" i="8" s="1"/>
  <c r="V343" i="8"/>
  <c r="V308" i="8"/>
  <c r="X308" i="8" s="1"/>
  <c r="V338" i="8"/>
  <c r="X338" i="8" s="1"/>
  <c r="V335" i="8"/>
  <c r="V323" i="8"/>
  <c r="V347" i="8"/>
  <c r="X347" i="8" s="1"/>
  <c r="V332" i="8"/>
  <c r="X332" i="8" s="1"/>
  <c r="V367" i="8"/>
  <c r="X367" i="8" s="1"/>
  <c r="V8" i="8"/>
  <c r="V23" i="8"/>
  <c r="X23" i="8" s="1"/>
  <c r="U3" i="8"/>
  <c r="W3" i="8" s="1"/>
  <c r="U7" i="8"/>
  <c r="U11" i="8"/>
  <c r="U23" i="8"/>
  <c r="W23" i="8" s="1"/>
  <c r="U179" i="8"/>
  <c r="W179" i="8" s="1"/>
  <c r="U203" i="8"/>
  <c r="W203" i="8" s="1"/>
  <c r="U271" i="8"/>
  <c r="U311" i="8"/>
  <c r="W311" i="8" s="1"/>
  <c r="U319" i="8"/>
  <c r="W319" i="8" s="1"/>
  <c r="U339" i="8"/>
  <c r="U4" i="8"/>
  <c r="W4" i="8" s="1"/>
  <c r="U8" i="8"/>
  <c r="W8" i="8" s="1"/>
  <c r="U32" i="8"/>
  <c r="W32" i="8" s="1"/>
  <c r="U124" i="8"/>
  <c r="W124" i="8" s="1"/>
  <c r="U228" i="8"/>
  <c r="U5" i="8"/>
  <c r="U61" i="8"/>
  <c r="W61" i="8" s="1"/>
  <c r="U81" i="8"/>
  <c r="U6" i="8"/>
  <c r="W6" i="8" s="1"/>
  <c r="U70" i="8"/>
  <c r="W70" i="8" s="1"/>
  <c r="U154" i="8"/>
  <c r="W154" i="8" s="1"/>
  <c r="U360" i="8"/>
  <c r="W360" i="8" s="1"/>
  <c r="U270" i="8"/>
  <c r="U318" i="8"/>
  <c r="W318" i="8" s="1"/>
  <c r="U352" i="8"/>
  <c r="W352" i="8" s="1"/>
  <c r="U366" i="8"/>
  <c r="U304" i="8"/>
  <c r="U320" i="8"/>
  <c r="W320" i="8" s="1"/>
  <c r="U325" i="8"/>
  <c r="W325" i="8" s="1"/>
  <c r="U353" i="8"/>
  <c r="W353" i="8" s="1"/>
  <c r="U365" i="8"/>
  <c r="U346" i="8"/>
  <c r="W346" i="8" s="1"/>
  <c r="U332" i="8"/>
  <c r="W332" i="8" s="1"/>
  <c r="U367" i="8"/>
  <c r="U310" i="8"/>
  <c r="W310" i="8" s="1"/>
  <c r="U298" i="8"/>
  <c r="W298" i="8" s="1"/>
  <c r="U342" i="8"/>
  <c r="W342" i="8" s="1"/>
  <c r="U345" i="8"/>
  <c r="W345" i="8" s="1"/>
  <c r="U334" i="8"/>
  <c r="U301" i="8"/>
  <c r="W301" i="8" s="1"/>
  <c r="U335" i="8"/>
  <c r="W335" i="8" s="1"/>
  <c r="U350" i="8"/>
  <c r="U340" i="8"/>
  <c r="W340" i="8" s="1"/>
  <c r="U299" i="8"/>
  <c r="W299" i="8" s="1"/>
  <c r="U344" i="8"/>
  <c r="W344" i="8" s="1"/>
  <c r="U336" i="8"/>
  <c r="W336" i="8" s="1"/>
  <c r="U323" i="8"/>
  <c r="U327" i="8"/>
  <c r="W327" i="8" s="1"/>
  <c r="U302" i="8"/>
  <c r="W302" i="8" s="1"/>
  <c r="U347" i="8"/>
  <c r="U361" i="8"/>
  <c r="W361" i="8" s="1"/>
  <c r="U338" i="8"/>
  <c r="W338" i="8" s="1"/>
  <c r="U363" i="8"/>
  <c r="W363" i="8" s="1"/>
  <c r="U337" i="8"/>
  <c r="W337" i="8" s="1"/>
  <c r="U329" i="8"/>
  <c r="U324" i="8"/>
  <c r="W324" i="8" s="1"/>
  <c r="U341" i="8"/>
  <c r="W341" i="8" s="1"/>
  <c r="U307" i="8"/>
  <c r="U351" i="8"/>
  <c r="W351" i="8" s="1"/>
  <c r="U343" i="8"/>
  <c r="W343" i="8" s="1"/>
  <c r="U300" i="8"/>
  <c r="W300" i="8" s="1"/>
  <c r="U357" i="8"/>
  <c r="W357" i="8" s="1"/>
  <c r="U303" i="8"/>
  <c r="U305" i="8"/>
  <c r="W305" i="8" s="1"/>
  <c r="U349" i="8"/>
  <c r="W349" i="8" s="1"/>
  <c r="U330" i="8"/>
  <c r="U321" i="8"/>
  <c r="W321" i="8" s="1"/>
  <c r="U312" i="8"/>
  <c r="W312" i="8" s="1"/>
  <c r="U348" i="8"/>
  <c r="W348" i="8" s="1"/>
  <c r="U333" i="8"/>
  <c r="W333" i="8" s="1"/>
  <c r="U315" i="8"/>
  <c r="W315" i="8" s="1"/>
  <c r="U331" i="8"/>
  <c r="W331" i="8" s="1"/>
  <c r="U317" i="8"/>
  <c r="W317" i="8" s="1"/>
  <c r="U326" i="8"/>
  <c r="U316" i="8"/>
  <c r="W316" i="8" s="1"/>
  <c r="U362" i="8"/>
  <c r="W362" i="8" s="1"/>
  <c r="U308" i="8"/>
  <c r="W308" i="8" s="1"/>
  <c r="U354" i="8"/>
  <c r="W354" i="8" s="1"/>
  <c r="U309" i="8"/>
  <c r="U355" i="8"/>
  <c r="W355" i="8" s="1"/>
  <c r="U356" i="8"/>
  <c r="W356" i="8" s="1"/>
  <c r="U328" i="8"/>
  <c r="U322" i="8"/>
  <c r="U306" i="8"/>
  <c r="W306" i="8" s="1"/>
  <c r="U313" i="8"/>
  <c r="W313" i="8" s="1"/>
  <c r="U358" i="8"/>
  <c r="W358" i="8" s="1"/>
  <c r="U314" i="8"/>
  <c r="U359" i="8"/>
  <c r="W359" i="8" s="1"/>
  <c r="U364" i="8"/>
  <c r="W364" i="8" s="1"/>
  <c r="U274" i="8"/>
  <c r="U107" i="8"/>
  <c r="W107" i="8" s="1"/>
  <c r="U190" i="8"/>
  <c r="W190" i="8" s="1"/>
  <c r="U273" i="8"/>
  <c r="W273" i="8" s="1"/>
  <c r="U239" i="8"/>
  <c r="W239" i="8" s="1"/>
  <c r="U206" i="8"/>
  <c r="W206" i="8" s="1"/>
  <c r="U172" i="8"/>
  <c r="W172" i="8" s="1"/>
  <c r="U139" i="8"/>
  <c r="W139" i="8" s="1"/>
  <c r="U106" i="8"/>
  <c r="U73" i="8"/>
  <c r="W73" i="8" s="1"/>
  <c r="U39" i="8"/>
  <c r="W39" i="8" s="1"/>
  <c r="U240" i="8"/>
  <c r="W240" i="8" s="1"/>
  <c r="U91" i="8"/>
  <c r="W91" i="8" s="1"/>
  <c r="U177" i="8"/>
  <c r="W177" i="8" s="1"/>
  <c r="U56" i="8"/>
  <c r="W56" i="8" s="1"/>
  <c r="U280" i="8"/>
  <c r="W280" i="8" s="1"/>
  <c r="U246" i="8"/>
  <c r="U213" i="8"/>
  <c r="W213" i="8" s="1"/>
  <c r="U180" i="8"/>
  <c r="W180" i="8" s="1"/>
  <c r="U146" i="8"/>
  <c r="W146" i="8" s="1"/>
  <c r="U113" i="8"/>
  <c r="W113" i="8" s="1"/>
  <c r="U80" i="8"/>
  <c r="W80" i="8" s="1"/>
  <c r="U46" i="8"/>
  <c r="W46" i="8" s="1"/>
  <c r="U12" i="8"/>
  <c r="W12" i="8" s="1"/>
  <c r="U119" i="8"/>
  <c r="U115" i="8"/>
  <c r="W115" i="8" s="1"/>
  <c r="U275" i="8"/>
  <c r="W275" i="8" s="1"/>
  <c r="U241" i="8"/>
  <c r="W241" i="8" s="1"/>
  <c r="U208" i="8"/>
  <c r="W208" i="8" s="1"/>
  <c r="U174" i="8"/>
  <c r="U141" i="8"/>
  <c r="U108" i="8"/>
  <c r="W108" i="8" s="1"/>
  <c r="U75" i="8"/>
  <c r="U41" i="8"/>
  <c r="W41" i="8" s="1"/>
  <c r="U278" i="8"/>
  <c r="W278" i="8" s="1"/>
  <c r="U36" i="8"/>
  <c r="W36" i="8" s="1"/>
  <c r="U78" i="8"/>
  <c r="W78" i="8" s="1"/>
  <c r="U267" i="8"/>
  <c r="W267" i="8" s="1"/>
  <c r="U235" i="8"/>
  <c r="W235" i="8" s="1"/>
  <c r="U201" i="8"/>
  <c r="W201" i="8" s="1"/>
  <c r="U168" i="8"/>
  <c r="U135" i="8"/>
  <c r="W135" i="8" s="1"/>
  <c r="U102" i="8"/>
  <c r="W102" i="8" s="1"/>
  <c r="U68" i="8"/>
  <c r="W68" i="8" s="1"/>
  <c r="U35" i="8"/>
  <c r="W35" i="8" s="1"/>
  <c r="U223" i="8"/>
  <c r="U74" i="8"/>
  <c r="W74" i="8" s="1"/>
  <c r="U161" i="8"/>
  <c r="W161" i="8" s="1"/>
  <c r="U48" i="8"/>
  <c r="U276" i="8"/>
  <c r="W276" i="8" s="1"/>
  <c r="U242" i="8"/>
  <c r="W242" i="8" s="1"/>
  <c r="U209" i="8"/>
  <c r="W209" i="8" s="1"/>
  <c r="U175" i="8"/>
  <c r="W175" i="8" s="1"/>
  <c r="U142" i="8"/>
  <c r="U109" i="8"/>
  <c r="W109" i="8" s="1"/>
  <c r="U76" i="8"/>
  <c r="U42" i="8"/>
  <c r="U256" i="8"/>
  <c r="W256" i="8" s="1"/>
  <c r="U99" i="8"/>
  <c r="W99" i="8" s="1"/>
  <c r="U260" i="8"/>
  <c r="W260" i="8" s="1"/>
  <c r="U87" i="8"/>
  <c r="W87" i="8" s="1"/>
  <c r="U269" i="8"/>
  <c r="W269" i="8" s="1"/>
  <c r="U237" i="8"/>
  <c r="W237" i="8" s="1"/>
  <c r="U204" i="8"/>
  <c r="W204" i="8" s="1"/>
  <c r="U170" i="8"/>
  <c r="U137" i="8"/>
  <c r="W137" i="8" s="1"/>
  <c r="U104" i="8"/>
  <c r="W104" i="8" s="1"/>
  <c r="U71" i="8"/>
  <c r="W71" i="8" s="1"/>
  <c r="U37" i="8"/>
  <c r="W37" i="8" s="1"/>
  <c r="U297" i="8"/>
  <c r="U263" i="8"/>
  <c r="W263" i="8" s="1"/>
  <c r="U231" i="8"/>
  <c r="W231" i="8" s="1"/>
  <c r="U197" i="8"/>
  <c r="U164" i="8"/>
  <c r="W164" i="8" s="1"/>
  <c r="U131" i="8"/>
  <c r="W131" i="8" s="1"/>
  <c r="U98" i="8"/>
  <c r="W98" i="8" s="1"/>
  <c r="U64" i="8"/>
  <c r="W64" i="8" s="1"/>
  <c r="U30" i="8"/>
  <c r="W30" i="8" s="1"/>
  <c r="U207" i="8"/>
  <c r="W207" i="8" s="1"/>
  <c r="U60" i="8"/>
  <c r="W60" i="8" s="1"/>
  <c r="U144" i="8"/>
  <c r="U40" i="8"/>
  <c r="W40" i="8" s="1"/>
  <c r="U272" i="8"/>
  <c r="W272" i="8" s="1"/>
  <c r="U238" i="8"/>
  <c r="W238" i="8" s="1"/>
  <c r="U205" i="8"/>
  <c r="W205" i="8" s="1"/>
  <c r="U171" i="8"/>
  <c r="W171" i="8" s="1"/>
  <c r="U138" i="8"/>
  <c r="W138" i="8" s="1"/>
  <c r="U105" i="8"/>
  <c r="W105" i="8" s="1"/>
  <c r="U72" i="8"/>
  <c r="U38" i="8"/>
  <c r="W38" i="8" s="1"/>
  <c r="U232" i="8"/>
  <c r="W232" i="8" s="1"/>
  <c r="U69" i="8"/>
  <c r="W69" i="8" s="1"/>
  <c r="U236" i="8"/>
  <c r="W236" i="8" s="1"/>
  <c r="U22" i="8"/>
  <c r="U265" i="8"/>
  <c r="W265" i="8" s="1"/>
  <c r="U233" i="8"/>
  <c r="W233" i="8" s="1"/>
  <c r="U199" i="8"/>
  <c r="U166" i="8"/>
  <c r="W166" i="8" s="1"/>
  <c r="U133" i="8"/>
  <c r="W133" i="8" s="1"/>
  <c r="U100" i="8"/>
  <c r="W100" i="8" s="1"/>
  <c r="U66" i="8"/>
  <c r="W66" i="8" s="1"/>
  <c r="U33" i="8"/>
  <c r="W33" i="8" s="1"/>
  <c r="U286" i="8"/>
  <c r="W286" i="8" s="1"/>
  <c r="U282" i="8"/>
  <c r="W282" i="8" s="1"/>
  <c r="U293" i="8"/>
  <c r="U259" i="8"/>
  <c r="W259" i="8" s="1"/>
  <c r="U226" i="8"/>
  <c r="W226" i="8" s="1"/>
  <c r="U193" i="8"/>
  <c r="W193" i="8" s="1"/>
  <c r="U160" i="8"/>
  <c r="W160" i="8" s="1"/>
  <c r="U127" i="8"/>
  <c r="W127" i="8" s="1"/>
  <c r="U94" i="8"/>
  <c r="W94" i="8" s="1"/>
  <c r="U59" i="8"/>
  <c r="W59" i="8" s="1"/>
  <c r="U26" i="8"/>
  <c r="U182" i="8"/>
  <c r="W182" i="8" s="1"/>
  <c r="U52" i="8"/>
  <c r="W52" i="8" s="1"/>
  <c r="U128" i="8"/>
  <c r="W128" i="8" s="1"/>
  <c r="U18" i="8"/>
  <c r="W18" i="8" s="1"/>
  <c r="U266" i="8"/>
  <c r="W266" i="8" s="1"/>
  <c r="U234" i="8"/>
  <c r="W234" i="8" s="1"/>
  <c r="U200" i="8"/>
  <c r="W200" i="8" s="1"/>
  <c r="U167" i="8"/>
  <c r="U134" i="8"/>
  <c r="W134" i="8" s="1"/>
  <c r="U101" i="8"/>
  <c r="W101" i="8" s="1"/>
  <c r="U67" i="8"/>
  <c r="W67" i="8" s="1"/>
  <c r="U34" i="8"/>
  <c r="W34" i="8" s="1"/>
  <c r="U211" i="8"/>
  <c r="W211" i="8" s="1"/>
  <c r="U27" i="8"/>
  <c r="W27" i="8" s="1"/>
  <c r="U219" i="8"/>
  <c r="W219" i="8" s="1"/>
  <c r="U295" i="8"/>
  <c r="U261" i="8"/>
  <c r="W261" i="8" s="1"/>
  <c r="U229" i="8"/>
  <c r="W229" i="8" s="1"/>
  <c r="U195" i="8"/>
  <c r="W195" i="8" s="1"/>
  <c r="U162" i="8"/>
  <c r="W162" i="8" s="1"/>
  <c r="U129" i="8"/>
  <c r="W129" i="8" s="1"/>
  <c r="U96" i="8"/>
  <c r="W96" i="8" s="1"/>
  <c r="U62" i="8"/>
  <c r="W62" i="8" s="1"/>
  <c r="U28" i="8"/>
  <c r="U294" i="8"/>
  <c r="W294" i="8" s="1"/>
  <c r="U244" i="8"/>
  <c r="W244" i="8" s="1"/>
  <c r="U289" i="8"/>
  <c r="W289" i="8" s="1"/>
  <c r="U255" i="8"/>
  <c r="W255" i="8" s="1"/>
  <c r="U222" i="8"/>
  <c r="W222" i="8" s="1"/>
  <c r="U189" i="8"/>
  <c r="W189" i="8" s="1"/>
  <c r="U156" i="8"/>
  <c r="W156" i="8" s="1"/>
  <c r="U122" i="8"/>
  <c r="U90" i="8"/>
  <c r="W90" i="8" s="1"/>
  <c r="U55" i="8"/>
  <c r="W55" i="8" s="1"/>
  <c r="U21" i="8"/>
  <c r="W21" i="8" s="1"/>
  <c r="U165" i="8"/>
  <c r="W165" i="8" s="1"/>
  <c r="U44" i="8"/>
  <c r="W44" i="8" s="1"/>
  <c r="U268" i="8"/>
  <c r="W268" i="8" s="1"/>
  <c r="U111" i="8"/>
  <c r="W111" i="8" s="1"/>
  <c r="U296" i="8"/>
  <c r="U262" i="8"/>
  <c r="W262" i="8" s="1"/>
  <c r="U230" i="8"/>
  <c r="W230" i="8" s="1"/>
  <c r="U196" i="8"/>
  <c r="W196" i="8" s="1"/>
  <c r="U163" i="8"/>
  <c r="W163" i="8" s="1"/>
  <c r="U130" i="8"/>
  <c r="W130" i="8" s="1"/>
  <c r="U97" i="8"/>
  <c r="W97" i="8" s="1"/>
  <c r="U63" i="8"/>
  <c r="W63" i="8" s="1"/>
  <c r="U29" i="8"/>
  <c r="U194" i="8"/>
  <c r="W194" i="8" s="1"/>
  <c r="U198" i="8"/>
  <c r="W198" i="8" s="1"/>
  <c r="U291" i="8"/>
  <c r="W291" i="8" s="1"/>
  <c r="U257" i="8"/>
  <c r="W257" i="8" s="1"/>
  <c r="U224" i="8"/>
  <c r="W224" i="8" s="1"/>
  <c r="U191" i="8"/>
  <c r="W191" i="8" s="1"/>
  <c r="U158" i="8"/>
  <c r="W158" i="8" s="1"/>
  <c r="U125" i="8"/>
  <c r="U92" i="8"/>
  <c r="W92" i="8" s="1"/>
  <c r="U57" i="8"/>
  <c r="W57" i="8" s="1"/>
  <c r="U24" i="8"/>
  <c r="W24" i="8" s="1"/>
  <c r="U290" i="8"/>
  <c r="W290" i="8" s="1"/>
  <c r="U215" i="8"/>
  <c r="W215" i="8" s="1"/>
  <c r="U285" i="8"/>
  <c r="W285" i="8" s="1"/>
  <c r="U251" i="8"/>
  <c r="W251" i="8" s="1"/>
  <c r="U218" i="8"/>
  <c r="U185" i="8"/>
  <c r="W185" i="8" s="1"/>
  <c r="U151" i="8"/>
  <c r="W151" i="8" s="1"/>
  <c r="U118" i="8"/>
  <c r="W118" i="8" s="1"/>
  <c r="U86" i="8"/>
  <c r="W86" i="8" s="1"/>
  <c r="U51" i="8"/>
  <c r="W51" i="8" s="1"/>
  <c r="U17" i="8"/>
  <c r="W17" i="8" s="1"/>
  <c r="U140" i="8"/>
  <c r="W140" i="8" s="1"/>
  <c r="U31" i="8"/>
  <c r="U248" i="8"/>
  <c r="W248" i="8" s="1"/>
  <c r="U95" i="8"/>
  <c r="W95" i="8" s="1"/>
  <c r="U292" i="8"/>
  <c r="W292" i="8" s="1"/>
  <c r="U258" i="8"/>
  <c r="W258" i="8" s="1"/>
  <c r="U225" i="8"/>
  <c r="W225" i="8" s="1"/>
  <c r="U192" i="8"/>
  <c r="W192" i="8" s="1"/>
  <c r="U159" i="8"/>
  <c r="W159" i="8" s="1"/>
  <c r="U126" i="8"/>
  <c r="U93" i="8"/>
  <c r="W93" i="8" s="1"/>
  <c r="U58" i="8"/>
  <c r="W58" i="8" s="1"/>
  <c r="U25" i="8"/>
  <c r="W25" i="8" s="1"/>
  <c r="U169" i="8"/>
  <c r="W169" i="8" s="1"/>
  <c r="U173" i="8"/>
  <c r="W173" i="8" s="1"/>
  <c r="U287" i="8"/>
  <c r="W287" i="8" s="1"/>
  <c r="U253" i="8"/>
  <c r="W253" i="8" s="1"/>
  <c r="U220" i="8"/>
  <c r="U187" i="8"/>
  <c r="W187" i="8" s="1"/>
  <c r="U153" i="8"/>
  <c r="W153" i="8" s="1"/>
  <c r="U120" i="8"/>
  <c r="W120" i="8" s="1"/>
  <c r="U88" i="8"/>
  <c r="W88" i="8" s="1"/>
  <c r="U53" i="8"/>
  <c r="W53" i="8" s="1"/>
  <c r="U19" i="8"/>
  <c r="W19" i="8" s="1"/>
  <c r="U9" i="8"/>
  <c r="W9" i="8" s="1"/>
  <c r="U186" i="8"/>
  <c r="U247" i="8"/>
  <c r="W247" i="8" s="1"/>
  <c r="U114" i="8"/>
  <c r="W114" i="8" s="1"/>
  <c r="U123" i="8"/>
  <c r="W123" i="8" s="1"/>
  <c r="U288" i="8"/>
  <c r="W288" i="8" s="1"/>
  <c r="U155" i="8"/>
  <c r="W155" i="8" s="1"/>
  <c r="U20" i="8"/>
  <c r="W20" i="8" s="1"/>
  <c r="U283" i="8"/>
  <c r="W283" i="8" s="1"/>
  <c r="U149" i="8"/>
  <c r="U15" i="8"/>
  <c r="W15" i="8" s="1"/>
  <c r="U148" i="8"/>
  <c r="W148" i="8" s="1"/>
  <c r="U243" i="8"/>
  <c r="W243" i="8" s="1"/>
  <c r="U110" i="8"/>
  <c r="W110" i="8" s="1"/>
  <c r="U103" i="8"/>
  <c r="W103" i="8" s="1"/>
  <c r="U284" i="8"/>
  <c r="W284" i="8" s="1"/>
  <c r="U150" i="8"/>
  <c r="W150" i="8" s="1"/>
  <c r="U16" i="8"/>
  <c r="U279" i="8"/>
  <c r="W279" i="8" s="1"/>
  <c r="U145" i="8"/>
  <c r="W145" i="8" s="1"/>
  <c r="U10" i="8"/>
  <c r="W10" i="8" s="1"/>
  <c r="U183" i="8"/>
  <c r="W183" i="8" s="1"/>
  <c r="U264" i="8"/>
  <c r="W264" i="8" s="1"/>
  <c r="U214" i="8"/>
  <c r="W214" i="8" s="1"/>
  <c r="U82" i="8"/>
  <c r="W82" i="8" s="1"/>
  <c r="U14" i="8"/>
  <c r="W14" i="8" s="1"/>
  <c r="U254" i="8"/>
  <c r="W254" i="8" s="1"/>
  <c r="U121" i="8"/>
  <c r="W121" i="8" s="1"/>
  <c r="U152" i="8"/>
  <c r="W152" i="8" s="1"/>
  <c r="U249" i="8"/>
  <c r="W249" i="8" s="1"/>
  <c r="U116" i="8"/>
  <c r="W116" i="8" s="1"/>
  <c r="U143" i="8"/>
  <c r="W143" i="8" s="1"/>
  <c r="U178" i="8"/>
  <c r="W178" i="8" s="1"/>
  <c r="U210" i="8"/>
  <c r="U77" i="8"/>
  <c r="W77" i="8" s="1"/>
  <c r="U250" i="8"/>
  <c r="W250" i="8" s="1"/>
  <c r="U117" i="8"/>
  <c r="W117" i="8" s="1"/>
  <c r="U132" i="8"/>
  <c r="W132" i="8" s="1"/>
  <c r="U245" i="8"/>
  <c r="W245" i="8" s="1"/>
  <c r="U112" i="8"/>
  <c r="W112" i="8" s="1"/>
  <c r="U181" i="8"/>
  <c r="W181" i="8" s="1"/>
  <c r="U47" i="8"/>
  <c r="W47" i="8" s="1"/>
  <c r="U227" i="8"/>
  <c r="W227" i="8" s="1"/>
  <c r="U221" i="8"/>
  <c r="W221" i="8" s="1"/>
  <c r="U89" i="8"/>
  <c r="W89" i="8" s="1"/>
  <c r="U216" i="8"/>
  <c r="W216" i="8" s="1"/>
  <c r="U84" i="8"/>
  <c r="W84" i="8" s="1"/>
  <c r="U147" i="8"/>
  <c r="W147" i="8" s="1"/>
  <c r="U13" i="8"/>
  <c r="U188" i="8"/>
  <c r="W188" i="8" s="1"/>
  <c r="U157" i="8"/>
  <c r="W157" i="8" s="1"/>
  <c r="U277" i="8"/>
  <c r="W277" i="8" s="1"/>
  <c r="U65" i="8"/>
  <c r="W65" i="8" s="1"/>
  <c r="U50" i="8"/>
  <c r="W50" i="8" s="1"/>
  <c r="U45" i="8"/>
  <c r="W45" i="8" s="1"/>
  <c r="U252" i="8"/>
  <c r="W252" i="8" s="1"/>
  <c r="U176" i="8"/>
  <c r="W176" i="8" s="1"/>
  <c r="U43" i="8"/>
  <c r="W43" i="8" s="1"/>
  <c r="U202" i="8"/>
  <c r="W202" i="8" s="1"/>
  <c r="U217" i="8"/>
  <c r="W217" i="8" s="1"/>
  <c r="U85" i="8"/>
  <c r="W85" i="8" s="1"/>
  <c r="U212" i="8"/>
  <c r="W212" i="8" s="1"/>
  <c r="U79" i="8"/>
  <c r="W79" i="8" s="1"/>
  <c r="U281" i="8"/>
  <c r="W281" i="8" s="1"/>
  <c r="U83" i="8"/>
  <c r="W83" i="8" s="1"/>
  <c r="U54" i="8"/>
  <c r="W54" i="8" s="1"/>
  <c r="U49" i="8"/>
  <c r="W49" i="8" s="1"/>
  <c r="U184" i="8"/>
  <c r="W184" i="8" s="1"/>
  <c r="U136" i="8"/>
  <c r="W136" i="8" s="1"/>
  <c r="V110" i="8"/>
  <c r="X110" i="8" s="1"/>
  <c r="V262" i="8"/>
  <c r="X262" i="8" s="1"/>
  <c r="V19" i="8"/>
  <c r="X19" i="8" s="1"/>
  <c r="V144" i="8"/>
  <c r="X144" i="8" s="1"/>
  <c r="V22" i="8"/>
  <c r="V84" i="8"/>
  <c r="X84" i="8" s="1"/>
  <c r="V67" i="8"/>
  <c r="X67" i="8" s="1"/>
  <c r="V214" i="8"/>
  <c r="X214" i="8" s="1"/>
  <c r="V236" i="8"/>
  <c r="X236" i="8" s="1"/>
  <c r="V191" i="8"/>
  <c r="X191" i="8" s="1"/>
  <c r="V171" i="8"/>
  <c r="X171" i="8" s="1"/>
  <c r="V151" i="8"/>
  <c r="X151" i="8" s="1"/>
  <c r="V290" i="8"/>
  <c r="V129" i="8"/>
  <c r="X129" i="8" s="1"/>
  <c r="V109" i="8"/>
  <c r="X109" i="8" s="1"/>
  <c r="V90" i="8"/>
  <c r="V207" i="8"/>
  <c r="X207" i="8" s="1"/>
  <c r="V66" i="8"/>
  <c r="X66" i="8" s="1"/>
  <c r="V46" i="8"/>
  <c r="X46" i="8" s="1"/>
  <c r="V26" i="8"/>
  <c r="X26" i="8" s="1"/>
  <c r="V293" i="8"/>
  <c r="V240" i="8"/>
  <c r="X240" i="8" s="1"/>
  <c r="V269" i="8"/>
  <c r="X269" i="8" s="1"/>
  <c r="V250" i="8"/>
  <c r="X250" i="8" s="1"/>
  <c r="V231" i="8"/>
  <c r="X231" i="8" s="1"/>
  <c r="V198" i="8"/>
  <c r="X198" i="8" s="1"/>
  <c r="V141" i="8"/>
  <c r="X141" i="8" s="1"/>
  <c r="V121" i="8"/>
  <c r="X121" i="8" s="1"/>
  <c r="V102" i="8"/>
  <c r="V56" i="8"/>
  <c r="X56" i="8" s="1"/>
  <c r="V45" i="8"/>
  <c r="X45" i="8" s="1"/>
  <c r="V25" i="8"/>
  <c r="X25" i="8" s="1"/>
  <c r="V292" i="8"/>
  <c r="X292" i="8" s="1"/>
  <c r="V273" i="8"/>
  <c r="X273" i="8" s="1"/>
  <c r="V140" i="8"/>
  <c r="X140" i="8" s="1"/>
  <c r="V348" i="8"/>
  <c r="X348" i="8" s="1"/>
  <c r="V299" i="8"/>
  <c r="V341" i="8"/>
  <c r="X341" i="8" s="1"/>
  <c r="V350" i="8"/>
  <c r="X350" i="8" s="1"/>
  <c r="V305" i="8"/>
  <c r="X305" i="8" s="1"/>
  <c r="V356" i="8"/>
  <c r="X356" i="8" s="1"/>
  <c r="V302" i="8"/>
  <c r="X302" i="8" s="1"/>
  <c r="V353" i="8"/>
  <c r="X353" i="8" s="1"/>
  <c r="V5" i="8"/>
  <c r="X5" i="8" s="1"/>
  <c r="V4" i="8"/>
  <c r="V11" i="8"/>
  <c r="X11" i="8" s="1"/>
  <c r="V120" i="8"/>
  <c r="X120" i="8" s="1"/>
  <c r="V176" i="8"/>
  <c r="X176" i="8" s="1"/>
  <c r="V153" i="8"/>
  <c r="X153" i="8" s="1"/>
  <c r="V49" i="8"/>
  <c r="V53" i="8"/>
  <c r="X53" i="8" s="1"/>
  <c r="V216" i="8"/>
  <c r="X216" i="8" s="1"/>
  <c r="V200" i="8"/>
  <c r="V247" i="8"/>
  <c r="X247" i="8" s="1"/>
  <c r="V48" i="8"/>
  <c r="X48" i="8" s="1"/>
  <c r="V224" i="8"/>
  <c r="X224" i="8" s="1"/>
  <c r="V205" i="8"/>
  <c r="X205" i="8" s="1"/>
  <c r="V185" i="8"/>
  <c r="V103" i="8"/>
  <c r="X103" i="8" s="1"/>
  <c r="V162" i="8"/>
  <c r="X162" i="8" s="1"/>
  <c r="V142" i="8"/>
  <c r="V122" i="8"/>
  <c r="X122" i="8" s="1"/>
  <c r="V165" i="8"/>
  <c r="X165" i="8" s="1"/>
  <c r="V100" i="8"/>
  <c r="X100" i="8" s="1"/>
  <c r="V80" i="8"/>
  <c r="X80" i="8" s="1"/>
  <c r="V59" i="8"/>
  <c r="V83" i="8"/>
  <c r="X83" i="8" s="1"/>
  <c r="V37" i="8"/>
  <c r="X37" i="8" s="1"/>
  <c r="V16" i="8"/>
  <c r="V284" i="8"/>
  <c r="X284" i="8" s="1"/>
  <c r="V263" i="8"/>
  <c r="X263" i="8" s="1"/>
  <c r="V148" i="8"/>
  <c r="X148" i="8" s="1"/>
  <c r="V174" i="8"/>
  <c r="X174" i="8" s="1"/>
  <c r="V155" i="8"/>
  <c r="V135" i="8"/>
  <c r="X135" i="8" s="1"/>
  <c r="V211" i="8"/>
  <c r="X211" i="8" s="1"/>
  <c r="V79" i="8"/>
  <c r="V58" i="8"/>
  <c r="X58" i="8" s="1"/>
  <c r="V39" i="8"/>
  <c r="X39" i="8" s="1"/>
  <c r="V14" i="8"/>
  <c r="X14" i="8" s="1"/>
  <c r="V286" i="8"/>
  <c r="X286" i="8" s="1"/>
  <c r="V303" i="8"/>
  <c r="X303" i="8" s="1"/>
  <c r="V322" i="8"/>
  <c r="X322" i="8" s="1"/>
  <c r="V362" i="8"/>
  <c r="X362" i="8" s="1"/>
  <c r="V316" i="8"/>
  <c r="V329" i="8"/>
  <c r="X329" i="8" s="1"/>
  <c r="V307" i="8"/>
  <c r="X307" i="8" s="1"/>
  <c r="V346" i="8"/>
  <c r="X346" i="8" s="1"/>
  <c r="V325" i="8"/>
  <c r="X325" i="8" s="1"/>
  <c r="V154" i="8"/>
  <c r="X154" i="8" s="1"/>
  <c r="V339" i="8"/>
  <c r="X339" i="8" s="1"/>
  <c r="V7" i="8"/>
  <c r="X7" i="8" s="1"/>
  <c r="V234" i="8"/>
  <c r="V95" i="8"/>
  <c r="X95" i="8" s="1"/>
  <c r="V287" i="8"/>
  <c r="X287" i="8" s="1"/>
  <c r="V183" i="8"/>
  <c r="X183" i="8" s="1"/>
  <c r="V187" i="8"/>
  <c r="X187" i="8" s="1"/>
  <c r="V63" i="8"/>
  <c r="V82" i="8"/>
  <c r="X82" i="8" s="1"/>
  <c r="V281" i="8"/>
  <c r="X281" i="8" s="1"/>
  <c r="V182" i="8"/>
  <c r="V257" i="8"/>
  <c r="X257" i="8" s="1"/>
  <c r="V238" i="8"/>
  <c r="X238" i="8" s="1"/>
  <c r="V218" i="8"/>
  <c r="X218" i="8" s="1"/>
  <c r="V256" i="8"/>
  <c r="X256" i="8" s="1"/>
  <c r="V195" i="8"/>
  <c r="X195" i="8" s="1"/>
  <c r="V175" i="8"/>
  <c r="X175" i="8" s="1"/>
  <c r="V156" i="8"/>
  <c r="X156" i="8" s="1"/>
  <c r="V152" i="8"/>
  <c r="V133" i="8"/>
  <c r="X133" i="8" s="1"/>
  <c r="V113" i="8"/>
  <c r="X113" i="8" s="1"/>
  <c r="V94" i="8"/>
  <c r="X94" i="8" s="1"/>
  <c r="V219" i="8"/>
  <c r="X219" i="8" s="1"/>
  <c r="V71" i="8"/>
  <c r="X71" i="8" s="1"/>
  <c r="V50" i="8"/>
  <c r="X50" i="8" s="1"/>
  <c r="V30" i="8"/>
  <c r="X30" i="8" s="1"/>
  <c r="V297" i="8"/>
  <c r="V9" i="8"/>
  <c r="X9" i="8" s="1"/>
  <c r="V208" i="8"/>
  <c r="X208" i="8" s="1"/>
  <c r="V188" i="8"/>
  <c r="X188" i="8" s="1"/>
  <c r="V168" i="8"/>
  <c r="X168" i="8" s="1"/>
  <c r="V260" i="8"/>
  <c r="X260" i="8" s="1"/>
  <c r="V112" i="8"/>
  <c r="X112" i="8" s="1"/>
  <c r="V93" i="8"/>
  <c r="X93" i="8" s="1"/>
  <c r="V73" i="8"/>
  <c r="V128" i="8"/>
  <c r="X128" i="8" s="1"/>
  <c r="V340" i="8"/>
  <c r="X340" i="8" s="1"/>
  <c r="V333" i="8"/>
  <c r="X333" i="8" s="1"/>
  <c r="V328" i="8"/>
  <c r="X328" i="8" s="1"/>
  <c r="V315" i="8"/>
  <c r="X315" i="8" s="1"/>
  <c r="V309" i="8"/>
  <c r="X309" i="8" s="1"/>
  <c r="V351" i="8"/>
  <c r="X351" i="8" s="1"/>
  <c r="V344" i="8"/>
  <c r="V366" i="8"/>
  <c r="X366" i="8" s="1"/>
  <c r="V81" i="8"/>
  <c r="X81" i="8" s="1"/>
  <c r="V70" i="8"/>
  <c r="X70" i="8" s="1"/>
  <c r="V319" i="8"/>
  <c r="X319" i="8" s="1"/>
  <c r="U2" i="8"/>
  <c r="W2" i="8" s="1"/>
  <c r="V2" i="8"/>
  <c r="X2" i="8" s="1"/>
  <c r="X20" i="8"/>
  <c r="I161" i="18"/>
  <c r="V161" i="18" s="1"/>
  <c r="X161" i="18" s="1"/>
  <c r="V159" i="18"/>
  <c r="X159" i="18" s="1"/>
  <c r="I169" i="18"/>
  <c r="V167" i="18"/>
  <c r="X167" i="18" s="1"/>
  <c r="I128" i="18"/>
  <c r="V127" i="18"/>
  <c r="X127" i="18" s="1"/>
  <c r="I252" i="18"/>
  <c r="V251" i="18"/>
  <c r="X251" i="18" s="1"/>
  <c r="I191" i="18"/>
  <c r="V190" i="18"/>
  <c r="X190" i="18" s="1"/>
  <c r="I224" i="18"/>
  <c r="V222" i="18"/>
  <c r="X222" i="18" s="1"/>
  <c r="I26" i="10"/>
  <c r="V25" i="10"/>
  <c r="X25" i="10" s="1"/>
  <c r="I131" i="10"/>
  <c r="V128" i="10"/>
  <c r="X128" i="10" s="1"/>
  <c r="U363" i="9"/>
  <c r="W363" i="9" s="1"/>
  <c r="U360" i="9"/>
  <c r="W360" i="9" s="1"/>
  <c r="U347" i="9"/>
  <c r="W347" i="9" s="1"/>
  <c r="U344" i="9"/>
  <c r="W344" i="9" s="1"/>
  <c r="U337" i="9"/>
  <c r="W337" i="9" s="1"/>
  <c r="U333" i="9"/>
  <c r="W333" i="9" s="1"/>
  <c r="U329" i="9"/>
  <c r="W329" i="9" s="1"/>
  <c r="U326" i="9"/>
  <c r="W326" i="9" s="1"/>
  <c r="U322" i="9"/>
  <c r="W322" i="9" s="1"/>
  <c r="U318" i="9"/>
  <c r="W318" i="9" s="1"/>
  <c r="U304" i="9"/>
  <c r="W304" i="9" s="1"/>
  <c r="U300" i="9"/>
  <c r="W300" i="9" s="1"/>
  <c r="U293" i="9"/>
  <c r="W293" i="9" s="1"/>
  <c r="U289" i="9"/>
  <c r="W289" i="9" s="1"/>
  <c r="U282" i="9"/>
  <c r="W282" i="9" s="1"/>
  <c r="U263" i="9"/>
  <c r="W263" i="9" s="1"/>
  <c r="U248" i="9"/>
  <c r="W248" i="9" s="1"/>
  <c r="U241" i="9"/>
  <c r="W241" i="9" s="1"/>
  <c r="U234" i="9"/>
  <c r="W234" i="9" s="1"/>
  <c r="U223" i="9"/>
  <c r="W223" i="9" s="1"/>
  <c r="U212" i="9"/>
  <c r="W212" i="9" s="1"/>
  <c r="U208" i="9"/>
  <c r="W208" i="9" s="1"/>
  <c r="U204" i="9"/>
  <c r="W204" i="9" s="1"/>
  <c r="U186" i="9"/>
  <c r="W186" i="9" s="1"/>
  <c r="U164" i="9"/>
  <c r="W164" i="9" s="1"/>
  <c r="U150" i="9"/>
  <c r="W150" i="9" s="1"/>
  <c r="U147" i="9"/>
  <c r="W147" i="9" s="1"/>
  <c r="U126" i="9"/>
  <c r="W126" i="9" s="1"/>
  <c r="U123" i="9"/>
  <c r="W123" i="9" s="1"/>
  <c r="U120" i="9"/>
  <c r="W120" i="9" s="1"/>
  <c r="U117" i="9"/>
  <c r="W117" i="9" s="1"/>
  <c r="U113" i="9"/>
  <c r="W113" i="9" s="1"/>
  <c r="U92" i="9"/>
  <c r="W92" i="9" s="1"/>
  <c r="U366" i="9"/>
  <c r="W366" i="9" s="1"/>
  <c r="U353" i="9"/>
  <c r="W353" i="9" s="1"/>
  <c r="U350" i="9"/>
  <c r="W350" i="9" s="1"/>
  <c r="U314" i="9"/>
  <c r="W314" i="9" s="1"/>
  <c r="U307" i="9"/>
  <c r="W307" i="9" s="1"/>
  <c r="U296" i="9"/>
  <c r="W296" i="9" s="1"/>
  <c r="U285" i="9"/>
  <c r="W285" i="9" s="1"/>
  <c r="U278" i="9"/>
  <c r="W278" i="9" s="1"/>
  <c r="U274" i="9"/>
  <c r="W274" i="9" s="1"/>
  <c r="U270" i="9"/>
  <c r="W270" i="9" s="1"/>
  <c r="U266" i="9"/>
  <c r="W266" i="9" s="1"/>
  <c r="U259" i="9"/>
  <c r="W259" i="9" s="1"/>
  <c r="U255" i="9"/>
  <c r="W255" i="9" s="1"/>
  <c r="U251" i="9"/>
  <c r="W251" i="9" s="1"/>
  <c r="U237" i="9"/>
  <c r="W237" i="9" s="1"/>
  <c r="U230" i="9"/>
  <c r="W230" i="9" s="1"/>
  <c r="U226" i="9"/>
  <c r="W226" i="9" s="1"/>
  <c r="U219" i="9"/>
  <c r="W219" i="9" s="1"/>
  <c r="U215" i="9"/>
  <c r="W215" i="9" s="1"/>
  <c r="U200" i="9"/>
  <c r="W200" i="9" s="1"/>
  <c r="U197" i="9"/>
  <c r="W197" i="9" s="1"/>
  <c r="U194" i="9"/>
  <c r="W194" i="9" s="1"/>
  <c r="U191" i="9"/>
  <c r="W191" i="9" s="1"/>
  <c r="U183" i="9"/>
  <c r="W183" i="9" s="1"/>
  <c r="U177" i="9"/>
  <c r="W177" i="9" s="1"/>
  <c r="U172" i="9"/>
  <c r="W172" i="9" s="1"/>
  <c r="U169" i="9"/>
  <c r="W169" i="9" s="1"/>
  <c r="U158" i="9"/>
  <c r="W158" i="9" s="1"/>
  <c r="U155" i="9"/>
  <c r="W155" i="9" s="1"/>
  <c r="U144" i="9"/>
  <c r="W144" i="9" s="1"/>
  <c r="U141" i="9"/>
  <c r="W141" i="9" s="1"/>
  <c r="U132" i="9"/>
  <c r="W132" i="9" s="1"/>
  <c r="U110" i="9"/>
  <c r="W110" i="9" s="1"/>
  <c r="U107" i="9"/>
  <c r="W107" i="9" s="1"/>
  <c r="U104" i="9"/>
  <c r="W104" i="9" s="1"/>
  <c r="U101" i="9"/>
  <c r="W101" i="9" s="1"/>
  <c r="U97" i="9"/>
  <c r="W97" i="9" s="1"/>
  <c r="U365" i="9"/>
  <c r="W365" i="9" s="1"/>
  <c r="U362" i="9"/>
  <c r="W362" i="9" s="1"/>
  <c r="U349" i="9"/>
  <c r="W349" i="9" s="1"/>
  <c r="U346" i="9"/>
  <c r="W346" i="9" s="1"/>
  <c r="U328" i="9"/>
  <c r="W328" i="9" s="1"/>
  <c r="U313" i="9"/>
  <c r="W313" i="9" s="1"/>
  <c r="U306" i="9"/>
  <c r="W306" i="9" s="1"/>
  <c r="U295" i="9"/>
  <c r="W295" i="9" s="1"/>
  <c r="U288" i="9"/>
  <c r="W288" i="9" s="1"/>
  <c r="U277" i="9"/>
  <c r="W277" i="9" s="1"/>
  <c r="U273" i="9"/>
  <c r="W273" i="9" s="1"/>
  <c r="U269" i="9"/>
  <c r="W269" i="9" s="1"/>
  <c r="U265" i="9"/>
  <c r="W265" i="9" s="1"/>
  <c r="U262" i="9"/>
  <c r="W262" i="9" s="1"/>
  <c r="U258" i="9"/>
  <c r="W258" i="9" s="1"/>
  <c r="U254" i="9"/>
  <c r="W254" i="9" s="1"/>
  <c r="U240" i="9"/>
  <c r="W240" i="9" s="1"/>
  <c r="U236" i="9"/>
  <c r="W236" i="9" s="1"/>
  <c r="U229" i="9"/>
  <c r="W229" i="9" s="1"/>
  <c r="U225" i="9"/>
  <c r="W225" i="9" s="1"/>
  <c r="U218" i="9"/>
  <c r="W218" i="9" s="1"/>
  <c r="U199" i="9"/>
  <c r="W199" i="9" s="1"/>
  <c r="U193" i="9"/>
  <c r="W193" i="9" s="1"/>
  <c r="U188" i="9"/>
  <c r="W188" i="9" s="1"/>
  <c r="U185" i="9"/>
  <c r="W185" i="9" s="1"/>
  <c r="U174" i="9"/>
  <c r="W174" i="9" s="1"/>
  <c r="U171" i="9"/>
  <c r="W171" i="9" s="1"/>
  <c r="U160" i="9"/>
  <c r="W160" i="9" s="1"/>
  <c r="U157" i="9"/>
  <c r="W157" i="9" s="1"/>
  <c r="U149" i="9"/>
  <c r="W149" i="9" s="1"/>
  <c r="U146" i="9"/>
  <c r="W146" i="9" s="1"/>
  <c r="U143" i="9"/>
  <c r="W143" i="9" s="1"/>
  <c r="U131" i="9"/>
  <c r="W131" i="9" s="1"/>
  <c r="U122" i="9"/>
  <c r="W122" i="9" s="1"/>
  <c r="U119" i="9"/>
  <c r="W119" i="9" s="1"/>
  <c r="U112" i="9"/>
  <c r="W112" i="9" s="1"/>
  <c r="U109" i="9"/>
  <c r="W109" i="9" s="1"/>
  <c r="U100" i="9"/>
  <c r="W100" i="9" s="1"/>
  <c r="U352" i="9"/>
  <c r="W352" i="9" s="1"/>
  <c r="U342" i="9"/>
  <c r="W342" i="9" s="1"/>
  <c r="U336" i="9"/>
  <c r="W336" i="9" s="1"/>
  <c r="U330" i="9"/>
  <c r="W330" i="9" s="1"/>
  <c r="U324" i="9"/>
  <c r="W324" i="9" s="1"/>
  <c r="U312" i="9"/>
  <c r="W312" i="9" s="1"/>
  <c r="U301" i="9"/>
  <c r="W301" i="9" s="1"/>
  <c r="U260" i="9"/>
  <c r="W260" i="9" s="1"/>
  <c r="U253" i="9"/>
  <c r="W253" i="9" s="1"/>
  <c r="U247" i="9"/>
  <c r="W247" i="9" s="1"/>
  <c r="U242" i="9"/>
  <c r="W242" i="9" s="1"/>
  <c r="U213" i="9"/>
  <c r="W213" i="9" s="1"/>
  <c r="U206" i="9"/>
  <c r="W206" i="9" s="1"/>
  <c r="U182" i="9"/>
  <c r="W182" i="9" s="1"/>
  <c r="U178" i="9"/>
  <c r="W178" i="9" s="1"/>
  <c r="U173" i="9"/>
  <c r="W173" i="9" s="1"/>
  <c r="U156" i="9"/>
  <c r="W156" i="9" s="1"/>
  <c r="U151" i="9"/>
  <c r="W151" i="9" s="1"/>
  <c r="U133" i="9"/>
  <c r="W133" i="9" s="1"/>
  <c r="U108" i="9"/>
  <c r="W108" i="9" s="1"/>
  <c r="U88" i="9"/>
  <c r="W88" i="9" s="1"/>
  <c r="U78" i="9"/>
  <c r="W78" i="9" s="1"/>
  <c r="U75" i="9"/>
  <c r="W75" i="9" s="1"/>
  <c r="U72" i="9"/>
  <c r="W72" i="9" s="1"/>
  <c r="U69" i="9"/>
  <c r="W69" i="9" s="1"/>
  <c r="U65" i="9"/>
  <c r="W65" i="9" s="1"/>
  <c r="U44" i="9"/>
  <c r="W44" i="9" s="1"/>
  <c r="U41" i="9"/>
  <c r="W41" i="9" s="1"/>
  <c r="U36" i="9"/>
  <c r="W36" i="9" s="1"/>
  <c r="U33" i="9"/>
  <c r="W33" i="9" s="1"/>
  <c r="U28" i="9"/>
  <c r="W28" i="9" s="1"/>
  <c r="U25" i="9"/>
  <c r="W25" i="9" s="1"/>
  <c r="U20" i="9"/>
  <c r="W20" i="9" s="1"/>
  <c r="U17" i="9"/>
  <c r="W17" i="9" s="1"/>
  <c r="U12" i="9"/>
  <c r="W12" i="9" s="1"/>
  <c r="U9" i="9"/>
  <c r="W9" i="9" s="1"/>
  <c r="U4" i="9"/>
  <c r="W4" i="9" s="1"/>
  <c r="U367" i="9"/>
  <c r="W367" i="9" s="1"/>
  <c r="U361" i="9"/>
  <c r="W361" i="9" s="1"/>
  <c r="U356" i="9"/>
  <c r="W356" i="9" s="1"/>
  <c r="U351" i="9"/>
  <c r="W351" i="9" s="1"/>
  <c r="U341" i="9"/>
  <c r="W341" i="9" s="1"/>
  <c r="U323" i="9"/>
  <c r="W323" i="9" s="1"/>
  <c r="U316" i="9"/>
  <c r="W316" i="9" s="1"/>
  <c r="U311" i="9"/>
  <c r="W311" i="9" s="1"/>
  <c r="U305" i="9"/>
  <c r="W305" i="9" s="1"/>
  <c r="U299" i="9"/>
  <c r="W299" i="9" s="1"/>
  <c r="U294" i="9"/>
  <c r="W294" i="9" s="1"/>
  <c r="U276" i="9"/>
  <c r="W276" i="9" s="1"/>
  <c r="U264" i="9"/>
  <c r="W264" i="9" s="1"/>
  <c r="U252" i="9"/>
  <c r="W252" i="9" s="1"/>
  <c r="U246" i="9"/>
  <c r="W246" i="9" s="1"/>
  <c r="U217" i="9"/>
  <c r="W217" i="9" s="1"/>
  <c r="U211" i="9"/>
  <c r="W211" i="9" s="1"/>
  <c r="U205" i="9"/>
  <c r="W205" i="9" s="1"/>
  <c r="U190" i="9"/>
  <c r="W190" i="9" s="1"/>
  <c r="U163" i="9"/>
  <c r="W163" i="9" s="1"/>
  <c r="U154" i="9"/>
  <c r="W154" i="9" s="1"/>
  <c r="U145" i="9"/>
  <c r="W145" i="9" s="1"/>
  <c r="U116" i="9"/>
  <c r="W116" i="9" s="1"/>
  <c r="U106" i="9"/>
  <c r="W106" i="9" s="1"/>
  <c r="U91" i="9"/>
  <c r="W91" i="9" s="1"/>
  <c r="U87" i="9"/>
  <c r="W87" i="9" s="1"/>
  <c r="U80" i="9"/>
  <c r="W80" i="9" s="1"/>
  <c r="U77" i="9"/>
  <c r="W77" i="9" s="1"/>
  <c r="U68" i="9"/>
  <c r="W68" i="9" s="1"/>
  <c r="U46" i="9"/>
  <c r="W46" i="9" s="1"/>
  <c r="U43" i="9"/>
  <c r="W43" i="9" s="1"/>
  <c r="U38" i="9"/>
  <c r="W38" i="9" s="1"/>
  <c r="U35" i="9"/>
  <c r="W35" i="9" s="1"/>
  <c r="U30" i="9"/>
  <c r="W30" i="9" s="1"/>
  <c r="U27" i="9"/>
  <c r="W27" i="9" s="1"/>
  <c r="U22" i="9"/>
  <c r="W22" i="9" s="1"/>
  <c r="U19" i="9"/>
  <c r="W19" i="9" s="1"/>
  <c r="U14" i="9"/>
  <c r="W14" i="9" s="1"/>
  <c r="U11" i="9"/>
  <c r="W11" i="9" s="1"/>
  <c r="U6" i="9"/>
  <c r="W6" i="9" s="1"/>
  <c r="U3" i="9"/>
  <c r="W3" i="9" s="1"/>
  <c r="U355" i="9"/>
  <c r="W355" i="9" s="1"/>
  <c r="U345" i="9"/>
  <c r="W345" i="9" s="1"/>
  <c r="U340" i="9"/>
  <c r="W340" i="9" s="1"/>
  <c r="U334" i="9"/>
  <c r="W334" i="9" s="1"/>
  <c r="U310" i="9"/>
  <c r="W310" i="9" s="1"/>
  <c r="U287" i="9"/>
  <c r="W287" i="9" s="1"/>
  <c r="U281" i="9"/>
  <c r="W281" i="9" s="1"/>
  <c r="U257" i="9"/>
  <c r="W257" i="9" s="1"/>
  <c r="U228" i="9"/>
  <c r="W228" i="9" s="1"/>
  <c r="U222" i="9"/>
  <c r="W222" i="9" s="1"/>
  <c r="U210" i="9"/>
  <c r="W210" i="9" s="1"/>
  <c r="U181" i="9"/>
  <c r="W181" i="9" s="1"/>
  <c r="U176" i="9"/>
  <c r="W176" i="9" s="1"/>
  <c r="U136" i="9"/>
  <c r="W136" i="9" s="1"/>
  <c r="U130" i="9"/>
  <c r="W130" i="9" s="1"/>
  <c r="U125" i="9"/>
  <c r="W125" i="9" s="1"/>
  <c r="U121" i="9"/>
  <c r="W121" i="9" s="1"/>
  <c r="U115" i="9"/>
  <c r="W115" i="9" s="1"/>
  <c r="U95" i="9"/>
  <c r="W95" i="9" s="1"/>
  <c r="U83" i="9"/>
  <c r="W83" i="9" s="1"/>
  <c r="U74" i="9"/>
  <c r="W74" i="9" s="1"/>
  <c r="U71" i="9"/>
  <c r="W71" i="9" s="1"/>
  <c r="U64" i="9"/>
  <c r="W64" i="9" s="1"/>
  <c r="U61" i="9"/>
  <c r="W61" i="9" s="1"/>
  <c r="U52" i="9"/>
  <c r="W52" i="9" s="1"/>
  <c r="U2" i="9"/>
  <c r="W2" i="9" s="1"/>
  <c r="U339" i="9"/>
  <c r="W339" i="9" s="1"/>
  <c r="U327" i="9"/>
  <c r="W327" i="9" s="1"/>
  <c r="U321" i="9"/>
  <c r="W321" i="9" s="1"/>
  <c r="U315" i="9"/>
  <c r="W315" i="9" s="1"/>
  <c r="U309" i="9"/>
  <c r="W309" i="9" s="1"/>
  <c r="U298" i="9"/>
  <c r="W298" i="9" s="1"/>
  <c r="U292" i="9"/>
  <c r="W292" i="9" s="1"/>
  <c r="U280" i="9"/>
  <c r="W280" i="9" s="1"/>
  <c r="U275" i="9"/>
  <c r="W275" i="9" s="1"/>
  <c r="U268" i="9"/>
  <c r="W268" i="9" s="1"/>
  <c r="U250" i="9"/>
  <c r="W250" i="9" s="1"/>
  <c r="U245" i="9"/>
  <c r="W245" i="9" s="1"/>
  <c r="U239" i="9"/>
  <c r="W239" i="9" s="1"/>
  <c r="U233" i="9"/>
  <c r="W233" i="9" s="1"/>
  <c r="U221" i="9"/>
  <c r="W221" i="9" s="1"/>
  <c r="U216" i="9"/>
  <c r="W216" i="9" s="1"/>
  <c r="U203" i="9"/>
  <c r="W203" i="9" s="1"/>
  <c r="U198" i="9"/>
  <c r="W198" i="9" s="1"/>
  <c r="U189" i="9"/>
  <c r="W189" i="9" s="1"/>
  <c r="U180" i="9"/>
  <c r="W180" i="9" s="1"/>
  <c r="U167" i="9"/>
  <c r="W167" i="9" s="1"/>
  <c r="U162" i="9"/>
  <c r="W162" i="9" s="1"/>
  <c r="U140" i="9"/>
  <c r="W140" i="9" s="1"/>
  <c r="U135" i="9"/>
  <c r="W135" i="9" s="1"/>
  <c r="U90" i="9"/>
  <c r="W90" i="9" s="1"/>
  <c r="U86" i="9"/>
  <c r="W86" i="9" s="1"/>
  <c r="U79" i="9"/>
  <c r="W79" i="9" s="1"/>
  <c r="U67" i="9"/>
  <c r="W67" i="9" s="1"/>
  <c r="U58" i="9"/>
  <c r="W58" i="9" s="1"/>
  <c r="U55" i="9"/>
  <c r="W55" i="9" s="1"/>
  <c r="U48" i="9"/>
  <c r="W48" i="9" s="1"/>
  <c r="U45" i="9"/>
  <c r="W45" i="9" s="1"/>
  <c r="U40" i="9"/>
  <c r="W40" i="9" s="1"/>
  <c r="U37" i="9"/>
  <c r="W37" i="9" s="1"/>
  <c r="U32" i="9"/>
  <c r="W32" i="9" s="1"/>
  <c r="U29" i="9"/>
  <c r="W29" i="9" s="1"/>
  <c r="U24" i="9"/>
  <c r="W24" i="9" s="1"/>
  <c r="U21" i="9"/>
  <c r="W21" i="9" s="1"/>
  <c r="U16" i="9"/>
  <c r="W16" i="9" s="1"/>
  <c r="U13" i="9"/>
  <c r="W13" i="9" s="1"/>
  <c r="U8" i="9"/>
  <c r="W8" i="9" s="1"/>
  <c r="U5" i="9"/>
  <c r="W5" i="9" s="1"/>
  <c r="U359" i="9"/>
  <c r="W359" i="9" s="1"/>
  <c r="U332" i="9"/>
  <c r="W332" i="9" s="1"/>
  <c r="U320" i="9"/>
  <c r="W320" i="9" s="1"/>
  <c r="U303" i="9"/>
  <c r="W303" i="9" s="1"/>
  <c r="U291" i="9"/>
  <c r="W291" i="9" s="1"/>
  <c r="U286" i="9"/>
  <c r="W286" i="9" s="1"/>
  <c r="U256" i="9"/>
  <c r="W256" i="9" s="1"/>
  <c r="U244" i="9"/>
  <c r="W244" i="9" s="1"/>
  <c r="U232" i="9"/>
  <c r="W232" i="9" s="1"/>
  <c r="U227" i="9"/>
  <c r="W227" i="9" s="1"/>
  <c r="U209" i="9"/>
  <c r="W209" i="9" s="1"/>
  <c r="U202" i="9"/>
  <c r="W202" i="9" s="1"/>
  <c r="U184" i="9"/>
  <c r="W184" i="9" s="1"/>
  <c r="U179" i="9"/>
  <c r="W179" i="9" s="1"/>
  <c r="U175" i="9"/>
  <c r="W175" i="9" s="1"/>
  <c r="U166" i="9"/>
  <c r="W166" i="9" s="1"/>
  <c r="U153" i="9"/>
  <c r="W153" i="9" s="1"/>
  <c r="U134" i="9"/>
  <c r="W134" i="9" s="1"/>
  <c r="U129" i="9"/>
  <c r="W129" i="9" s="1"/>
  <c r="U114" i="9"/>
  <c r="W114" i="9" s="1"/>
  <c r="U105" i="9"/>
  <c r="W105" i="9" s="1"/>
  <c r="U99" i="9"/>
  <c r="W99" i="9" s="1"/>
  <c r="U94" i="9"/>
  <c r="W94" i="9" s="1"/>
  <c r="U82" i="9"/>
  <c r="W82" i="9" s="1"/>
  <c r="U70" i="9"/>
  <c r="W70" i="9" s="1"/>
  <c r="U63" i="9"/>
  <c r="W63" i="9" s="1"/>
  <c r="U51" i="9"/>
  <c r="W51" i="9" s="1"/>
  <c r="U364" i="9"/>
  <c r="W364" i="9" s="1"/>
  <c r="U354" i="9"/>
  <c r="W354" i="9" s="1"/>
  <c r="U343" i="9"/>
  <c r="W343" i="9" s="1"/>
  <c r="U338" i="9"/>
  <c r="W338" i="9" s="1"/>
  <c r="U331" i="9"/>
  <c r="W331" i="9" s="1"/>
  <c r="U302" i="9"/>
  <c r="W302" i="9" s="1"/>
  <c r="U297" i="9"/>
  <c r="W297" i="9" s="1"/>
  <c r="U279" i="9"/>
  <c r="W279" i="9" s="1"/>
  <c r="U267" i="9"/>
  <c r="W267" i="9" s="1"/>
  <c r="U261" i="9"/>
  <c r="W261" i="9" s="1"/>
  <c r="U249" i="9"/>
  <c r="W249" i="9" s="1"/>
  <c r="U243" i="9"/>
  <c r="W243" i="9" s="1"/>
  <c r="U238" i="9"/>
  <c r="W238" i="9" s="1"/>
  <c r="U214" i="9"/>
  <c r="W214" i="9" s="1"/>
  <c r="U170" i="9"/>
  <c r="W170" i="9" s="1"/>
  <c r="U161" i="9"/>
  <c r="W161" i="9" s="1"/>
  <c r="U152" i="9"/>
  <c r="W152" i="9" s="1"/>
  <c r="U148" i="9"/>
  <c r="W148" i="9" s="1"/>
  <c r="U139" i="9"/>
  <c r="W139" i="9" s="1"/>
  <c r="U128" i="9"/>
  <c r="W128" i="9" s="1"/>
  <c r="U124" i="9"/>
  <c r="W124" i="9" s="1"/>
  <c r="U93" i="9"/>
  <c r="W93" i="9" s="1"/>
  <c r="U76" i="9"/>
  <c r="W76" i="9" s="1"/>
  <c r="U73" i="9"/>
  <c r="W73" i="9" s="1"/>
  <c r="U66" i="9"/>
  <c r="W66" i="9" s="1"/>
  <c r="U54" i="9"/>
  <c r="W54" i="9" s="1"/>
  <c r="U47" i="9"/>
  <c r="W47" i="9" s="1"/>
  <c r="U42" i="9"/>
  <c r="W42" i="9" s="1"/>
  <c r="U39" i="9"/>
  <c r="W39" i="9" s="1"/>
  <c r="U34" i="9"/>
  <c r="W34" i="9" s="1"/>
  <c r="U31" i="9"/>
  <c r="W31" i="9" s="1"/>
  <c r="U26" i="9"/>
  <c r="W26" i="9" s="1"/>
  <c r="U23" i="9"/>
  <c r="W23" i="9" s="1"/>
  <c r="U18" i="9"/>
  <c r="W18" i="9" s="1"/>
  <c r="U15" i="9"/>
  <c r="W15" i="9" s="1"/>
  <c r="U10" i="9"/>
  <c r="W10" i="9" s="1"/>
  <c r="U7" i="9"/>
  <c r="W7" i="9" s="1"/>
  <c r="U358" i="9"/>
  <c r="W358" i="9" s="1"/>
  <c r="U290" i="9"/>
  <c r="W290" i="9" s="1"/>
  <c r="U196" i="9"/>
  <c r="W196" i="9" s="1"/>
  <c r="U103" i="9"/>
  <c r="W103" i="9" s="1"/>
  <c r="U357" i="9"/>
  <c r="W357" i="9" s="1"/>
  <c r="U335" i="9"/>
  <c r="W335" i="9" s="1"/>
  <c r="U195" i="9"/>
  <c r="W195" i="9" s="1"/>
  <c r="U159" i="9"/>
  <c r="W159" i="9" s="1"/>
  <c r="U142" i="9"/>
  <c r="W142" i="9" s="1"/>
  <c r="U102" i="9"/>
  <c r="W102" i="9" s="1"/>
  <c r="U84" i="9"/>
  <c r="W84" i="9" s="1"/>
  <c r="U59" i="9"/>
  <c r="W59" i="9" s="1"/>
  <c r="U308" i="9"/>
  <c r="W308" i="9" s="1"/>
  <c r="U284" i="9"/>
  <c r="W284" i="9" s="1"/>
  <c r="U192" i="9"/>
  <c r="W192" i="9" s="1"/>
  <c r="U138" i="9"/>
  <c r="W138" i="9" s="1"/>
  <c r="U118" i="9"/>
  <c r="W118" i="9" s="1"/>
  <c r="U98" i="9"/>
  <c r="W98" i="9" s="1"/>
  <c r="U81" i="9"/>
  <c r="W81" i="9" s="1"/>
  <c r="U57" i="9"/>
  <c r="W57" i="9" s="1"/>
  <c r="U111" i="9"/>
  <c r="W111" i="9" s="1"/>
  <c r="U283" i="9"/>
  <c r="W283" i="9" s="1"/>
  <c r="U235" i="9"/>
  <c r="W235" i="9" s="1"/>
  <c r="U137" i="9"/>
  <c r="W137" i="9" s="1"/>
  <c r="U96" i="9"/>
  <c r="W96" i="9" s="1"/>
  <c r="U56" i="9"/>
  <c r="W56" i="9" s="1"/>
  <c r="U168" i="9"/>
  <c r="W168" i="9" s="1"/>
  <c r="U53" i="9"/>
  <c r="W53" i="9" s="1"/>
  <c r="U60" i="9"/>
  <c r="W60" i="9" s="1"/>
  <c r="U348" i="9"/>
  <c r="W348" i="9" s="1"/>
  <c r="U325" i="9"/>
  <c r="W325" i="9" s="1"/>
  <c r="U231" i="9"/>
  <c r="W231" i="9" s="1"/>
  <c r="U207" i="9"/>
  <c r="W207" i="9" s="1"/>
  <c r="U187" i="9"/>
  <c r="W187" i="9" s="1"/>
  <c r="U319" i="9"/>
  <c r="W319" i="9" s="1"/>
  <c r="U272" i="9"/>
  <c r="W272" i="9" s="1"/>
  <c r="U201" i="9"/>
  <c r="W201" i="9" s="1"/>
  <c r="U165" i="9"/>
  <c r="W165" i="9" s="1"/>
  <c r="U127" i="9"/>
  <c r="W127" i="9" s="1"/>
  <c r="U89" i="9"/>
  <c r="W89" i="9" s="1"/>
  <c r="U50" i="9"/>
  <c r="W50" i="9" s="1"/>
  <c r="U317" i="9"/>
  <c r="W317" i="9" s="1"/>
  <c r="U271" i="9"/>
  <c r="W271" i="9" s="1"/>
  <c r="U224" i="9"/>
  <c r="W224" i="9" s="1"/>
  <c r="U62" i="9"/>
  <c r="W62" i="9" s="1"/>
  <c r="U49" i="9"/>
  <c r="W49" i="9" s="1"/>
  <c r="U220" i="9"/>
  <c r="W220" i="9" s="1"/>
  <c r="U85" i="9"/>
  <c r="W85" i="9" s="1"/>
  <c r="X311" i="8"/>
  <c r="X16" i="8"/>
  <c r="X343" i="8"/>
  <c r="X189" i="8"/>
  <c r="X194" i="8"/>
  <c r="X8" i="8"/>
  <c r="X29" i="8"/>
  <c r="X300" i="8"/>
  <c r="X152" i="8"/>
  <c r="X294" i="8"/>
  <c r="X43" i="8"/>
  <c r="X161" i="8"/>
  <c r="X279" i="8"/>
  <c r="X49" i="8"/>
  <c r="X145" i="8"/>
  <c r="X209" i="8"/>
  <c r="X337" i="8"/>
  <c r="W186" i="8"/>
  <c r="W170" i="8"/>
  <c r="W106" i="8"/>
  <c r="W81" i="8"/>
  <c r="W365" i="8"/>
  <c r="W329" i="8"/>
  <c r="W309" i="8"/>
  <c r="W297" i="8"/>
  <c r="W293" i="8"/>
  <c r="W142" i="8"/>
  <c r="W119" i="8"/>
  <c r="W328" i="8"/>
  <c r="W304" i="8"/>
  <c r="W296" i="8"/>
  <c r="W228" i="8"/>
  <c r="W220" i="8"/>
  <c r="W141" i="8"/>
  <c r="W126" i="8"/>
  <c r="W76" i="8"/>
  <c r="W144" i="8"/>
  <c r="W122" i="8"/>
  <c r="W367" i="8"/>
  <c r="W347" i="8"/>
  <c r="W339" i="8"/>
  <c r="W323" i="8"/>
  <c r="W307" i="8"/>
  <c r="W303" i="8"/>
  <c r="W295" i="8"/>
  <c r="W271" i="8"/>
  <c r="W223" i="8"/>
  <c r="W174" i="8"/>
  <c r="W168" i="8"/>
  <c r="W125" i="8"/>
  <c r="W197" i="8"/>
  <c r="W149" i="8"/>
  <c r="W75" i="8"/>
  <c r="W350" i="8"/>
  <c r="W28" i="8"/>
  <c r="W16" i="8"/>
  <c r="W314" i="8"/>
  <c r="W218" i="8"/>
  <c r="W72" i="8"/>
  <c r="W42" i="8"/>
  <c r="W31" i="8"/>
  <c r="W246" i="8"/>
  <c r="W167" i="8"/>
  <c r="W11" i="8"/>
  <c r="W7" i="8"/>
  <c r="W322" i="8"/>
  <c r="W274" i="8"/>
  <c r="W210" i="8"/>
  <c r="W48" i="8"/>
  <c r="W366" i="8"/>
  <c r="W334" i="8"/>
  <c r="W270" i="8"/>
  <c r="W26" i="8"/>
  <c r="W22" i="8"/>
  <c r="W199" i="8"/>
  <c r="W29" i="8"/>
  <c r="W330" i="8"/>
  <c r="W326" i="8"/>
  <c r="W13" i="8"/>
  <c r="W5" i="8"/>
  <c r="X62" i="8"/>
  <c r="X55" i="8"/>
  <c r="X278" i="8"/>
  <c r="X75" i="8"/>
  <c r="X192" i="8"/>
  <c r="X79" i="8"/>
  <c r="X182" i="8"/>
  <c r="X272" i="8"/>
  <c r="X304" i="8"/>
  <c r="X119" i="8"/>
  <c r="X102" i="8"/>
  <c r="X213" i="8"/>
  <c r="X277" i="8"/>
  <c r="X314" i="8"/>
  <c r="X255" i="8"/>
  <c r="X13" i="8"/>
  <c r="X4" i="8"/>
  <c r="X167" i="8"/>
  <c r="X131" i="8"/>
  <c r="X73" i="8"/>
  <c r="X217" i="8"/>
  <c r="X99" i="8"/>
  <c r="X124" i="8"/>
  <c r="X173" i="8"/>
  <c r="X222" i="8"/>
  <c r="X259" i="8"/>
  <c r="X323" i="8"/>
  <c r="X355" i="8"/>
  <c r="X90" i="8"/>
  <c r="X69" i="8"/>
  <c r="X344" i="8"/>
  <c r="X116" i="8"/>
  <c r="X221" i="8"/>
  <c r="X51" i="8"/>
  <c r="X68" i="8"/>
  <c r="X59" i="8"/>
  <c r="X63" i="8"/>
  <c r="X181" i="8"/>
  <c r="X22" i="8"/>
  <c r="X3" i="8"/>
  <c r="X146" i="8"/>
  <c r="X179" i="8"/>
  <c r="X258" i="8"/>
  <c r="X290" i="8"/>
  <c r="X200" i="8"/>
  <c r="X327" i="8"/>
  <c r="X316" i="8"/>
  <c r="X321" i="8"/>
  <c r="X235" i="8"/>
  <c r="X299" i="8"/>
  <c r="X288" i="8"/>
  <c r="X352" i="8"/>
  <c r="X91" i="8"/>
  <c r="X136" i="8"/>
  <c r="X293" i="8"/>
  <c r="X265" i="8"/>
  <c r="X297" i="8"/>
  <c r="X361" i="8"/>
  <c r="X78" i="8"/>
  <c r="X155" i="8"/>
  <c r="X234" i="8"/>
  <c r="X298" i="8"/>
  <c r="X271" i="8"/>
  <c r="X335" i="8"/>
  <c r="X111" i="8"/>
  <c r="X101" i="8"/>
  <c r="X185" i="8"/>
  <c r="X98" i="8"/>
  <c r="X139" i="8"/>
  <c r="X196" i="8"/>
  <c r="X64" i="8"/>
  <c r="X36" i="8"/>
  <c r="X85" i="8"/>
  <c r="X270" i="8"/>
  <c r="X334" i="8"/>
  <c r="X243" i="8"/>
  <c r="X115" i="8"/>
  <c r="X159" i="8"/>
  <c r="X193" i="8"/>
  <c r="X264" i="8"/>
  <c r="X105" i="8"/>
  <c r="X142" i="8"/>
  <c r="X202" i="8"/>
  <c r="L180" i="18"/>
  <c r="L182" i="18" s="1"/>
  <c r="L184" i="18" s="1"/>
  <c r="L186" i="18" s="1"/>
  <c r="L181" i="18"/>
  <c r="L183" i="18" s="1"/>
  <c r="K180" i="18"/>
  <c r="K182" i="18" s="1"/>
  <c r="K184" i="18" s="1"/>
  <c r="K186" i="18" s="1"/>
  <c r="K181" i="18"/>
  <c r="K183" i="18" s="1"/>
  <c r="I253" i="18" l="1"/>
  <c r="V252" i="18"/>
  <c r="X252" i="18" s="1"/>
  <c r="I130" i="18"/>
  <c r="V128" i="18"/>
  <c r="X128" i="18" s="1"/>
  <c r="I225" i="18"/>
  <c r="V224" i="18"/>
  <c r="X224" i="18" s="1"/>
  <c r="I170" i="18"/>
  <c r="V169" i="18"/>
  <c r="X169" i="18" s="1"/>
  <c r="I194" i="18"/>
  <c r="V191" i="18"/>
  <c r="X191" i="18" s="1"/>
  <c r="I27" i="10"/>
  <c r="V26" i="10"/>
  <c r="X26" i="10" s="1"/>
  <c r="I132" i="10"/>
  <c r="V131" i="10"/>
  <c r="X131" i="10" s="1"/>
  <c r="K187" i="18"/>
  <c r="K189" i="18" s="1"/>
  <c r="K191" i="18" s="1"/>
  <c r="K194" i="18" s="1"/>
  <c r="K188" i="18"/>
  <c r="K190" i="18" s="1"/>
  <c r="L187" i="18"/>
  <c r="L189" i="18" s="1"/>
  <c r="L191" i="18" s="1"/>
  <c r="L194" i="18" s="1"/>
  <c r="L188" i="18"/>
  <c r="L190" i="18" s="1"/>
  <c r="I172" i="18" l="1"/>
  <c r="V170" i="18"/>
  <c r="X170" i="18" s="1"/>
  <c r="I226" i="18"/>
  <c r="V225" i="18"/>
  <c r="X225" i="18" s="1"/>
  <c r="I131" i="18"/>
  <c r="V130" i="18"/>
  <c r="X130" i="18" s="1"/>
  <c r="V194" i="18"/>
  <c r="X194" i="18" s="1"/>
  <c r="I195" i="18"/>
  <c r="I196" i="18"/>
  <c r="V196" i="18" s="1"/>
  <c r="X196" i="18" s="1"/>
  <c r="I254" i="18"/>
  <c r="V253" i="18"/>
  <c r="X253" i="18" s="1"/>
  <c r="I28" i="10"/>
  <c r="V28" i="10" s="1"/>
  <c r="X28" i="10" s="1"/>
  <c r="V27" i="10"/>
  <c r="X27" i="10" s="1"/>
  <c r="I133" i="10"/>
  <c r="V132" i="10"/>
  <c r="X132" i="10" s="1"/>
  <c r="L196" i="18"/>
  <c r="L195" i="18"/>
  <c r="L197" i="18" s="1"/>
  <c r="L198" i="18" s="1"/>
  <c r="L200" i="18" s="1"/>
  <c r="K195" i="18"/>
  <c r="K197" i="18" s="1"/>
  <c r="K198" i="18" s="1"/>
  <c r="K200" i="18" s="1"/>
  <c r="K196" i="18"/>
  <c r="I132" i="18" l="1"/>
  <c r="V131" i="18"/>
  <c r="X131" i="18" s="1"/>
  <c r="I197" i="18"/>
  <c r="V195" i="18"/>
  <c r="X195" i="18" s="1"/>
  <c r="I228" i="18"/>
  <c r="V226" i="18"/>
  <c r="X226" i="18" s="1"/>
  <c r="V254" i="18"/>
  <c r="X254" i="18" s="1"/>
  <c r="I256" i="18"/>
  <c r="I255" i="18"/>
  <c r="V255" i="18" s="1"/>
  <c r="X255" i="18" s="1"/>
  <c r="V172" i="18"/>
  <c r="X172" i="18" s="1"/>
  <c r="I174" i="18"/>
  <c r="I173" i="18"/>
  <c r="V173" i="18" s="1"/>
  <c r="X173" i="18" s="1"/>
  <c r="I134" i="10"/>
  <c r="V133" i="10"/>
  <c r="X133" i="10" s="1"/>
  <c r="K201" i="18"/>
  <c r="K203" i="18" s="1"/>
  <c r="K205" i="18" s="1"/>
  <c r="K207" i="18" s="1"/>
  <c r="K202" i="18"/>
  <c r="K204" i="18" s="1"/>
  <c r="L201" i="18"/>
  <c r="L203" i="18" s="1"/>
  <c r="L205" i="18" s="1"/>
  <c r="L207" i="18" s="1"/>
  <c r="L202" i="18"/>
  <c r="L204" i="18" s="1"/>
  <c r="I176" i="18" l="1"/>
  <c r="V174" i="18"/>
  <c r="X174" i="18" s="1"/>
  <c r="I198" i="18"/>
  <c r="V197" i="18"/>
  <c r="X197" i="18" s="1"/>
  <c r="I230" i="18"/>
  <c r="V230" i="18" s="1"/>
  <c r="X230" i="18" s="1"/>
  <c r="V228" i="18"/>
  <c r="X228" i="18" s="1"/>
  <c r="I229" i="18"/>
  <c r="I257" i="18"/>
  <c r="V256" i="18"/>
  <c r="X256" i="18" s="1"/>
  <c r="I133" i="18"/>
  <c r="V132" i="18"/>
  <c r="X132" i="18" s="1"/>
  <c r="I135" i="10"/>
  <c r="V134" i="10"/>
  <c r="X134" i="10" s="1"/>
  <c r="L209" i="18"/>
  <c r="L211" i="18" s="1"/>
  <c r="L208" i="18"/>
  <c r="L210" i="18" s="1"/>
  <c r="L212" i="18" s="1"/>
  <c r="L214" i="18" s="1"/>
  <c r="L215" i="18" s="1"/>
  <c r="L216" i="18" s="1"/>
  <c r="L217" i="18" s="1"/>
  <c r="K208" i="18"/>
  <c r="K210" i="18" s="1"/>
  <c r="K212" i="18" s="1"/>
  <c r="K214" i="18" s="1"/>
  <c r="K215" i="18" s="1"/>
  <c r="K216" i="18" s="1"/>
  <c r="K217" i="18" s="1"/>
  <c r="K209" i="18"/>
  <c r="K211" i="18" s="1"/>
  <c r="I231" i="18" l="1"/>
  <c r="V229" i="18"/>
  <c r="X229" i="18" s="1"/>
  <c r="I200" i="18"/>
  <c r="V198" i="18"/>
  <c r="X198" i="18" s="1"/>
  <c r="I258" i="18"/>
  <c r="V257" i="18"/>
  <c r="X257" i="18" s="1"/>
  <c r="I134" i="18"/>
  <c r="V133" i="18"/>
  <c r="X133" i="18" s="1"/>
  <c r="I177" i="18"/>
  <c r="V176" i="18"/>
  <c r="X176" i="18" s="1"/>
  <c r="V135" i="10"/>
  <c r="X135" i="10" s="1"/>
  <c r="K218" i="18"/>
  <c r="K219" i="18"/>
  <c r="K221" i="18" s="1"/>
  <c r="L218" i="18"/>
  <c r="L219" i="18"/>
  <c r="L221" i="18" s="1"/>
  <c r="I201" i="18" l="1"/>
  <c r="V200" i="18"/>
  <c r="X200" i="18" s="1"/>
  <c r="I202" i="18"/>
  <c r="V202" i="18" s="1"/>
  <c r="X202" i="18" s="1"/>
  <c r="I135" i="18"/>
  <c r="V134" i="18"/>
  <c r="X134" i="18" s="1"/>
  <c r="I259" i="18"/>
  <c r="V258" i="18"/>
  <c r="X258" i="18" s="1"/>
  <c r="I179" i="18"/>
  <c r="V177" i="18"/>
  <c r="X177" i="18" s="1"/>
  <c r="I232" i="18"/>
  <c r="V231" i="18"/>
  <c r="X231" i="18" s="1"/>
  <c r="L222" i="18"/>
  <c r="L224" i="18" s="1"/>
  <c r="L226" i="18" s="1"/>
  <c r="L228" i="18" s="1"/>
  <c r="L223" i="18"/>
  <c r="L225" i="18" s="1"/>
  <c r="K222" i="18"/>
  <c r="K224" i="18" s="1"/>
  <c r="K226" i="18" s="1"/>
  <c r="K228" i="18" s="1"/>
  <c r="K223" i="18"/>
  <c r="K225" i="18" s="1"/>
  <c r="V179" i="18" l="1"/>
  <c r="X179" i="18" s="1"/>
  <c r="I180" i="18"/>
  <c r="I181" i="18"/>
  <c r="V181" i="18" s="1"/>
  <c r="X181" i="18" s="1"/>
  <c r="I260" i="18"/>
  <c r="V259" i="18"/>
  <c r="X259" i="18" s="1"/>
  <c r="I137" i="18"/>
  <c r="V135" i="18"/>
  <c r="X135" i="18" s="1"/>
  <c r="I233" i="18"/>
  <c r="V232" i="18"/>
  <c r="X232" i="18" s="1"/>
  <c r="I203" i="18"/>
  <c r="V201" i="18"/>
  <c r="X201" i="18" s="1"/>
  <c r="K229" i="18"/>
  <c r="K231" i="18" s="1"/>
  <c r="K233" i="18" s="1"/>
  <c r="K236" i="18" s="1"/>
  <c r="K230" i="18"/>
  <c r="K232" i="18" s="1"/>
  <c r="L229" i="18"/>
  <c r="L231" i="18" s="1"/>
  <c r="L233" i="18" s="1"/>
  <c r="L236" i="18" s="1"/>
  <c r="L230" i="18"/>
  <c r="L232" i="18" s="1"/>
  <c r="V137" i="18" l="1"/>
  <c r="X137" i="18" s="1"/>
  <c r="I138" i="18"/>
  <c r="I139" i="18"/>
  <c r="I236" i="18"/>
  <c r="V233" i="18"/>
  <c r="X233" i="18" s="1"/>
  <c r="I204" i="18"/>
  <c r="V203" i="18"/>
  <c r="X203" i="18" s="1"/>
  <c r="I182" i="18"/>
  <c r="V180" i="18"/>
  <c r="X180" i="18" s="1"/>
  <c r="I261" i="18"/>
  <c r="V260" i="18"/>
  <c r="X260" i="18" s="1"/>
  <c r="L237" i="18"/>
  <c r="L239" i="18" s="1"/>
  <c r="L241" i="18" s="1"/>
  <c r="L238" i="18"/>
  <c r="L240" i="18" s="1"/>
  <c r="K237" i="18"/>
  <c r="K239" i="18" s="1"/>
  <c r="K241" i="18" s="1"/>
  <c r="K238" i="18"/>
  <c r="K240" i="18" s="1"/>
  <c r="I183" i="18" l="1"/>
  <c r="V182" i="18"/>
  <c r="X182" i="18" s="1"/>
  <c r="V236" i="18"/>
  <c r="X236" i="18" s="1"/>
  <c r="I238" i="18"/>
  <c r="V238" i="18" s="1"/>
  <c r="X238" i="18" s="1"/>
  <c r="I237" i="18"/>
  <c r="I141" i="18"/>
  <c r="V141" i="18" s="1"/>
  <c r="X141" i="18" s="1"/>
  <c r="V139" i="18"/>
  <c r="X139" i="18" s="1"/>
  <c r="I262" i="18"/>
  <c r="V262" i="18" s="1"/>
  <c r="X262" i="18" s="1"/>
  <c r="V261" i="18"/>
  <c r="X261" i="18" s="1"/>
  <c r="I140" i="18"/>
  <c r="V138" i="18"/>
  <c r="X138" i="18" s="1"/>
  <c r="I205" i="18"/>
  <c r="V204" i="18"/>
  <c r="X204" i="18" s="1"/>
  <c r="K243" i="18"/>
  <c r="K245" i="18" s="1"/>
  <c r="K246" i="18" s="1"/>
  <c r="K247" i="18" s="1"/>
  <c r="K242" i="18"/>
  <c r="K244" i="18" s="1"/>
  <c r="L242" i="18"/>
  <c r="L244" i="18" s="1"/>
  <c r="L243" i="18"/>
  <c r="L245" i="18" s="1"/>
  <c r="L246" i="18" s="1"/>
  <c r="L247" i="18" s="1"/>
  <c r="I239" i="18" l="1"/>
  <c r="V237" i="18"/>
  <c r="X237" i="18" s="1"/>
  <c r="I142" i="18"/>
  <c r="V140" i="18"/>
  <c r="X140" i="18" s="1"/>
  <c r="I207" i="18"/>
  <c r="V205" i="18"/>
  <c r="X205" i="18" s="1"/>
  <c r="I184" i="18"/>
  <c r="V184" i="18" s="1"/>
  <c r="X184" i="18" s="1"/>
  <c r="V183" i="18"/>
  <c r="X183" i="18" s="1"/>
  <c r="L248" i="18"/>
  <c r="L250" i="18" s="1"/>
  <c r="L252" i="18" s="1"/>
  <c r="L253" i="18" s="1"/>
  <c r="L254" i="18" s="1"/>
  <c r="L249" i="18"/>
  <c r="L251" i="18" s="1"/>
  <c r="K249" i="18"/>
  <c r="K251" i="18" s="1"/>
  <c r="K248" i="18"/>
  <c r="K250" i="18" s="1"/>
  <c r="K252" i="18" s="1"/>
  <c r="K253" i="18" s="1"/>
  <c r="K254" i="18" s="1"/>
  <c r="I208" i="18" l="1"/>
  <c r="V207" i="18"/>
  <c r="X207" i="18" s="1"/>
  <c r="I209" i="18"/>
  <c r="V209" i="18" s="1"/>
  <c r="X209" i="18" s="1"/>
  <c r="I144" i="18"/>
  <c r="V142" i="18"/>
  <c r="X142" i="18" s="1"/>
  <c r="I240" i="18"/>
  <c r="V239" i="18"/>
  <c r="X239" i="18" s="1"/>
  <c r="K256" i="18"/>
  <c r="K258" i="18" s="1"/>
  <c r="K259" i="18" s="1"/>
  <c r="K260" i="18" s="1"/>
  <c r="K261" i="18" s="1"/>
  <c r="K262" i="18" s="1"/>
  <c r="K255" i="18"/>
  <c r="K257" i="18" s="1"/>
  <c r="L256" i="18"/>
  <c r="L258" i="18" s="1"/>
  <c r="L259" i="18" s="1"/>
  <c r="L260" i="18" s="1"/>
  <c r="L261" i="18" s="1"/>
  <c r="L262" i="18" s="1"/>
  <c r="L255" i="18"/>
  <c r="L257" i="18" s="1"/>
  <c r="I241" i="18" l="1"/>
  <c r="V240" i="18"/>
  <c r="X240" i="18" s="1"/>
  <c r="I145" i="18"/>
  <c r="V144" i="18"/>
  <c r="X144" i="18" s="1"/>
  <c r="I146" i="18"/>
  <c r="I210" i="18"/>
  <c r="V208" i="18"/>
  <c r="X208" i="18" s="1"/>
  <c r="AF18" i="13"/>
  <c r="AI10" i="13"/>
  <c r="AH10" i="13"/>
  <c r="AE10" i="13"/>
  <c r="AD10" i="13"/>
  <c r="AC10" i="13"/>
  <c r="AF9" i="13"/>
  <c r="AG9" i="13" s="1"/>
  <c r="AF8" i="13"/>
  <c r="AG8" i="13" s="1"/>
  <c r="AF7" i="13"/>
  <c r="AG7" i="13" s="1"/>
  <c r="AF6" i="13"/>
  <c r="AG6" i="13" s="1"/>
  <c r="AF5" i="13"/>
  <c r="AG5" i="13" s="1"/>
  <c r="AF4" i="13"/>
  <c r="AG4" i="13" s="1"/>
  <c r="I211" i="18" l="1"/>
  <c r="V210" i="18"/>
  <c r="X210" i="18" s="1"/>
  <c r="I148" i="18"/>
  <c r="V148" i="18" s="1"/>
  <c r="X148" i="18" s="1"/>
  <c r="V146" i="18"/>
  <c r="X146" i="18" s="1"/>
  <c r="I147" i="18"/>
  <c r="V145" i="18"/>
  <c r="X145" i="18" s="1"/>
  <c r="V241" i="18"/>
  <c r="X241" i="18" s="1"/>
  <c r="I242" i="18"/>
  <c r="I243" i="18"/>
  <c r="V243" i="18" s="1"/>
  <c r="X243" i="18" s="1"/>
  <c r="AG10" i="13"/>
  <c r="AF10" i="13"/>
  <c r="I244" i="18" l="1"/>
  <c r="V242" i="18"/>
  <c r="X242" i="18" s="1"/>
  <c r="I149" i="18"/>
  <c r="V147" i="18"/>
  <c r="X147" i="18" s="1"/>
  <c r="I212" i="18"/>
  <c r="V211" i="18"/>
  <c r="X211" i="18" s="1"/>
  <c r="J87" i="15"/>
  <c r="J88" i="15"/>
  <c r="J89" i="15"/>
  <c r="J90" i="15"/>
  <c r="J91" i="15"/>
  <c r="J86" i="15"/>
  <c r="I214" i="18" l="1"/>
  <c r="V212" i="18"/>
  <c r="X212" i="18" s="1"/>
  <c r="I151" i="18"/>
  <c r="V149" i="18"/>
  <c r="X149" i="18" s="1"/>
  <c r="I245" i="18"/>
  <c r="V245" i="18" s="1"/>
  <c r="X245" i="18" s="1"/>
  <c r="V244" i="18"/>
  <c r="X244" i="18" s="1"/>
  <c r="I23" i="15"/>
  <c r="H23" i="15"/>
  <c r="E23" i="15"/>
  <c r="D23" i="15"/>
  <c r="C23" i="15"/>
  <c r="F22" i="15"/>
  <c r="G22" i="15" s="1"/>
  <c r="F21" i="15"/>
  <c r="G21" i="15" s="1"/>
  <c r="F20" i="15"/>
  <c r="G20" i="15" s="1"/>
  <c r="F19" i="15"/>
  <c r="G19" i="15" s="1"/>
  <c r="F18" i="15"/>
  <c r="G18" i="15" s="1"/>
  <c r="F17" i="15"/>
  <c r="G17" i="15" s="1"/>
  <c r="I153" i="18" l="1"/>
  <c r="V153" i="18" s="1"/>
  <c r="X153" i="18" s="1"/>
  <c r="V151" i="18"/>
  <c r="X151" i="18" s="1"/>
  <c r="I152" i="18"/>
  <c r="I215" i="18"/>
  <c r="V215" i="18" s="1"/>
  <c r="X215" i="18" s="1"/>
  <c r="V214" i="18"/>
  <c r="X214" i="18" s="1"/>
  <c r="F23" i="15"/>
  <c r="G23" i="15"/>
  <c r="I154" i="18" l="1"/>
  <c r="V154" i="18" s="1"/>
  <c r="X154" i="18" s="1"/>
  <c r="V152" i="18"/>
  <c r="X152" i="18" s="1"/>
  <c r="G92" i="15"/>
  <c r="H92" i="15"/>
  <c r="D92" i="15"/>
  <c r="F22" i="16" l="1"/>
  <c r="E20" i="16"/>
  <c r="B22" i="16"/>
  <c r="C20" i="16"/>
  <c r="G21" i="16"/>
  <c r="F21" i="16"/>
  <c r="D22" i="16"/>
  <c r="D21" i="16"/>
  <c r="B21" i="16"/>
  <c r="F20" i="16"/>
  <c r="D20" i="16"/>
  <c r="B20" i="16"/>
  <c r="C22" i="16" l="1"/>
  <c r="C21" i="16"/>
  <c r="E21" i="16"/>
  <c r="E22" i="16"/>
  <c r="G20" i="16"/>
  <c r="G22" i="16"/>
  <c r="L4" i="12" l="1"/>
  <c r="L5" i="12" s="1"/>
  <c r="L6" i="12" s="1"/>
  <c r="L7" i="12" s="1"/>
  <c r="L9" i="12" s="1"/>
  <c r="K4" i="12"/>
  <c r="K5" i="12" s="1"/>
  <c r="K6" i="12" s="1"/>
  <c r="K7" i="12" s="1"/>
  <c r="K9" i="12" s="1"/>
  <c r="J4" i="12"/>
  <c r="I4" i="12"/>
  <c r="H12" i="12"/>
  <c r="G12" i="12"/>
  <c r="AA11" i="12" l="1"/>
  <c r="AA10" i="12"/>
  <c r="AA9" i="12"/>
  <c r="AE4" i="12"/>
  <c r="AE5" i="12"/>
  <c r="AE10" i="12"/>
  <c r="AE9" i="12"/>
  <c r="AH4" i="12"/>
  <c r="AH5" i="12"/>
  <c r="AH6" i="12" s="1"/>
  <c r="AB6" i="12" s="1"/>
  <c r="I5" i="12"/>
  <c r="J5" i="12"/>
  <c r="AI33" i="13"/>
  <c r="AH33" i="13"/>
  <c r="AE33" i="13"/>
  <c r="AD33" i="13"/>
  <c r="AC33" i="13"/>
  <c r="AF32" i="13"/>
  <c r="AG32" i="13" s="1"/>
  <c r="AF31" i="13"/>
  <c r="AG31" i="13" s="1"/>
  <c r="AF30" i="13"/>
  <c r="AG30" i="13" s="1"/>
  <c r="AF29" i="13"/>
  <c r="AG29" i="13" s="1"/>
  <c r="AF28" i="13"/>
  <c r="AG28" i="13" s="1"/>
  <c r="AF27" i="13"/>
  <c r="AF17" i="13"/>
  <c r="AG17" i="13" s="1"/>
  <c r="AA6" i="12" l="1"/>
  <c r="AE6" i="12"/>
  <c r="AB5" i="12" s="1"/>
  <c r="AA5" i="12"/>
  <c r="J6" i="12"/>
  <c r="V5" i="12"/>
  <c r="X5" i="12" s="1"/>
  <c r="I6" i="12"/>
  <c r="U5" i="12"/>
  <c r="W5" i="12" s="1"/>
  <c r="AF33" i="13"/>
  <c r="AG27" i="13"/>
  <c r="AG33" i="13" s="1"/>
  <c r="I7" i="12" l="1"/>
  <c r="U6" i="12"/>
  <c r="W6" i="12" s="1"/>
  <c r="J7" i="12"/>
  <c r="V6" i="12"/>
  <c r="X6" i="12" s="1"/>
  <c r="U125" i="12"/>
  <c r="W125" i="12" s="1"/>
  <c r="U251" i="12"/>
  <c r="W251" i="12" s="1"/>
  <c r="U70" i="12"/>
  <c r="W70" i="12" s="1"/>
  <c r="U191" i="12"/>
  <c r="W191" i="12" s="1"/>
  <c r="U268" i="12"/>
  <c r="W268" i="12" s="1"/>
  <c r="U332" i="12"/>
  <c r="W332" i="12" s="1"/>
  <c r="U294" i="12"/>
  <c r="W294" i="12" s="1"/>
  <c r="U82" i="12"/>
  <c r="W82" i="12" s="1"/>
  <c r="U265" i="12"/>
  <c r="W265" i="12" s="1"/>
  <c r="U64" i="12"/>
  <c r="W64" i="12" s="1"/>
  <c r="U160" i="12"/>
  <c r="W160" i="12" s="1"/>
  <c r="U84" i="12"/>
  <c r="W84" i="12" s="1"/>
  <c r="U148" i="12"/>
  <c r="W148" i="12" s="1"/>
  <c r="U293" i="12"/>
  <c r="W293" i="12" s="1"/>
  <c r="U102" i="12"/>
  <c r="W102" i="12" s="1"/>
  <c r="U241" i="12"/>
  <c r="W241" i="12" s="1"/>
  <c r="U185" i="12"/>
  <c r="W185" i="12" s="1"/>
  <c r="U237" i="12"/>
  <c r="W237" i="12" s="1"/>
  <c r="U353" i="12"/>
  <c r="W353" i="12" s="1"/>
  <c r="U171" i="12"/>
  <c r="W171" i="12" s="1"/>
  <c r="U324" i="12"/>
  <c r="W324" i="12" s="1"/>
  <c r="U101" i="12"/>
  <c r="W101" i="12" s="1"/>
  <c r="U354" i="12"/>
  <c r="W354" i="12" s="1"/>
  <c r="U367" i="12"/>
  <c r="W367" i="12" s="1"/>
  <c r="U214" i="12"/>
  <c r="W214" i="12" s="1"/>
  <c r="U24" i="12"/>
  <c r="W24" i="12" s="1"/>
  <c r="U170" i="12"/>
  <c r="W170" i="12" s="1"/>
  <c r="U63" i="12"/>
  <c r="W63" i="12" s="1"/>
  <c r="U169" i="12"/>
  <c r="W169" i="12" s="1"/>
  <c r="U259" i="12"/>
  <c r="W259" i="12" s="1"/>
  <c r="U51" i="12"/>
  <c r="W51" i="12" s="1"/>
  <c r="U220" i="12"/>
  <c r="W220" i="12" s="1"/>
  <c r="U355" i="12"/>
  <c r="W355" i="12" s="1"/>
  <c r="U35" i="12"/>
  <c r="W35" i="12" s="1"/>
  <c r="U272" i="12"/>
  <c r="W272" i="12" s="1"/>
  <c r="U41" i="12"/>
  <c r="W41" i="12" s="1"/>
  <c r="U192" i="12"/>
  <c r="W192" i="12" s="1"/>
  <c r="U356" i="12"/>
  <c r="W356" i="12" s="1"/>
  <c r="U141" i="12"/>
  <c r="W141" i="12" s="1"/>
  <c r="U363" i="12"/>
  <c r="W363" i="12" s="1"/>
  <c r="U172" i="12"/>
  <c r="W172" i="12" s="1"/>
  <c r="U338" i="12"/>
  <c r="W338" i="12" s="1"/>
  <c r="U150" i="12"/>
  <c r="W150" i="12" s="1"/>
  <c r="U14" i="12"/>
  <c r="W14" i="12" s="1"/>
  <c r="U236" i="12"/>
  <c r="W236" i="12" s="1"/>
  <c r="U31" i="12"/>
  <c r="W31" i="12" s="1"/>
  <c r="U200" i="12"/>
  <c r="W200" i="12" s="1"/>
  <c r="U328" i="12"/>
  <c r="W328" i="12" s="1"/>
  <c r="U92" i="12"/>
  <c r="W92" i="12" s="1"/>
  <c r="U165" i="12"/>
  <c r="W165" i="12" s="1"/>
  <c r="U87" i="12"/>
  <c r="W87" i="12" s="1"/>
  <c r="U235" i="12"/>
  <c r="W235" i="12" s="1"/>
  <c r="U50" i="12"/>
  <c r="W50" i="12" s="1"/>
  <c r="U195" i="12"/>
  <c r="W195" i="12" s="1"/>
  <c r="U16" i="12"/>
  <c r="W16" i="12" s="1"/>
  <c r="U179" i="12"/>
  <c r="W179" i="12" s="1"/>
  <c r="U289" i="12"/>
  <c r="W289" i="12" s="1"/>
  <c r="U106" i="12"/>
  <c r="W106" i="12" s="1"/>
  <c r="U261" i="12"/>
  <c r="W261" i="12" s="1"/>
  <c r="U26" i="12"/>
  <c r="W26" i="12" s="1"/>
  <c r="U75" i="12"/>
  <c r="W75" i="12" s="1"/>
  <c r="U335" i="12"/>
  <c r="W335" i="12" s="1"/>
  <c r="U135" i="12"/>
  <c r="W135" i="12" s="1"/>
  <c r="U306" i="12"/>
  <c r="W306" i="12" s="1"/>
  <c r="U109" i="12"/>
  <c r="W109" i="12" s="1"/>
  <c r="U252" i="12"/>
  <c r="W252" i="12" s="1"/>
  <c r="U226" i="12"/>
  <c r="W226" i="12" s="1"/>
  <c r="U181" i="12"/>
  <c r="W181" i="12" s="1"/>
  <c r="U325" i="12"/>
  <c r="W325" i="12" s="1"/>
  <c r="U130" i="12"/>
  <c r="W130" i="12" s="1"/>
  <c r="U291" i="12"/>
  <c r="W291" i="12" s="1"/>
  <c r="U303" i="12"/>
  <c r="W303" i="12" s="1"/>
  <c r="U115" i="12"/>
  <c r="W115" i="12" s="1"/>
  <c r="U274" i="12"/>
  <c r="W274" i="12" s="1"/>
  <c r="U69" i="12"/>
  <c r="W69" i="12" s="1"/>
  <c r="U177" i="12"/>
  <c r="W177" i="12" s="1"/>
  <c r="U100" i="12"/>
  <c r="W100" i="12" s="1"/>
  <c r="U152" i="12"/>
  <c r="W152" i="12" s="1"/>
  <c r="U302" i="12"/>
  <c r="W302" i="12" s="1"/>
  <c r="U118" i="12"/>
  <c r="W118" i="12" s="1"/>
  <c r="U245" i="12"/>
  <c r="W245" i="12" s="1"/>
  <c r="U229" i="12"/>
  <c r="W229" i="12" s="1"/>
  <c r="U244" i="12"/>
  <c r="W244" i="12" s="1"/>
  <c r="U362" i="12"/>
  <c r="W362" i="12" s="1"/>
  <c r="U180" i="12"/>
  <c r="W180" i="12" s="1"/>
  <c r="U333" i="12"/>
  <c r="W333" i="12" s="1"/>
  <c r="U117" i="12"/>
  <c r="W117" i="12" s="1"/>
  <c r="U32" i="12"/>
  <c r="W32" i="12" s="1"/>
  <c r="U72" i="12"/>
  <c r="W72" i="12" s="1"/>
  <c r="U217" i="12"/>
  <c r="W217" i="12" s="1"/>
  <c r="U37" i="12"/>
  <c r="W37" i="12" s="1"/>
  <c r="U174" i="12"/>
  <c r="W174" i="12" s="1"/>
  <c r="U112" i="12"/>
  <c r="W112" i="12" s="1"/>
  <c r="U260" i="12"/>
  <c r="W260" i="12" s="1"/>
  <c r="U271" i="12"/>
  <c r="W271" i="12" s="1"/>
  <c r="U66" i="12"/>
  <c r="W66" i="12" s="1"/>
  <c r="U227" i="12"/>
  <c r="W227" i="12" s="1"/>
  <c r="U33" i="12"/>
  <c r="W33" i="12" s="1"/>
  <c r="U79" i="12"/>
  <c r="W79" i="12" s="1"/>
  <c r="U345" i="12"/>
  <c r="W345" i="12" s="1"/>
  <c r="U107" i="12"/>
  <c r="W107" i="12" s="1"/>
  <c r="U262" i="12"/>
  <c r="W262" i="12" s="1"/>
  <c r="U73" i="12"/>
  <c r="W73" i="12" s="1"/>
  <c r="U216" i="12"/>
  <c r="W216" i="12" s="1"/>
  <c r="U17" i="12"/>
  <c r="W17" i="12" s="1"/>
  <c r="U136" i="12"/>
  <c r="W136" i="12" s="1"/>
  <c r="U255" i="12"/>
  <c r="W255" i="12" s="1"/>
  <c r="U86" i="12"/>
  <c r="W86" i="12" s="1"/>
  <c r="U205" i="12"/>
  <c r="W205" i="12" s="1"/>
  <c r="U286" i="12"/>
  <c r="W286" i="12" s="1"/>
  <c r="U240" i="12"/>
  <c r="W240" i="12" s="1"/>
  <c r="U34" i="12"/>
  <c r="W34" i="12" s="1"/>
  <c r="U206" i="12"/>
  <c r="W206" i="12" s="1"/>
  <c r="U337" i="12"/>
  <c r="W337" i="12" s="1"/>
  <c r="U12" i="12"/>
  <c r="W12" i="12" s="1"/>
  <c r="U211" i="12"/>
  <c r="W211" i="12" s="1"/>
  <c r="U91" i="12"/>
  <c r="W91" i="12" s="1"/>
  <c r="U239" i="12"/>
  <c r="W239" i="12" s="1"/>
  <c r="U54" i="12"/>
  <c r="W54" i="12" s="1"/>
  <c r="U199" i="12"/>
  <c r="W199" i="12" s="1"/>
  <c r="U38" i="12"/>
  <c r="W38" i="12" s="1"/>
  <c r="U186" i="12"/>
  <c r="W186" i="12" s="1"/>
  <c r="U298" i="12"/>
  <c r="W298" i="12" s="1"/>
  <c r="U110" i="12"/>
  <c r="W110" i="12" s="1"/>
  <c r="U269" i="12"/>
  <c r="W269" i="12" s="1"/>
  <c r="U39" i="12"/>
  <c r="W39" i="12" s="1"/>
  <c r="U108" i="12"/>
  <c r="W108" i="12" s="1"/>
  <c r="U340" i="12"/>
  <c r="W340" i="12" s="1"/>
  <c r="U139" i="12"/>
  <c r="W139" i="12" s="1"/>
  <c r="U315" i="12"/>
  <c r="W315" i="12" s="1"/>
  <c r="U113" i="12"/>
  <c r="W113" i="12" s="1"/>
  <c r="U267" i="12"/>
  <c r="W267" i="12" s="1"/>
  <c r="U309" i="12"/>
  <c r="W309" i="12" s="1"/>
  <c r="U198" i="12"/>
  <c r="W198" i="12" s="1"/>
  <c r="U343" i="12"/>
  <c r="W343" i="12" s="1"/>
  <c r="U142" i="12"/>
  <c r="W142" i="12" s="1"/>
  <c r="U305" i="12"/>
  <c r="W305" i="12" s="1"/>
  <c r="U18" i="12"/>
  <c r="W18" i="12" s="1"/>
  <c r="U52" i="12"/>
  <c r="W52" i="12" s="1"/>
  <c r="U44" i="12"/>
  <c r="W44" i="12" s="1"/>
  <c r="U203" i="12"/>
  <c r="W203" i="12" s="1"/>
  <c r="U27" i="12"/>
  <c r="W27" i="12" s="1"/>
  <c r="U145" i="12"/>
  <c r="W145" i="12" s="1"/>
  <c r="U156" i="12"/>
  <c r="W156" i="12" s="1"/>
  <c r="U311" i="12"/>
  <c r="W311" i="12" s="1"/>
  <c r="U122" i="12"/>
  <c r="W122" i="12" s="1"/>
  <c r="U273" i="12"/>
  <c r="W273" i="12" s="1"/>
  <c r="U313" i="12"/>
  <c r="W313" i="12" s="1"/>
  <c r="U254" i="12"/>
  <c r="W254" i="12" s="1"/>
  <c r="U25" i="12"/>
  <c r="W25" i="12" s="1"/>
  <c r="U184" i="12"/>
  <c r="W184" i="12" s="1"/>
  <c r="U342" i="12"/>
  <c r="W342" i="12" s="1"/>
  <c r="U99" i="12"/>
  <c r="W99" i="12" s="1"/>
  <c r="U250" i="12"/>
  <c r="W250" i="12" s="1"/>
  <c r="U61" i="12"/>
  <c r="W61" i="12" s="1"/>
  <c r="U202" i="12"/>
  <c r="W202" i="12" s="1"/>
  <c r="U67" i="12"/>
  <c r="W67" i="12" s="1"/>
  <c r="U209" i="12"/>
  <c r="W209" i="12" s="1"/>
  <c r="U307" i="12"/>
  <c r="W307" i="12" s="1"/>
  <c r="U114" i="12"/>
  <c r="W114" i="12" s="1"/>
  <c r="U278" i="12"/>
  <c r="W278" i="12" s="1"/>
  <c r="U42" i="12"/>
  <c r="W42" i="12" s="1"/>
  <c r="U124" i="12"/>
  <c r="W124" i="12" s="1"/>
  <c r="U349" i="12"/>
  <c r="W349" i="12" s="1"/>
  <c r="U257" i="12"/>
  <c r="W257" i="12" s="1"/>
  <c r="U28" i="12"/>
  <c r="W28" i="12" s="1"/>
  <c r="U188" i="12"/>
  <c r="W188" i="12" s="1"/>
  <c r="U351" i="12"/>
  <c r="W351" i="12" s="1"/>
  <c r="U137" i="12"/>
  <c r="W137" i="12" s="1"/>
  <c r="U173" i="12"/>
  <c r="W173" i="12" s="1"/>
  <c r="U104" i="12"/>
  <c r="W104" i="12" s="1"/>
  <c r="U247" i="12"/>
  <c r="W247" i="12" s="1"/>
  <c r="U58" i="12"/>
  <c r="W58" i="12" s="1"/>
  <c r="U187" i="12"/>
  <c r="W187" i="12" s="1"/>
  <c r="U161" i="12"/>
  <c r="W161" i="12" s="1"/>
  <c r="U295" i="12"/>
  <c r="W295" i="12" s="1"/>
  <c r="U285" i="12"/>
  <c r="W285" i="12" s="1"/>
  <c r="U287" i="12"/>
  <c r="W287" i="12" s="1"/>
  <c r="U322" i="12"/>
  <c r="W322" i="12" s="1"/>
  <c r="U357" i="12"/>
  <c r="W357" i="12" s="1"/>
  <c r="U323" i="12"/>
  <c r="W323" i="12" s="1"/>
  <c r="U132" i="12"/>
  <c r="W132" i="12" s="1"/>
  <c r="U232" i="12"/>
  <c r="W232" i="12" s="1"/>
  <c r="U178" i="12"/>
  <c r="W178" i="12" s="1"/>
  <c r="U175" i="12"/>
  <c r="W175" i="12" s="1"/>
  <c r="U98" i="12"/>
  <c r="W98" i="12" s="1"/>
  <c r="U23" i="12"/>
  <c r="W23" i="12" s="1"/>
  <c r="U317" i="12"/>
  <c r="W317" i="12" s="1"/>
  <c r="U288" i="12"/>
  <c r="W288" i="12" s="1"/>
  <c r="U208" i="12"/>
  <c r="W208" i="12" s="1"/>
  <c r="U364" i="12"/>
  <c r="W364" i="12" s="1"/>
  <c r="U47" i="12"/>
  <c r="W47" i="12" s="1"/>
  <c r="U65" i="12"/>
  <c r="W65" i="12" s="1"/>
  <c r="U3" i="12"/>
  <c r="W3" i="12" s="1"/>
  <c r="U29" i="12"/>
  <c r="W29" i="12" s="1"/>
  <c r="U299" i="12"/>
  <c r="W299" i="12" s="1"/>
  <c r="U366" i="12"/>
  <c r="W366" i="12" s="1"/>
  <c r="U13" i="12"/>
  <c r="W13" i="12" s="1"/>
  <c r="U263" i="12"/>
  <c r="W263" i="12" s="1"/>
  <c r="U270" i="12"/>
  <c r="W270" i="12" s="1"/>
  <c r="U264" i="12"/>
  <c r="W264" i="12" s="1"/>
  <c r="U78" i="12"/>
  <c r="W78" i="12" s="1"/>
  <c r="U10" i="12"/>
  <c r="W10" i="12" s="1"/>
  <c r="U234" i="12"/>
  <c r="W234" i="12" s="1"/>
  <c r="U365" i="12"/>
  <c r="W365" i="12" s="1"/>
  <c r="U126" i="12"/>
  <c r="W126" i="12" s="1"/>
  <c r="U8" i="12"/>
  <c r="W8" i="12" s="1"/>
  <c r="U49" i="12"/>
  <c r="W49" i="12" s="1"/>
  <c r="U76" i="12"/>
  <c r="W76" i="12" s="1"/>
  <c r="U40" i="12"/>
  <c r="W40" i="12" s="1"/>
  <c r="U128" i="12"/>
  <c r="W128" i="12" s="1"/>
  <c r="U276" i="12"/>
  <c r="W276" i="12" s="1"/>
  <c r="U242" i="12"/>
  <c r="W242" i="12" s="1"/>
  <c r="U95" i="12"/>
  <c r="W95" i="12" s="1"/>
  <c r="U127" i="12"/>
  <c r="W127" i="12" s="1"/>
  <c r="U81" i="12"/>
  <c r="W81" i="12" s="1"/>
  <c r="U71" i="12"/>
  <c r="W71" i="12" s="1"/>
  <c r="U330" i="12"/>
  <c r="W330" i="12" s="1"/>
  <c r="U301" i="12"/>
  <c r="W301" i="12" s="1"/>
  <c r="U2" i="12"/>
  <c r="W2" i="12" s="1"/>
  <c r="U308" i="12"/>
  <c r="W308" i="12" s="1"/>
  <c r="U316" i="12"/>
  <c r="W316" i="12" s="1"/>
  <c r="U292" i="12"/>
  <c r="W292" i="12" s="1"/>
  <c r="U194" i="12"/>
  <c r="W194" i="12" s="1"/>
  <c r="U133" i="12"/>
  <c r="W133" i="12" s="1"/>
  <c r="U193" i="12"/>
  <c r="W193" i="12" s="1"/>
  <c r="U207" i="12"/>
  <c r="W207" i="12" s="1"/>
  <c r="U326" i="12"/>
  <c r="W326" i="12" s="1"/>
  <c r="U62" i="12"/>
  <c r="W62" i="12" s="1"/>
  <c r="U77" i="12"/>
  <c r="W77" i="12" s="1"/>
  <c r="U218" i="12"/>
  <c r="W218" i="12" s="1"/>
  <c r="U153" i="12"/>
  <c r="W153" i="12" s="1"/>
  <c r="U189" i="12"/>
  <c r="W189" i="12" s="1"/>
  <c r="U11" i="12"/>
  <c r="W11" i="12" s="1"/>
  <c r="U320" i="12"/>
  <c r="W320" i="12" s="1"/>
  <c r="U304" i="12"/>
  <c r="W304" i="12" s="1"/>
  <c r="U201" i="12"/>
  <c r="W201" i="12" s="1"/>
  <c r="U146" i="12"/>
  <c r="W146" i="12" s="1"/>
  <c r="U45" i="12"/>
  <c r="W45" i="12" s="1"/>
  <c r="U59" i="12"/>
  <c r="W59" i="12" s="1"/>
  <c r="U43" i="12"/>
  <c r="W43" i="12" s="1"/>
  <c r="U300" i="12"/>
  <c r="W300" i="12" s="1"/>
  <c r="U266" i="12"/>
  <c r="W266" i="12" s="1"/>
  <c r="U238" i="12"/>
  <c r="W238" i="12" s="1"/>
  <c r="U233" i="12"/>
  <c r="W233" i="12" s="1"/>
  <c r="U248" i="12"/>
  <c r="W248" i="12" s="1"/>
  <c r="U258" i="12"/>
  <c r="W258" i="12" s="1"/>
  <c r="U154" i="12"/>
  <c r="W154" i="12" s="1"/>
  <c r="U22" i="12"/>
  <c r="W22" i="12" s="1"/>
  <c r="U256" i="12"/>
  <c r="W256" i="12" s="1"/>
  <c r="U168" i="12"/>
  <c r="W168" i="12" s="1"/>
  <c r="U361" i="12"/>
  <c r="W361" i="12" s="1"/>
  <c r="U131" i="12"/>
  <c r="W131" i="12" s="1"/>
  <c r="U224" i="12"/>
  <c r="W224" i="12" s="1"/>
  <c r="U219" i="12"/>
  <c r="W219" i="12" s="1"/>
  <c r="U119" i="12"/>
  <c r="W119" i="12" s="1"/>
  <c r="U138" i="12"/>
  <c r="W138" i="12" s="1"/>
  <c r="U358" i="12"/>
  <c r="W358" i="12" s="1"/>
  <c r="U93" i="12"/>
  <c r="W93" i="12" s="1"/>
  <c r="U246" i="12"/>
  <c r="W246" i="12" s="1"/>
  <c r="U144" i="12"/>
  <c r="W144" i="12" s="1"/>
  <c r="U140" i="12"/>
  <c r="W140" i="12" s="1"/>
  <c r="U89" i="12"/>
  <c r="W89" i="12" s="1"/>
  <c r="U120" i="12"/>
  <c r="W120" i="12" s="1"/>
  <c r="U344" i="12"/>
  <c r="W344" i="12" s="1"/>
  <c r="U319" i="12"/>
  <c r="W319" i="12" s="1"/>
  <c r="U336" i="12"/>
  <c r="W336" i="12" s="1"/>
  <c r="U197" i="12"/>
  <c r="W197" i="12" s="1"/>
  <c r="U158" i="12"/>
  <c r="W158" i="12" s="1"/>
  <c r="U281" i="12"/>
  <c r="W281" i="12" s="1"/>
  <c r="U164" i="12"/>
  <c r="W164" i="12" s="1"/>
  <c r="U151" i="12"/>
  <c r="W151" i="12" s="1"/>
  <c r="U85" i="12"/>
  <c r="W85" i="12" s="1"/>
  <c r="U331" i="12"/>
  <c r="W331" i="12" s="1"/>
  <c r="U231" i="12"/>
  <c r="W231" i="12" s="1"/>
  <c r="U275" i="12"/>
  <c r="W275" i="12" s="1"/>
  <c r="U162" i="12"/>
  <c r="W162" i="12" s="1"/>
  <c r="U297" i="12"/>
  <c r="W297" i="12" s="1"/>
  <c r="U360" i="12"/>
  <c r="W360" i="12" s="1"/>
  <c r="U20" i="12"/>
  <c r="W20" i="12" s="1"/>
  <c r="U147" i="12"/>
  <c r="W147" i="12" s="1"/>
  <c r="U230" i="12"/>
  <c r="W230" i="12" s="1"/>
  <c r="U352" i="12"/>
  <c r="W352" i="12" s="1"/>
  <c r="U80" i="12"/>
  <c r="W80" i="12" s="1"/>
  <c r="U159" i="12"/>
  <c r="W159" i="12" s="1"/>
  <c r="U225" i="12"/>
  <c r="W225" i="12" s="1"/>
  <c r="U196" i="12"/>
  <c r="W196" i="12" s="1"/>
  <c r="U60" i="12"/>
  <c r="W60" i="12" s="1"/>
  <c r="U83" i="12"/>
  <c r="W83" i="12" s="1"/>
  <c r="U46" i="12"/>
  <c r="W46" i="12" s="1"/>
  <c r="U318" i="12"/>
  <c r="W318" i="12" s="1"/>
  <c r="U280" i="12"/>
  <c r="W280" i="12" s="1"/>
  <c r="U253" i="12"/>
  <c r="W253" i="12" s="1"/>
  <c r="U21" i="12"/>
  <c r="W21" i="12" s="1"/>
  <c r="U123" i="12"/>
  <c r="W123" i="12" s="1"/>
  <c r="U97" i="12"/>
  <c r="W97" i="12" s="1"/>
  <c r="U103" i="12"/>
  <c r="W103" i="12" s="1"/>
  <c r="U347" i="12"/>
  <c r="W347" i="12" s="1"/>
  <c r="U346" i="12"/>
  <c r="W346" i="12" s="1"/>
  <c r="U339" i="12"/>
  <c r="W339" i="12" s="1"/>
  <c r="U94" i="12"/>
  <c r="W94" i="12" s="1"/>
  <c r="U19" i="12"/>
  <c r="W19" i="12" s="1"/>
  <c r="U105" i="12"/>
  <c r="W105" i="12" s="1"/>
  <c r="U48" i="12"/>
  <c r="W48" i="12" s="1"/>
  <c r="U55" i="12"/>
  <c r="W55" i="12" s="1"/>
  <c r="U129" i="12"/>
  <c r="W129" i="12" s="1"/>
  <c r="U215" i="12"/>
  <c r="W215" i="12" s="1"/>
  <c r="U329" i="12"/>
  <c r="W329" i="12" s="1"/>
  <c r="U243" i="12"/>
  <c r="W243" i="12" s="1"/>
  <c r="U183" i="12"/>
  <c r="W183" i="12" s="1"/>
  <c r="U277" i="12"/>
  <c r="W277" i="12" s="1"/>
  <c r="U74" i="12"/>
  <c r="W74" i="12" s="1"/>
  <c r="U36" i="12"/>
  <c r="W36" i="12" s="1"/>
  <c r="U279" i="12"/>
  <c r="W279" i="12" s="1"/>
  <c r="U223" i="12"/>
  <c r="W223" i="12" s="1"/>
  <c r="U221" i="12"/>
  <c r="W221" i="12" s="1"/>
  <c r="U155" i="12"/>
  <c r="W155" i="12" s="1"/>
  <c r="U68" i="12"/>
  <c r="W68" i="12" s="1"/>
  <c r="U56" i="12"/>
  <c r="W56" i="12" s="1"/>
  <c r="U321" i="12"/>
  <c r="W321" i="12" s="1"/>
  <c r="U283" i="12"/>
  <c r="W283" i="12" s="1"/>
  <c r="U282" i="12"/>
  <c r="W282" i="12" s="1"/>
  <c r="U190" i="12"/>
  <c r="W190" i="12" s="1"/>
  <c r="U163" i="12"/>
  <c r="W163" i="12" s="1"/>
  <c r="U249" i="12"/>
  <c r="W249" i="12" s="1"/>
  <c r="U88" i="12"/>
  <c r="W88" i="12" s="1"/>
  <c r="U222" i="12"/>
  <c r="W222" i="12" s="1"/>
  <c r="U290" i="12"/>
  <c r="W290" i="12" s="1"/>
  <c r="U210" i="12"/>
  <c r="W210" i="12" s="1"/>
  <c r="U57" i="12"/>
  <c r="W57" i="12" s="1"/>
  <c r="U284" i="12"/>
  <c r="W284" i="12" s="1"/>
  <c r="U167" i="12"/>
  <c r="W167" i="12" s="1"/>
  <c r="U350" i="12"/>
  <c r="W350" i="12" s="1"/>
  <c r="U15" i="12"/>
  <c r="W15" i="12" s="1"/>
  <c r="U312" i="12"/>
  <c r="W312" i="12" s="1"/>
  <c r="U134" i="12"/>
  <c r="W134" i="12" s="1"/>
  <c r="U143" i="12"/>
  <c r="W143" i="12" s="1"/>
  <c r="U121" i="12"/>
  <c r="W121" i="12" s="1"/>
  <c r="U327" i="12"/>
  <c r="W327" i="12" s="1"/>
  <c r="U348" i="12"/>
  <c r="W348" i="12" s="1"/>
  <c r="U314" i="12"/>
  <c r="W314" i="12" s="1"/>
  <c r="U116" i="12"/>
  <c r="W116" i="12" s="1"/>
  <c r="U228" i="12"/>
  <c r="W228" i="12" s="1"/>
  <c r="U166" i="12"/>
  <c r="W166" i="12" s="1"/>
  <c r="U157" i="12"/>
  <c r="W157" i="12" s="1"/>
  <c r="U90" i="12"/>
  <c r="W90" i="12" s="1"/>
  <c r="U341" i="12"/>
  <c r="W341" i="12" s="1"/>
  <c r="U149" i="12"/>
  <c r="W149" i="12" s="1"/>
  <c r="U176" i="12"/>
  <c r="W176" i="12" s="1"/>
  <c r="U213" i="12"/>
  <c r="W213" i="12" s="1"/>
  <c r="U212" i="12"/>
  <c r="W212" i="12" s="1"/>
  <c r="U204" i="12"/>
  <c r="W204" i="12" s="1"/>
  <c r="U310" i="12"/>
  <c r="W310" i="12" s="1"/>
  <c r="U359" i="12"/>
  <c r="W359" i="12" s="1"/>
  <c r="U296" i="12"/>
  <c r="W296" i="12" s="1"/>
  <c r="U182" i="12"/>
  <c r="W182" i="12" s="1"/>
  <c r="U334" i="12"/>
  <c r="W334" i="12" s="1"/>
  <c r="U30" i="12"/>
  <c r="W30" i="12" s="1"/>
  <c r="U96" i="12"/>
  <c r="W96" i="12" s="1"/>
  <c r="U53" i="12"/>
  <c r="W53" i="12" s="1"/>
  <c r="U111" i="12"/>
  <c r="W111" i="12" s="1"/>
  <c r="U4" i="12"/>
  <c r="W4" i="12" s="1"/>
  <c r="V359" i="12"/>
  <c r="X359" i="12" s="1"/>
  <c r="V280" i="12"/>
  <c r="X280" i="12" s="1"/>
  <c r="V352" i="12"/>
  <c r="X352" i="12" s="1"/>
  <c r="V97" i="12"/>
  <c r="X97" i="12" s="1"/>
  <c r="V149" i="12"/>
  <c r="X149" i="12" s="1"/>
  <c r="V323" i="12"/>
  <c r="X323" i="12" s="1"/>
  <c r="V176" i="12"/>
  <c r="X176" i="12" s="1"/>
  <c r="V254" i="12"/>
  <c r="X254" i="12" s="1"/>
  <c r="V337" i="12"/>
  <c r="X337" i="12" s="1"/>
  <c r="V60" i="12"/>
  <c r="X60" i="12" s="1"/>
  <c r="V287" i="12"/>
  <c r="X287" i="12" s="1"/>
  <c r="V115" i="12"/>
  <c r="X115" i="12" s="1"/>
  <c r="V175" i="12"/>
  <c r="X175" i="12" s="1"/>
  <c r="V234" i="12"/>
  <c r="X234" i="12" s="1"/>
  <c r="V114" i="12"/>
  <c r="X114" i="12" s="1"/>
  <c r="V203" i="12"/>
  <c r="X203" i="12" s="1"/>
  <c r="V278" i="12"/>
  <c r="X278" i="12" s="1"/>
  <c r="V23" i="12"/>
  <c r="X23" i="12" s="1"/>
  <c r="V107" i="12"/>
  <c r="X107" i="12" s="1"/>
  <c r="V192" i="12"/>
  <c r="X192" i="12" s="1"/>
  <c r="V269" i="12"/>
  <c r="X269" i="12" s="1"/>
  <c r="V350" i="12"/>
  <c r="X350" i="12" s="1"/>
  <c r="V139" i="12"/>
  <c r="X139" i="12" s="1"/>
  <c r="V239" i="12"/>
  <c r="X239" i="12" s="1"/>
  <c r="V132" i="12"/>
  <c r="X132" i="12" s="1"/>
  <c r="V275" i="12"/>
  <c r="X275" i="12" s="1"/>
  <c r="V237" i="12"/>
  <c r="X237" i="12" s="1"/>
  <c r="V44" i="12"/>
  <c r="X44" i="12" s="1"/>
  <c r="V308" i="12"/>
  <c r="X308" i="12" s="1"/>
  <c r="V197" i="12"/>
  <c r="X197" i="12" s="1"/>
  <c r="V233" i="12"/>
  <c r="X233" i="12" s="1"/>
  <c r="V14" i="12"/>
  <c r="X14" i="12" s="1"/>
  <c r="V165" i="12"/>
  <c r="X165" i="12" s="1"/>
  <c r="V261" i="12"/>
  <c r="X261" i="12" s="1"/>
  <c r="V180" i="12"/>
  <c r="X180" i="12" s="1"/>
  <c r="V16" i="12"/>
  <c r="X16" i="12" s="1"/>
  <c r="V341" i="12"/>
  <c r="X341" i="12" s="1"/>
  <c r="V218" i="12"/>
  <c r="X218" i="12" s="1"/>
  <c r="V366" i="12"/>
  <c r="X366" i="12" s="1"/>
  <c r="V161" i="12"/>
  <c r="X161" i="12" s="1"/>
  <c r="V229" i="12"/>
  <c r="X229" i="12" s="1"/>
  <c r="V108" i="12"/>
  <c r="X108" i="12" s="1"/>
  <c r="V179" i="12"/>
  <c r="X179" i="12" s="1"/>
  <c r="V244" i="12"/>
  <c r="X244" i="12" s="1"/>
  <c r="V174" i="12"/>
  <c r="X174" i="12" s="1"/>
  <c r="V201" i="12"/>
  <c r="X201" i="12" s="1"/>
  <c r="V327" i="12"/>
  <c r="X327" i="12" s="1"/>
  <c r="V207" i="12"/>
  <c r="X207" i="12" s="1"/>
  <c r="V265" i="12"/>
  <c r="X265" i="12" s="1"/>
  <c r="V346" i="12"/>
  <c r="X346" i="12" s="1"/>
  <c r="V63" i="12"/>
  <c r="X63" i="12" s="1"/>
  <c r="V291" i="12"/>
  <c r="X291" i="12" s="1"/>
  <c r="V119" i="12"/>
  <c r="X119" i="12" s="1"/>
  <c r="V196" i="12"/>
  <c r="X196" i="12" s="1"/>
  <c r="V241" i="12"/>
  <c r="X241" i="12" s="1"/>
  <c r="V222" i="12"/>
  <c r="X222" i="12" s="1"/>
  <c r="V247" i="12"/>
  <c r="X247" i="12" s="1"/>
  <c r="V31" i="12"/>
  <c r="X31" i="12" s="1"/>
  <c r="V77" i="12"/>
  <c r="X77" i="12" s="1"/>
  <c r="V199" i="12"/>
  <c r="X199" i="12" s="1"/>
  <c r="V68" i="12"/>
  <c r="X68" i="12" s="1"/>
  <c r="V151" i="12"/>
  <c r="X151" i="12" s="1"/>
  <c r="V191" i="12"/>
  <c r="X191" i="12" s="1"/>
  <c r="V277" i="12"/>
  <c r="X277" i="12" s="1"/>
  <c r="V64" i="12"/>
  <c r="X64" i="12" s="1"/>
  <c r="V147" i="12"/>
  <c r="X147" i="12" s="1"/>
  <c r="V187" i="12"/>
  <c r="X187" i="12" s="1"/>
  <c r="V268" i="12"/>
  <c r="X268" i="12" s="1"/>
  <c r="V96" i="12"/>
  <c r="X96" i="12" s="1"/>
  <c r="V184" i="12"/>
  <c r="X184" i="12" s="1"/>
  <c r="V89" i="12"/>
  <c r="X89" i="12" s="1"/>
  <c r="V66" i="12"/>
  <c r="X66" i="12" s="1"/>
  <c r="V88" i="12"/>
  <c r="X88" i="12" s="1"/>
  <c r="V104" i="12"/>
  <c r="X104" i="12" s="1"/>
  <c r="V17" i="12"/>
  <c r="X17" i="12" s="1"/>
  <c r="V334" i="12"/>
  <c r="X334" i="12" s="1"/>
  <c r="V84" i="12"/>
  <c r="X84" i="12" s="1"/>
  <c r="V71" i="12"/>
  <c r="X71" i="12" s="1"/>
  <c r="V25" i="12"/>
  <c r="X25" i="12" s="1"/>
  <c r="V105" i="12"/>
  <c r="X105" i="12" s="1"/>
  <c r="V183" i="12"/>
  <c r="X183" i="12" s="1"/>
  <c r="V100" i="12"/>
  <c r="X100" i="12" s="1"/>
  <c r="V169" i="12"/>
  <c r="X169" i="12" s="1"/>
  <c r="V116" i="12"/>
  <c r="X116" i="12" s="1"/>
  <c r="V188" i="12"/>
  <c r="X188" i="12" s="1"/>
  <c r="V56" i="12"/>
  <c r="X56" i="12" s="1"/>
  <c r="V38" i="12"/>
  <c r="X38" i="12" s="1"/>
  <c r="V296" i="12"/>
  <c r="X296" i="12" s="1"/>
  <c r="V282" i="12"/>
  <c r="X282" i="12" s="1"/>
  <c r="V19" i="12"/>
  <c r="X19" i="12" s="1"/>
  <c r="V295" i="12"/>
  <c r="X295" i="12" s="1"/>
  <c r="V123" i="12"/>
  <c r="X123" i="12" s="1"/>
  <c r="V200" i="12"/>
  <c r="X200" i="12" s="1"/>
  <c r="V245" i="12"/>
  <c r="X245" i="12" s="1"/>
  <c r="V252" i="12"/>
  <c r="X252" i="12" s="1"/>
  <c r="V250" i="12"/>
  <c r="X250" i="12" s="1"/>
  <c r="V34" i="12"/>
  <c r="X34" i="12" s="1"/>
  <c r="V81" i="12"/>
  <c r="X81" i="12" s="1"/>
  <c r="V202" i="12"/>
  <c r="X202" i="12" s="1"/>
  <c r="V35" i="12"/>
  <c r="X35" i="12" s="1"/>
  <c r="V160" i="12"/>
  <c r="X160" i="12" s="1"/>
  <c r="V284" i="12"/>
  <c r="X284" i="12" s="1"/>
  <c r="V30" i="12"/>
  <c r="X30" i="12" s="1"/>
  <c r="V125" i="12"/>
  <c r="X125" i="12" s="1"/>
  <c r="V330" i="12"/>
  <c r="X330" i="12" s="1"/>
  <c r="V58" i="12"/>
  <c r="X58" i="12" s="1"/>
  <c r="V154" i="12"/>
  <c r="X154" i="12" s="1"/>
  <c r="V182" i="12"/>
  <c r="X182" i="12" s="1"/>
  <c r="V321" i="12"/>
  <c r="X321" i="12" s="1"/>
  <c r="V40" i="12"/>
  <c r="X40" i="12" s="1"/>
  <c r="V134" i="12"/>
  <c r="X134" i="12" s="1"/>
  <c r="V173" i="12"/>
  <c r="X173" i="12" s="1"/>
  <c r="V362" i="12"/>
  <c r="X362" i="12" s="1"/>
  <c r="V106" i="12"/>
  <c r="X106" i="12" s="1"/>
  <c r="V365" i="12"/>
  <c r="X365" i="12" s="1"/>
  <c r="V37" i="12"/>
  <c r="X37" i="12" s="1"/>
  <c r="V322" i="12"/>
  <c r="X322" i="12" s="1"/>
  <c r="V256" i="12"/>
  <c r="X256" i="12" s="1"/>
  <c r="V24" i="12"/>
  <c r="X24" i="12" s="1"/>
  <c r="V304" i="12"/>
  <c r="X304" i="12" s="1"/>
  <c r="V211" i="12"/>
  <c r="X211" i="12" s="1"/>
  <c r="V313" i="12"/>
  <c r="X313" i="12" s="1"/>
  <c r="V216" i="12"/>
  <c r="X216" i="12" s="1"/>
  <c r="V145" i="12"/>
  <c r="X145" i="12" s="1"/>
  <c r="V235" i="12"/>
  <c r="X235" i="12" s="1"/>
  <c r="V72" i="12"/>
  <c r="X72" i="12" s="1"/>
  <c r="V312" i="12"/>
  <c r="X312" i="12" s="1"/>
  <c r="V288" i="12"/>
  <c r="X288" i="12" s="1"/>
  <c r="V177" i="12"/>
  <c r="X177" i="12" s="1"/>
  <c r="V67" i="12"/>
  <c r="X67" i="12" s="1"/>
  <c r="V148" i="12"/>
  <c r="X148" i="12" s="1"/>
  <c r="V141" i="12"/>
  <c r="X141" i="12" s="1"/>
  <c r="V290" i="12"/>
  <c r="X290" i="12" s="1"/>
  <c r="V80" i="12"/>
  <c r="X80" i="12" s="1"/>
  <c r="V8" i="12"/>
  <c r="X8" i="12" s="1"/>
  <c r="V264" i="12"/>
  <c r="X264" i="12" s="1"/>
  <c r="V47" i="12"/>
  <c r="X47" i="12" s="1"/>
  <c r="V102" i="12"/>
  <c r="X102" i="12" s="1"/>
  <c r="V209" i="12"/>
  <c r="X209" i="12" s="1"/>
  <c r="V48" i="12"/>
  <c r="X48" i="12" s="1"/>
  <c r="V164" i="12"/>
  <c r="X164" i="12" s="1"/>
  <c r="V293" i="12"/>
  <c r="X293" i="12" s="1"/>
  <c r="V43" i="12"/>
  <c r="X43" i="12" s="1"/>
  <c r="V129" i="12"/>
  <c r="X129" i="12" s="1"/>
  <c r="V127" i="12"/>
  <c r="X127" i="12" s="1"/>
  <c r="V118" i="12"/>
  <c r="X118" i="12" s="1"/>
  <c r="V210" i="12"/>
  <c r="X210" i="12" s="1"/>
  <c r="V292" i="12"/>
  <c r="X292" i="12" s="1"/>
  <c r="V347" i="12"/>
  <c r="X347" i="12" s="1"/>
  <c r="V251" i="12"/>
  <c r="X251" i="12" s="1"/>
  <c r="V320" i="12"/>
  <c r="X320" i="12" s="1"/>
  <c r="V69" i="12"/>
  <c r="X69" i="12" s="1"/>
  <c r="V343" i="12"/>
  <c r="X343" i="12" s="1"/>
  <c r="V243" i="12"/>
  <c r="X243" i="12" s="1"/>
  <c r="V306" i="12"/>
  <c r="X306" i="12" s="1"/>
  <c r="V57" i="12"/>
  <c r="X57" i="12" s="1"/>
  <c r="V367" i="12"/>
  <c r="X367" i="12" s="1"/>
  <c r="V298" i="12"/>
  <c r="X298" i="12" s="1"/>
  <c r="V363" i="12"/>
  <c r="X363" i="12" s="1"/>
  <c r="V289" i="12"/>
  <c r="X289" i="12" s="1"/>
  <c r="V206" i="12"/>
  <c r="X206" i="12" s="1"/>
  <c r="V22" i="12"/>
  <c r="X22" i="12" s="1"/>
  <c r="V13" i="12"/>
  <c r="X13" i="12" s="1"/>
  <c r="V225" i="12"/>
  <c r="X225" i="12" s="1"/>
  <c r="V130" i="12"/>
  <c r="X130" i="12" s="1"/>
  <c r="V12" i="12"/>
  <c r="X12" i="12" s="1"/>
  <c r="V326" i="12"/>
  <c r="X326" i="12" s="1"/>
  <c r="V240" i="12"/>
  <c r="X240" i="12" s="1"/>
  <c r="V26" i="12"/>
  <c r="X26" i="12" s="1"/>
  <c r="V144" i="12"/>
  <c r="X144" i="12" s="1"/>
  <c r="V297" i="12"/>
  <c r="X297" i="12" s="1"/>
  <c r="V194" i="12"/>
  <c r="X194" i="12" s="1"/>
  <c r="V360" i="12"/>
  <c r="X360" i="12" s="1"/>
  <c r="V61" i="12"/>
  <c r="X61" i="12" s="1"/>
  <c r="V340" i="12"/>
  <c r="X340" i="12" s="1"/>
  <c r="V274" i="12"/>
  <c r="X274" i="12" s="1"/>
  <c r="V339" i="12"/>
  <c r="X339" i="12" s="1"/>
  <c r="V286" i="12"/>
  <c r="X286" i="12" s="1"/>
  <c r="V307" i="12"/>
  <c r="X307" i="12" s="1"/>
  <c r="V260" i="12"/>
  <c r="X260" i="12" s="1"/>
  <c r="V59" i="12"/>
  <c r="X59" i="12" s="1"/>
  <c r="V171" i="12"/>
  <c r="X171" i="12" s="1"/>
  <c r="V302" i="12"/>
  <c r="X302" i="12" s="1"/>
  <c r="V46" i="12"/>
  <c r="X46" i="12" s="1"/>
  <c r="V137" i="12"/>
  <c r="X137" i="12" s="1"/>
  <c r="V236" i="12"/>
  <c r="X236" i="12" s="1"/>
  <c r="V121" i="12"/>
  <c r="X121" i="12" s="1"/>
  <c r="V228" i="12"/>
  <c r="X228" i="12" s="1"/>
  <c r="V301" i="12"/>
  <c r="X301" i="12" s="1"/>
  <c r="V39" i="12"/>
  <c r="X39" i="12" s="1"/>
  <c r="V294" i="12"/>
  <c r="X294" i="12" s="1"/>
  <c r="V75" i="12"/>
  <c r="X75" i="12" s="1"/>
  <c r="V155" i="12"/>
  <c r="X155" i="12" s="1"/>
  <c r="V231" i="12"/>
  <c r="X231" i="12" s="1"/>
  <c r="V315" i="12"/>
  <c r="X315" i="12" s="1"/>
  <c r="V168" i="12"/>
  <c r="X168" i="12" s="1"/>
  <c r="V242" i="12"/>
  <c r="X242" i="12" s="1"/>
  <c r="V314" i="12"/>
  <c r="X314" i="12" s="1"/>
  <c r="V311" i="12"/>
  <c r="X311" i="12" s="1"/>
  <c r="V159" i="12"/>
  <c r="X159" i="12" s="1"/>
  <c r="V224" i="12"/>
  <c r="X224" i="12" s="1"/>
  <c r="V305" i="12"/>
  <c r="X305" i="12" s="1"/>
  <c r="V335" i="12"/>
  <c r="X335" i="12" s="1"/>
  <c r="V217" i="12"/>
  <c r="X217" i="12" s="1"/>
  <c r="V331" i="12"/>
  <c r="X331" i="12" s="1"/>
  <c r="V214" i="12"/>
  <c r="X214" i="12" s="1"/>
  <c r="V333" i="12"/>
  <c r="X333" i="12" s="1"/>
  <c r="V15" i="12"/>
  <c r="X15" i="12" s="1"/>
  <c r="V99" i="12"/>
  <c r="X99" i="12" s="1"/>
  <c r="V54" i="12"/>
  <c r="X54" i="12" s="1"/>
  <c r="V324" i="12"/>
  <c r="X324" i="12" s="1"/>
  <c r="V2" i="12"/>
  <c r="X2" i="12" s="1"/>
  <c r="V83" i="12"/>
  <c r="X83" i="12" s="1"/>
  <c r="V146" i="12"/>
  <c r="X146" i="12" s="1"/>
  <c r="V186" i="12"/>
  <c r="X186" i="12" s="1"/>
  <c r="V124" i="12"/>
  <c r="X124" i="12" s="1"/>
  <c r="V122" i="12"/>
  <c r="X122" i="12" s="1"/>
  <c r="V358" i="12"/>
  <c r="X358" i="12" s="1"/>
  <c r="V45" i="12"/>
  <c r="X45" i="12" s="1"/>
  <c r="V253" i="12"/>
  <c r="X253" i="12" s="1"/>
  <c r="V276" i="12"/>
  <c r="X276" i="12" s="1"/>
  <c r="V318" i="12"/>
  <c r="X318" i="12" s="1"/>
  <c r="V221" i="12"/>
  <c r="X221" i="12" s="1"/>
  <c r="V112" i="12"/>
  <c r="X112" i="12" s="1"/>
  <c r="V143" i="12"/>
  <c r="X143" i="12" s="1"/>
  <c r="V92" i="12"/>
  <c r="X92" i="12" s="1"/>
  <c r="V120" i="12"/>
  <c r="X120" i="12" s="1"/>
  <c r="V128" i="12"/>
  <c r="X128" i="12" s="1"/>
  <c r="V232" i="12"/>
  <c r="X232" i="12" s="1"/>
  <c r="V310" i="12"/>
  <c r="X310" i="12" s="1"/>
  <c r="V42" i="12"/>
  <c r="X42" i="12" s="1"/>
  <c r="V349" i="12"/>
  <c r="X349" i="12" s="1"/>
  <c r="V82" i="12"/>
  <c r="X82" i="12" s="1"/>
  <c r="V163" i="12"/>
  <c r="X163" i="12" s="1"/>
  <c r="V238" i="12"/>
  <c r="X238" i="12" s="1"/>
  <c r="V300" i="12"/>
  <c r="X300" i="12" s="1"/>
  <c r="V87" i="12"/>
  <c r="X87" i="12" s="1"/>
  <c r="V344" i="12"/>
  <c r="X344" i="12" s="1"/>
  <c r="V70" i="12"/>
  <c r="X70" i="12" s="1"/>
  <c r="V158" i="12"/>
  <c r="X158" i="12" s="1"/>
  <c r="V283" i="12"/>
  <c r="X283" i="12" s="1"/>
  <c r="V78" i="12"/>
  <c r="X78" i="12" s="1"/>
  <c r="V142" i="12"/>
  <c r="X142" i="12" s="1"/>
  <c r="V230" i="12"/>
  <c r="X230" i="12" s="1"/>
  <c r="V279" i="12"/>
  <c r="X279" i="12" s="1"/>
  <c r="V74" i="12"/>
  <c r="X74" i="12" s="1"/>
  <c r="V138" i="12"/>
  <c r="X138" i="12" s="1"/>
  <c r="V223" i="12"/>
  <c r="X223" i="12" s="1"/>
  <c r="V303" i="12"/>
  <c r="X303" i="12" s="1"/>
  <c r="V135" i="12"/>
  <c r="X135" i="12" s="1"/>
  <c r="V299" i="12"/>
  <c r="X299" i="12" s="1"/>
  <c r="V131" i="12"/>
  <c r="X131" i="12" s="1"/>
  <c r="V113" i="12"/>
  <c r="X113" i="12" s="1"/>
  <c r="V152" i="12"/>
  <c r="X152" i="12" s="1"/>
  <c r="V208" i="12"/>
  <c r="X208" i="12" s="1"/>
  <c r="V157" i="12"/>
  <c r="X157" i="12" s="1"/>
  <c r="V109" i="12"/>
  <c r="X109" i="12" s="1"/>
  <c r="V136" i="12"/>
  <c r="X136" i="12" s="1"/>
  <c r="V258" i="12"/>
  <c r="X258" i="12" s="1"/>
  <c r="V76" i="12"/>
  <c r="X76" i="12" s="1"/>
  <c r="V52" i="12"/>
  <c r="X52" i="12" s="1"/>
  <c r="V257" i="12"/>
  <c r="X257" i="12" s="1"/>
  <c r="V10" i="12"/>
  <c r="X10" i="12" s="1"/>
  <c r="V33" i="12"/>
  <c r="X33" i="12" s="1"/>
  <c r="V28" i="12"/>
  <c r="X28" i="12" s="1"/>
  <c r="V285" i="12"/>
  <c r="X285" i="12" s="1"/>
  <c r="V110" i="12"/>
  <c r="X110" i="12" s="1"/>
  <c r="V32" i="12"/>
  <c r="X32" i="12" s="1"/>
  <c r="V98" i="12"/>
  <c r="X98" i="12" s="1"/>
  <c r="V29" i="12"/>
  <c r="X29" i="12" s="1"/>
  <c r="V272" i="12"/>
  <c r="X272" i="12" s="1"/>
  <c r="V86" i="12"/>
  <c r="X86" i="12" s="1"/>
  <c r="V167" i="12"/>
  <c r="X167" i="12" s="1"/>
  <c r="V249" i="12"/>
  <c r="X249" i="12" s="1"/>
  <c r="V309" i="12"/>
  <c r="X309" i="12" s="1"/>
  <c r="V103" i="12"/>
  <c r="X103" i="12" s="1"/>
  <c r="V353" i="12"/>
  <c r="X353" i="12" s="1"/>
  <c r="V90" i="12"/>
  <c r="X90" i="12" s="1"/>
  <c r="V162" i="12"/>
  <c r="X162" i="12" s="1"/>
  <c r="V190" i="12"/>
  <c r="X190" i="12" s="1"/>
  <c r="V351" i="12"/>
  <c r="X351" i="12" s="1"/>
  <c r="V255" i="12"/>
  <c r="X255" i="12" s="1"/>
  <c r="V329" i="12"/>
  <c r="X329" i="12" s="1"/>
  <c r="V85" i="12"/>
  <c r="X85" i="12" s="1"/>
  <c r="V227" i="12"/>
  <c r="X227" i="12" s="1"/>
  <c r="V357" i="12"/>
  <c r="X357" i="12" s="1"/>
  <c r="V73" i="12"/>
  <c r="X73" i="12" s="1"/>
  <c r="V195" i="12"/>
  <c r="X195" i="12" s="1"/>
  <c r="V205" i="12"/>
  <c r="X205" i="12" s="1"/>
  <c r="V348" i="12"/>
  <c r="X348" i="12" s="1"/>
  <c r="V65" i="12"/>
  <c r="X65" i="12" s="1"/>
  <c r="V178" i="12"/>
  <c r="X178" i="12" s="1"/>
  <c r="V271" i="12"/>
  <c r="X271" i="12" s="1"/>
  <c r="V62" i="12"/>
  <c r="X62" i="12" s="1"/>
  <c r="V267" i="12"/>
  <c r="X267" i="12" s="1"/>
  <c r="V51" i="12"/>
  <c r="X51" i="12" s="1"/>
  <c r="V273" i="12"/>
  <c r="X273" i="12" s="1"/>
  <c r="V3" i="12"/>
  <c r="X3" i="12" s="1"/>
  <c r="V336" i="12"/>
  <c r="X336" i="12" s="1"/>
  <c r="V259" i="12"/>
  <c r="X259" i="12" s="1"/>
  <c r="V219" i="12"/>
  <c r="X219" i="12" s="1"/>
  <c r="V354" i="12"/>
  <c r="X354" i="12" s="1"/>
  <c r="V55" i="12"/>
  <c r="X55" i="12" s="1"/>
  <c r="V361" i="12"/>
  <c r="X361" i="12" s="1"/>
  <c r="V21" i="12"/>
  <c r="X21" i="12" s="1"/>
  <c r="V91" i="12"/>
  <c r="X91" i="12" s="1"/>
  <c r="V36" i="12"/>
  <c r="X36" i="12" s="1"/>
  <c r="V41" i="12"/>
  <c r="X41" i="12" s="1"/>
  <c r="V345" i="12"/>
  <c r="X345" i="12" s="1"/>
  <c r="V166" i="12"/>
  <c r="X166" i="12" s="1"/>
  <c r="V204" i="12"/>
  <c r="X204" i="12" s="1"/>
  <c r="V140" i="12"/>
  <c r="X140" i="12" s="1"/>
  <c r="V220" i="12"/>
  <c r="X220" i="12" s="1"/>
  <c r="V95" i="12"/>
  <c r="X95" i="12" s="1"/>
  <c r="V213" i="12"/>
  <c r="X213" i="12" s="1"/>
  <c r="V79" i="12"/>
  <c r="X79" i="12" s="1"/>
  <c r="V364" i="12"/>
  <c r="X364" i="12" s="1"/>
  <c r="V133" i="12"/>
  <c r="X133" i="12" s="1"/>
  <c r="V117" i="12"/>
  <c r="X117" i="12" s="1"/>
  <c r="V316" i="12"/>
  <c r="X316" i="12" s="1"/>
  <c r="V126" i="12"/>
  <c r="X126" i="12" s="1"/>
  <c r="V198" i="12"/>
  <c r="X198" i="12" s="1"/>
  <c r="V189" i="12"/>
  <c r="X189" i="12" s="1"/>
  <c r="V94" i="12"/>
  <c r="X94" i="12" s="1"/>
  <c r="V319" i="12"/>
  <c r="X319" i="12" s="1"/>
  <c r="V150" i="12"/>
  <c r="X150" i="12" s="1"/>
  <c r="V53" i="12"/>
  <c r="X53" i="12" s="1"/>
  <c r="V11" i="12"/>
  <c r="X11" i="12" s="1"/>
  <c r="V50" i="12"/>
  <c r="X50" i="12" s="1"/>
  <c r="V156" i="12"/>
  <c r="X156" i="12" s="1"/>
  <c r="V170" i="12"/>
  <c r="X170" i="12" s="1"/>
  <c r="V172" i="12"/>
  <c r="X172" i="12" s="1"/>
  <c r="V262" i="12"/>
  <c r="X262" i="12" s="1"/>
  <c r="V317" i="12"/>
  <c r="X317" i="12" s="1"/>
  <c r="V181" i="12"/>
  <c r="X181" i="12" s="1"/>
  <c r="V111" i="12"/>
  <c r="X111" i="12" s="1"/>
  <c r="V248" i="12"/>
  <c r="X248" i="12" s="1"/>
  <c r="V226" i="12"/>
  <c r="X226" i="12" s="1"/>
  <c r="V246" i="12"/>
  <c r="X246" i="12" s="1"/>
  <c r="V356" i="12"/>
  <c r="X356" i="12" s="1"/>
  <c r="V20" i="12"/>
  <c r="X20" i="12" s="1"/>
  <c r="V212" i="12"/>
  <c r="X212" i="12" s="1"/>
  <c r="V342" i="12"/>
  <c r="X342" i="12" s="1"/>
  <c r="V355" i="12"/>
  <c r="X355" i="12" s="1"/>
  <c r="V328" i="12"/>
  <c r="X328" i="12" s="1"/>
  <c r="V101" i="12"/>
  <c r="X101" i="12" s="1"/>
  <c r="V215" i="12"/>
  <c r="X215" i="12" s="1"/>
  <c r="V281" i="12"/>
  <c r="X281" i="12" s="1"/>
  <c r="V18" i="12"/>
  <c r="X18" i="12" s="1"/>
  <c r="V266" i="12"/>
  <c r="X266" i="12" s="1"/>
  <c r="V153" i="12"/>
  <c r="X153" i="12" s="1"/>
  <c r="V193" i="12"/>
  <c r="X193" i="12" s="1"/>
  <c r="V49" i="12"/>
  <c r="X49" i="12" s="1"/>
  <c r="V185" i="12"/>
  <c r="X185" i="12" s="1"/>
  <c r="V27" i="12"/>
  <c r="X27" i="12" s="1"/>
  <c r="V338" i="12"/>
  <c r="X338" i="12" s="1"/>
  <c r="V270" i="12"/>
  <c r="X270" i="12" s="1"/>
  <c r="V325" i="12"/>
  <c r="X325" i="12" s="1"/>
  <c r="V263" i="12"/>
  <c r="X263" i="12" s="1"/>
  <c r="V332" i="12"/>
  <c r="X332" i="12" s="1"/>
  <c r="V93" i="12"/>
  <c r="X93" i="12" s="1"/>
  <c r="V4" i="12"/>
  <c r="X4" i="12" s="1"/>
  <c r="AF16" i="13"/>
  <c r="J9" i="12" l="1"/>
  <c r="V9" i="12" s="1"/>
  <c r="X9" i="12" s="1"/>
  <c r="V7" i="12"/>
  <c r="X7" i="12" s="1"/>
  <c r="I9" i="12"/>
  <c r="U7" i="12"/>
  <c r="W7" i="12" s="1"/>
  <c r="E89" i="15"/>
  <c r="F89" i="15" s="1"/>
  <c r="E90" i="15"/>
  <c r="F90" i="15" s="1"/>
  <c r="E91" i="15"/>
  <c r="F91" i="15" s="1"/>
  <c r="E88" i="15"/>
  <c r="F88" i="15" s="1"/>
  <c r="E87" i="15"/>
  <c r="F87" i="15" s="1"/>
  <c r="E86" i="15"/>
  <c r="U9" i="12" l="1"/>
  <c r="W9" i="12" s="1"/>
  <c r="AE11" i="12"/>
  <c r="F86" i="15"/>
  <c r="F92" i="15" s="1"/>
  <c r="E92" i="15"/>
  <c r="AO192" i="9"/>
  <c r="AH21" i="13" l="1"/>
  <c r="AI21" i="13"/>
  <c r="AE21" i="13"/>
  <c r="AD21" i="13"/>
  <c r="AC21" i="13"/>
  <c r="AG16" i="13"/>
  <c r="AG18" i="13"/>
  <c r="AF19" i="13"/>
  <c r="AG19" i="13" s="1"/>
  <c r="AF20" i="13"/>
  <c r="AG20" i="13" s="1"/>
  <c r="AF15" i="13"/>
  <c r="AG15" i="13" s="1"/>
  <c r="AG21" i="13" l="1"/>
  <c r="AF21" i="13"/>
  <c r="C92" i="15"/>
  <c r="B92" i="15"/>
  <c r="J140" i="18" l="1"/>
  <c r="J142" i="18" s="1"/>
  <c r="J144" i="18" s="1"/>
  <c r="J145" i="18" l="1"/>
  <c r="J147" i="18" s="1"/>
  <c r="J149" i="18" s="1"/>
  <c r="J151" i="18" s="1"/>
  <c r="J146" i="18"/>
  <c r="J148" i="18" s="1"/>
  <c r="J152" i="18" l="1"/>
  <c r="J154" i="18" s="1"/>
  <c r="J153" i="18"/>
</calcChain>
</file>

<file path=xl/sharedStrings.xml><?xml version="1.0" encoding="utf-8"?>
<sst xmlns="http://schemas.openxmlformats.org/spreadsheetml/2006/main" count="5850" uniqueCount="262">
  <si>
    <t>Region</t>
  </si>
  <si>
    <t xml:space="preserve">Country </t>
  </si>
  <si>
    <t>Calls Presented</t>
  </si>
  <si>
    <t>SVL</t>
  </si>
  <si>
    <t>ANS</t>
  </si>
  <si>
    <t>ABR</t>
  </si>
  <si>
    <t>AU/AO</t>
  </si>
  <si>
    <t>AA</t>
  </si>
  <si>
    <t>Target</t>
  </si>
  <si>
    <t>TT</t>
  </si>
  <si>
    <t>GUY</t>
  </si>
  <si>
    <t>OECS</t>
  </si>
  <si>
    <t>JA</t>
  </si>
  <si>
    <t>BAR</t>
  </si>
  <si>
    <t>BEL</t>
  </si>
  <si>
    <t>Calls Handled</t>
  </si>
  <si>
    <t>-</t>
  </si>
  <si>
    <t>KPIs</t>
  </si>
  <si>
    <t>Targets</t>
  </si>
  <si>
    <t>Average Response Time</t>
  </si>
  <si>
    <t>Response Time</t>
  </si>
  <si>
    <t>Average Wait Time</t>
  </si>
  <si>
    <t>Wait Time</t>
  </si>
  <si>
    <t>Average Chat Duration</t>
  </si>
  <si>
    <t>Chat Duration</t>
  </si>
  <si>
    <t>CSAT</t>
  </si>
  <si>
    <t>1 min</t>
  </si>
  <si>
    <t>1 min (85%)</t>
  </si>
  <si>
    <t>12 mins</t>
  </si>
  <si>
    <t>12 mins (85%)</t>
  </si>
  <si>
    <t>Belize</t>
  </si>
  <si>
    <t>Chats Rated</t>
  </si>
  <si>
    <t>SL</t>
  </si>
  <si>
    <t>AO/AU</t>
  </si>
  <si>
    <t>Calls Ans</t>
  </si>
  <si>
    <t>JAM</t>
  </si>
  <si>
    <t>Date</t>
  </si>
  <si>
    <t>Chats served</t>
  </si>
  <si>
    <t>Chats Missed W.H</t>
  </si>
  <si>
    <t>Chats Missed Outside</t>
  </si>
  <si>
    <t>Total Chats</t>
  </si>
  <si>
    <t>Service Level - 85%</t>
  </si>
  <si>
    <t>% of Missed Chats Outside</t>
  </si>
  <si>
    <t>Missed Chat (ABR) - 15%</t>
  </si>
  <si>
    <t>Trinidad and Tobago</t>
  </si>
  <si>
    <t>Jamaica</t>
  </si>
  <si>
    <t>Barbados</t>
  </si>
  <si>
    <t>Guyana</t>
  </si>
  <si>
    <t>D</t>
  </si>
  <si>
    <t>M</t>
  </si>
  <si>
    <t>T</t>
  </si>
  <si>
    <t>W</t>
  </si>
  <si>
    <t>R</t>
  </si>
  <si>
    <t>F</t>
  </si>
  <si>
    <t>S</t>
  </si>
  <si>
    <t>Day of the week</t>
  </si>
  <si>
    <t>MTD Calls Offered</t>
  </si>
  <si>
    <t>MTD Calls Ans</t>
  </si>
  <si>
    <t>YTD Calls Ans</t>
  </si>
  <si>
    <t>Calls Off</t>
  </si>
  <si>
    <t>Fiscal</t>
  </si>
  <si>
    <t>WoW % change (ans)</t>
  </si>
  <si>
    <t>From:</t>
  </si>
  <si>
    <t>To:</t>
  </si>
  <si>
    <t>HOL</t>
  </si>
  <si>
    <t>Week of</t>
  </si>
  <si>
    <t>Sum of Calls - Offered</t>
  </si>
  <si>
    <t>Sum of Calls - Answered</t>
  </si>
  <si>
    <t>From week:</t>
  </si>
  <si>
    <t>To week:</t>
  </si>
  <si>
    <t>Week Of</t>
  </si>
  <si>
    <t>TTO</t>
  </si>
  <si>
    <t>Tech Issue</t>
  </si>
  <si>
    <t>Percent Chats Rated</t>
  </si>
  <si>
    <t>Regional CC Performance Report (NOV FY-23)</t>
  </si>
  <si>
    <t>Percentage Change Calls Offered (MoM)</t>
  </si>
  <si>
    <t>Percentage Change Calls Answered (MoM)</t>
  </si>
  <si>
    <t>Agents Log</t>
  </si>
  <si>
    <t>Regional CC Performance Report (DEC-FY23)</t>
  </si>
  <si>
    <t>AHT</t>
  </si>
  <si>
    <t>AWT</t>
  </si>
  <si>
    <t>Regional CC Performance Report (JAN-FY23)</t>
  </si>
  <si>
    <t>CC KPI Dashboard</t>
  </si>
  <si>
    <t>Column Chart</t>
  </si>
  <si>
    <t>Bands</t>
  </si>
  <si>
    <t>Value</t>
  </si>
  <si>
    <t>Start</t>
  </si>
  <si>
    <t>Initial</t>
  </si>
  <si>
    <t>Middle</t>
  </si>
  <si>
    <t>End</t>
  </si>
  <si>
    <t>Avg Percent Change Calls Offered (Week over Week)</t>
  </si>
  <si>
    <t xml:space="preserve"> Avg Percent Change Calls Ans (Week over Week)</t>
  </si>
  <si>
    <t>Regional CC Performance Report (Feb-FY23)</t>
  </si>
  <si>
    <t>Regional CC Performance Report (Mar-FY23)</t>
  </si>
  <si>
    <t>FY24</t>
  </si>
  <si>
    <t>Regional CC Performance Report (FY-24 Week 1: Apr-1 to Apr-10)</t>
  </si>
  <si>
    <t>Regional CC Performance Report (FY-24 Week 2: Apr-11 to Apr-17)</t>
  </si>
  <si>
    <t>Regional CC Performance Report (Apr-FY24)</t>
  </si>
  <si>
    <t>17s</t>
  </si>
  <si>
    <t>1m 18s</t>
  </si>
  <si>
    <t>YTD Calls Offer</t>
  </si>
  <si>
    <t>41s</t>
  </si>
  <si>
    <t>Live Chat KPIs - Week 10-11 FY24 (Jun-1 to Jun-11)</t>
  </si>
  <si>
    <t>40s</t>
  </si>
  <si>
    <t>9m 34s</t>
  </si>
  <si>
    <t>39s</t>
  </si>
  <si>
    <t>7m 6s</t>
  </si>
  <si>
    <t>50s</t>
  </si>
  <si>
    <t>8m 33s</t>
  </si>
  <si>
    <t>1m 22s</t>
  </si>
  <si>
    <t>1m 36s</t>
  </si>
  <si>
    <t>7m 13s</t>
  </si>
  <si>
    <t>1m 35s</t>
  </si>
  <si>
    <t>11m 38s</t>
  </si>
  <si>
    <t>1m 9s</t>
  </si>
  <si>
    <t>2m 39s</t>
  </si>
  <si>
    <t>6m 26s</t>
  </si>
  <si>
    <t>% of Missed Chats Outside W.H</t>
  </si>
  <si>
    <t>Regional CC Performance Report (May-FY24)</t>
  </si>
  <si>
    <t>AU</t>
  </si>
  <si>
    <t>AO</t>
  </si>
  <si>
    <t>`</t>
  </si>
  <si>
    <t>61:00</t>
  </si>
  <si>
    <t>21:00</t>
  </si>
  <si>
    <t>62:00</t>
  </si>
  <si>
    <t>90:00</t>
  </si>
  <si>
    <t>64:00</t>
  </si>
  <si>
    <t>71:00</t>
  </si>
  <si>
    <t>48:00</t>
  </si>
  <si>
    <t>105:00</t>
  </si>
  <si>
    <t>120:00</t>
  </si>
  <si>
    <t>69:00</t>
  </si>
  <si>
    <t>180:00</t>
  </si>
  <si>
    <t>240:00</t>
  </si>
  <si>
    <t>181:00</t>
  </si>
  <si>
    <t>86:00</t>
  </si>
  <si>
    <t>59:00</t>
  </si>
  <si>
    <t>121:00</t>
  </si>
  <si>
    <t>0;27</t>
  </si>
  <si>
    <t>rec'd</t>
  </si>
  <si>
    <t>ans</t>
  </si>
  <si>
    <t>Regional CC Performance Report (YTD FY-24)</t>
  </si>
  <si>
    <t>Regional CC Performance Report (FEB FY-24)</t>
  </si>
  <si>
    <t>Regional CC Performance Report (Jan FY-24)</t>
  </si>
  <si>
    <t>Comparisons Matrix Jan to Feb FY24</t>
  </si>
  <si>
    <t>é</t>
  </si>
  <si>
    <t>ê</t>
  </si>
  <si>
    <t>ó</t>
  </si>
  <si>
    <r>
      <t xml:space="preserve"> -7% </t>
    </r>
    <r>
      <rPr>
        <sz val="11"/>
        <color rgb="FFFF0000"/>
        <rFont val="Wingdings"/>
        <charset val="2"/>
      </rPr>
      <t>ê</t>
    </r>
  </si>
  <si>
    <r>
      <rPr>
        <sz val="11"/>
        <color rgb="FFFF0000"/>
        <rFont val="Calibri"/>
        <family val="2"/>
        <scheme val="minor"/>
      </rPr>
      <t xml:space="preserve"> -3%</t>
    </r>
    <r>
      <rPr>
        <sz val="11"/>
        <color rgb="FFFF0000"/>
        <rFont val="Wingdings"/>
        <charset val="2"/>
      </rPr>
      <t>ê</t>
    </r>
  </si>
  <si>
    <r>
      <t>20%</t>
    </r>
    <r>
      <rPr>
        <sz val="11"/>
        <color rgb="FF00B050"/>
        <rFont val="Wingdings"/>
        <charset val="2"/>
      </rPr>
      <t>é</t>
    </r>
  </si>
  <si>
    <r>
      <t xml:space="preserve">5% </t>
    </r>
    <r>
      <rPr>
        <sz val="11"/>
        <color rgb="FF00B050"/>
        <rFont val="Wingdings"/>
        <charset val="2"/>
      </rPr>
      <t>é</t>
    </r>
  </si>
  <si>
    <r>
      <t xml:space="preserve">16% </t>
    </r>
    <r>
      <rPr>
        <sz val="11"/>
        <color rgb="FF00B050"/>
        <rFont val="Wingdings"/>
        <charset val="2"/>
      </rPr>
      <t>é</t>
    </r>
  </si>
  <si>
    <r>
      <t xml:space="preserve">0% </t>
    </r>
    <r>
      <rPr>
        <sz val="11"/>
        <color theme="5"/>
        <rFont val="Wingdings"/>
        <charset val="2"/>
      </rPr>
      <t>ó</t>
    </r>
  </si>
  <si>
    <r>
      <t xml:space="preserve">9% </t>
    </r>
    <r>
      <rPr>
        <sz val="11"/>
        <color rgb="FF00B050"/>
        <rFont val="Wingdings"/>
        <charset val="2"/>
      </rPr>
      <t>é</t>
    </r>
  </si>
  <si>
    <r>
      <t xml:space="preserve"> -2% </t>
    </r>
    <r>
      <rPr>
        <sz val="11"/>
        <color rgb="FFFF0000"/>
        <rFont val="Wingdings"/>
        <charset val="2"/>
      </rPr>
      <t>ê</t>
    </r>
  </si>
  <si>
    <r>
      <t xml:space="preserve"> -1% </t>
    </r>
    <r>
      <rPr>
        <sz val="11"/>
        <color rgb="FFFF0000"/>
        <rFont val="Wingdings"/>
        <charset val="2"/>
      </rPr>
      <t>ê</t>
    </r>
  </si>
  <si>
    <r>
      <t xml:space="preserve">3% </t>
    </r>
    <r>
      <rPr>
        <sz val="11"/>
        <color rgb="FF00B050"/>
        <rFont val="Wingdings"/>
        <charset val="2"/>
      </rPr>
      <t>é</t>
    </r>
  </si>
  <si>
    <r>
      <t xml:space="preserve">14% </t>
    </r>
    <r>
      <rPr>
        <sz val="11"/>
        <color rgb="FF00B050"/>
        <rFont val="Wingdings"/>
        <charset val="2"/>
      </rPr>
      <t>é</t>
    </r>
  </si>
  <si>
    <r>
      <t xml:space="preserve">1% </t>
    </r>
    <r>
      <rPr>
        <sz val="11"/>
        <color rgb="FF00B050"/>
        <rFont val="Wingdings"/>
        <charset val="2"/>
      </rPr>
      <t>é</t>
    </r>
  </si>
  <si>
    <r>
      <t xml:space="preserve"> -14% </t>
    </r>
    <r>
      <rPr>
        <sz val="11"/>
        <color rgb="FFFF0000"/>
        <rFont val="Wingdings"/>
        <charset val="2"/>
      </rPr>
      <t>ê</t>
    </r>
  </si>
  <si>
    <r>
      <t xml:space="preserve"> -3% </t>
    </r>
    <r>
      <rPr>
        <sz val="11"/>
        <color rgb="FFFF0000"/>
        <rFont val="Wingdings"/>
        <charset val="2"/>
      </rPr>
      <t>ê</t>
    </r>
  </si>
  <si>
    <r>
      <t xml:space="preserve">2% </t>
    </r>
    <r>
      <rPr>
        <sz val="11"/>
        <color rgb="FF00B050"/>
        <rFont val="Wingdings"/>
        <charset val="2"/>
      </rPr>
      <t>é</t>
    </r>
  </si>
  <si>
    <r>
      <t xml:space="preserve"> -9% </t>
    </r>
    <r>
      <rPr>
        <sz val="11"/>
        <color rgb="FFFF0000"/>
        <rFont val="Wingdings"/>
        <charset val="2"/>
      </rPr>
      <t>ê</t>
    </r>
  </si>
  <si>
    <r>
      <t xml:space="preserve"> -12% </t>
    </r>
    <r>
      <rPr>
        <sz val="11"/>
        <color rgb="FFFF0000"/>
        <rFont val="Wingdings"/>
        <charset val="2"/>
      </rPr>
      <t>ê</t>
    </r>
  </si>
  <si>
    <r>
      <t xml:space="preserve">4% </t>
    </r>
    <r>
      <rPr>
        <sz val="11"/>
        <color rgb="FF00B050"/>
        <rFont val="Wingdings"/>
        <charset val="2"/>
      </rPr>
      <t>é</t>
    </r>
  </si>
  <si>
    <r>
      <t xml:space="preserve"> -6% </t>
    </r>
    <r>
      <rPr>
        <sz val="11"/>
        <color rgb="FFFF0000"/>
        <rFont val="Wingdings"/>
        <charset val="2"/>
      </rPr>
      <t>ê</t>
    </r>
  </si>
  <si>
    <r>
      <t xml:space="preserve"> -4% </t>
    </r>
    <r>
      <rPr>
        <sz val="11"/>
        <color rgb="FFFF0000"/>
        <rFont val="Wingdings"/>
        <charset val="2"/>
      </rPr>
      <t>ê</t>
    </r>
  </si>
  <si>
    <r>
      <t xml:space="preserve">7% </t>
    </r>
    <r>
      <rPr>
        <sz val="11"/>
        <color rgb="FF00B050"/>
        <rFont val="Wingdings"/>
        <charset val="2"/>
      </rPr>
      <t>é</t>
    </r>
  </si>
  <si>
    <t>Regional CC Performance Report (FY-24 Week 49: Mar-4 to Mar-9)</t>
  </si>
  <si>
    <t>Regional CC Performance Report (FY-24 Week 50: Mar-11 to Mar-16)</t>
  </si>
  <si>
    <t>Regional CC Performance Report (FY-24 Week 51: Mar-18 to Mar-23)</t>
  </si>
  <si>
    <t>Live Chat KPIs - Mar FY24</t>
  </si>
  <si>
    <t>Regional CC Performance Report (FY-24 Complete)</t>
  </si>
  <si>
    <t>Regional CC Performance Report (MAR FY-24)</t>
  </si>
  <si>
    <t>Live Chat KPIs - Feb FY24</t>
  </si>
  <si>
    <t>Live Chat KPIs - Jan FY24</t>
  </si>
  <si>
    <t>Live Chat KPIs - Dec FY24</t>
  </si>
  <si>
    <t>Live Chat KPIs - Nov FY24</t>
  </si>
  <si>
    <t>Live Chat KPIs - Oct FY24</t>
  </si>
  <si>
    <t>Live Chat KPIs - Sep FY24</t>
  </si>
  <si>
    <t>Live Chat KPIs - Aug FY24</t>
  </si>
  <si>
    <t>Live Chat KPIs - Jul FY24</t>
  </si>
  <si>
    <t>Live Chat KPIs - Jun FY24</t>
  </si>
  <si>
    <t>19s</t>
  </si>
  <si>
    <t>18s</t>
  </si>
  <si>
    <t>47s</t>
  </si>
  <si>
    <t>2m 43s</t>
  </si>
  <si>
    <t>1m 5</t>
  </si>
  <si>
    <t>1m 21s</t>
  </si>
  <si>
    <t>6m 13s</t>
  </si>
  <si>
    <t>9m 7s</t>
  </si>
  <si>
    <t>7m 44s</t>
  </si>
  <si>
    <t>8m 27s</t>
  </si>
  <si>
    <t>9m 17s</t>
  </si>
  <si>
    <t>7m 42s</t>
  </si>
  <si>
    <t>Live Chat KPIs - May FY24</t>
  </si>
  <si>
    <t>36s</t>
  </si>
  <si>
    <t>20s</t>
  </si>
  <si>
    <t>24s</t>
  </si>
  <si>
    <t>1m 52s</t>
  </si>
  <si>
    <t>1m 12s</t>
  </si>
  <si>
    <t>Live Chat KPIs - April FY24</t>
  </si>
  <si>
    <t>1m 3s</t>
  </si>
  <si>
    <t>32s</t>
  </si>
  <si>
    <t>25s</t>
  </si>
  <si>
    <t>3m 54s</t>
  </si>
  <si>
    <t>2m 8s</t>
  </si>
  <si>
    <t>0:06:49</t>
  </si>
  <si>
    <t>0:09:58</t>
  </si>
  <si>
    <t>0:08:54</t>
  </si>
  <si>
    <t>0:09:53</t>
  </si>
  <si>
    <t>0:09:32</t>
  </si>
  <si>
    <t>0:09:02</t>
  </si>
  <si>
    <t>0:08:12</t>
  </si>
  <si>
    <t>0:08:25</t>
  </si>
  <si>
    <t>0:08:48</t>
  </si>
  <si>
    <t>0:05:52</t>
  </si>
  <si>
    <t>0:00:48</t>
  </si>
  <si>
    <t>0:00:43</t>
  </si>
  <si>
    <t>0:00:37</t>
  </si>
  <si>
    <t>0:01:52</t>
  </si>
  <si>
    <t>0:01:44</t>
  </si>
  <si>
    <t>0:01:03</t>
  </si>
  <si>
    <t>0:00:36</t>
  </si>
  <si>
    <t>0:00:41</t>
  </si>
  <si>
    <t>0:00:38</t>
  </si>
  <si>
    <t>0:00:54</t>
  </si>
  <si>
    <t>0:01:13</t>
  </si>
  <si>
    <t>0:00:58</t>
  </si>
  <si>
    <t>0:01:07</t>
  </si>
  <si>
    <t>0:01:04</t>
  </si>
  <si>
    <t>'=CONCATENATE("0",":",IF(LEN(CX4)&gt;5,CONCATENATE("0",LEFT(CX4,1),":",CONCATENATE(LEFT(RIGHT(CX4,3),2))),(IF(LEN(CX4)&gt;3,CONCATENATE("0",LEFT(CX4,1),":","0",LEFT(RIGHT(CX4,2),1)),CONCATENATE("00",":",LEFT(CX4,2))))))</t>
  </si>
  <si>
    <t>Live Chat KPIs - Annual FY24</t>
  </si>
  <si>
    <t>WoW % change offer</t>
  </si>
  <si>
    <t>WoW % change ans</t>
  </si>
  <si>
    <t>Change Percentage (Call Offered) Oulier Bool</t>
  </si>
  <si>
    <t>Change Percentage (Call Ans) Oulier Bool</t>
  </si>
  <si>
    <t>Winsorized Values - Offered</t>
  </si>
  <si>
    <t>Winsorized Values - Ans</t>
  </si>
  <si>
    <t>Quartile Stats</t>
  </si>
  <si>
    <t>IQR Calls Offered</t>
  </si>
  <si>
    <t>IQR Calls Ans</t>
  </si>
  <si>
    <t>Statistic</t>
  </si>
  <si>
    <t>Lower Bound</t>
  </si>
  <si>
    <t>Upper Bound</t>
  </si>
  <si>
    <t>Q1</t>
  </si>
  <si>
    <t>Calls Offered</t>
  </si>
  <si>
    <t>Q3</t>
  </si>
  <si>
    <t>IQR</t>
  </si>
  <si>
    <t>Descriptive Stats - Off</t>
  </si>
  <si>
    <t>Descriptive Stats - Ans</t>
  </si>
  <si>
    <t>Mean</t>
  </si>
  <si>
    <t>Median</t>
  </si>
  <si>
    <t>Mode</t>
  </si>
  <si>
    <t>Week Number</t>
  </si>
  <si>
    <t>Row Labels</t>
  </si>
  <si>
    <t>Grand Total</t>
  </si>
  <si>
    <t>Sum of Calls Ans</t>
  </si>
  <si>
    <t>Sum of Calls Off</t>
  </si>
  <si>
    <t>Average of SL</t>
  </si>
  <si>
    <t>Average of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</si>
</sst>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mm]:ss"/>
    <numFmt numFmtId="165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gency FB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gency FB"/>
      <family val="2"/>
    </font>
    <font>
      <sz val="18"/>
      <color theme="1"/>
      <name val="Amasis MT Pro Black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Wingdings"/>
      <charset val="2"/>
    </font>
    <font>
      <sz val="11"/>
      <color rgb="FF00B050"/>
      <name val="Calibri"/>
      <family val="2"/>
    </font>
    <font>
      <sz val="11"/>
      <color rgb="FF00B050"/>
      <name val="Wingdings"/>
      <charset val="2"/>
    </font>
    <font>
      <sz val="11"/>
      <color rgb="FFFF0000"/>
      <name val="Wingdings"/>
      <charset val="2"/>
    </font>
    <font>
      <sz val="11"/>
      <color rgb="FFFF0000"/>
      <name val="Wingdings"/>
      <family val="2"/>
      <charset val="2"/>
    </font>
    <font>
      <sz val="11"/>
      <color theme="5"/>
      <name val="Calibri"/>
      <family val="2"/>
    </font>
    <font>
      <sz val="11"/>
      <color theme="5"/>
      <name val="Wingdings"/>
      <charset val="2"/>
    </font>
    <font>
      <b/>
      <sz val="11"/>
      <color rgb="FF00B050"/>
      <name val="Calibri"/>
      <family val="2"/>
    </font>
    <font>
      <sz val="10"/>
      <color theme="1"/>
      <name val="Arial Unicode MS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8EA9DB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9" fontId="0" fillId="2" borderId="1" xfId="0" applyNumberFormat="1" applyFill="1" applyBorder="1"/>
    <xf numFmtId="9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2" borderId="2" xfId="0" applyNumberFormat="1" applyFill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Alignment="1">
      <alignment horizontal="center"/>
    </xf>
    <xf numFmtId="16" fontId="0" fillId="0" borderId="0" xfId="0" applyNumberFormat="1"/>
    <xf numFmtId="1" fontId="0" fillId="0" borderId="1" xfId="0" applyNumberFormat="1" applyBorder="1"/>
    <xf numFmtId="9" fontId="0" fillId="0" borderId="1" xfId="0" applyNumberFormat="1" applyBorder="1"/>
    <xf numFmtId="10" fontId="0" fillId="0" borderId="1" xfId="1" applyNumberFormat="1" applyFont="1" applyBorder="1"/>
    <xf numFmtId="10" fontId="0" fillId="0" borderId="9" xfId="1" applyNumberFormat="1" applyFont="1" applyBorder="1"/>
    <xf numFmtId="16" fontId="0" fillId="0" borderId="1" xfId="0" applyNumberFormat="1" applyBorder="1"/>
    <xf numFmtId="9" fontId="0" fillId="0" borderId="2" xfId="0" applyNumberFormat="1" applyBorder="1"/>
    <xf numFmtId="16" fontId="0" fillId="0" borderId="9" xfId="0" applyNumberFormat="1" applyBorder="1"/>
    <xf numFmtId="0" fontId="5" fillId="5" borderId="12" xfId="0" applyFont="1" applyFill="1" applyBorder="1"/>
    <xf numFmtId="0" fontId="5" fillId="5" borderId="0" xfId="0" applyFont="1" applyFill="1" applyAlignment="1">
      <alignment horizontal="center"/>
    </xf>
    <xf numFmtId="0" fontId="5" fillId="5" borderId="13" xfId="0" applyFont="1" applyFill="1" applyBorder="1" applyAlignment="1">
      <alignment horizontal="center"/>
    </xf>
    <xf numFmtId="16" fontId="0" fillId="0" borderId="4" xfId="0" applyNumberFormat="1" applyBorder="1"/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4" borderId="1" xfId="0" applyFill="1" applyBorder="1"/>
    <xf numFmtId="16" fontId="0" fillId="0" borderId="8" xfId="0" applyNumberFormat="1" applyBorder="1"/>
    <xf numFmtId="16" fontId="0" fillId="4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/>
    <xf numFmtId="0" fontId="0" fillId="0" borderId="9" xfId="0" applyBorder="1"/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9" fontId="7" fillId="0" borderId="1" xfId="1" applyFont="1" applyFill="1" applyBorder="1"/>
    <xf numFmtId="9" fontId="7" fillId="0" borderId="1" xfId="1" applyFont="1" applyFill="1" applyBorder="1" applyAlignment="1">
      <alignment horizontal="right"/>
    </xf>
    <xf numFmtId="9" fontId="6" fillId="0" borderId="1" xfId="0" applyNumberFormat="1" applyFont="1" applyBorder="1" applyAlignment="1">
      <alignment horizontal="center"/>
    </xf>
    <xf numFmtId="9" fontId="0" fillId="0" borderId="9" xfId="0" applyNumberFormat="1" applyBorder="1"/>
    <xf numFmtId="0" fontId="0" fillId="2" borderId="0" xfId="0" applyFill="1"/>
    <xf numFmtId="0" fontId="0" fillId="7" borderId="0" xfId="0" applyFill="1"/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9" fontId="0" fillId="7" borderId="1" xfId="0" applyNumberFormat="1" applyFill="1" applyBorder="1"/>
    <xf numFmtId="9" fontId="6" fillId="0" borderId="1" xfId="1" applyFont="1" applyFill="1" applyBorder="1"/>
    <xf numFmtId="9" fontId="7" fillId="0" borderId="1" xfId="0" applyNumberFormat="1" applyFont="1" applyBorder="1" applyAlignment="1">
      <alignment horizontal="center" vertical="center"/>
    </xf>
    <xf numFmtId="10" fontId="6" fillId="0" borderId="9" xfId="1" applyNumberFormat="1" applyFont="1" applyBorder="1" applyAlignment="1"/>
    <xf numFmtId="9" fontId="6" fillId="0" borderId="1" xfId="0" applyNumberFormat="1" applyFont="1" applyBorder="1"/>
    <xf numFmtId="9" fontId="7" fillId="0" borderId="2" xfId="0" applyNumberFormat="1" applyFont="1" applyBorder="1"/>
    <xf numFmtId="9" fontId="6" fillId="0" borderId="2" xfId="0" applyNumberFormat="1" applyFont="1" applyBorder="1"/>
    <xf numFmtId="0" fontId="7" fillId="0" borderId="2" xfId="0" applyFont="1" applyBorder="1"/>
    <xf numFmtId="1" fontId="7" fillId="0" borderId="1" xfId="0" applyNumberFormat="1" applyFont="1" applyBorder="1"/>
    <xf numFmtId="9" fontId="7" fillId="0" borderId="1" xfId="0" applyNumberFormat="1" applyFont="1" applyBorder="1"/>
    <xf numFmtId="1" fontId="7" fillId="0" borderId="1" xfId="0" applyNumberFormat="1" applyFont="1" applyBorder="1" applyAlignment="1">
      <alignment horizontal="right"/>
    </xf>
    <xf numFmtId="16" fontId="0" fillId="6" borderId="1" xfId="0" applyNumberFormat="1" applyFill="1" applyBorder="1" applyAlignment="1">
      <alignment horizontal="center"/>
    </xf>
    <xf numFmtId="10" fontId="0" fillId="4" borderId="1" xfId="0" applyNumberFormat="1" applyFill="1" applyBorder="1"/>
    <xf numFmtId="10" fontId="0" fillId="0" borderId="1" xfId="0" applyNumberFormat="1" applyBorder="1"/>
    <xf numFmtId="0" fontId="0" fillId="2" borderId="1" xfId="0" applyFill="1" applyBorder="1"/>
    <xf numFmtId="9" fontId="0" fillId="0" borderId="1" xfId="1" applyFont="1" applyBorder="1"/>
    <xf numFmtId="9" fontId="0" fillId="4" borderId="1" xfId="1" applyFont="1" applyFill="1" applyBorder="1"/>
    <xf numFmtId="0" fontId="0" fillId="8" borderId="1" xfId="0" applyFill="1" applyBorder="1"/>
    <xf numFmtId="10" fontId="7" fillId="0" borderId="1" xfId="1" applyNumberFormat="1" applyFont="1" applyBorder="1" applyAlignment="1"/>
    <xf numFmtId="0" fontId="7" fillId="0" borderId="1" xfId="0" applyFont="1" applyBorder="1" applyAlignment="1">
      <alignment horizontal="center" vertical="center"/>
    </xf>
    <xf numFmtId="0" fontId="2" fillId="0" borderId="8" xfId="0" applyFont="1" applyBorder="1"/>
    <xf numFmtId="1" fontId="2" fillId="0" borderId="1" xfId="0" applyNumberFormat="1" applyFont="1" applyBorder="1"/>
    <xf numFmtId="9" fontId="2" fillId="0" borderId="2" xfId="1" applyFont="1" applyFill="1" applyBorder="1" applyAlignment="1">
      <alignment horizontal="right"/>
    </xf>
    <xf numFmtId="9" fontId="2" fillId="0" borderId="2" xfId="1" quotePrefix="1" applyFont="1" applyFill="1" applyBorder="1" applyAlignment="1">
      <alignment horizontal="right"/>
    </xf>
    <xf numFmtId="0" fontId="0" fillId="0" borderId="1" xfId="0" quotePrefix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9" borderId="1" xfId="0" applyFill="1" applyBorder="1"/>
    <xf numFmtId="10" fontId="0" fillId="7" borderId="1" xfId="0" applyNumberFormat="1" applyFill="1" applyBorder="1"/>
    <xf numFmtId="10" fontId="0" fillId="2" borderId="1" xfId="0" applyNumberFormat="1" applyFill="1" applyBorder="1"/>
    <xf numFmtId="10" fontId="0" fillId="0" borderId="9" xfId="0" applyNumberFormat="1" applyBorder="1"/>
    <xf numFmtId="10" fontId="0" fillId="0" borderId="1" xfId="1" applyNumberFormat="1" applyFont="1" applyFill="1" applyBorder="1"/>
    <xf numFmtId="0" fontId="0" fillId="9" borderId="1" xfId="0" applyFill="1" applyBorder="1" applyAlignment="1">
      <alignment horizontal="center"/>
    </xf>
    <xf numFmtId="9" fontId="0" fillId="9" borderId="1" xfId="0" applyNumberFormat="1" applyFill="1" applyBorder="1"/>
    <xf numFmtId="9" fontId="0" fillId="0" borderId="1" xfId="0" applyNumberFormat="1" applyBorder="1" applyAlignment="1">
      <alignment horizontal="right"/>
    </xf>
    <xf numFmtId="9" fontId="0" fillId="4" borderId="1" xfId="0" applyNumberFormat="1" applyFill="1" applyBorder="1" applyAlignment="1">
      <alignment horizontal="right"/>
    </xf>
    <xf numFmtId="9" fontId="0" fillId="4" borderId="2" xfId="1" applyFont="1" applyFill="1" applyBorder="1"/>
    <xf numFmtId="9" fontId="0" fillId="0" borderId="2" xfId="1" applyFont="1" applyBorder="1"/>
    <xf numFmtId="0" fontId="5" fillId="5" borderId="5" xfId="0" applyFont="1" applyFill="1" applyBorder="1"/>
    <xf numFmtId="16" fontId="0" fillId="0" borderId="9" xfId="0" applyNumberFormat="1" applyBorder="1" applyAlignment="1">
      <alignment horizontal="center"/>
    </xf>
    <xf numFmtId="9" fontId="0" fillId="0" borderId="9" xfId="1" applyFont="1" applyBorder="1"/>
    <xf numFmtId="9" fontId="0" fillId="0" borderId="14" xfId="1" applyFont="1" applyBorder="1"/>
    <xf numFmtId="0" fontId="0" fillId="0" borderId="14" xfId="0" applyBorder="1"/>
    <xf numFmtId="0" fontId="0" fillId="0" borderId="7" xfId="0" applyBorder="1"/>
    <xf numFmtId="0" fontId="0" fillId="0" borderId="2" xfId="0" applyBorder="1"/>
    <xf numFmtId="0" fontId="0" fillId="7" borderId="1" xfId="0" applyFill="1" applyBorder="1" applyAlignment="1">
      <alignment horizontal="right"/>
    </xf>
    <xf numFmtId="9" fontId="0" fillId="7" borderId="1" xfId="0" applyNumberFormat="1" applyFill="1" applyBorder="1" applyAlignment="1">
      <alignment horizontal="right"/>
    </xf>
    <xf numFmtId="16" fontId="0" fillId="10" borderId="1" xfId="0" applyNumberFormat="1" applyFill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9" fontId="0" fillId="7" borderId="1" xfId="1" applyFont="1" applyFill="1" applyBorder="1"/>
    <xf numFmtId="9" fontId="0" fillId="7" borderId="2" xfId="1" applyFont="1" applyFill="1" applyBorder="1"/>
    <xf numFmtId="16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0" fontId="0" fillId="11" borderId="1" xfId="0" applyNumberFormat="1" applyFill="1" applyBorder="1"/>
    <xf numFmtId="9" fontId="0" fillId="11" borderId="1" xfId="1" applyFont="1" applyFill="1" applyBorder="1"/>
    <xf numFmtId="9" fontId="0" fillId="11" borderId="2" xfId="1" applyFont="1" applyFill="1" applyBorder="1"/>
    <xf numFmtId="0" fontId="6" fillId="0" borderId="1" xfId="0" applyFont="1" applyBorder="1" applyAlignment="1">
      <alignment horizontal="center"/>
    </xf>
    <xf numFmtId="16" fontId="0" fillId="13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/>
    <xf numFmtId="9" fontId="0" fillId="12" borderId="1" xfId="0" applyNumberFormat="1" applyFill="1" applyBorder="1"/>
    <xf numFmtId="9" fontId="0" fillId="12" borderId="1" xfId="0" applyNumberFormat="1" applyFill="1" applyBorder="1" applyAlignment="1">
      <alignment horizontal="right"/>
    </xf>
    <xf numFmtId="0" fontId="0" fillId="12" borderId="0" xfId="0" applyFill="1"/>
    <xf numFmtId="2" fontId="0" fillId="0" borderId="1" xfId="1" applyNumberFormat="1" applyFont="1" applyBorder="1"/>
    <xf numFmtId="9" fontId="7" fillId="0" borderId="2" xfId="1" quotePrefix="1" applyFont="1" applyFill="1" applyBorder="1" applyAlignment="1">
      <alignment horizontal="center" vertical="center"/>
    </xf>
    <xf numFmtId="2" fontId="0" fillId="0" borderId="0" xfId="0" applyNumberFormat="1"/>
    <xf numFmtId="0" fontId="7" fillId="0" borderId="1" xfId="0" applyFont="1" applyBorder="1"/>
    <xf numFmtId="9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9" fontId="4" fillId="0" borderId="2" xfId="1" applyFont="1" applyFill="1" applyBorder="1" applyAlignment="1">
      <alignment horizontal="right"/>
    </xf>
    <xf numFmtId="9" fontId="0" fillId="0" borderId="1" xfId="1" applyFont="1" applyFill="1" applyBorder="1"/>
    <xf numFmtId="0" fontId="2" fillId="0" borderId="6" xfId="0" applyFont="1" applyBorder="1" applyAlignment="1">
      <alignment wrapText="1"/>
    </xf>
    <xf numFmtId="10" fontId="7" fillId="0" borderId="9" xfId="1" applyNumberFormat="1" applyFont="1" applyBorder="1" applyAlignment="1"/>
    <xf numFmtId="0" fontId="6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9" fontId="0" fillId="14" borderId="1" xfId="0" quotePrefix="1" applyNumberFormat="1" applyFill="1" applyBorder="1" applyAlignment="1">
      <alignment horizontal="center"/>
    </xf>
    <xf numFmtId="9" fontId="7" fillId="0" borderId="9" xfId="0" applyNumberFormat="1" applyFont="1" applyBorder="1" applyAlignment="1">
      <alignment horizontal="center" vertical="center"/>
    </xf>
    <xf numFmtId="9" fontId="7" fillId="0" borderId="9" xfId="0" quotePrefix="1" applyNumberFormat="1" applyFont="1" applyBorder="1" applyAlignment="1">
      <alignment horizontal="center" vertical="center"/>
    </xf>
    <xf numFmtId="9" fontId="7" fillId="0" borderId="9" xfId="0" quotePrefix="1" applyNumberFormat="1" applyFont="1" applyBorder="1" applyAlignment="1">
      <alignment horizontal="center"/>
    </xf>
    <xf numFmtId="1" fontId="7" fillId="0" borderId="1" xfId="0" quotePrefix="1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right"/>
    </xf>
    <xf numFmtId="10" fontId="7" fillId="0" borderId="1" xfId="1" applyNumberFormat="1" applyFont="1" applyBorder="1"/>
    <xf numFmtId="10" fontId="7" fillId="0" borderId="9" xfId="1" applyNumberFormat="1" applyFont="1" applyBorder="1"/>
    <xf numFmtId="9" fontId="7" fillId="0" borderId="1" xfId="0" quotePrefix="1" applyNumberFormat="1" applyFont="1" applyBorder="1" applyAlignment="1">
      <alignment horizontal="center"/>
    </xf>
    <xf numFmtId="10" fontId="6" fillId="0" borderId="1" xfId="1" applyNumberFormat="1" applyFont="1" applyBorder="1"/>
    <xf numFmtId="10" fontId="4" fillId="0" borderId="2" xfId="1" applyNumberFormat="1" applyFont="1" applyBorder="1"/>
    <xf numFmtId="0" fontId="0" fillId="2" borderId="1" xfId="0" applyFill="1" applyBorder="1" applyAlignment="1">
      <alignment horizontal="right"/>
    </xf>
    <xf numFmtId="9" fontId="0" fillId="2" borderId="1" xfId="0" applyNumberFormat="1" applyFill="1" applyBorder="1" applyAlignment="1">
      <alignment horizontal="right"/>
    </xf>
    <xf numFmtId="9" fontId="0" fillId="2" borderId="1" xfId="1" applyFont="1" applyFill="1" applyBorder="1"/>
    <xf numFmtId="9" fontId="0" fillId="2" borderId="2" xfId="1" applyFont="1" applyFill="1" applyBorder="1"/>
    <xf numFmtId="2" fontId="0" fillId="2" borderId="1" xfId="1" applyNumberFormat="1" applyFont="1" applyFill="1" applyBorder="1"/>
    <xf numFmtId="9" fontId="7" fillId="0" borderId="1" xfId="0" applyNumberFormat="1" applyFont="1" applyBorder="1" applyAlignment="1">
      <alignment horizontal="center"/>
    </xf>
    <xf numFmtId="9" fontId="7" fillId="0" borderId="9" xfId="0" applyNumberFormat="1" applyFont="1" applyBorder="1" applyAlignment="1">
      <alignment horizontal="center"/>
    </xf>
    <xf numFmtId="164" fontId="0" fillId="0" borderId="1" xfId="0" applyNumberFormat="1" applyBorder="1"/>
    <xf numFmtId="2" fontId="0" fillId="2" borderId="0" xfId="0" applyNumberFormat="1" applyFill="1"/>
    <xf numFmtId="164" fontId="0" fillId="0" borderId="2" xfId="1" applyNumberFormat="1" applyFont="1" applyBorder="1"/>
    <xf numFmtId="0" fontId="0" fillId="8" borderId="0" xfId="0" applyFill="1"/>
    <xf numFmtId="164" fontId="0" fillId="0" borderId="0" xfId="0" applyNumberFormat="1"/>
    <xf numFmtId="164" fontId="0" fillId="7" borderId="2" xfId="1" applyNumberFormat="1" applyFont="1" applyFill="1" applyBorder="1"/>
    <xf numFmtId="2" fontId="0" fillId="7" borderId="1" xfId="1" applyNumberFormat="1" applyFont="1" applyFill="1" applyBorder="1"/>
    <xf numFmtId="9" fontId="11" fillId="0" borderId="2" xfId="1" applyFont="1" applyFill="1" applyBorder="1" applyAlignment="1">
      <alignment horizontal="right"/>
    </xf>
    <xf numFmtId="45" fontId="7" fillId="0" borderId="1" xfId="0" applyNumberFormat="1" applyFont="1" applyBorder="1" applyAlignment="1">
      <alignment horizontal="center"/>
    </xf>
    <xf numFmtId="20" fontId="0" fillId="0" borderId="0" xfId="0" applyNumberFormat="1"/>
    <xf numFmtId="9" fontId="11" fillId="0" borderId="2" xfId="1" quotePrefix="1" applyFont="1" applyFill="1" applyBorder="1" applyAlignment="1">
      <alignment horizontal="right"/>
    </xf>
    <xf numFmtId="9" fontId="0" fillId="0" borderId="0" xfId="1" applyFont="1"/>
    <xf numFmtId="164" fontId="0" fillId="4" borderId="6" xfId="0" applyNumberFormat="1" applyFill="1" applyBorder="1"/>
    <xf numFmtId="164" fontId="0" fillId="2" borderId="1" xfId="0" applyNumberFormat="1" applyFill="1" applyBorder="1"/>
    <xf numFmtId="0" fontId="0" fillId="4" borderId="1" xfId="0" quotePrefix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2" borderId="1" xfId="0" quotePrefix="1" applyNumberFormat="1" applyFill="1" applyBorder="1" applyAlignment="1">
      <alignment horizontal="right"/>
    </xf>
    <xf numFmtId="164" fontId="0" fillId="7" borderId="1" xfId="0" quotePrefix="1" applyNumberFormat="1" applyFill="1" applyBorder="1" applyAlignment="1">
      <alignment horizontal="right"/>
    </xf>
    <xf numFmtId="164" fontId="0" fillId="0" borderId="9" xfId="0" quotePrefix="1" applyNumberFormat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7" borderId="6" xfId="0" applyNumberFormat="1" applyFill="1" applyBorder="1"/>
    <xf numFmtId="164" fontId="0" fillId="0" borderId="9" xfId="0" applyNumberFormat="1" applyBorder="1"/>
    <xf numFmtId="164" fontId="0" fillId="4" borderId="7" xfId="1" applyNumberFormat="1" applyFont="1" applyFill="1" applyBorder="1"/>
    <xf numFmtId="164" fontId="0" fillId="4" borderId="2" xfId="1" applyNumberFormat="1" applyFont="1" applyFill="1" applyBorder="1"/>
    <xf numFmtId="164" fontId="0" fillId="0" borderId="14" xfId="1" applyNumberFormat="1" applyFont="1" applyBorder="1"/>
    <xf numFmtId="164" fontId="0" fillId="11" borderId="2" xfId="1" applyNumberFormat="1" applyFont="1" applyFill="1" applyBorder="1"/>
    <xf numFmtId="164" fontId="0" fillId="2" borderId="2" xfId="1" applyNumberFormat="1" applyFont="1" applyFill="1" applyBorder="1"/>
    <xf numFmtId="2" fontId="0" fillId="0" borderId="6" xfId="1" applyNumberFormat="1" applyFont="1" applyBorder="1"/>
    <xf numFmtId="2" fontId="0" fillId="0" borderId="9" xfId="1" applyNumberFormat="1" applyFont="1" applyBorder="1"/>
    <xf numFmtId="2" fontId="0" fillId="0" borderId="1" xfId="2" applyNumberFormat="1" applyFont="1" applyBorder="1"/>
    <xf numFmtId="9" fontId="0" fillId="0" borderId="2" xfId="1" applyFont="1" applyFill="1" applyBorder="1"/>
    <xf numFmtId="164" fontId="0" fillId="0" borderId="2" xfId="1" applyNumberFormat="1" applyFont="1" applyFill="1" applyBorder="1"/>
    <xf numFmtId="2" fontId="0" fillId="0" borderId="1" xfId="1" applyNumberFormat="1" applyFont="1" applyFill="1" applyBorder="1"/>
    <xf numFmtId="10" fontId="6" fillId="0" borderId="1" xfId="0" quotePrefix="1" applyNumberFormat="1" applyFont="1" applyBorder="1" applyAlignment="1">
      <alignment horizontal="center"/>
    </xf>
    <xf numFmtId="10" fontId="7" fillId="0" borderId="1" xfId="0" quotePrefix="1" applyNumberFormat="1" applyFont="1" applyBorder="1" applyAlignment="1">
      <alignment horizontal="center"/>
    </xf>
    <xf numFmtId="10" fontId="11" fillId="0" borderId="2" xfId="0" quotePrefix="1" applyNumberFormat="1" applyFont="1" applyBorder="1" applyAlignment="1">
      <alignment horizontal="center"/>
    </xf>
    <xf numFmtId="10" fontId="4" fillId="0" borderId="2" xfId="0" quotePrefix="1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right"/>
    </xf>
    <xf numFmtId="16" fontId="0" fillId="6" borderId="9" xfId="0" applyNumberFormat="1" applyFill="1" applyBorder="1" applyAlignment="1">
      <alignment horizontal="center"/>
    </xf>
    <xf numFmtId="164" fontId="0" fillId="0" borderId="9" xfId="1" applyNumberFormat="1" applyFont="1" applyBorder="1"/>
    <xf numFmtId="0" fontId="7" fillId="0" borderId="2" xfId="0" quotePrefix="1" applyFont="1" applyBorder="1" applyAlignment="1">
      <alignment horizontal="right"/>
    </xf>
    <xf numFmtId="9" fontId="6" fillId="0" borderId="2" xfId="0" quotePrefix="1" applyNumberFormat="1" applyFont="1" applyBorder="1"/>
    <xf numFmtId="0" fontId="0" fillId="4" borderId="1" xfId="0" applyFont="1" applyFill="1" applyBorder="1"/>
    <xf numFmtId="0" fontId="0" fillId="0" borderId="1" xfId="0" applyFont="1" applyBorder="1"/>
    <xf numFmtId="46" fontId="0" fillId="0" borderId="2" xfId="1" applyNumberFormat="1" applyFont="1" applyBorder="1"/>
    <xf numFmtId="0" fontId="0" fillId="0" borderId="0" xfId="0" applyBorder="1" applyAlignment="1"/>
    <xf numFmtId="9" fontId="0" fillId="0" borderId="1" xfId="1" applyNumberFormat="1" applyFont="1" applyFill="1" applyBorder="1"/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9" fontId="7" fillId="0" borderId="1" xfId="0" quotePrefix="1" applyNumberFormat="1" applyFont="1" applyBorder="1" applyAlignment="1">
      <alignment horizontal="right"/>
    </xf>
    <xf numFmtId="9" fontId="6" fillId="0" borderId="2" xfId="0" quotePrefix="1" applyNumberFormat="1" applyFont="1" applyBorder="1" applyAlignment="1">
      <alignment horizontal="right"/>
    </xf>
    <xf numFmtId="9" fontId="7" fillId="0" borderId="2" xfId="0" quotePrefix="1" applyNumberFormat="1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9" fontId="6" fillId="0" borderId="1" xfId="0" applyNumberFormat="1" applyFont="1" applyFill="1" applyBorder="1" applyAlignment="1">
      <alignment horizontal="right"/>
    </xf>
    <xf numFmtId="9" fontId="7" fillId="0" borderId="1" xfId="0" applyNumberFormat="1" applyFont="1" applyFill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1" xfId="0" quotePrefix="1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" fontId="0" fillId="0" borderId="1" xfId="0" applyNumberFormat="1" applyFont="1" applyFill="1" applyBorder="1" applyAlignment="1">
      <alignment horizontal="center"/>
    </xf>
    <xf numFmtId="9" fontId="0" fillId="0" borderId="0" xfId="0" applyNumberFormat="1"/>
    <xf numFmtId="0" fontId="7" fillId="0" borderId="1" xfId="0" quotePrefix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6" fontId="0" fillId="2" borderId="8" xfId="0" applyNumberFormat="1" applyFill="1" applyBorder="1"/>
    <xf numFmtId="0" fontId="0" fillId="2" borderId="1" xfId="0" quotePrefix="1" applyFill="1" applyBorder="1" applyAlignment="1">
      <alignment horizontal="right"/>
    </xf>
    <xf numFmtId="0" fontId="0" fillId="0" borderId="1" xfId="0" quotePrefix="1" applyBorder="1" applyAlignment="1">
      <alignment horizontal="right"/>
    </xf>
    <xf numFmtId="16" fontId="0" fillId="2" borderId="1" xfId="0" applyNumberFormat="1" applyFill="1" applyBorder="1"/>
    <xf numFmtId="9" fontId="6" fillId="0" borderId="1" xfId="0" applyNumberFormat="1" applyFont="1" applyFill="1" applyBorder="1"/>
    <xf numFmtId="9" fontId="7" fillId="0" borderId="1" xfId="0" applyNumberFormat="1" applyFont="1" applyFill="1" applyBorder="1"/>
    <xf numFmtId="21" fontId="7" fillId="0" borderId="1" xfId="0" applyNumberFormat="1" applyFont="1" applyBorder="1" applyAlignment="1">
      <alignment horizontal="center" vertical="center"/>
    </xf>
    <xf numFmtId="46" fontId="7" fillId="0" borderId="1" xfId="0" applyNumberFormat="1" applyFont="1" applyBorder="1" applyAlignment="1">
      <alignment horizontal="center" vertical="center"/>
    </xf>
    <xf numFmtId="21" fontId="6" fillId="0" borderId="1" xfId="0" applyNumberFormat="1" applyFont="1" applyBorder="1" applyAlignment="1">
      <alignment horizontal="center" vertical="center"/>
    </xf>
    <xf numFmtId="21" fontId="6" fillId="0" borderId="1" xfId="0" applyNumberFormat="1" applyFont="1" applyBorder="1" applyAlignment="1">
      <alignment horizontal="center"/>
    </xf>
    <xf numFmtId="21" fontId="7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2" fillId="0" borderId="0" xfId="0" applyFont="1" applyBorder="1"/>
    <xf numFmtId="1" fontId="2" fillId="0" borderId="0" xfId="0" applyNumberFormat="1" applyFont="1" applyBorder="1"/>
    <xf numFmtId="9" fontId="2" fillId="0" borderId="0" xfId="1" applyFont="1" applyFill="1" applyBorder="1" applyAlignment="1">
      <alignment horizontal="right"/>
    </xf>
    <xf numFmtId="10" fontId="4" fillId="0" borderId="0" xfId="1" applyNumberFormat="1" applyFont="1" applyBorder="1"/>
    <xf numFmtId="9" fontId="2" fillId="0" borderId="0" xfId="1" quotePrefix="1" applyFont="1" applyFill="1" applyBorder="1" applyAlignment="1">
      <alignment horizontal="right"/>
    </xf>
    <xf numFmtId="0" fontId="14" fillId="15" borderId="20" xfId="0" applyFont="1" applyFill="1" applyBorder="1" applyAlignment="1">
      <alignment vertical="center"/>
    </xf>
    <xf numFmtId="0" fontId="14" fillId="15" borderId="21" xfId="0" applyFont="1" applyFill="1" applyBorder="1" applyAlignment="1">
      <alignment vertical="center"/>
    </xf>
    <xf numFmtId="0" fontId="13" fillId="16" borderId="20" xfId="0" applyFont="1" applyFill="1" applyBorder="1" applyAlignment="1">
      <alignment vertical="center"/>
    </xf>
    <xf numFmtId="0" fontId="13" fillId="16" borderId="21" xfId="0" applyFont="1" applyFill="1" applyBorder="1" applyAlignment="1">
      <alignment vertical="center"/>
    </xf>
    <xf numFmtId="9" fontId="13" fillId="17" borderId="21" xfId="0" applyNumberFormat="1" applyFont="1" applyFill="1" applyBorder="1" applyAlignment="1">
      <alignment horizontal="right" vertical="center"/>
    </xf>
    <xf numFmtId="0" fontId="13" fillId="0" borderId="20" xfId="0" applyFont="1" applyBorder="1" applyAlignment="1">
      <alignment vertical="center"/>
    </xf>
    <xf numFmtId="0" fontId="12" fillId="0" borderId="21" xfId="0" applyFont="1" applyBorder="1" applyAlignment="1">
      <alignment horizontal="right" vertical="center"/>
    </xf>
    <xf numFmtId="9" fontId="15" fillId="0" borderId="21" xfId="0" applyNumberFormat="1" applyFont="1" applyBorder="1" applyAlignment="1">
      <alignment horizontal="right" vertical="center"/>
    </xf>
    <xf numFmtId="0" fontId="13" fillId="16" borderId="22" xfId="0" applyFont="1" applyFill="1" applyBorder="1" applyAlignment="1">
      <alignment horizontal="right" vertical="center"/>
    </xf>
    <xf numFmtId="0" fontId="13" fillId="16" borderId="20" xfId="0" applyFont="1" applyFill="1" applyBorder="1" applyAlignment="1">
      <alignment horizontal="right" vertical="center"/>
    </xf>
    <xf numFmtId="9" fontId="15" fillId="16" borderId="21" xfId="0" applyNumberFormat="1" applyFont="1" applyFill="1" applyBorder="1" applyAlignment="1">
      <alignment horizontal="right" vertical="center"/>
    </xf>
    <xf numFmtId="9" fontId="12" fillId="16" borderId="21" xfId="0" applyNumberFormat="1" applyFont="1" applyFill="1" applyBorder="1" applyAlignment="1">
      <alignment horizontal="right" vertical="center"/>
    </xf>
    <xf numFmtId="9" fontId="12" fillId="0" borderId="21" xfId="0" applyNumberFormat="1" applyFont="1" applyBorder="1" applyAlignment="1">
      <alignment horizontal="right" vertical="center"/>
    </xf>
    <xf numFmtId="0" fontId="12" fillId="16" borderId="21" xfId="0" applyFont="1" applyFill="1" applyBorder="1" applyAlignment="1">
      <alignment horizontal="right" vertical="center"/>
    </xf>
    <xf numFmtId="0" fontId="12" fillId="16" borderId="21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right" vertical="center"/>
    </xf>
    <xf numFmtId="0" fontId="12" fillId="0" borderId="24" xfId="0" applyFont="1" applyBorder="1" applyAlignment="1">
      <alignment horizontal="right" vertical="center"/>
    </xf>
    <xf numFmtId="9" fontId="15" fillId="0" borderId="24" xfId="0" applyNumberFormat="1" applyFont="1" applyBorder="1" applyAlignment="1">
      <alignment horizontal="right" vertical="center"/>
    </xf>
    <xf numFmtId="9" fontId="15" fillId="0" borderId="20" xfId="0" applyNumberFormat="1" applyFont="1" applyBorder="1" applyAlignment="1">
      <alignment horizontal="right" vertical="center"/>
    </xf>
    <xf numFmtId="9" fontId="15" fillId="0" borderId="23" xfId="0" applyNumberFormat="1" applyFont="1" applyBorder="1" applyAlignment="1">
      <alignment horizontal="right" vertical="center"/>
    </xf>
    <xf numFmtId="9" fontId="12" fillId="0" borderId="20" xfId="0" applyNumberFormat="1" applyFont="1" applyBorder="1" applyAlignment="1">
      <alignment horizontal="right" vertical="center"/>
    </xf>
    <xf numFmtId="0" fontId="13" fillId="16" borderId="21" xfId="0" applyFont="1" applyFill="1" applyBorder="1" applyAlignment="1">
      <alignment horizontal="right" vertical="center"/>
    </xf>
    <xf numFmtId="9" fontId="13" fillId="16" borderId="21" xfId="0" applyNumberFormat="1" applyFont="1" applyFill="1" applyBorder="1" applyAlignment="1">
      <alignment horizontal="right" vertical="center"/>
    </xf>
    <xf numFmtId="0" fontId="13" fillId="16" borderId="21" xfId="0" applyFont="1" applyFill="1" applyBorder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6" fillId="0" borderId="21" xfId="0" applyFont="1" applyBorder="1" applyAlignment="1">
      <alignment horizontal="right" vertical="center"/>
    </xf>
    <xf numFmtId="9" fontId="17" fillId="0" borderId="23" xfId="0" applyNumberFormat="1" applyFont="1" applyBorder="1" applyAlignment="1">
      <alignment horizontal="right" vertical="center"/>
    </xf>
    <xf numFmtId="9" fontId="17" fillId="0" borderId="24" xfId="0" applyNumberFormat="1" applyFont="1" applyBorder="1" applyAlignment="1">
      <alignment horizontal="right" vertical="center"/>
    </xf>
    <xf numFmtId="9" fontId="17" fillId="0" borderId="20" xfId="0" applyNumberFormat="1" applyFont="1" applyBorder="1" applyAlignment="1">
      <alignment horizontal="right" vertical="center"/>
    </xf>
    <xf numFmtId="9" fontId="0" fillId="2" borderId="0" xfId="0" applyNumberFormat="1" applyFill="1" applyBorder="1"/>
    <xf numFmtId="9" fontId="6" fillId="0" borderId="0" xfId="0" applyNumberFormat="1" applyFont="1" applyBorder="1"/>
    <xf numFmtId="9" fontId="7" fillId="0" borderId="0" xfId="1" applyFont="1" applyFill="1" applyBorder="1"/>
    <xf numFmtId="9" fontId="7" fillId="0" borderId="0" xfId="1" quotePrefix="1" applyFont="1" applyFill="1" applyBorder="1" applyAlignment="1">
      <alignment horizontal="center" vertical="center"/>
    </xf>
    <xf numFmtId="9" fontId="7" fillId="0" borderId="0" xfId="0" applyNumberFormat="1" applyFon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17" fillId="0" borderId="21" xfId="1" applyFont="1" applyBorder="1" applyAlignment="1">
      <alignment horizontal="right" vertical="center"/>
    </xf>
    <xf numFmtId="9" fontId="18" fillId="16" borderId="21" xfId="0" quotePrefix="1" applyNumberFormat="1" applyFont="1" applyFill="1" applyBorder="1" applyAlignment="1">
      <alignment horizontal="right" vertical="center"/>
    </xf>
    <xf numFmtId="0" fontId="19" fillId="0" borderId="0" xfId="0" applyFont="1"/>
    <xf numFmtId="9" fontId="20" fillId="0" borderId="21" xfId="0" applyNumberFormat="1" applyFont="1" applyBorder="1" applyAlignment="1">
      <alignment horizontal="right" vertical="center"/>
    </xf>
    <xf numFmtId="9" fontId="23" fillId="0" borderId="21" xfId="0" applyNumberFormat="1" applyFont="1" applyBorder="1" applyAlignment="1">
      <alignment horizontal="right" vertical="center"/>
    </xf>
    <xf numFmtId="9" fontId="20" fillId="16" borderId="21" xfId="0" applyNumberFormat="1" applyFont="1" applyFill="1" applyBorder="1" applyAlignment="1">
      <alignment horizontal="right" vertical="center"/>
    </xf>
    <xf numFmtId="9" fontId="20" fillId="0" borderId="20" xfId="0" applyNumberFormat="1" applyFont="1" applyBorder="1" applyAlignment="1">
      <alignment horizontal="right" vertical="center"/>
    </xf>
    <xf numFmtId="9" fontId="24" fillId="16" borderId="21" xfId="0" applyNumberFormat="1" applyFont="1" applyFill="1" applyBorder="1" applyAlignment="1">
      <alignment horizontal="right" vertical="center"/>
    </xf>
    <xf numFmtId="9" fontId="26" fillId="0" borderId="21" xfId="1" applyFont="1" applyBorder="1" applyAlignment="1">
      <alignment horizontal="right" vertical="center"/>
    </xf>
    <xf numFmtId="9" fontId="24" fillId="0" borderId="21" xfId="0" applyNumberFormat="1" applyFont="1" applyBorder="1" applyAlignment="1">
      <alignment horizontal="right" vertical="center"/>
    </xf>
    <xf numFmtId="9" fontId="24" fillId="0" borderId="20" xfId="0" applyNumberFormat="1" applyFont="1" applyBorder="1" applyAlignment="1">
      <alignment horizontal="right" vertical="center"/>
    </xf>
    <xf numFmtId="165" fontId="7" fillId="0" borderId="1" xfId="2" applyNumberFormat="1" applyFont="1" applyBorder="1"/>
    <xf numFmtId="165" fontId="0" fillId="0" borderId="0" xfId="2" applyNumberFormat="1" applyFont="1"/>
    <xf numFmtId="165" fontId="0" fillId="0" borderId="1" xfId="2" applyNumberFormat="1" applyFont="1" applyBorder="1"/>
    <xf numFmtId="165" fontId="7" fillId="0" borderId="1" xfId="2" applyNumberFormat="1" applyFont="1" applyBorder="1" applyAlignment="1">
      <alignment horizontal="right"/>
    </xf>
    <xf numFmtId="165" fontId="7" fillId="0" borderId="2" xfId="2" applyNumberFormat="1" applyFont="1" applyBorder="1"/>
    <xf numFmtId="165" fontId="0" fillId="0" borderId="1" xfId="2" applyNumberFormat="1" applyFont="1" applyFill="1" applyBorder="1" applyAlignment="1">
      <alignment horizontal="right"/>
    </xf>
    <xf numFmtId="43" fontId="0" fillId="0" borderId="0" xfId="0" applyNumberFormat="1"/>
    <xf numFmtId="9" fontId="7" fillId="0" borderId="1" xfId="0" applyNumberFormat="1" applyFont="1" applyBorder="1" applyAlignment="1">
      <alignment horizontal="right"/>
    </xf>
    <xf numFmtId="16" fontId="0" fillId="0" borderId="1" xfId="0" applyNumberFormat="1" applyFill="1" applyBorder="1" applyAlignment="1">
      <alignment horizontal="center"/>
    </xf>
    <xf numFmtId="0" fontId="0" fillId="0" borderId="0" xfId="0" applyFill="1"/>
    <xf numFmtId="16" fontId="0" fillId="2" borderId="4" xfId="0" applyNumberFormat="1" applyFill="1" applyBorder="1"/>
    <xf numFmtId="2" fontId="0" fillId="2" borderId="1" xfId="2" applyNumberFormat="1" applyFont="1" applyFill="1" applyBorder="1"/>
    <xf numFmtId="164" fontId="0" fillId="2" borderId="0" xfId="0" applyNumberFormat="1" applyFill="1"/>
    <xf numFmtId="0" fontId="0" fillId="4" borderId="7" xfId="1" applyNumberFormat="1" applyFont="1" applyFill="1" applyBorder="1"/>
    <xf numFmtId="0" fontId="0" fillId="0" borderId="2" xfId="1" applyNumberFormat="1" applyFont="1" applyBorder="1"/>
    <xf numFmtId="0" fontId="0" fillId="4" borderId="2" xfId="1" applyNumberFormat="1" applyFont="1" applyFill="1" applyBorder="1"/>
    <xf numFmtId="0" fontId="0" fillId="0" borderId="2" xfId="1" applyNumberFormat="1" applyFont="1" applyFill="1" applyBorder="1"/>
    <xf numFmtId="0" fontId="0" fillId="0" borderId="14" xfId="1" applyNumberFormat="1" applyFont="1" applyBorder="1"/>
    <xf numFmtId="0" fontId="0" fillId="7" borderId="2" xfId="1" applyNumberFormat="1" applyFont="1" applyFill="1" applyBorder="1"/>
    <xf numFmtId="0" fontId="0" fillId="11" borderId="2" xfId="1" applyNumberFormat="1" applyFont="1" applyFill="1" applyBorder="1"/>
    <xf numFmtId="0" fontId="0" fillId="2" borderId="2" xfId="1" applyNumberFormat="1" applyFont="1" applyFill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2" borderId="2" xfId="0" applyNumberFormat="1" applyFill="1" applyBorder="1"/>
    <xf numFmtId="16" fontId="0" fillId="0" borderId="1" xfId="0" applyNumberFormat="1" applyBorder="1" applyAlignment="1">
      <alignment horizontal="left"/>
    </xf>
    <xf numFmtId="16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4" borderId="6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quotePrefix="1" applyNumberFormat="1" applyBorder="1" applyAlignment="1">
      <alignment horizontal="right"/>
    </xf>
    <xf numFmtId="0" fontId="7" fillId="0" borderId="1" xfId="0" applyNumberFormat="1" applyFont="1" applyBorder="1" applyAlignment="1">
      <alignment horizontal="right"/>
    </xf>
    <xf numFmtId="0" fontId="0" fillId="7" borderId="6" xfId="0" applyNumberFormat="1" applyFill="1" applyBorder="1" applyAlignment="1">
      <alignment horizontal="right"/>
    </xf>
    <xf numFmtId="0" fontId="0" fillId="0" borderId="9" xfId="0" applyNumberFormat="1" applyBorder="1" applyAlignment="1">
      <alignment horizontal="right"/>
    </xf>
    <xf numFmtId="0" fontId="0" fillId="4" borderId="6" xfId="0" applyNumberFormat="1" applyFill="1" applyBorder="1"/>
    <xf numFmtId="0" fontId="0" fillId="4" borderId="1" xfId="0" applyNumberFormat="1" applyFill="1" applyBorder="1"/>
    <xf numFmtId="0" fontId="0" fillId="13" borderId="1" xfId="0" applyNumberFormat="1" applyFill="1" applyBorder="1"/>
    <xf numFmtId="0" fontId="0" fillId="10" borderId="1" xfId="0" applyNumberFormat="1" applyFill="1" applyBorder="1"/>
    <xf numFmtId="0" fontId="0" fillId="7" borderId="1" xfId="0" applyNumberFormat="1" applyFill="1" applyBorder="1"/>
    <xf numFmtId="0" fontId="0" fillId="2" borderId="1" xfId="0" applyNumberFormat="1" applyFill="1" applyBorder="1"/>
    <xf numFmtId="0" fontId="0" fillId="0" borderId="1" xfId="0" applyBorder="1" applyAlignment="1">
      <alignment horizontal="center"/>
    </xf>
    <xf numFmtId="9" fontId="7" fillId="0" borderId="1" xfId="1" quotePrefix="1" applyFont="1" applyFill="1" applyBorder="1"/>
    <xf numFmtId="9" fontId="7" fillId="0" borderId="2" xfId="0" quotePrefix="1" applyNumberFormat="1" applyFont="1" applyBorder="1"/>
    <xf numFmtId="0" fontId="5" fillId="5" borderId="25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21" fontId="7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1" fontId="7" fillId="0" borderId="2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9" fontId="7" fillId="0" borderId="2" xfId="0" quotePrefix="1" applyNumberFormat="1" applyFont="1" applyBorder="1" applyAlignment="1">
      <alignment horizontal="center"/>
    </xf>
    <xf numFmtId="1" fontId="7" fillId="0" borderId="2" xfId="0" quotePrefix="1" applyNumberFormat="1" applyFont="1" applyBorder="1" applyAlignment="1">
      <alignment horizontal="center" vertical="center"/>
    </xf>
    <xf numFmtId="9" fontId="7" fillId="0" borderId="14" xfId="0" quotePrefix="1" applyNumberFormat="1" applyFont="1" applyBorder="1" applyAlignment="1">
      <alignment horizontal="center"/>
    </xf>
    <xf numFmtId="10" fontId="7" fillId="0" borderId="2" xfId="1" applyNumberFormat="1" applyFont="1" applyBorder="1" applyAlignment="1"/>
    <xf numFmtId="10" fontId="6" fillId="0" borderId="14" xfId="1" applyNumberFormat="1" applyFont="1" applyBorder="1" applyAlignment="1"/>
    <xf numFmtId="9" fontId="7" fillId="0" borderId="1" xfId="0" quotePrefix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/>
    <xf numFmtId="9" fontId="0" fillId="14" borderId="9" xfId="0" quotePrefix="1" applyNumberFormat="1" applyFill="1" applyBorder="1" applyAlignment="1">
      <alignment horizontal="center"/>
    </xf>
    <xf numFmtId="9" fontId="0" fillId="14" borderId="1" xfId="0" quotePrefix="1" applyNumberFormat="1" applyFont="1" applyFill="1" applyBorder="1" applyAlignment="1">
      <alignment horizontal="center"/>
    </xf>
    <xf numFmtId="9" fontId="7" fillId="4" borderId="1" xfId="0" quotePrefix="1" applyNumberFormat="1" applyFont="1" applyFill="1" applyBorder="1" applyAlignment="1">
      <alignment horizontal="center"/>
    </xf>
    <xf numFmtId="9" fontId="6" fillId="4" borderId="1" xfId="0" quotePrefix="1" applyNumberFormat="1" applyFont="1" applyFill="1" applyBorder="1" applyAlignment="1">
      <alignment horizontal="center"/>
    </xf>
    <xf numFmtId="9" fontId="6" fillId="0" borderId="1" xfId="0" quotePrefix="1" applyNumberFormat="1" applyFont="1" applyBorder="1" applyAlignment="1">
      <alignment horizontal="center"/>
    </xf>
    <xf numFmtId="10" fontId="0" fillId="0" borderId="0" xfId="1" applyNumberFormat="1" applyFont="1"/>
    <xf numFmtId="2" fontId="0" fillId="0" borderId="0" xfId="0" applyNumberFormat="1" applyFill="1" applyBorder="1"/>
    <xf numFmtId="0" fontId="5" fillId="0" borderId="0" xfId="0" applyFont="1" applyFill="1" applyAlignment="1">
      <alignment horizontal="center"/>
    </xf>
    <xf numFmtId="9" fontId="0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9" fontId="0" fillId="0" borderId="6" xfId="0" applyNumberFormat="1" applyFont="1" applyFill="1" applyBorder="1"/>
    <xf numFmtId="9" fontId="0" fillId="0" borderId="1" xfId="0" applyNumberFormat="1" applyFont="1" applyFill="1" applyBorder="1"/>
    <xf numFmtId="10" fontId="27" fillId="0" borderId="1" xfId="1" applyNumberFormat="1" applyFont="1" applyBorder="1"/>
    <xf numFmtId="10" fontId="0" fillId="2" borderId="1" xfId="1" applyNumberFormat="1" applyFont="1" applyFill="1" applyBorder="1"/>
    <xf numFmtId="10" fontId="0" fillId="0" borderId="6" xfId="0" applyNumberFormat="1" applyFont="1" applyFill="1" applyBorder="1"/>
    <xf numFmtId="10" fontId="0" fillId="0" borderId="7" xfId="0" applyNumberFormat="1" applyFont="1" applyFill="1" applyBorder="1"/>
    <xf numFmtId="10" fontId="0" fillId="0" borderId="1" xfId="0" applyNumberFormat="1" applyFont="1" applyFill="1" applyBorder="1"/>
    <xf numFmtId="10" fontId="0" fillId="0" borderId="2" xfId="0" applyNumberFormat="1" applyFont="1" applyFill="1" applyBorder="1"/>
    <xf numFmtId="0" fontId="0" fillId="0" borderId="0" xfId="0" quotePrefix="1" applyFill="1" applyBorder="1" applyAlignment="1">
      <alignment horizontal="center"/>
    </xf>
    <xf numFmtId="0" fontId="0" fillId="0" borderId="0" xfId="0" quotePrefix="1" applyFill="1" applyBorder="1"/>
    <xf numFmtId="0" fontId="0" fillId="0" borderId="1" xfId="0" applyFill="1" applyBorder="1"/>
    <xf numFmtId="0" fontId="0" fillId="7" borderId="7" xfId="0" applyFill="1" applyBorder="1"/>
    <xf numFmtId="0" fontId="0" fillId="0" borderId="2" xfId="0" quotePrefix="1" applyBorder="1" applyAlignment="1">
      <alignment horizontal="center"/>
    </xf>
    <xf numFmtId="0" fontId="0" fillId="0" borderId="2" xfId="0" quotePrefix="1" applyBorder="1"/>
    <xf numFmtId="0" fontId="5" fillId="5" borderId="1" xfId="0" applyFon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left"/>
    </xf>
    <xf numFmtId="10" fontId="0" fillId="0" borderId="1" xfId="1" quotePrefix="1" applyNumberFormat="1" applyFont="1" applyFill="1" applyBorder="1" applyAlignment="1">
      <alignment horizontal="left"/>
    </xf>
    <xf numFmtId="10" fontId="0" fillId="0" borderId="0" xfId="1" applyNumberFormat="1" applyFont="1" applyFill="1"/>
    <xf numFmtId="2" fontId="5" fillId="0" borderId="0" xfId="0" applyNumberFormat="1" applyFont="1" applyFill="1" applyBorder="1" applyAlignment="1">
      <alignment horizontal="center"/>
    </xf>
    <xf numFmtId="2" fontId="5" fillId="5" borderId="7" xfId="0" applyNumberFormat="1" applyFont="1" applyFill="1" applyBorder="1" applyAlignment="1">
      <alignment horizontal="center"/>
    </xf>
    <xf numFmtId="2" fontId="0" fillId="0" borderId="7" xfId="0" applyNumberFormat="1" applyBorder="1"/>
    <xf numFmtId="2" fontId="0" fillId="0" borderId="2" xfId="0" applyNumberFormat="1" applyBorder="1"/>
    <xf numFmtId="2" fontId="0" fillId="2" borderId="2" xfId="0" applyNumberFormat="1" applyFill="1" applyBorder="1"/>
    <xf numFmtId="2" fontId="5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/>
    <xf numFmtId="2" fontId="0" fillId="0" borderId="0" xfId="1" applyNumberFormat="1" applyFont="1" applyFill="1" applyBorder="1"/>
    <xf numFmtId="2" fontId="0" fillId="0" borderId="0" xfId="2" applyNumberFormat="1" applyFont="1" applyFill="1" applyBorder="1"/>
    <xf numFmtId="2" fontId="5" fillId="5" borderId="1" xfId="0" applyNumberFormat="1" applyFont="1" applyFill="1" applyBorder="1" applyAlignment="1">
      <alignment horizontal="center"/>
    </xf>
    <xf numFmtId="10" fontId="0" fillId="7" borderId="1" xfId="1" applyNumberFormat="1" applyFont="1" applyFill="1" applyBorder="1"/>
    <xf numFmtId="16" fontId="0" fillId="0" borderId="9" xfId="0" applyNumberFormat="1" applyFont="1" applyFill="1" applyBorder="1" applyAlignment="1">
      <alignment horizontal="center"/>
    </xf>
    <xf numFmtId="0" fontId="0" fillId="0" borderId="14" xfId="1" applyNumberFormat="1" applyFont="1" applyFill="1" applyBorder="1"/>
    <xf numFmtId="0" fontId="5" fillId="0" borderId="5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" fontId="0" fillId="0" borderId="1" xfId="0" applyNumberFormat="1" applyFont="1" applyFill="1" applyBorder="1"/>
    <xf numFmtId="0" fontId="0" fillId="0" borderId="1" xfId="0" applyFont="1" applyFill="1" applyBorder="1"/>
    <xf numFmtId="9" fontId="0" fillId="0" borderId="2" xfId="1" applyNumberFormat="1" applyFont="1" applyFill="1" applyBorder="1"/>
    <xf numFmtId="2" fontId="0" fillId="0" borderId="2" xfId="1" applyNumberFormat="1" applyFont="1" applyFill="1" applyBorder="1"/>
    <xf numFmtId="16" fontId="0" fillId="0" borderId="1" xfId="0" applyNumberFormat="1" applyFont="1" applyFill="1" applyBorder="1" applyAlignment="1">
      <alignment horizontal="right"/>
    </xf>
    <xf numFmtId="0" fontId="0" fillId="0" borderId="16" xfId="1" applyNumberFormat="1" applyFont="1" applyFill="1" applyBorder="1"/>
    <xf numFmtId="164" fontId="0" fillId="0" borderId="16" xfId="1" applyNumberFormat="1" applyFont="1" applyFill="1" applyBorder="1"/>
    <xf numFmtId="2" fontId="0" fillId="0" borderId="16" xfId="1" applyNumberFormat="1" applyFont="1" applyFill="1" applyBorder="1"/>
    <xf numFmtId="1" fontId="0" fillId="0" borderId="1" xfId="0" applyNumberFormat="1" applyFont="1" applyFill="1" applyBorder="1"/>
    <xf numFmtId="16" fontId="0" fillId="0" borderId="15" xfId="0" applyNumberFormat="1" applyFont="1" applyFill="1" applyBorder="1" applyAlignment="1">
      <alignment horizontal="center"/>
    </xf>
    <xf numFmtId="0" fontId="0" fillId="0" borderId="15" xfId="0" applyFont="1" applyFill="1" applyBorder="1"/>
    <xf numFmtId="9" fontId="0" fillId="0" borderId="15" xfId="1" applyNumberFormat="1" applyFont="1" applyFill="1" applyBorder="1"/>
    <xf numFmtId="9" fontId="0" fillId="0" borderId="16" xfId="1" applyNumberFormat="1" applyFont="1" applyFill="1" applyBorder="1"/>
    <xf numFmtId="0" fontId="0" fillId="0" borderId="1" xfId="1" applyNumberFormat="1" applyFont="1" applyFill="1" applyBorder="1"/>
    <xf numFmtId="164" fontId="0" fillId="0" borderId="1" xfId="1" applyNumberFormat="1" applyFont="1" applyFill="1" applyBorder="1"/>
    <xf numFmtId="164" fontId="0" fillId="0" borderId="2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16" fontId="0" fillId="0" borderId="9" xfId="0" applyNumberFormat="1" applyFont="1" applyFill="1" applyBorder="1"/>
    <xf numFmtId="0" fontId="0" fillId="0" borderId="9" xfId="0" applyFont="1" applyFill="1" applyBorder="1"/>
    <xf numFmtId="10" fontId="0" fillId="0" borderId="9" xfId="0" applyNumberFormat="1" applyFont="1" applyFill="1" applyBorder="1"/>
    <xf numFmtId="9" fontId="0" fillId="0" borderId="9" xfId="1" applyNumberFormat="1" applyFont="1" applyFill="1" applyBorder="1"/>
    <xf numFmtId="9" fontId="0" fillId="0" borderId="14" xfId="1" applyNumberFormat="1" applyFont="1" applyFill="1" applyBorder="1"/>
    <xf numFmtId="164" fontId="0" fillId="0" borderId="14" xfId="1" applyNumberFormat="1" applyFont="1" applyFill="1" applyBorder="1"/>
    <xf numFmtId="2" fontId="0" fillId="0" borderId="14" xfId="1" applyNumberFormat="1" applyFont="1" applyFill="1" applyBorder="1"/>
    <xf numFmtId="0" fontId="5" fillId="0" borderId="27" xfId="0" applyFont="1" applyFill="1" applyBorder="1" applyAlignment="1">
      <alignment horizontal="center"/>
    </xf>
    <xf numFmtId="0" fontId="0" fillId="0" borderId="4" xfId="0" applyFill="1" applyBorder="1"/>
    <xf numFmtId="0" fontId="5" fillId="5" borderId="0" xfId="0" applyFont="1" applyFill="1" applyBorder="1"/>
    <xf numFmtId="16" fontId="0" fillId="0" borderId="1" xfId="0" applyNumberFormat="1" applyFill="1" applyBorder="1"/>
    <xf numFmtId="1" fontId="0" fillId="0" borderId="1" xfId="0" applyNumberFormat="1" applyFill="1" applyBorder="1"/>
    <xf numFmtId="1" fontId="0" fillId="0" borderId="9" xfId="0" applyNumberFormat="1" applyFill="1" applyBorder="1"/>
    <xf numFmtId="1" fontId="0" fillId="0" borderId="8" xfId="0" applyNumberFormat="1" applyBorder="1"/>
    <xf numFmtId="1" fontId="0" fillId="2" borderId="8" xfId="0" applyNumberFormat="1" applyFill="1" applyBorder="1"/>
    <xf numFmtId="1" fontId="0" fillId="0" borderId="4" xfId="0" applyNumberFormat="1" applyBorder="1"/>
    <xf numFmtId="1" fontId="0" fillId="0" borderId="1" xfId="0" applyNumberFormat="1" applyFont="1" applyFill="1" applyBorder="1" applyAlignment="1">
      <alignment horizontal="right"/>
    </xf>
    <xf numFmtId="1" fontId="0" fillId="0" borderId="9" xfId="0" applyNumberFormat="1" applyFont="1" applyFill="1" applyBorder="1"/>
    <xf numFmtId="0" fontId="0" fillId="0" borderId="1" xfId="0" pivotButton="1" applyBorder="1"/>
    <xf numFmtId="1" fontId="0" fillId="0" borderId="1" xfId="0" applyNumberFormat="1" applyBorder="1" applyAlignment="1">
      <alignment horizontal="left"/>
    </xf>
    <xf numFmtId="1" fontId="0" fillId="0" borderId="6" xfId="0" applyNumberFormat="1" applyFont="1" applyFill="1" applyBorder="1"/>
    <xf numFmtId="9" fontId="0" fillId="0" borderId="2" xfId="0" applyNumberFormat="1" applyFont="1" applyFill="1" applyBorder="1"/>
    <xf numFmtId="9" fontId="0" fillId="0" borderId="9" xfId="0" applyNumberFormat="1" applyFont="1" applyFill="1" applyBorder="1"/>
    <xf numFmtId="9" fontId="0" fillId="0" borderId="14" xfId="0" applyNumberFormat="1" applyFont="1" applyFill="1" applyBorder="1"/>
    <xf numFmtId="0" fontId="0" fillId="0" borderId="9" xfId="0" applyNumberFormat="1" applyBorder="1"/>
    <xf numFmtId="10" fontId="0" fillId="0" borderId="0" xfId="1" applyNumberFormat="1" applyFont="1" applyFill="1" applyBorder="1"/>
    <xf numFmtId="9" fontId="0" fillId="0" borderId="1" xfId="1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567"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mm]:ss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mm]:ss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mm]:ss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mm]:ss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mm]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medium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mm]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mm]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1" formatCode="d\-m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bottom" textRotation="0" wrapText="0" indent="0" justifyLastLine="0" shrinkToFit="0" readingOrder="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bottom" textRotation="0" wrapText="0" indent="0" justifyLastLine="0" shrinkToFit="0" readingOrder="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 KPI &amp; Live Chat Reports FY24.xlsx]Jamaica!PivotTable1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Jamaica!$AA$14</c:f>
              <c:strCache>
                <c:ptCount val="1"/>
                <c:pt idx="0">
                  <c:v>Sum of Calls 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Jamaica!$Z$15:$Z$69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strCache>
            </c:strRef>
          </c:cat>
          <c:val>
            <c:numRef>
              <c:f>Jamaica!$AA$15:$AA$69</c:f>
              <c:numCache>
                <c:formatCode>General</c:formatCode>
                <c:ptCount val="54"/>
                <c:pt idx="0">
                  <c:v>684</c:v>
                </c:pt>
                <c:pt idx="1">
                  <c:v>4135</c:v>
                </c:pt>
                <c:pt idx="2">
                  <c:v>4584</c:v>
                </c:pt>
                <c:pt idx="3">
                  <c:v>5019</c:v>
                </c:pt>
                <c:pt idx="4">
                  <c:v>5750</c:v>
                </c:pt>
                <c:pt idx="5">
                  <c:v>5563</c:v>
                </c:pt>
                <c:pt idx="6">
                  <c:v>5096</c:v>
                </c:pt>
                <c:pt idx="7">
                  <c:v>4807</c:v>
                </c:pt>
                <c:pt idx="8">
                  <c:v>5098</c:v>
                </c:pt>
                <c:pt idx="9">
                  <c:v>5235</c:v>
                </c:pt>
                <c:pt idx="10">
                  <c:v>5235</c:v>
                </c:pt>
                <c:pt idx="11">
                  <c:v>5794</c:v>
                </c:pt>
                <c:pt idx="12">
                  <c:v>5721</c:v>
                </c:pt>
                <c:pt idx="13">
                  <c:v>5532</c:v>
                </c:pt>
                <c:pt idx="14">
                  <c:v>5554</c:v>
                </c:pt>
                <c:pt idx="15">
                  <c:v>5795</c:v>
                </c:pt>
                <c:pt idx="16">
                  <c:v>5019</c:v>
                </c:pt>
                <c:pt idx="17">
                  <c:v>5790</c:v>
                </c:pt>
                <c:pt idx="18">
                  <c:v>4868</c:v>
                </c:pt>
                <c:pt idx="19">
                  <c:v>4845</c:v>
                </c:pt>
                <c:pt idx="20">
                  <c:v>5476</c:v>
                </c:pt>
                <c:pt idx="21">
                  <c:v>6129</c:v>
                </c:pt>
                <c:pt idx="22">
                  <c:v>6244</c:v>
                </c:pt>
                <c:pt idx="23">
                  <c:v>5514</c:v>
                </c:pt>
                <c:pt idx="24">
                  <c:v>5330</c:v>
                </c:pt>
                <c:pt idx="25">
                  <c:v>5444</c:v>
                </c:pt>
                <c:pt idx="26">
                  <c:v>5616</c:v>
                </c:pt>
                <c:pt idx="27">
                  <c:v>5657</c:v>
                </c:pt>
                <c:pt idx="28">
                  <c:v>5458</c:v>
                </c:pt>
                <c:pt idx="29">
                  <c:v>5400</c:v>
                </c:pt>
                <c:pt idx="30">
                  <c:v>6541</c:v>
                </c:pt>
                <c:pt idx="31">
                  <c:v>5769</c:v>
                </c:pt>
                <c:pt idx="32">
                  <c:v>6214</c:v>
                </c:pt>
                <c:pt idx="33">
                  <c:v>5300</c:v>
                </c:pt>
                <c:pt idx="34">
                  <c:v>7069</c:v>
                </c:pt>
                <c:pt idx="35">
                  <c:v>9943</c:v>
                </c:pt>
                <c:pt idx="36">
                  <c:v>7779</c:v>
                </c:pt>
                <c:pt idx="37">
                  <c:v>7385</c:v>
                </c:pt>
                <c:pt idx="38">
                  <c:v>7852</c:v>
                </c:pt>
                <c:pt idx="39">
                  <c:v>4885</c:v>
                </c:pt>
                <c:pt idx="40">
                  <c:v>0</c:v>
                </c:pt>
                <c:pt idx="41">
                  <c:v>4978</c:v>
                </c:pt>
                <c:pt idx="42">
                  <c:v>5986</c:v>
                </c:pt>
                <c:pt idx="43">
                  <c:v>6219</c:v>
                </c:pt>
                <c:pt idx="44">
                  <c:v>6399</c:v>
                </c:pt>
                <c:pt idx="45">
                  <c:v>6194</c:v>
                </c:pt>
                <c:pt idx="46">
                  <c:v>5488</c:v>
                </c:pt>
                <c:pt idx="47">
                  <c:v>3912</c:v>
                </c:pt>
                <c:pt idx="48">
                  <c:v>4557</c:v>
                </c:pt>
                <c:pt idx="49">
                  <c:v>5898</c:v>
                </c:pt>
                <c:pt idx="50">
                  <c:v>5634</c:v>
                </c:pt>
                <c:pt idx="51">
                  <c:v>5470</c:v>
                </c:pt>
                <c:pt idx="52">
                  <c:v>5883</c:v>
                </c:pt>
                <c:pt idx="53">
                  <c:v>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71B-A1C9-2E9A88383CFE}"/>
            </c:ext>
          </c:extLst>
        </c:ser>
        <c:ser>
          <c:idx val="1"/>
          <c:order val="1"/>
          <c:tx>
            <c:strRef>
              <c:f>Jamaica!$AB$14</c:f>
              <c:strCache>
                <c:ptCount val="1"/>
                <c:pt idx="0">
                  <c:v>Sum of Calls 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Jamaica!$Z$15:$Z$69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strCache>
            </c:strRef>
          </c:cat>
          <c:val>
            <c:numRef>
              <c:f>Jamaica!$AB$15:$AB$69</c:f>
              <c:numCache>
                <c:formatCode>General</c:formatCode>
                <c:ptCount val="54"/>
                <c:pt idx="0">
                  <c:v>603</c:v>
                </c:pt>
                <c:pt idx="1">
                  <c:v>3913</c:v>
                </c:pt>
                <c:pt idx="2">
                  <c:v>4234</c:v>
                </c:pt>
                <c:pt idx="3">
                  <c:v>4533</c:v>
                </c:pt>
                <c:pt idx="4">
                  <c:v>5019</c:v>
                </c:pt>
                <c:pt idx="5">
                  <c:v>4974</c:v>
                </c:pt>
                <c:pt idx="6">
                  <c:v>4358</c:v>
                </c:pt>
                <c:pt idx="7">
                  <c:v>4451</c:v>
                </c:pt>
                <c:pt idx="8">
                  <c:v>3811</c:v>
                </c:pt>
                <c:pt idx="9">
                  <c:v>4537</c:v>
                </c:pt>
                <c:pt idx="10">
                  <c:v>4972</c:v>
                </c:pt>
                <c:pt idx="11">
                  <c:v>5336</c:v>
                </c:pt>
                <c:pt idx="12">
                  <c:v>5165</c:v>
                </c:pt>
                <c:pt idx="13">
                  <c:v>5158</c:v>
                </c:pt>
                <c:pt idx="14">
                  <c:v>5083</c:v>
                </c:pt>
                <c:pt idx="15">
                  <c:v>5452</c:v>
                </c:pt>
                <c:pt idx="16">
                  <c:v>4825</c:v>
                </c:pt>
                <c:pt idx="17">
                  <c:v>5284</c:v>
                </c:pt>
                <c:pt idx="18">
                  <c:v>4270</c:v>
                </c:pt>
                <c:pt idx="19">
                  <c:v>4489</c:v>
                </c:pt>
                <c:pt idx="20">
                  <c:v>5224</c:v>
                </c:pt>
                <c:pt idx="21">
                  <c:v>5502</c:v>
                </c:pt>
                <c:pt idx="22">
                  <c:v>5676</c:v>
                </c:pt>
                <c:pt idx="23">
                  <c:v>5148</c:v>
                </c:pt>
                <c:pt idx="24">
                  <c:v>4814</c:v>
                </c:pt>
                <c:pt idx="25">
                  <c:v>4504</c:v>
                </c:pt>
                <c:pt idx="26">
                  <c:v>4658</c:v>
                </c:pt>
                <c:pt idx="27">
                  <c:v>4468</c:v>
                </c:pt>
                <c:pt idx="28">
                  <c:v>4623</c:v>
                </c:pt>
                <c:pt idx="29">
                  <c:v>4317</c:v>
                </c:pt>
                <c:pt idx="30">
                  <c:v>5727</c:v>
                </c:pt>
                <c:pt idx="31">
                  <c:v>4263</c:v>
                </c:pt>
                <c:pt idx="32">
                  <c:v>5146</c:v>
                </c:pt>
                <c:pt idx="33">
                  <c:v>4492</c:v>
                </c:pt>
                <c:pt idx="34">
                  <c:v>5531</c:v>
                </c:pt>
                <c:pt idx="35">
                  <c:v>5352</c:v>
                </c:pt>
                <c:pt idx="36">
                  <c:v>5996</c:v>
                </c:pt>
                <c:pt idx="37">
                  <c:v>5711</c:v>
                </c:pt>
                <c:pt idx="38">
                  <c:v>5927</c:v>
                </c:pt>
                <c:pt idx="39">
                  <c:v>3670</c:v>
                </c:pt>
                <c:pt idx="40">
                  <c:v>0</c:v>
                </c:pt>
                <c:pt idx="41">
                  <c:v>4698</c:v>
                </c:pt>
                <c:pt idx="42">
                  <c:v>5614</c:v>
                </c:pt>
                <c:pt idx="43">
                  <c:v>5756</c:v>
                </c:pt>
                <c:pt idx="44">
                  <c:v>5183</c:v>
                </c:pt>
                <c:pt idx="45">
                  <c:v>5630</c:v>
                </c:pt>
                <c:pt idx="46">
                  <c:v>5037</c:v>
                </c:pt>
                <c:pt idx="47">
                  <c:v>3725</c:v>
                </c:pt>
                <c:pt idx="48">
                  <c:v>4268</c:v>
                </c:pt>
                <c:pt idx="49">
                  <c:v>5310</c:v>
                </c:pt>
                <c:pt idx="50">
                  <c:v>5274</c:v>
                </c:pt>
                <c:pt idx="51">
                  <c:v>5159</c:v>
                </c:pt>
                <c:pt idx="52">
                  <c:v>5279</c:v>
                </c:pt>
                <c:pt idx="53">
                  <c:v>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71B-A1C9-2E9A8838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15600"/>
        <c:axId val="1769269984"/>
      </c:barChart>
      <c:lineChart>
        <c:grouping val="standard"/>
        <c:varyColors val="0"/>
        <c:ser>
          <c:idx val="2"/>
          <c:order val="2"/>
          <c:tx>
            <c:strRef>
              <c:f>Jamaica!$AC$14</c:f>
              <c:strCache>
                <c:ptCount val="1"/>
                <c:pt idx="0">
                  <c:v>Average of 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Jamaica!$Z$15:$Z$69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strCache>
            </c:strRef>
          </c:cat>
          <c:val>
            <c:numRef>
              <c:f>Jamaica!$AC$15:$AC$69</c:f>
              <c:numCache>
                <c:formatCode>0.00%</c:formatCode>
                <c:ptCount val="54"/>
                <c:pt idx="0">
                  <c:v>0.35499999999999998</c:v>
                </c:pt>
                <c:pt idx="1">
                  <c:v>0.59285714285714275</c:v>
                </c:pt>
                <c:pt idx="2">
                  <c:v>0.6071428571428571</c:v>
                </c:pt>
                <c:pt idx="3">
                  <c:v>0.60428571428571431</c:v>
                </c:pt>
                <c:pt idx="4">
                  <c:v>0.54</c:v>
                </c:pt>
                <c:pt idx="5">
                  <c:v>0.59571428571428575</c:v>
                </c:pt>
                <c:pt idx="6">
                  <c:v>0.5485714285714286</c:v>
                </c:pt>
                <c:pt idx="7">
                  <c:v>0.6785714285714286</c:v>
                </c:pt>
                <c:pt idx="8">
                  <c:v>0.29142857142857143</c:v>
                </c:pt>
                <c:pt idx="9">
                  <c:v>0.52571428571428569</c:v>
                </c:pt>
                <c:pt idx="10">
                  <c:v>0.69571428571428584</c:v>
                </c:pt>
                <c:pt idx="11">
                  <c:v>0.69000000000000006</c:v>
                </c:pt>
                <c:pt idx="12">
                  <c:v>0.59428571428571431</c:v>
                </c:pt>
                <c:pt idx="13">
                  <c:v>0.80999999999999994</c:v>
                </c:pt>
                <c:pt idx="14">
                  <c:v>0.65285714285714291</c:v>
                </c:pt>
                <c:pt idx="15">
                  <c:v>0.71571428571428564</c:v>
                </c:pt>
                <c:pt idx="16">
                  <c:v>0.73142857142857132</c:v>
                </c:pt>
                <c:pt idx="17">
                  <c:v>0.60857142857142854</c:v>
                </c:pt>
                <c:pt idx="18">
                  <c:v>0.42571428571428577</c:v>
                </c:pt>
                <c:pt idx="19">
                  <c:v>0.52999999999999992</c:v>
                </c:pt>
                <c:pt idx="20">
                  <c:v>0.75571428571428556</c:v>
                </c:pt>
                <c:pt idx="21">
                  <c:v>0.63142857142857145</c:v>
                </c:pt>
                <c:pt idx="22">
                  <c:v>0.61571428571428566</c:v>
                </c:pt>
                <c:pt idx="23">
                  <c:v>0.69285714285714284</c:v>
                </c:pt>
                <c:pt idx="24">
                  <c:v>0.62</c:v>
                </c:pt>
                <c:pt idx="25">
                  <c:v>0.4871428571428571</c:v>
                </c:pt>
                <c:pt idx="26">
                  <c:v>0.43857142857142861</c:v>
                </c:pt>
                <c:pt idx="27">
                  <c:v>0.38</c:v>
                </c:pt>
                <c:pt idx="28">
                  <c:v>0.50142857142857145</c:v>
                </c:pt>
                <c:pt idx="29">
                  <c:v>0.3828571428571429</c:v>
                </c:pt>
                <c:pt idx="30">
                  <c:v>0.56857142857142862</c:v>
                </c:pt>
                <c:pt idx="31">
                  <c:v>0.47142857142857142</c:v>
                </c:pt>
                <c:pt idx="32">
                  <c:v>0.48428571428571426</c:v>
                </c:pt>
                <c:pt idx="33">
                  <c:v>0.53571428571428581</c:v>
                </c:pt>
                <c:pt idx="34">
                  <c:v>0.33285714285714285</c:v>
                </c:pt>
                <c:pt idx="35">
                  <c:v>6.8571428571428575E-2</c:v>
                </c:pt>
                <c:pt idx="36">
                  <c:v>0.3785714285714285</c:v>
                </c:pt>
                <c:pt idx="37">
                  <c:v>0.42000000000000004</c:v>
                </c:pt>
                <c:pt idx="38">
                  <c:v>0.41142857142857153</c:v>
                </c:pt>
                <c:pt idx="39">
                  <c:v>0.25285714285714284</c:v>
                </c:pt>
                <c:pt idx="40">
                  <c:v>0</c:v>
                </c:pt>
                <c:pt idx="41">
                  <c:v>0.68500000000000005</c:v>
                </c:pt>
                <c:pt idx="42">
                  <c:v>0.73142857142857143</c:v>
                </c:pt>
                <c:pt idx="43">
                  <c:v>0.72</c:v>
                </c:pt>
                <c:pt idx="44">
                  <c:v>0.47142857142857147</c:v>
                </c:pt>
                <c:pt idx="45">
                  <c:v>0.64428571428571424</c:v>
                </c:pt>
                <c:pt idx="46">
                  <c:v>0.67999999999999994</c:v>
                </c:pt>
                <c:pt idx="47">
                  <c:v>0.59166666666666667</c:v>
                </c:pt>
                <c:pt idx="48">
                  <c:v>0.70500000000000007</c:v>
                </c:pt>
                <c:pt idx="49">
                  <c:v>0.61857142857142855</c:v>
                </c:pt>
                <c:pt idx="50">
                  <c:v>0.72571428571428576</c:v>
                </c:pt>
                <c:pt idx="51">
                  <c:v>0.72</c:v>
                </c:pt>
                <c:pt idx="52">
                  <c:v>0.64142857142857135</c:v>
                </c:pt>
                <c:pt idx="53">
                  <c:v>0.23285714285714285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9-471B-A1C9-2E9A88383CFE}"/>
            </c:ext>
          </c:extLst>
        </c:ser>
        <c:ser>
          <c:idx val="3"/>
          <c:order val="3"/>
          <c:tx>
            <c:strRef>
              <c:f>Jamaica!$AD$14</c:f>
              <c:strCache>
                <c:ptCount val="1"/>
                <c:pt idx="0">
                  <c:v>Average of 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Jamaica!$Z$15:$Z$69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strCache>
            </c:strRef>
          </c:cat>
          <c:val>
            <c:numRef>
              <c:f>Jamaica!$AD$15:$AD$69</c:f>
              <c:numCache>
                <c:formatCode>0.00%</c:formatCode>
                <c:ptCount val="54"/>
                <c:pt idx="0">
                  <c:v>0.38</c:v>
                </c:pt>
                <c:pt idx="1">
                  <c:v>0.44285714285714289</c:v>
                </c:pt>
                <c:pt idx="2">
                  <c:v>0.42714285714285716</c:v>
                </c:pt>
                <c:pt idx="3">
                  <c:v>0.64142857142857146</c:v>
                </c:pt>
                <c:pt idx="4">
                  <c:v>0.67428571428571427</c:v>
                </c:pt>
                <c:pt idx="5">
                  <c:v>0.65142857142857147</c:v>
                </c:pt>
                <c:pt idx="6">
                  <c:v>0.7757142857142858</c:v>
                </c:pt>
                <c:pt idx="7">
                  <c:v>0.60285714285714298</c:v>
                </c:pt>
                <c:pt idx="8">
                  <c:v>0.70571428571428563</c:v>
                </c:pt>
                <c:pt idx="9">
                  <c:v>0.82285714285714284</c:v>
                </c:pt>
                <c:pt idx="10">
                  <c:v>0.59285714285714286</c:v>
                </c:pt>
                <c:pt idx="11">
                  <c:v>0.66285714285714292</c:v>
                </c:pt>
                <c:pt idx="12">
                  <c:v>0.64714285714285713</c:v>
                </c:pt>
                <c:pt idx="13">
                  <c:v>0.58714285714285708</c:v>
                </c:pt>
                <c:pt idx="14">
                  <c:v>0.63285714285714278</c:v>
                </c:pt>
                <c:pt idx="15">
                  <c:v>0.62428571428571433</c:v>
                </c:pt>
                <c:pt idx="16">
                  <c:v>0.50285714285714278</c:v>
                </c:pt>
                <c:pt idx="17">
                  <c:v>0.63571428571428579</c:v>
                </c:pt>
                <c:pt idx="18">
                  <c:v>0.55428571428571427</c:v>
                </c:pt>
                <c:pt idx="19">
                  <c:v>0.50285714285714289</c:v>
                </c:pt>
                <c:pt idx="20">
                  <c:v>0.61857142857142855</c:v>
                </c:pt>
                <c:pt idx="21">
                  <c:v>0.8571428571428571</c:v>
                </c:pt>
                <c:pt idx="22">
                  <c:v>0.58041666666666658</c:v>
                </c:pt>
                <c:pt idx="23">
                  <c:v>0.56470962977783701</c:v>
                </c:pt>
                <c:pt idx="24">
                  <c:v>0.55851997182711477</c:v>
                </c:pt>
                <c:pt idx="25">
                  <c:v>0.70279812779812778</c:v>
                </c:pt>
                <c:pt idx="26">
                  <c:v>0.76971480011757798</c:v>
                </c:pt>
                <c:pt idx="27">
                  <c:v>0.72571428571428576</c:v>
                </c:pt>
                <c:pt idx="28">
                  <c:v>0.73000000000000009</c:v>
                </c:pt>
                <c:pt idx="29">
                  <c:v>0.6071428571428571</c:v>
                </c:pt>
                <c:pt idx="30">
                  <c:v>0.50714285714285723</c:v>
                </c:pt>
                <c:pt idx="31">
                  <c:v>0.55571428571428572</c:v>
                </c:pt>
                <c:pt idx="32">
                  <c:v>0.69285714285714295</c:v>
                </c:pt>
                <c:pt idx="33">
                  <c:v>0.62142857142857155</c:v>
                </c:pt>
                <c:pt idx="34">
                  <c:v>0.71714285714285708</c:v>
                </c:pt>
                <c:pt idx="35">
                  <c:v>0.80142857142857149</c:v>
                </c:pt>
                <c:pt idx="36">
                  <c:v>0.80428571428571427</c:v>
                </c:pt>
                <c:pt idx="37">
                  <c:v>0.75571428571428567</c:v>
                </c:pt>
                <c:pt idx="38">
                  <c:v>0.76142857142857134</c:v>
                </c:pt>
                <c:pt idx="39">
                  <c:v>0.54921456418824832</c:v>
                </c:pt>
                <c:pt idx="40">
                  <c:v>0</c:v>
                </c:pt>
                <c:pt idx="41">
                  <c:v>0.59</c:v>
                </c:pt>
                <c:pt idx="42">
                  <c:v>0.61571428571428577</c:v>
                </c:pt>
                <c:pt idx="43">
                  <c:v>0.49142857142857144</c:v>
                </c:pt>
                <c:pt idx="44">
                  <c:v>0.59142857142857141</c:v>
                </c:pt>
                <c:pt idx="45">
                  <c:v>0.57285714285714284</c:v>
                </c:pt>
                <c:pt idx="46">
                  <c:v>0.55000000000000004</c:v>
                </c:pt>
                <c:pt idx="47">
                  <c:v>0.38833333333333336</c:v>
                </c:pt>
                <c:pt idx="48">
                  <c:v>0.46833333333333332</c:v>
                </c:pt>
                <c:pt idx="49">
                  <c:v>0.57428571428571418</c:v>
                </c:pt>
                <c:pt idx="50">
                  <c:v>0.55000000000000004</c:v>
                </c:pt>
                <c:pt idx="51">
                  <c:v>0.68714285714285706</c:v>
                </c:pt>
                <c:pt idx="52">
                  <c:v>0.61428571428571443</c:v>
                </c:pt>
                <c:pt idx="53">
                  <c:v>0.44142857142857139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9-471B-A1C9-2E9A8838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7600"/>
        <c:axId val="1769243360"/>
      </c:lineChart>
      <c:catAx>
        <c:axId val="334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69984"/>
        <c:crosses val="autoZero"/>
        <c:auto val="1"/>
        <c:lblAlgn val="ctr"/>
        <c:lblOffset val="100"/>
        <c:noMultiLvlLbl val="0"/>
      </c:catAx>
      <c:valAx>
        <c:axId val="17692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5600"/>
        <c:crosses val="autoZero"/>
        <c:crossBetween val="between"/>
      </c:valAx>
      <c:valAx>
        <c:axId val="17692433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7600"/>
        <c:crosses val="max"/>
        <c:crossBetween val="between"/>
      </c:valAx>
      <c:catAx>
        <c:axId val="3340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924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90715</xdr:colOff>
      <xdr:row>13</xdr:row>
      <xdr:rowOff>27214</xdr:rowOff>
    </xdr:from>
    <xdr:to>
      <xdr:col>41</xdr:col>
      <xdr:colOff>1106713</xdr:colOff>
      <xdr:row>34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AFE6C-2FC9-4CA2-BF11-BA49976D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 Shaw" refreshedDate="45513.845761805555" createdVersion="6" refreshedVersion="6" minRefreshableVersion="3" recordCount="366" xr:uid="{54CC37E2-C63B-4152-B594-0C8825A66157}">
  <cacheSource type="worksheet">
    <worksheetSource name="Table6"/>
  </cacheSource>
  <cacheFields count="24">
    <cacheField name="Date" numFmtId="16">
      <sharedItems containsSemiMixedTypes="0" containsNonDate="0" containsDate="1" containsString="0" minDate="2023-04-01T00:00:00" maxDate="2024-04-01T00:00:00"/>
    </cacheField>
    <cacheField name="Week Number" numFmtId="1">
      <sharedItems containsSemiMixedTypes="0" containsString="0" containsNumber="1" containsInteger="1" minValue="0" maxValue="53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Day of the week" numFmtId="0">
      <sharedItems/>
    </cacheField>
    <cacheField name="Fiscal" numFmtId="0">
      <sharedItems/>
    </cacheField>
    <cacheField name="Calls Off" numFmtId="0">
      <sharedItems containsString="0" containsBlank="1" containsNumber="1" containsInteger="1" minValue="0" maxValue="1777" count="244">
        <n v="684"/>
        <n v="0"/>
        <n v="892"/>
        <n v="873"/>
        <n v="856"/>
        <n v="834"/>
        <n v="680"/>
        <n v="1095"/>
        <n v="953"/>
        <n v="875"/>
        <n v="904"/>
        <n v="757"/>
        <n v="945"/>
        <n v="844"/>
        <n v="825"/>
        <n v="809"/>
        <n v="887"/>
        <n v="709"/>
        <n v="992"/>
        <n v="957"/>
        <n v="1101"/>
        <n v="931"/>
        <n v="1002"/>
        <n v="767"/>
        <n v="1061"/>
        <n v="1062"/>
        <n v="879"/>
        <n v="946"/>
        <n v="923"/>
        <n v="692"/>
        <n v="934"/>
        <n v="864"/>
        <n v="812"/>
        <n v="782"/>
        <n v="930"/>
        <n v="774"/>
        <n v="912"/>
        <n v="829"/>
        <n v="805"/>
        <n v="748"/>
        <n v="601"/>
        <n v="949"/>
        <n v="1201"/>
        <n v="916"/>
        <n v="1046"/>
        <n v="986"/>
        <n v="1096"/>
        <n v="956"/>
        <n v="939"/>
        <n v="763"/>
        <n v="668"/>
        <n v="813"/>
        <n v="1097"/>
        <n v="966"/>
        <n v="898"/>
        <n v="808"/>
        <n v="768"/>
        <n v="698"/>
        <n v="1001"/>
        <n v="1038"/>
        <n v="1281"/>
        <n v="857"/>
        <n v="882"/>
        <n v="735"/>
        <n v="1010"/>
        <n v="863"/>
        <n v="975"/>
        <n v="1006"/>
        <n v="1083"/>
        <n v="784"/>
        <n v="39"/>
        <n v="1075"/>
        <n v="979"/>
        <n v="894"/>
        <n v="674"/>
        <n v="1000"/>
        <n v="928"/>
        <n v="1042"/>
        <n v="948"/>
        <n v="962"/>
        <n v="1117"/>
        <n v="1014"/>
        <n v="1035"/>
        <n v="905"/>
        <n v="951"/>
        <n v="773"/>
        <n v="1009"/>
        <n v="914"/>
        <n v="837"/>
        <n v="605"/>
        <n v="984"/>
        <n v="1126"/>
        <n v="1105"/>
        <n v="890"/>
        <n v="719"/>
        <n v="1134"/>
        <n v="1114"/>
        <n v="1021"/>
        <n v="899"/>
        <n v="700"/>
        <n v="1107"/>
        <n v="781"/>
        <n v="999"/>
        <n v="964"/>
        <n v="908"/>
        <n v="981"/>
        <n v="924"/>
        <n v="958"/>
        <n v="929"/>
        <n v="978"/>
        <n v="1417"/>
        <n v="1094"/>
        <n v="753"/>
        <n v="1197"/>
        <n v="1146"/>
        <n v="1235"/>
        <n v="1056"/>
        <n v="861"/>
        <n v="749"/>
        <n v="967"/>
        <n v="943"/>
        <n v="922"/>
        <n v="710"/>
        <n v="938"/>
        <n v="889"/>
        <n v="842"/>
        <n v="703"/>
        <n v="937"/>
        <n v="970"/>
        <n v="822"/>
        <n v="972"/>
        <n v="926"/>
        <n v="919"/>
        <n v="871"/>
        <n v="1073"/>
        <n v="971"/>
        <n v="944"/>
        <n v="785"/>
        <n v="961"/>
        <n v="1022"/>
        <n v="876"/>
        <n v="902"/>
        <n v="744"/>
        <n v="1142"/>
        <n v="1070"/>
        <n v="1132"/>
        <n v="942"/>
        <n v="1110"/>
        <n v="1102"/>
        <n v="1198"/>
        <n v="1074"/>
        <n v="1080"/>
        <n v="977"/>
        <n v="637"/>
        <n v="1386"/>
        <n v="982"/>
        <n v="1015"/>
        <n v="968"/>
        <n v="1269"/>
        <n v="1031"/>
        <n v="1049"/>
        <n v="755"/>
        <n v="1087"/>
        <n v="921"/>
        <n v="860"/>
        <n v="787"/>
        <n v="769"/>
        <n v="1158"/>
        <n v="1058"/>
        <n v="1127"/>
        <n v="1202"/>
        <n v="1455"/>
        <n v="1069"/>
        <n v="291"/>
        <n v="1638"/>
        <n v="1722"/>
        <n v="1677"/>
        <n v="1777"/>
        <n v="1570"/>
        <n v="1268"/>
        <n v="166"/>
        <n v="1400"/>
        <n v="1273"/>
        <n v="1279"/>
        <n v="1266"/>
        <n v="1341"/>
        <n v="1054"/>
        <n v="153"/>
        <n v="1361"/>
        <n v="1231"/>
        <n v="1209"/>
        <n v="176"/>
        <n v="1309"/>
        <n v="1303"/>
        <n v="1322"/>
        <n v="1296"/>
        <n v="1371"/>
        <n v="222"/>
        <n v="1457"/>
        <n v="1098"/>
        <n v="906"/>
        <n v="1149"/>
        <n v="1030"/>
        <n v="1027"/>
        <n v="797"/>
        <n v="1013"/>
        <n v="1032"/>
        <n v="826"/>
        <n v="1081"/>
        <n v="1040"/>
        <n v="1192"/>
        <n v="1039"/>
        <n v="835"/>
        <n v="1166"/>
        <n v="1037"/>
        <n v="1020"/>
        <n v="1023"/>
        <n v="1249"/>
        <n v="1159"/>
        <n v="996"/>
        <n v="936"/>
        <n v="952"/>
        <m/>
        <n v="989"/>
        <n v="891"/>
        <n v="832"/>
        <n v="841"/>
        <n v="1116"/>
        <n v="1120"/>
        <n v="1055"/>
        <n v="840"/>
        <n v="1003"/>
        <n v="994"/>
        <n v="974"/>
        <n v="988"/>
        <n v="932"/>
        <n v="818"/>
        <n v="1165"/>
        <n v="907"/>
        <n v="1212"/>
        <n v="1139"/>
        <n v="1172"/>
        <n v="1211"/>
        <n v="954"/>
      </sharedItems>
    </cacheField>
    <cacheField name="Calls Ans" numFmtId="0">
      <sharedItems containsString="0" containsBlank="1" containsNumber="1" containsInteger="1" minValue="0" maxValue="1150"/>
    </cacheField>
    <cacheField name="WoW % change offer" numFmtId="0">
      <sharedItems containsSemiMixedTypes="0" containsString="0" containsNumber="1" minValue="-0.42955326460481097" maxValue="0.84879288437102918"/>
    </cacheField>
    <cacheField name="WoW % change ans" numFmtId="0">
      <sharedItems containsSemiMixedTypes="0" containsString="0" containsNumber="1" minValue="-0.63542642924086223" maxValue="1.5295629820051413"/>
    </cacheField>
    <cacheField name="MTD Calls Offered" numFmtId="0">
      <sharedItems containsString="0" containsBlank="1" containsNumber="1" containsInteger="1" minValue="0" maxValue="23555"/>
    </cacheField>
    <cacheField name="MTD Calls Ans" numFmtId="0">
      <sharedItems containsString="0" containsBlank="1" containsNumber="1" containsInteger="1" minValue="0" maxValue="20220"/>
    </cacheField>
    <cacheField name="YTD Calls Offer" numFmtId="0">
      <sharedItems containsString="0" containsBlank="1" containsNumber="1" containsInteger="1" minValue="0" maxValue="43727"/>
    </cacheField>
    <cacheField name="YTD Calls Ans" numFmtId="0">
      <sharedItems containsString="0" containsBlank="1" containsNumber="1" containsInteger="1" minValue="0" maxValue="38522"/>
    </cacheField>
    <cacheField name="SL" numFmtId="9">
      <sharedItems containsString="0" containsBlank="1" containsNumber="1" minValue="0" maxValue="0.99"/>
    </cacheField>
    <cacheField name="ABR" numFmtId="9">
      <sharedItems containsString="0" containsBlank="1" containsNumber="1" minValue="0" maxValue="0.64"/>
    </cacheField>
    <cacheField name="ANS" numFmtId="9">
      <sharedItems containsString="0" containsBlank="1" containsNumber="1" minValue="0" maxValue="1"/>
    </cacheField>
    <cacheField name="AU" numFmtId="9">
      <sharedItems containsString="0" containsBlank="1" containsNumber="1" minValue="0" maxValue="1.84"/>
    </cacheField>
    <cacheField name="AA" numFmtId="0">
      <sharedItems containsNonDate="0" containsString="0" containsBlank="1"/>
    </cacheField>
    <cacheField name="AHT" numFmtId="0">
      <sharedItems containsSemiMixedTypes="0" containsString="0" containsNumber="1" containsInteger="1" minValue="0" maxValue="442"/>
    </cacheField>
    <cacheField name="AWT" numFmtId="164">
      <sharedItems containsDate="1" containsBlank="1" containsMixedTypes="1" minDate="1899-12-30T00:00:00" maxDate="1899-12-30T08:01:00"/>
    </cacheField>
    <cacheField name="Agents Log" numFmtId="0">
      <sharedItems containsString="0" containsBlank="1" containsNumber="1" containsInteger="1" minValue="0" maxValue="23"/>
    </cacheField>
    <cacheField name="Change Percentage (Call Offered) Oulier Bool" numFmtId="0">
      <sharedItems/>
    </cacheField>
    <cacheField name="Change Percentage (Call Ans) Oulier Bool" numFmtId="0">
      <sharedItems/>
    </cacheField>
    <cacheField name="Winsorized Values - Offered" numFmtId="10">
      <sharedItems containsSemiMixedTypes="0" containsString="0" containsNumber="1" minValue="-0.42955326460481097" maxValue="0.84879288437102918"/>
    </cacheField>
    <cacheField name="Winsorized Values - Ans" numFmtId="10">
      <sharedItems containsSemiMixedTypes="0" containsString="0" containsNumber="1" minValue="-0.63542642924086223" maxValue="1.5295629820051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23-04-01T00:00:00"/>
    <x v="0"/>
    <s v="S"/>
    <s v="FY24"/>
    <x v="0"/>
    <n v="603"/>
    <n v="-4.3356643356643354E-2"/>
    <n v="-8.7745839636913764E-2"/>
    <n v="684"/>
    <n v="603"/>
    <n v="684"/>
    <n v="603"/>
    <n v="0.71"/>
    <n v="0.12"/>
    <n v="0.88"/>
    <n v="0.76"/>
    <m/>
    <n v="260"/>
    <d v="1899-12-30T01:35:00"/>
    <n v="8"/>
    <s v="Outlier"/>
    <s v="Outlier"/>
    <n v="-4.3356643356643354E-2"/>
    <n v="-8.7745839636913764E-2"/>
  </r>
  <r>
    <d v="2023-04-02T00:00:00"/>
    <x v="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03T00:00:00"/>
    <x v="1"/>
    <s v="M"/>
    <s v="FY24"/>
    <x v="2"/>
    <n v="864"/>
    <n v="-6.400839454354669E-2"/>
    <n v="-7.7908217716115266E-2"/>
    <n v="1576"/>
    <n v="1467"/>
    <n v="1576"/>
    <n v="1467"/>
    <n v="0.89"/>
    <n v="0.03"/>
    <n v="0.97"/>
    <n v="0.69"/>
    <m/>
    <n v="269"/>
    <d v="1899-12-30T00:16:00"/>
    <n v="13"/>
    <s v="Outlier"/>
    <s v="Outlier"/>
    <n v="-6.400839454354669E-2"/>
    <n v="-7.7908217716115266E-2"/>
  </r>
  <r>
    <d v="2023-04-04T00:00:00"/>
    <x v="1"/>
    <s v="T"/>
    <s v="FY24"/>
    <x v="3"/>
    <n v="850"/>
    <n v="-6.6310160427807491E-2"/>
    <n v="-7.2052401746724892E-2"/>
    <n v="2449"/>
    <n v="2317"/>
    <n v="2449"/>
    <n v="2317"/>
    <n v="0.93"/>
    <n v="0.03"/>
    <n v="0.97"/>
    <n v="0.55000000000000004"/>
    <m/>
    <n v="300"/>
    <d v="1899-12-30T00:10:00"/>
    <n v="18"/>
    <s v="Outlier"/>
    <s v="Outlier"/>
    <n v="-6.6310160427807491E-2"/>
    <n v="-7.2052401746724892E-2"/>
  </r>
  <r>
    <d v="2023-04-05T00:00:00"/>
    <x v="1"/>
    <s v="W"/>
    <s v="FY24"/>
    <x v="4"/>
    <n v="791"/>
    <n v="-0.11478800413650465"/>
    <n v="-0.12111111111111111"/>
    <n v="3305"/>
    <n v="3108"/>
    <n v="3305"/>
    <n v="3108"/>
    <n v="0.77"/>
    <n v="0.08"/>
    <n v="0.92"/>
    <n v="0.65"/>
    <m/>
    <n v="300"/>
    <d v="1899-12-30T01:00:00"/>
    <n v="14"/>
    <s v="Outlier"/>
    <s v="Outlier"/>
    <n v="-0.11478800413650465"/>
    <n v="-0.12111111111111111"/>
  </r>
  <r>
    <d v="2023-04-06T00:00:00"/>
    <x v="1"/>
    <s v="R"/>
    <s v="FY24"/>
    <x v="5"/>
    <n v="775"/>
    <n v="-7.2302558398220251E-2"/>
    <n v="-8.5005903187721374E-2"/>
    <n v="4139"/>
    <n v="3883"/>
    <n v="4139"/>
    <n v="3883"/>
    <n v="0.76"/>
    <n v="7.0000000000000007E-2"/>
    <n v="0.93"/>
    <n v="0.6"/>
    <m/>
    <n v="300"/>
    <d v="1899-12-30T00:33:00"/>
    <n v="15"/>
    <s v="Outlier"/>
    <s v="Outlier"/>
    <n v="-7.2302558398220251E-2"/>
    <n v="-8.5005903187721374E-2"/>
  </r>
  <r>
    <d v="2023-04-07T00:00:00"/>
    <x v="1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08T00:00:00"/>
    <x v="1"/>
    <s v="S"/>
    <s v="FY24"/>
    <x v="6"/>
    <n v="633"/>
    <n v="-5.8479532163742687E-3"/>
    <n v="4.975124378109453E-2"/>
    <n v="4819"/>
    <n v="4516"/>
    <n v="4819"/>
    <n v="4516"/>
    <n v="0.8"/>
    <n v="7.0000000000000007E-2"/>
    <n v="0.93"/>
    <n v="0.61"/>
    <m/>
    <n v="300"/>
    <d v="1899-12-30T00:33:00"/>
    <n v="12"/>
    <s v="Outlier"/>
    <s v="Outlier"/>
    <n v="-5.8479532163742687E-3"/>
    <n v="4.975124378109453E-2"/>
  </r>
  <r>
    <d v="2023-04-09T00:00:00"/>
    <x v="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10T00:00:00"/>
    <x v="2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11T00:00:00"/>
    <x v="2"/>
    <s v="T"/>
    <s v="FY24"/>
    <x v="7"/>
    <n v="934"/>
    <n v="0.25429553264604809"/>
    <n v="9.8823529411764699E-2"/>
    <n v="5914"/>
    <n v="5450"/>
    <n v="5914"/>
    <n v="5450"/>
    <n v="0.74"/>
    <n v="0.15"/>
    <n v="0.85"/>
    <n v="0.7"/>
    <m/>
    <n v="293"/>
    <d v="1899-12-30T01:54:00"/>
    <n v="15"/>
    <s v="Outlier"/>
    <s v="Outlier"/>
    <n v="0.25429553264604809"/>
    <n v="9.8823529411764699E-2"/>
  </r>
  <r>
    <d v="2023-04-12T00:00:00"/>
    <x v="2"/>
    <s v="W"/>
    <s v="FY24"/>
    <x v="8"/>
    <n v="933"/>
    <n v="0.11331775700934579"/>
    <n v="0.179519595448799"/>
    <n v="6867"/>
    <n v="6383"/>
    <n v="6867"/>
    <n v="6383"/>
    <n v="0.97"/>
    <n v="0.02"/>
    <n v="0.98"/>
    <n v="0.73"/>
    <m/>
    <n v="323"/>
    <d v="1899-12-30T00:07:00"/>
    <n v="16"/>
    <s v="Outlier"/>
    <s v="Outlier"/>
    <n v="0.11331775700934579"/>
    <n v="0.179519595448799"/>
  </r>
  <r>
    <d v="2023-04-13T00:00:00"/>
    <x v="2"/>
    <s v="R"/>
    <s v="FY24"/>
    <x v="9"/>
    <n v="859"/>
    <n v="4.9160671462829736E-2"/>
    <n v="0.10838709677419354"/>
    <n v="7742"/>
    <n v="7242"/>
    <n v="7742"/>
    <n v="7242"/>
    <n v="0.95"/>
    <n v="0.02"/>
    <n v="0.98"/>
    <n v="0.45"/>
    <m/>
    <n v="258"/>
    <d v="1899-12-30T00:08:00"/>
    <n v="19"/>
    <s v="Outlier"/>
    <s v="Outlier"/>
    <n v="4.9160671462829736E-2"/>
    <n v="0.10838709677419354"/>
  </r>
  <r>
    <d v="2023-04-14T00:00:00"/>
    <x v="2"/>
    <s v="F"/>
    <s v="FY24"/>
    <x v="10"/>
    <n v="828"/>
    <n v="0"/>
    <n v="0"/>
    <n v="8646"/>
    <n v="8070"/>
    <n v="8646"/>
    <n v="8070"/>
    <n v="0.72"/>
    <n v="0.08"/>
    <n v="0.92"/>
    <n v="0.68"/>
    <m/>
    <n v="299"/>
    <d v="1899-12-30T00:42:00"/>
    <n v="14"/>
    <s v="Outlier"/>
    <s v="Outlier"/>
    <n v="0"/>
    <n v="0"/>
  </r>
  <r>
    <d v="2023-04-15T00:00:00"/>
    <x v="2"/>
    <s v="S"/>
    <s v="FY24"/>
    <x v="11"/>
    <n v="680"/>
    <n v="0.11323529411764706"/>
    <n v="7.4249605055292253E-2"/>
    <n v="9403"/>
    <n v="8750"/>
    <n v="9403"/>
    <n v="8750"/>
    <n v="0.87"/>
    <n v="0.1"/>
    <n v="0.9"/>
    <n v="0.43"/>
    <m/>
    <n v="260"/>
    <d v="1899-12-30T00:09:00"/>
    <n v="16"/>
    <s v="Outlier"/>
    <s v="Outlier"/>
    <n v="0.11323529411764706"/>
    <n v="7.4249605055292253E-2"/>
  </r>
  <r>
    <d v="2023-04-16T00:00:00"/>
    <x v="3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17T00:00:00"/>
    <x v="3"/>
    <s v="M"/>
    <s v="FY24"/>
    <x v="12"/>
    <n v="895"/>
    <n v="0"/>
    <n v="0"/>
    <n v="10348"/>
    <n v="9645"/>
    <n v="10348"/>
    <n v="9645"/>
    <n v="0.82"/>
    <n v="0.05"/>
    <n v="0.95"/>
    <n v="0.61"/>
    <m/>
    <n v="246"/>
    <d v="1899-12-30T00:27:00"/>
    <n v="14"/>
    <s v="Outlier"/>
    <s v="Outlier"/>
    <n v="0"/>
    <n v="0"/>
  </r>
  <r>
    <d v="2023-04-18T00:00:00"/>
    <x v="3"/>
    <s v="T"/>
    <s v="FY24"/>
    <x v="13"/>
    <n v="741"/>
    <n v="-0.22922374429223744"/>
    <n v="-0.20663811563169165"/>
    <n v="11192"/>
    <n v="10386"/>
    <n v="11192"/>
    <n v="10386"/>
    <n v="0.62"/>
    <n v="0.12"/>
    <n v="0.88"/>
    <n v="0.91"/>
    <m/>
    <n v="318"/>
    <d v="1899-12-30T00:59:00"/>
    <n v="10"/>
    <s v="Outlier"/>
    <s v="Outlier"/>
    <n v="-0.22922374429223744"/>
    <n v="-0.20663811563169165"/>
  </r>
  <r>
    <d v="2023-04-19T00:00:00"/>
    <x v="3"/>
    <s v="W"/>
    <s v="FY24"/>
    <x v="14"/>
    <n v="752"/>
    <n v="-0.13431269674711438"/>
    <n v="-0.19399785637727759"/>
    <n v="12017"/>
    <n v="11138"/>
    <n v="12017"/>
    <n v="11138"/>
    <n v="0.73"/>
    <n v="0.09"/>
    <n v="0.91"/>
    <n v="0.72"/>
    <m/>
    <n v="249"/>
    <d v="1899-12-30T00:36:00"/>
    <n v="10"/>
    <s v="Outlier"/>
    <s v="Outlier"/>
    <n v="-0.13431269674711438"/>
    <n v="-0.19399785637727759"/>
  </r>
  <r>
    <d v="2023-04-20T00:00:00"/>
    <x v="3"/>
    <s v="R"/>
    <s v="FY24"/>
    <x v="15"/>
    <n v="752"/>
    <n v="-7.5428571428571428E-2"/>
    <n v="-0.12456344586728754"/>
    <n v="12826"/>
    <n v="11890"/>
    <n v="12826"/>
    <n v="11890"/>
    <n v="0.75"/>
    <n v="7.0000000000000007E-2"/>
    <n v="0.93"/>
    <n v="0.74"/>
    <m/>
    <n v="281"/>
    <d v="1899-12-30T00:47:00"/>
    <n v="11"/>
    <s v="Outlier"/>
    <s v="Outlier"/>
    <n v="-7.5428571428571428E-2"/>
    <n v="-0.12456344586728754"/>
  </r>
  <r>
    <d v="2023-04-21T00:00:00"/>
    <x v="3"/>
    <s v="F"/>
    <s v="FY24"/>
    <x v="16"/>
    <n v="743"/>
    <n v="-1.8805309734513276E-2"/>
    <n v="-0.10265700483091787"/>
    <n v="13713"/>
    <n v="12633"/>
    <n v="13713"/>
    <n v="12633"/>
    <n v="0.54"/>
    <n v="0.16"/>
    <n v="0.84"/>
    <n v="0.96"/>
    <m/>
    <n v="300"/>
    <d v="1899-12-30T01:03:00"/>
    <n v="9"/>
    <s v="Outlier"/>
    <s v="Outlier"/>
    <n v="-1.8805309734513276E-2"/>
    <n v="-0.10265700483091787"/>
  </r>
  <r>
    <d v="2023-04-22T00:00:00"/>
    <x v="3"/>
    <s v="S"/>
    <s v="FY24"/>
    <x v="17"/>
    <n v="650"/>
    <n v="-6.3408190224570671E-2"/>
    <n v="-4.4117647058823532E-2"/>
    <n v="14422"/>
    <n v="13283"/>
    <n v="14422"/>
    <n v="13283"/>
    <n v="0.77"/>
    <n v="0.08"/>
    <n v="0.92"/>
    <n v="0.55000000000000004"/>
    <m/>
    <n v="240"/>
    <d v="1899-12-30T00:37:00"/>
    <n v="11"/>
    <s v="Outlier"/>
    <s v="Outlier"/>
    <n v="-6.3408190224570671E-2"/>
    <n v="-4.4117647058823532E-2"/>
  </r>
  <r>
    <d v="2023-04-23T00:00:00"/>
    <x v="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24T00:00:00"/>
    <x v="4"/>
    <s v="M"/>
    <s v="FY24"/>
    <x v="18"/>
    <n v="942"/>
    <n v="4.9735449735449737E-2"/>
    <n v="5.2513966480446927E-2"/>
    <n v="15414"/>
    <n v="14225"/>
    <n v="15414"/>
    <n v="14225"/>
    <n v="0.87"/>
    <n v="0.05"/>
    <n v="0.95"/>
    <n v="0.73"/>
    <m/>
    <n v="262"/>
    <d v="1899-12-30T00:37:00"/>
    <n v="13"/>
    <s v="Outlier"/>
    <s v="Outlier"/>
    <n v="4.9735449735449737E-2"/>
    <n v="5.2513966480446927E-2"/>
  </r>
  <r>
    <d v="2023-04-25T00:00:00"/>
    <x v="4"/>
    <s v="T"/>
    <s v="FY24"/>
    <x v="19"/>
    <n v="894"/>
    <n v="0.13388625592417061"/>
    <n v="0.20647773279352227"/>
    <n v="16371"/>
    <n v="15119"/>
    <n v="16371"/>
    <n v="15119"/>
    <n v="0.77"/>
    <n v="7.0000000000000007E-2"/>
    <n v="0.93"/>
    <n v="0.75"/>
    <m/>
    <n v="281"/>
    <d v="1899-12-30T00:31:00"/>
    <n v="13"/>
    <s v="Outlier"/>
    <s v="Outlier"/>
    <n v="0.13388625592417061"/>
    <n v="0.20647773279352227"/>
  </r>
  <r>
    <d v="2023-04-26T00:00:00"/>
    <x v="4"/>
    <s v="W"/>
    <s v="FY24"/>
    <x v="20"/>
    <n v="912"/>
    <n v="0.33454545454545453"/>
    <n v="0.21276595744680851"/>
    <n v="17472"/>
    <n v="16031"/>
    <n v="17472"/>
    <n v="16031"/>
    <n v="0.47"/>
    <n v="0.17"/>
    <n v="0.83"/>
    <n v="0.87"/>
    <m/>
    <n v="322"/>
    <d v="1899-12-30T01:30:00"/>
    <n v="13"/>
    <s v="Outlier"/>
    <s v="Outlier"/>
    <n v="0.33454545454545453"/>
    <n v="0.21276595744680851"/>
  </r>
  <r>
    <d v="2023-04-27T00:00:00"/>
    <x v="4"/>
    <s v="R"/>
    <s v="FY24"/>
    <x v="21"/>
    <n v="850"/>
    <n v="0.15080346106304079"/>
    <n v="0.13031914893617022"/>
    <n v="18403"/>
    <n v="16881"/>
    <n v="18403"/>
    <n v="16881"/>
    <n v="0.73"/>
    <n v="0.09"/>
    <n v="0.91"/>
    <n v="0.84"/>
    <m/>
    <n v="307"/>
    <d v="1899-12-30T00:38:00"/>
    <n v="12"/>
    <s v="Outlier"/>
    <s v="Outlier"/>
    <n v="0.15080346106304079"/>
    <n v="0.13031914893617022"/>
  </r>
  <r>
    <d v="2023-04-28T00:00:00"/>
    <x v="4"/>
    <s v="F"/>
    <s v="FY24"/>
    <x v="22"/>
    <n v="846"/>
    <n v="0.12965050732807215"/>
    <n v="0.1386271870794078"/>
    <n v="19405"/>
    <n v="17727"/>
    <n v="19405"/>
    <n v="17727"/>
    <n v="0.54"/>
    <n v="0.16"/>
    <n v="0.84"/>
    <n v="0.78"/>
    <m/>
    <n v="288"/>
    <d v="1899-12-30T01:16:00"/>
    <n v="12"/>
    <s v="Outlier"/>
    <s v="Outlier"/>
    <n v="0.12965050732807215"/>
    <n v="0.1386271870794078"/>
  </r>
  <r>
    <d v="2023-04-29T00:00:00"/>
    <x v="4"/>
    <s v="S"/>
    <s v="FY24"/>
    <x v="23"/>
    <n v="575"/>
    <n v="8.1805359661495061E-2"/>
    <n v="-0.11538461538461539"/>
    <n v="20172"/>
    <n v="18302"/>
    <n v="20172"/>
    <n v="18302"/>
    <n v="0.4"/>
    <n v="0.25"/>
    <n v="0.75"/>
    <n v="0.75"/>
    <m/>
    <n v="304"/>
    <d v="1899-12-30T02:51:00"/>
    <n v="9"/>
    <s v="Outlier"/>
    <s v="Outlier"/>
    <n v="8.1805359661495061E-2"/>
    <n v="-0.11538461538461539"/>
  </r>
  <r>
    <d v="2023-04-30T00:00:00"/>
    <x v="5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01T00:00:00"/>
    <x v="5"/>
    <s v="M"/>
    <s v="FY24"/>
    <x v="24"/>
    <n v="908"/>
    <n v="6.955645161290322E-2"/>
    <n v="-3.6093418259023353E-2"/>
    <n v="1061"/>
    <n v="908"/>
    <n v="21233"/>
    <n v="19210"/>
    <n v="0.56999999999999995"/>
    <n v="0.14000000000000001"/>
    <n v="0.86"/>
    <n v="0.83"/>
    <m/>
    <n v="309"/>
    <d v="1899-12-30T01:43:00"/>
    <n v="13"/>
    <s v="Outlier"/>
    <s v="Outlier"/>
    <n v="6.955645161290322E-2"/>
    <n v="-3.6093418259023353E-2"/>
  </r>
  <r>
    <d v="2023-05-02T00:00:00"/>
    <x v="5"/>
    <s v="T"/>
    <s v="FY24"/>
    <x v="25"/>
    <n v="1011"/>
    <n v="0.109717868338558"/>
    <n v="0.13087248322147652"/>
    <n v="2123"/>
    <n v="1919"/>
    <n v="22295"/>
    <n v="20221"/>
    <n v="0.83"/>
    <n v="0.05"/>
    <n v="0.95"/>
    <n v="0.75"/>
    <m/>
    <n v="309"/>
    <d v="1899-12-30T01:43:00"/>
    <n v="16"/>
    <s v="Outlier"/>
    <s v="Outlier"/>
    <n v="0.109717868338558"/>
    <n v="0.13087248322147652"/>
  </r>
  <r>
    <d v="2023-05-03T00:00:00"/>
    <x v="5"/>
    <s v="W"/>
    <s v="FY24"/>
    <x v="26"/>
    <n v="803"/>
    <n v="-0.20163487738419619"/>
    <n v="-0.11951754385964912"/>
    <n v="3002"/>
    <n v="2722"/>
    <n v="23174"/>
    <n v="21024"/>
    <n v="0.77"/>
    <n v="0.09"/>
    <n v="0.91"/>
    <n v="0.77"/>
    <m/>
    <n v="300"/>
    <d v="1899-12-30T02:16:00"/>
    <n v="12"/>
    <s v="Outlier"/>
    <s v="Outlier"/>
    <n v="-0.20163487738419619"/>
    <n v="-0.11951754385964912"/>
  </r>
  <r>
    <d v="2023-05-04T00:00:00"/>
    <x v="5"/>
    <s v="R"/>
    <s v="FY24"/>
    <x v="27"/>
    <n v="862"/>
    <n v="1.611170784103115E-2"/>
    <n v="1.411764705882353E-2"/>
    <n v="3948"/>
    <n v="3584"/>
    <n v="24120"/>
    <n v="21886"/>
    <n v="0.73"/>
    <n v="0.09"/>
    <n v="0.91"/>
    <n v="0.76"/>
    <m/>
    <n v="299"/>
    <d v="1899-12-30T00:48:00"/>
    <n v="13"/>
    <s v="Outlier"/>
    <s v="Outlier"/>
    <n v="1.611170784103115E-2"/>
    <n v="1.411764705882353E-2"/>
  </r>
  <r>
    <d v="2023-05-05T00:00:00"/>
    <x v="5"/>
    <s v="F"/>
    <s v="FY24"/>
    <x v="28"/>
    <n v="817"/>
    <n v="-7.8842315369261479E-2"/>
    <n v="-3.4278959810874705E-2"/>
    <n v="4871"/>
    <n v="4401"/>
    <n v="25043"/>
    <n v="22703"/>
    <n v="0.68"/>
    <n v="0.11"/>
    <n v="0.89"/>
    <n v="0.7"/>
    <m/>
    <n v="312"/>
    <d v="1899-12-30T00:43:00"/>
    <n v="14"/>
    <s v="Outlier"/>
    <s v="Outlier"/>
    <n v="-7.8842315369261479E-2"/>
    <n v="-3.4278959810874705E-2"/>
  </r>
  <r>
    <d v="2023-05-06T00:00:00"/>
    <x v="5"/>
    <s v="S"/>
    <s v="FY24"/>
    <x v="29"/>
    <n v="573"/>
    <n v="-9.7783572359843543E-2"/>
    <n v="-3.4782608695652175E-3"/>
    <n v="5563"/>
    <n v="4974"/>
    <n v="25735"/>
    <n v="23276"/>
    <n v="0.59"/>
    <n v="0.17"/>
    <n v="0.83"/>
    <n v="0.75"/>
    <m/>
    <n v="304"/>
    <d v="1899-12-30T01:04:00"/>
    <n v="9"/>
    <s v="Outlier"/>
    <s v="Outlier"/>
    <n v="-9.7783572359843543E-2"/>
    <n v="-3.4782608695652175E-3"/>
  </r>
  <r>
    <d v="2023-05-07T00:00:00"/>
    <x v="6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08T00:00:00"/>
    <x v="6"/>
    <s v="M"/>
    <s v="FY24"/>
    <x v="30"/>
    <n v="851"/>
    <n v="-0.11969839773798303"/>
    <n v="-6.2775330396475773E-2"/>
    <n v="6497"/>
    <n v="5825"/>
    <n v="26669"/>
    <n v="24127"/>
    <n v="0.74"/>
    <n v="0.09"/>
    <n v="0.91"/>
    <n v="0.75"/>
    <m/>
    <n v="320"/>
    <d v="1899-12-30T00:39:00"/>
    <n v="14"/>
    <s v="Outlier"/>
    <s v="Outlier"/>
    <n v="-0.11969839773798303"/>
    <n v="-6.2775330396475773E-2"/>
  </r>
  <r>
    <d v="2023-05-09T00:00:00"/>
    <x v="6"/>
    <s v="T"/>
    <s v="FY24"/>
    <x v="31"/>
    <n v="806"/>
    <n v="-0.1864406779661017"/>
    <n v="-0.20276953511374876"/>
    <n v="7361"/>
    <n v="6631"/>
    <n v="27533"/>
    <n v="24933"/>
    <n v="0.84"/>
    <n v="7.0000000000000007E-2"/>
    <n v="0.93"/>
    <n v="0.69"/>
    <m/>
    <n v="309"/>
    <d v="1899-12-30T00:26:00"/>
    <n v="14"/>
    <s v="Outlier"/>
    <s v="Outlier"/>
    <n v="-0.1864406779661017"/>
    <n v="-0.20276953511374876"/>
  </r>
  <r>
    <d v="2023-05-10T00:00:00"/>
    <x v="6"/>
    <s v="W"/>
    <s v="FY24"/>
    <x v="32"/>
    <n v="748"/>
    <n v="-7.6222980659840733E-2"/>
    <n v="-6.8493150684931503E-2"/>
    <n v="8173"/>
    <n v="7379"/>
    <n v="28345"/>
    <n v="25681"/>
    <n v="0.71"/>
    <n v="0.09"/>
    <n v="0.91"/>
    <n v="0.72"/>
    <m/>
    <n v="300"/>
    <d v="1899-12-30T00:46:00"/>
    <n v="12"/>
    <s v="Outlier"/>
    <s v="Outlier"/>
    <n v="-7.6222980659840733E-2"/>
    <n v="-6.8493150684931503E-2"/>
  </r>
  <r>
    <d v="2023-05-11T00:00:00"/>
    <x v="6"/>
    <s v="R"/>
    <s v="FY24"/>
    <x v="33"/>
    <n v="718"/>
    <n v="-0.17336152219873149"/>
    <n v="-0.16705336426914152"/>
    <n v="8955"/>
    <n v="8097"/>
    <n v="29127"/>
    <n v="26399"/>
    <n v="0.77"/>
    <n v="0.08"/>
    <n v="0.92"/>
    <n v="0.66"/>
    <m/>
    <n v="287"/>
    <d v="1899-12-30T00:37:00"/>
    <n v="12"/>
    <s v="Outlier"/>
    <s v="Outlier"/>
    <n v="-0.17336152219873149"/>
    <n v="-0.16705336426914152"/>
  </r>
  <r>
    <d v="2023-05-12T00:00:00"/>
    <x v="6"/>
    <s v="F"/>
    <s v="FY24"/>
    <x v="34"/>
    <n v="792"/>
    <n v="7.5839653304442039E-3"/>
    <n v="-3.0599755201958383E-2"/>
    <n v="9885"/>
    <n v="8889"/>
    <n v="30057"/>
    <n v="27191"/>
    <n v="0.61"/>
    <n v="0.15"/>
    <n v="0.85"/>
    <n v="0.77"/>
    <m/>
    <n v="302"/>
    <d v="1899-12-30T01:15:00"/>
    <n v="12"/>
    <s v="Outlier"/>
    <s v="Outlier"/>
    <n v="7.5839653304442039E-3"/>
    <n v="-3.0599755201958383E-2"/>
  </r>
  <r>
    <d v="2023-05-13T00:00:00"/>
    <x v="6"/>
    <s v="S"/>
    <s v="FY24"/>
    <x v="35"/>
    <n v="443"/>
    <n v="0.11849710982658959"/>
    <n v="-0.2268760907504363"/>
    <n v="10659"/>
    <n v="9332"/>
    <n v="30831"/>
    <n v="27634"/>
    <n v="0.17"/>
    <n v="0.43"/>
    <n v="0.56999999999999995"/>
    <n v="1.84"/>
    <m/>
    <n v="323"/>
    <d v="1899-12-30T04:08:00"/>
    <n v="3"/>
    <s v="Outlier"/>
    <s v="Outlier"/>
    <n v="0.11849710982658959"/>
    <n v="-0.2268760907504363"/>
  </r>
  <r>
    <d v="2023-05-14T00:00:00"/>
    <x v="7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15T00:00:00"/>
    <x v="7"/>
    <s v="M"/>
    <s v="FY24"/>
    <x v="36"/>
    <n v="878"/>
    <n v="-2.3554603854389723E-2"/>
    <n v="3.1727379553466509E-2"/>
    <n v="11571"/>
    <n v="10210"/>
    <n v="31743"/>
    <n v="28512"/>
    <n v="0.88"/>
    <n v="0.04"/>
    <n v="0.96"/>
    <n v="0.68"/>
    <m/>
    <n v="280"/>
    <d v="1899-12-30T00:16:00"/>
    <n v="14"/>
    <s v="Outlier"/>
    <s v="Outlier"/>
    <n v="-2.3554603854389723E-2"/>
    <n v="3.1727379553466509E-2"/>
  </r>
  <r>
    <d v="2023-05-16T00:00:00"/>
    <x v="7"/>
    <s v="T"/>
    <s v="FY24"/>
    <x v="36"/>
    <n v="769"/>
    <n v="5.5555555555555552E-2"/>
    <n v="-4.590570719602978E-2"/>
    <n v="12483"/>
    <n v="10979"/>
    <n v="32655"/>
    <n v="29281"/>
    <n v="0.45"/>
    <n v="0.16"/>
    <n v="0.84"/>
    <n v="0.78"/>
    <m/>
    <n v="316"/>
    <d v="1899-12-30T01:25:00"/>
    <n v="12"/>
    <s v="Outlier"/>
    <s v="Outlier"/>
    <n v="5.5555555555555552E-2"/>
    <n v="-4.590570719602978E-2"/>
  </r>
  <r>
    <d v="2023-05-17T00:00:00"/>
    <x v="7"/>
    <s v="W"/>
    <s v="FY24"/>
    <x v="37"/>
    <n v="782"/>
    <n v="2.0935960591133004E-2"/>
    <n v="4.5454545454545456E-2"/>
    <n v="13312"/>
    <n v="11761"/>
    <n v="33484"/>
    <n v="30063"/>
    <n v="0.9"/>
    <n v="0.06"/>
    <n v="0.94"/>
    <n v="0.7"/>
    <m/>
    <n v="303"/>
    <d v="1899-12-30T00:15:00"/>
    <n v="13"/>
    <s v="Outlier"/>
    <s v="Outlier"/>
    <n v="2.0935960591133004E-2"/>
    <n v="4.5454545454545456E-2"/>
  </r>
  <r>
    <d v="2023-05-18T00:00:00"/>
    <x v="7"/>
    <s v="R"/>
    <s v="FY24"/>
    <x v="38"/>
    <n v="747"/>
    <n v="2.9411764705882353E-2"/>
    <n v="4.0389972144846797E-2"/>
    <n v="14117"/>
    <n v="12508"/>
    <n v="34289"/>
    <n v="30810"/>
    <n v="0.75"/>
    <n v="7.0000000000000007E-2"/>
    <n v="0.93"/>
    <n v="0.87"/>
    <m/>
    <n v="303"/>
    <d v="1899-12-30T00:36:00"/>
    <n v="10"/>
    <s v="Outlier"/>
    <s v="Outlier"/>
    <n v="2.9411764705882353E-2"/>
    <n v="4.0389972144846797E-2"/>
  </r>
  <r>
    <d v="2023-05-19T00:00:00"/>
    <x v="7"/>
    <s v="F"/>
    <s v="FY24"/>
    <x v="39"/>
    <n v="694"/>
    <n v="-0.19569892473118281"/>
    <n v="-0.12373737373737374"/>
    <n v="14865"/>
    <n v="13202"/>
    <n v="35037"/>
    <n v="31504"/>
    <n v="0.82"/>
    <n v="7.0000000000000007E-2"/>
    <n v="0.93"/>
    <n v="0.68"/>
    <m/>
    <n v="305"/>
    <d v="1899-12-30T00:30:00"/>
    <n v="12"/>
    <s v="Outlier"/>
    <s v="Outlier"/>
    <n v="-0.19569892473118281"/>
    <n v="-0.12373737373737374"/>
  </r>
  <r>
    <d v="2023-05-20T00:00:00"/>
    <x v="7"/>
    <s v="S"/>
    <s v="FY24"/>
    <x v="40"/>
    <n v="581"/>
    <n v="-0.22351421188630491"/>
    <n v="0.31151241534988711"/>
    <n v="15466"/>
    <n v="13783"/>
    <n v="35638"/>
    <n v="32085"/>
    <n v="0.95"/>
    <n v="0.03"/>
    <n v="0.97"/>
    <n v="0.51"/>
    <m/>
    <n v="274"/>
    <d v="1899-12-30T00:54:00"/>
    <n v="12"/>
    <s v="Outlier"/>
    <s v="Outlier"/>
    <n v="-0.22351421188630491"/>
    <n v="0.31151241534988711"/>
  </r>
  <r>
    <d v="2023-05-21T00:00:00"/>
    <x v="8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22T00:00:00"/>
    <x v="8"/>
    <s v="M"/>
    <s v="FY24"/>
    <x v="41"/>
    <n v="864"/>
    <n v="4.0570175438596492E-2"/>
    <n v="-1.5945330296127564E-2"/>
    <n v="16415"/>
    <n v="14647"/>
    <n v="36587"/>
    <n v="32949"/>
    <n v="0.68"/>
    <n v="0.09"/>
    <n v="0.91"/>
    <n v="0.81"/>
    <m/>
    <n v="292"/>
    <d v="1899-12-30T00:09:00"/>
    <n v="12"/>
    <s v="Outlier"/>
    <s v="Outlier"/>
    <n v="4.0570175438596492E-2"/>
    <n v="-1.5945330296127564E-2"/>
  </r>
  <r>
    <d v="2023-05-23T00:00:00"/>
    <x v="8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24T00:00:00"/>
    <x v="8"/>
    <s v="W"/>
    <s v="FY24"/>
    <x v="42"/>
    <n v="735"/>
    <n v="0.44873341375150783"/>
    <n v="-6.010230179028133E-2"/>
    <n v="17616"/>
    <n v="15382"/>
    <n v="37788"/>
    <n v="33684"/>
    <n v="0.14000000000000001"/>
    <n v="0.39"/>
    <n v="0.61"/>
    <n v="1.04"/>
    <m/>
    <n v="292"/>
    <d v="1899-12-30T00:09:00"/>
    <n v="8"/>
    <s v="Outlier"/>
    <s v="Outlier"/>
    <n v="0.44873341375150783"/>
    <n v="-6.010230179028133E-2"/>
  </r>
  <r>
    <d v="2023-05-25T00:00:00"/>
    <x v="8"/>
    <s v="R"/>
    <s v="FY24"/>
    <x v="43"/>
    <n v="827"/>
    <n v="0.13788819875776398"/>
    <n v="0.107095046854083"/>
    <n v="18532"/>
    <n v="16209"/>
    <n v="38704"/>
    <n v="34511"/>
    <n v="0.64"/>
    <n v="0.09"/>
    <n v="0.91"/>
    <n v="0.92"/>
    <m/>
    <n v="317"/>
    <d v="1899-12-30T00:53:00"/>
    <n v="11"/>
    <s v="Outlier"/>
    <s v="Outlier"/>
    <n v="0.13788819875776398"/>
    <n v="0.107095046854083"/>
  </r>
  <r>
    <d v="2023-05-26T00:00:00"/>
    <x v="8"/>
    <s v="F"/>
    <s v="FY24"/>
    <x v="44"/>
    <n v="827"/>
    <n v="0.39839572192513367"/>
    <n v="0.19164265129682997"/>
    <n v="19578"/>
    <n v="17036"/>
    <n v="39750"/>
    <n v="35338"/>
    <n v="0.44"/>
    <n v="0.21"/>
    <n v="0.79"/>
    <n v="1.2"/>
    <m/>
    <n v="338"/>
    <d v="1899-12-30T02:04:00"/>
    <n v="9"/>
    <s v="Outlier"/>
    <s v="Outlier"/>
    <n v="0.39839572192513367"/>
    <n v="0.19164265129682997"/>
  </r>
  <r>
    <d v="2023-05-27T00:00:00"/>
    <x v="8"/>
    <s v="S"/>
    <s v="FY24"/>
    <x v="45"/>
    <n v="558"/>
    <n v="0.6405990016638935"/>
    <n v="-3.9586919104991396E-2"/>
    <n v="20564"/>
    <n v="17594"/>
    <n v="40736"/>
    <n v="35896"/>
    <n v="0.14000000000000001"/>
    <n v="0.43"/>
    <n v="0.56999999999999995"/>
    <n v="0.97"/>
    <m/>
    <n v="314"/>
    <d v="1899-12-30T03:59:00"/>
    <n v="7"/>
    <s v="Outlier"/>
    <s v="Outlier"/>
    <n v="0.6405990016638935"/>
    <n v="-3.9586919104991396E-2"/>
  </r>
  <r>
    <d v="2023-05-28T00:00:00"/>
    <x v="9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29T00:00:00"/>
    <x v="9"/>
    <s v="M"/>
    <s v="FY24"/>
    <x v="46"/>
    <n v="926"/>
    <n v="0.15489989462592202"/>
    <n v="7.1759259259259259E-2"/>
    <n v="21660"/>
    <n v="18520"/>
    <n v="41832"/>
    <n v="36822"/>
    <n v="0.44"/>
    <n v="0.16"/>
    <n v="0.84"/>
    <n v="1.1399999999999999"/>
    <m/>
    <n v="318"/>
    <d v="1899-12-30T01:48:00"/>
    <n v="10"/>
    <s v="Outlier"/>
    <s v="Outlier"/>
    <n v="0.15489989462592202"/>
    <n v="7.1759259259259259E-2"/>
  </r>
  <r>
    <d v="2023-05-30T00:00:00"/>
    <x v="9"/>
    <s v="T"/>
    <s v="FY24"/>
    <x v="47"/>
    <n v="836"/>
    <n v="0"/>
    <n v="0"/>
    <n v="22616"/>
    <n v="19356"/>
    <n v="42788"/>
    <n v="37658"/>
    <n v="0.64"/>
    <n v="0.13"/>
    <n v="0.87"/>
    <n v="0.8"/>
    <m/>
    <n v="272"/>
    <d v="1899-12-30T01:07:00"/>
    <n v="11"/>
    <s v="Outlier"/>
    <s v="Outlier"/>
    <n v="0"/>
    <n v="0"/>
  </r>
  <r>
    <d v="2023-05-31T00:00:00"/>
    <x v="9"/>
    <s v="W"/>
    <s v="FY24"/>
    <x v="48"/>
    <n v="864"/>
    <n v="-0.21815154038301415"/>
    <n v="0.17551020408163265"/>
    <n v="23555"/>
    <n v="20220"/>
    <n v="43727"/>
    <n v="38522"/>
    <n v="0.77"/>
    <n v="0.08"/>
    <n v="0.92"/>
    <n v="0.71"/>
    <m/>
    <n v="320"/>
    <d v="1899-12-30T01:00:00"/>
    <n v="15"/>
    <s v="Outlier"/>
    <s v="Outlier"/>
    <n v="-0.21815154038301415"/>
    <n v="0.17551020408163265"/>
  </r>
  <r>
    <d v="2023-06-01T00:00:00"/>
    <x v="9"/>
    <s v="R"/>
    <s v="FY24"/>
    <x v="49"/>
    <n v="744"/>
    <n v="-0.16703056768558952"/>
    <n v="-0.10036275695284159"/>
    <m/>
    <m/>
    <m/>
    <m/>
    <n v="0.92"/>
    <n v="0.02"/>
    <n v="0.98"/>
    <n v="0.82"/>
    <m/>
    <n v="298"/>
    <d v="1899-12-30T00:10:00"/>
    <n v="10"/>
    <s v="Normal"/>
    <s v="Normal"/>
    <n v="-0.16703056768558952"/>
    <n v="-0.10036275695284159"/>
  </r>
  <r>
    <d v="2023-06-02T00:00:00"/>
    <x v="9"/>
    <s v="F"/>
    <s v="FY24"/>
    <x v="50"/>
    <n v="591"/>
    <n v="-0.36137667304015297"/>
    <n v="-0.28536880290205563"/>
    <m/>
    <m/>
    <m/>
    <m/>
    <n v="0.7"/>
    <n v="0.12"/>
    <n v="0.88"/>
    <n v="0.83"/>
    <m/>
    <n v="304"/>
    <d v="1899-12-30T00:34:00"/>
    <n v="8"/>
    <s v="Normal"/>
    <s v="Normal"/>
    <n v="-0.36137667304015297"/>
    <n v="-0.28536880290205563"/>
  </r>
  <r>
    <d v="2023-06-03T00:00:00"/>
    <x v="9"/>
    <s v="S"/>
    <s v="FY24"/>
    <x v="51"/>
    <n v="576"/>
    <n v="-0.17545638945233266"/>
    <n v="3.2258064516129031E-2"/>
    <m/>
    <m/>
    <m/>
    <m/>
    <n v="0.21"/>
    <n v="0.28999999999999998"/>
    <n v="0.71"/>
    <n v="1.46"/>
    <m/>
    <n v="343"/>
    <d v="1899-12-30T02:47:00"/>
    <n v="5"/>
    <s v="Normal"/>
    <s v="Normal"/>
    <n v="-0.17545638945233266"/>
    <n v="3.2258064516129031E-2"/>
  </r>
  <r>
    <d v="2023-06-04T00:00:00"/>
    <x v="1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6-05T00:00:00"/>
    <x v="10"/>
    <s v="M"/>
    <s v="FY24"/>
    <x v="52"/>
    <n v="1047"/>
    <n v="9.1240875912408756E-4"/>
    <n v="0.13066954643628509"/>
    <m/>
    <m/>
    <m/>
    <m/>
    <n v="0.87"/>
    <n v="0.05"/>
    <n v="0.95"/>
    <n v="0.8"/>
    <m/>
    <n v="247"/>
    <d v="1899-12-30T00:17:00"/>
    <n v="12"/>
    <s v="Normal"/>
    <s v="Normal"/>
    <n v="9.1240875912408756E-4"/>
    <n v="0.13066954643628509"/>
  </r>
  <r>
    <d v="2023-06-06T00:00:00"/>
    <x v="10"/>
    <s v="T"/>
    <s v="FY24"/>
    <x v="53"/>
    <n v="949"/>
    <n v="1.0460251046025104E-2"/>
    <n v="0.13516746411483255"/>
    <m/>
    <m/>
    <m/>
    <m/>
    <n v="0.77"/>
    <n v="0.02"/>
    <n v="0.98"/>
    <n v="0.84"/>
    <m/>
    <n v="334"/>
    <d v="1899-12-30T00:31:00"/>
    <n v="14"/>
    <s v="Normal"/>
    <s v="Normal"/>
    <n v="1.0460251046025104E-2"/>
    <n v="0.13516746411483255"/>
  </r>
  <r>
    <d v="2023-06-07T00:00:00"/>
    <x v="10"/>
    <s v="W"/>
    <s v="FY24"/>
    <x v="54"/>
    <n v="857"/>
    <n v="-4.3663471778487756E-2"/>
    <n v="-8.1018518518518514E-3"/>
    <m/>
    <m/>
    <m/>
    <m/>
    <n v="0.87"/>
    <n v="0.05"/>
    <n v="0.95"/>
    <n v="0.68"/>
    <m/>
    <n v="300"/>
    <d v="1899-12-30T00:20:00"/>
    <n v="14"/>
    <s v="Normal"/>
    <s v="Normal"/>
    <n v="-4.3663471778487756E-2"/>
    <n v="-8.1018518518518514E-3"/>
  </r>
  <r>
    <d v="2023-06-08T00:00:00"/>
    <x v="10"/>
    <s v="R"/>
    <s v="FY24"/>
    <x v="55"/>
    <n v="712"/>
    <n v="5.8977719528178242E-2"/>
    <n v="-4.3010752688172046E-2"/>
    <m/>
    <m/>
    <m/>
    <m/>
    <n v="0.63"/>
    <n v="0.12"/>
    <n v="0.88"/>
    <n v="0.67"/>
    <m/>
    <n v="329"/>
    <d v="1899-12-30T01:11:00"/>
    <n v="13"/>
    <s v="Normal"/>
    <s v="Normal"/>
    <n v="5.8977719528178242E-2"/>
    <n v="-4.3010752688172046E-2"/>
  </r>
  <r>
    <d v="2023-06-09T00:00:00"/>
    <x v="10"/>
    <s v="F"/>
    <s v="FY24"/>
    <x v="56"/>
    <n v="751"/>
    <n v="0.1497005988023952"/>
    <n v="0.27072758037225042"/>
    <m/>
    <m/>
    <m/>
    <m/>
    <n v="0.92"/>
    <n v="0.02"/>
    <n v="0.98"/>
    <n v="0.55000000000000004"/>
    <m/>
    <n v="295"/>
    <d v="1899-12-30T00:14:00"/>
    <n v="15"/>
    <s v="Normal"/>
    <s v="Normal"/>
    <n v="0.1497005988023952"/>
    <n v="0.27072758037225042"/>
  </r>
  <r>
    <d v="2023-06-10T00:00:00"/>
    <x v="10"/>
    <s v="S"/>
    <s v="FY24"/>
    <x v="57"/>
    <n v="656"/>
    <n v="-0.14145141451414514"/>
    <n v="0.1388888888888889"/>
    <m/>
    <m/>
    <m/>
    <m/>
    <n v="0.81"/>
    <n v="0.06"/>
    <n v="0.94"/>
    <n v="0.61"/>
    <m/>
    <n v="300"/>
    <d v="1899-12-30T00:33:00"/>
    <n v="12"/>
    <s v="Normal"/>
    <s v="Normal"/>
    <n v="-0.14145141451414514"/>
    <n v="0.1388888888888889"/>
  </r>
  <r>
    <d v="2023-06-11T00:00:00"/>
    <x v="1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6-12T00:00:00"/>
    <x v="11"/>
    <s v="M"/>
    <s v="FY24"/>
    <x v="58"/>
    <n v="921"/>
    <n v="-8.7511394712853241E-2"/>
    <n v="-0.12034383954154727"/>
    <m/>
    <m/>
    <m/>
    <m/>
    <n v="0.76"/>
    <n v="0.08"/>
    <n v="0.92"/>
    <n v="0.84"/>
    <m/>
    <n v="322"/>
    <d v="1899-12-30T00:34:00"/>
    <n v="13"/>
    <s v="Normal"/>
    <s v="Normal"/>
    <n v="-8.7511394712853241E-2"/>
    <n v="-0.12034383954154727"/>
  </r>
  <r>
    <d v="2023-06-13T00:00:00"/>
    <x v="11"/>
    <s v="T"/>
    <s v="FY24"/>
    <x v="59"/>
    <n v="994"/>
    <n v="7.4534161490683232E-2"/>
    <n v="4.7418335089567963E-2"/>
    <m/>
    <m/>
    <m/>
    <m/>
    <n v="0.92"/>
    <n v="0.04"/>
    <n v="0.96"/>
    <n v="0.71"/>
    <m/>
    <n v="269"/>
    <d v="1899-12-30T00:09:00"/>
    <n v="14"/>
    <s v="Normal"/>
    <s v="Normal"/>
    <n v="7.4534161490683232E-2"/>
    <n v="4.7418335089567963E-2"/>
  </r>
  <r>
    <d v="2023-06-14T00:00:00"/>
    <x v="11"/>
    <s v="W"/>
    <s v="FY24"/>
    <x v="60"/>
    <n v="1030"/>
    <n v="0.42650334075723828"/>
    <n v="0.20186697782963828"/>
    <m/>
    <m/>
    <m/>
    <m/>
    <n v="0.48"/>
    <n v="0.2"/>
    <n v="0.8"/>
    <n v="0.99"/>
    <m/>
    <n v="338"/>
    <d v="1899-12-30T02:06:00"/>
    <n v="13"/>
    <s v="Normal"/>
    <s v="Normal"/>
    <n v="0.42650334075723828"/>
    <n v="0.20186697782963828"/>
  </r>
  <r>
    <d v="2023-06-15T00:00:00"/>
    <x v="11"/>
    <s v="R"/>
    <s v="FY24"/>
    <x v="61"/>
    <n v="828"/>
    <n v="6.0643564356435642E-2"/>
    <n v="0.16292134831460675"/>
    <m/>
    <m/>
    <m/>
    <m/>
    <n v="0.88"/>
    <n v="0.03"/>
    <n v="0.97"/>
    <n v="0.75"/>
    <m/>
    <n v="319"/>
    <d v="1899-12-30T00:16:00"/>
    <n v="13"/>
    <s v="Normal"/>
    <s v="Normal"/>
    <n v="6.0643564356435642E-2"/>
    <n v="0.16292134831460675"/>
  </r>
  <r>
    <d v="2023-06-16T00:00:00"/>
    <x v="11"/>
    <s v="F"/>
    <s v="FY24"/>
    <x v="62"/>
    <n v="861"/>
    <n v="0.1484375"/>
    <n v="0.14647137150466044"/>
    <m/>
    <m/>
    <m/>
    <m/>
    <n v="0.94"/>
    <n v="0.02"/>
    <n v="0.98"/>
    <n v="0.64"/>
    <m/>
    <n v="299"/>
    <d v="1899-12-30T00:10:00"/>
    <n v="15"/>
    <s v="Normal"/>
    <s v="Normal"/>
    <n v="0.1484375"/>
    <n v="0.14647137150466044"/>
  </r>
  <r>
    <d v="2023-06-17T00:00:00"/>
    <x v="11"/>
    <s v="S"/>
    <s v="FY24"/>
    <x v="63"/>
    <n v="702"/>
    <n v="5.300859598853868E-2"/>
    <n v="7.0121951219512202E-2"/>
    <m/>
    <m/>
    <m/>
    <m/>
    <n v="0.85"/>
    <n v="0.04"/>
    <n v="0.96"/>
    <n v="0.71"/>
    <m/>
    <n v="300"/>
    <d v="1899-12-30T00:18:00"/>
    <n v="11"/>
    <s v="Normal"/>
    <s v="Normal"/>
    <n v="5.300859598853868E-2"/>
    <n v="7.0121951219512202E-2"/>
  </r>
  <r>
    <d v="2023-06-18T00:00:00"/>
    <x v="1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6-19T00:00:00"/>
    <x v="12"/>
    <s v="M"/>
    <s v="FY24"/>
    <x v="64"/>
    <n v="958"/>
    <n v="8.9910089910089919E-3"/>
    <n v="4.0173724212812158E-2"/>
    <m/>
    <m/>
    <m/>
    <m/>
    <n v="0.74"/>
    <n v="0.05"/>
    <n v="0.95"/>
    <n v="0.86"/>
    <m/>
    <n v="315"/>
    <d v="1899-12-30T00:37:00"/>
    <n v="13"/>
    <s v="Normal"/>
    <s v="Normal"/>
    <n v="8.9910089910089919E-3"/>
    <n v="4.0173724212812158E-2"/>
  </r>
  <r>
    <d v="2023-06-20T00:00:00"/>
    <x v="12"/>
    <s v="T"/>
    <s v="FY24"/>
    <x v="65"/>
    <n v="848"/>
    <n v="-0.16859344894026976"/>
    <n v="-0.14688128772635814"/>
    <m/>
    <m/>
    <m/>
    <m/>
    <n v="0.96"/>
    <n v="0.02"/>
    <n v="0.98"/>
    <n v="0.63"/>
    <m/>
    <n v="301"/>
    <d v="1899-12-30T00:06:00"/>
    <n v="15"/>
    <s v="Normal"/>
    <s v="Normal"/>
    <n v="-0.16859344894026976"/>
    <n v="-0.14688128772635814"/>
  </r>
  <r>
    <d v="2023-06-21T00:00:00"/>
    <x v="12"/>
    <s v="W"/>
    <s v="FY24"/>
    <x v="66"/>
    <n v="927"/>
    <n v="-0.2388758782201405"/>
    <n v="-0.1"/>
    <m/>
    <m/>
    <m/>
    <m/>
    <n v="0.87"/>
    <n v="0.05"/>
    <n v="0.95"/>
    <n v="0.74"/>
    <m/>
    <n v="302"/>
    <d v="1899-12-30T00:21:00"/>
    <n v="14"/>
    <s v="Normal"/>
    <s v="Normal"/>
    <n v="-0.2388758782201405"/>
    <n v="-0.1"/>
  </r>
  <r>
    <d v="2023-06-22T00:00:00"/>
    <x v="12"/>
    <s v="R"/>
    <s v="FY24"/>
    <x v="67"/>
    <n v="944"/>
    <n v="0.17386231038506417"/>
    <n v="0.14009661835748793"/>
    <m/>
    <m/>
    <m/>
    <m/>
    <n v="0.79"/>
    <n v="0.06"/>
    <n v="0.94"/>
    <n v="0.65"/>
    <m/>
    <n v="281"/>
    <d v="1899-12-30T00:32:00"/>
    <n v="15"/>
    <s v="Normal"/>
    <s v="Normal"/>
    <n v="0.17386231038506417"/>
    <n v="0.14009661835748793"/>
  </r>
  <r>
    <d v="2023-06-23T00:00:00"/>
    <x v="12"/>
    <s v="F"/>
    <s v="FY24"/>
    <x v="68"/>
    <n v="903"/>
    <n v="0.22789115646258504"/>
    <n v="4.878048780487805E-2"/>
    <m/>
    <m/>
    <m/>
    <m/>
    <n v="0.48"/>
    <n v="0.17"/>
    <n v="0.83"/>
    <n v="0.75"/>
    <m/>
    <n v="292"/>
    <d v="1899-12-30T01:14:00"/>
    <n v="13"/>
    <s v="Normal"/>
    <s v="Normal"/>
    <n v="0.22789115646258504"/>
    <n v="4.878048780487805E-2"/>
  </r>
  <r>
    <d v="2023-06-24T00:00:00"/>
    <x v="12"/>
    <s v="S"/>
    <s v="FY24"/>
    <x v="69"/>
    <n v="585"/>
    <n v="6.6666666666666666E-2"/>
    <n v="-0.16666666666666666"/>
    <m/>
    <m/>
    <m/>
    <m/>
    <n v="0.32"/>
    <n v="0.25"/>
    <n v="0.75"/>
    <n v="0.9"/>
    <m/>
    <n v="292"/>
    <d v="1899-12-30T01:14:00"/>
    <n v="7"/>
    <s v="Normal"/>
    <s v="Normal"/>
    <n v="6.6666666666666666E-2"/>
    <n v="-0.16666666666666666"/>
  </r>
  <r>
    <d v="2023-06-25T00:00:00"/>
    <x v="13"/>
    <s v="D"/>
    <s v="FY24"/>
    <x v="70"/>
    <n v="39"/>
    <n v="0"/>
    <n v="0"/>
    <m/>
    <m/>
    <m/>
    <m/>
    <n v="0.99"/>
    <n v="0"/>
    <n v="1"/>
    <n v="0.1"/>
    <m/>
    <n v="200"/>
    <d v="1899-12-30T00:05:00"/>
    <n v="3"/>
    <s v="Normal"/>
    <s v="Normal"/>
    <n v="0"/>
    <n v="0"/>
  </r>
  <r>
    <d v="2023-06-26T00:00:00"/>
    <x v="13"/>
    <s v="M"/>
    <s v="FY24"/>
    <x v="71"/>
    <n v="1037"/>
    <n v="6.4356435643564358E-2"/>
    <n v="8.2463465553235901E-2"/>
    <m/>
    <m/>
    <m/>
    <m/>
    <n v="0.89"/>
    <n v="0.04"/>
    <n v="0.96"/>
    <n v="0.51"/>
    <m/>
    <n v="200"/>
    <d v="1899-12-30T00:05:00"/>
    <n v="15"/>
    <s v="Normal"/>
    <s v="Normal"/>
    <n v="6.4356435643564358E-2"/>
    <n v="8.2463465553235901E-2"/>
  </r>
  <r>
    <d v="2023-06-27T00:00:00"/>
    <x v="13"/>
    <s v="T"/>
    <s v="FY24"/>
    <x v="72"/>
    <n v="925"/>
    <n v="0.13441483198146004"/>
    <n v="9.0801886792452824E-2"/>
    <m/>
    <m/>
    <m/>
    <m/>
    <n v="0.85"/>
    <n v="0.06"/>
    <n v="0.94"/>
    <n v="0.69"/>
    <m/>
    <n v="303"/>
    <d v="1899-12-30T00:25:00"/>
    <n v="15"/>
    <s v="Normal"/>
    <s v="Normal"/>
    <n v="0.13441483198146004"/>
    <n v="9.0801886792452824E-2"/>
  </r>
  <r>
    <d v="2023-06-28T00:00:00"/>
    <x v="13"/>
    <s v="W"/>
    <s v="FY24"/>
    <x v="44"/>
    <n v="919"/>
    <n v="7.2820512820512814E-2"/>
    <n v="-8.6299892125134836E-3"/>
    <m/>
    <m/>
    <m/>
    <m/>
    <n v="0.57999999999999996"/>
    <n v="0.12"/>
    <n v="0.88"/>
    <n v="0.92"/>
    <m/>
    <n v="324"/>
    <d v="1899-12-30T01:20:00"/>
    <n v="12"/>
    <s v="Normal"/>
    <s v="Normal"/>
    <n v="7.2820512820512814E-2"/>
    <n v="-8.6299892125134836E-3"/>
  </r>
  <r>
    <d v="2023-06-29T00:00:00"/>
    <x v="13"/>
    <s v="R"/>
    <s v="FY24"/>
    <x v="14"/>
    <n v="796"/>
    <n v="-0.17992047713717693"/>
    <n v="-0.15677966101694915"/>
    <m/>
    <m/>
    <m/>
    <m/>
    <n v="0.89"/>
    <n v="0.04"/>
    <n v="0.96"/>
    <n v="0.67"/>
    <m/>
    <n v="317"/>
    <d v="1899-12-30T00:19:00"/>
    <n v="14"/>
    <s v="Normal"/>
    <s v="Normal"/>
    <n v="-0.17992047713717693"/>
    <n v="-0.15677966101694915"/>
  </r>
  <r>
    <d v="2023-06-30T00:00:00"/>
    <x v="13"/>
    <s v="F"/>
    <s v="FY24"/>
    <x v="73"/>
    <n v="856"/>
    <n v="-0.17451523545706371"/>
    <n v="-5.2048726467331122E-2"/>
    <m/>
    <m/>
    <m/>
    <m/>
    <n v="0.89"/>
    <n v="0.04"/>
    <n v="0.96"/>
    <n v="0.64"/>
    <m/>
    <n v="303"/>
    <d v="1899-12-30T00:15:00"/>
    <n v="15"/>
    <s v="Normal"/>
    <s v="Normal"/>
    <n v="-0.17451523545706371"/>
    <n v="-5.2048726467331122E-2"/>
  </r>
  <r>
    <d v="2023-07-01T00:00:00"/>
    <x v="13"/>
    <s v="S"/>
    <s v="FY24"/>
    <x v="74"/>
    <n v="586"/>
    <n v="-0.14030612244897958"/>
    <n v="1.7094017094017094E-3"/>
    <m/>
    <m/>
    <m/>
    <m/>
    <n v="0.57999999999999996"/>
    <n v="0.13"/>
    <n v="0.87"/>
    <n v="0.57999999999999996"/>
    <m/>
    <n v="319"/>
    <d v="1899-12-30T00:10:00"/>
    <n v="12"/>
    <s v="Normal"/>
    <s v="Normal"/>
    <n v="-0.14030612244897958"/>
    <n v="1.7094017094017094E-3"/>
  </r>
  <r>
    <d v="2023-07-02T00:00:00"/>
    <x v="1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03T00:00:00"/>
    <x v="14"/>
    <s v="M"/>
    <s v="FY24"/>
    <x v="75"/>
    <n v="897"/>
    <n v="-6.9767441860465115E-2"/>
    <n v="-0.13500482160077146"/>
    <m/>
    <m/>
    <m/>
    <m/>
    <n v="0.76"/>
    <n v="0.1"/>
    <n v="0.9"/>
    <n v="0.62"/>
    <m/>
    <n v="299"/>
    <d v="1899-12-30T01:21:00"/>
    <n v="16"/>
    <s v="Normal"/>
    <s v="Normal"/>
    <n v="-6.9767441860465115E-2"/>
    <n v="-0.13500482160077146"/>
  </r>
  <r>
    <d v="2023-07-04T00:00:00"/>
    <x v="14"/>
    <s v="T"/>
    <s v="FY24"/>
    <x v="76"/>
    <n v="895"/>
    <n v="-5.2093973442288048E-2"/>
    <n v="-3.2432432432432434E-2"/>
    <m/>
    <m/>
    <m/>
    <m/>
    <n v="0.93"/>
    <n v="0.04"/>
    <n v="0.96"/>
    <n v="0.7"/>
    <m/>
    <n v="339"/>
    <d v="1899-12-30T00:10:00"/>
    <n v="16"/>
    <s v="Normal"/>
    <s v="Normal"/>
    <n v="-5.2093973442288048E-2"/>
    <n v="-3.2432432432432434E-2"/>
  </r>
  <r>
    <d v="2023-07-05T00:00:00"/>
    <x v="14"/>
    <s v="W"/>
    <s v="FY24"/>
    <x v="77"/>
    <n v="978"/>
    <n v="-3.8240917782026767E-3"/>
    <n v="6.4200217627856368E-2"/>
    <m/>
    <m/>
    <m/>
    <m/>
    <n v="0.81"/>
    <n v="0.06"/>
    <n v="0.94"/>
    <n v="0.75"/>
    <m/>
    <n v="311"/>
    <d v="1899-12-30T00:30:00"/>
    <n v="15"/>
    <s v="Normal"/>
    <s v="Normal"/>
    <n v="-3.8240917782026767E-3"/>
    <n v="6.4200217627856368E-2"/>
  </r>
  <r>
    <d v="2023-07-06T00:00:00"/>
    <x v="14"/>
    <s v="R"/>
    <s v="FY24"/>
    <x v="78"/>
    <n v="855"/>
    <n v="0.14909090909090908"/>
    <n v="7.4120603015075379E-2"/>
    <m/>
    <m/>
    <m/>
    <m/>
    <n v="0.68"/>
    <n v="0.1"/>
    <n v="0.9"/>
    <n v="0.91"/>
    <m/>
    <n v="343"/>
    <d v="1899-12-30T00:51:00"/>
    <n v="12"/>
    <s v="Normal"/>
    <s v="Normal"/>
    <n v="0.14909090909090908"/>
    <n v="7.4120603015075379E-2"/>
  </r>
  <r>
    <d v="2023-07-07T00:00:00"/>
    <x v="14"/>
    <s v="F"/>
    <s v="FY24"/>
    <x v="79"/>
    <n v="836"/>
    <n v="7.6062639821029079E-2"/>
    <n v="-2.336448598130841E-2"/>
    <m/>
    <m/>
    <m/>
    <m/>
    <n v="0.63"/>
    <n v="0.13"/>
    <n v="0.87"/>
    <n v="0.76"/>
    <m/>
    <n v="319"/>
    <d v="1899-12-30T01:24:00"/>
    <n v="13"/>
    <s v="Normal"/>
    <s v="Normal"/>
    <n v="7.6062639821029079E-2"/>
    <n v="-2.336448598130841E-2"/>
  </r>
  <r>
    <d v="2023-07-08T00:00:00"/>
    <x v="14"/>
    <s v="S"/>
    <s v="FY24"/>
    <x v="74"/>
    <n v="622"/>
    <n v="0"/>
    <n v="6.1433447098976107E-2"/>
    <m/>
    <m/>
    <m/>
    <m/>
    <n v="0.76"/>
    <n v="0.08"/>
    <n v="0.92"/>
    <n v="0.69"/>
    <m/>
    <n v="269"/>
    <d v="1899-12-30T00:38:00"/>
    <n v="9"/>
    <s v="Normal"/>
    <s v="Normal"/>
    <n v="0"/>
    <n v="6.1433447098976107E-2"/>
  </r>
  <r>
    <d v="2023-07-09T00:00:00"/>
    <x v="15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10T00:00:00"/>
    <x v="15"/>
    <s v="M"/>
    <s v="FY24"/>
    <x v="80"/>
    <n v="1026"/>
    <n v="0.11700000000000001"/>
    <n v="0.14381270903010032"/>
    <m/>
    <m/>
    <m/>
    <m/>
    <n v="0.72"/>
    <n v="0.08"/>
    <n v="0.92"/>
    <n v="0.85"/>
    <m/>
    <n v="336"/>
    <d v="1899-12-30T00:52:00"/>
    <n v="15"/>
    <s v="Normal"/>
    <s v="Normal"/>
    <n v="0.11700000000000001"/>
    <n v="0.14381270903010032"/>
  </r>
  <r>
    <d v="2023-07-11T00:00:00"/>
    <x v="15"/>
    <s v="T"/>
    <s v="FY24"/>
    <x v="81"/>
    <n v="977"/>
    <n v="9.2672413793103453E-2"/>
    <n v="9.1620111731843576E-2"/>
    <m/>
    <m/>
    <m/>
    <m/>
    <n v="0.93"/>
    <n v="0.04"/>
    <n v="0.96"/>
    <n v="0.71"/>
    <m/>
    <n v="335"/>
    <d v="1899-12-30T00:12:00"/>
    <n v="17"/>
    <s v="Normal"/>
    <s v="Normal"/>
    <n v="9.2672413793103453E-2"/>
    <n v="9.1620111731843576E-2"/>
  </r>
  <r>
    <d v="2023-07-12T00:00:00"/>
    <x v="15"/>
    <s v="W"/>
    <s v="FY24"/>
    <x v="82"/>
    <n v="956"/>
    <n v="-6.7178502879078695E-3"/>
    <n v="-2.2494887525562373E-2"/>
    <m/>
    <m/>
    <m/>
    <m/>
    <n v="0.81"/>
    <n v="0.08"/>
    <n v="0.92"/>
    <n v="0.67"/>
    <m/>
    <n v="301"/>
    <d v="1899-12-30T00:27:00"/>
    <n v="16"/>
    <s v="Normal"/>
    <s v="Normal"/>
    <n v="-6.7178502879078695E-3"/>
    <n v="-2.2494887525562373E-2"/>
  </r>
  <r>
    <d v="2023-07-13T00:00:00"/>
    <x v="15"/>
    <s v="R"/>
    <s v="FY24"/>
    <x v="83"/>
    <n v="882"/>
    <n v="-4.5358649789029537E-2"/>
    <n v="3.1578947368421054E-2"/>
    <m/>
    <m/>
    <m/>
    <m/>
    <n v="0.9"/>
    <n v="0.03"/>
    <n v="0.97"/>
    <n v="0.59"/>
    <m/>
    <n v="287"/>
    <d v="1899-12-30T00:14:00"/>
    <n v="16"/>
    <s v="Normal"/>
    <s v="Normal"/>
    <n v="-4.5358649789029537E-2"/>
    <n v="3.1578947368421054E-2"/>
  </r>
  <r>
    <d v="2023-07-14T00:00:00"/>
    <x v="15"/>
    <s v="F"/>
    <s v="FY24"/>
    <x v="84"/>
    <n v="886"/>
    <n v="-1.1434511434511435E-2"/>
    <n v="5.9808612440191387E-2"/>
    <m/>
    <m/>
    <m/>
    <m/>
    <n v="0.82"/>
    <n v="7.0000000000000007E-2"/>
    <n v="0.93"/>
    <n v="0.72"/>
    <m/>
    <n v="328"/>
    <s v="0;27"/>
    <n v="15"/>
    <s v="Normal"/>
    <s v="Normal"/>
    <n v="-1.1434511434511435E-2"/>
    <n v="5.9808612440191387E-2"/>
  </r>
  <r>
    <d v="2023-07-15T00:00:00"/>
    <x v="15"/>
    <s v="S"/>
    <s v="FY24"/>
    <x v="85"/>
    <n v="725"/>
    <n v="0.14688427299703263"/>
    <n v="0.16559485530546625"/>
    <m/>
    <m/>
    <m/>
    <m/>
    <n v="0.83"/>
    <n v="0.06"/>
    <n v="0.94"/>
    <n v="0.83"/>
    <m/>
    <n v="339"/>
    <d v="1899-12-30T00:27:00"/>
    <n v="11"/>
    <s v="Normal"/>
    <s v="Normal"/>
    <n v="0.14688427299703263"/>
    <n v="0.16559485530546625"/>
  </r>
  <r>
    <d v="2023-07-16T00:00:00"/>
    <x v="16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17T00:00:00"/>
    <x v="16"/>
    <s v="M"/>
    <s v="FY24"/>
    <x v="86"/>
    <n v="953"/>
    <n v="-9.6687555953446733E-2"/>
    <n v="-7.1150097465886936E-2"/>
    <m/>
    <m/>
    <m/>
    <m/>
    <n v="0.8"/>
    <n v="0.06"/>
    <n v="0.94"/>
    <n v="0.65"/>
    <m/>
    <n v="293"/>
    <d v="1899-12-30T00:34:00"/>
    <n v="16"/>
    <s v="Normal"/>
    <s v="Normal"/>
    <n v="-9.6687555953446733E-2"/>
    <n v="-7.1150097465886936E-2"/>
  </r>
  <r>
    <d v="2023-07-18T00:00:00"/>
    <x v="16"/>
    <s v="T"/>
    <s v="FY24"/>
    <x v="14"/>
    <n v="812"/>
    <n v="-0.18639053254437871"/>
    <n v="-0.16888433981576254"/>
    <m/>
    <m/>
    <m/>
    <m/>
    <n v="0.98"/>
    <n v="0.02"/>
    <n v="0.98"/>
    <n v="0.41"/>
    <m/>
    <n v="248"/>
    <d v="1899-12-30T00:09:00"/>
    <n v="18"/>
    <s v="Normal"/>
    <s v="Normal"/>
    <n v="-0.18639053254437871"/>
    <n v="-0.16888433981576254"/>
  </r>
  <r>
    <d v="2023-07-19T00:00:00"/>
    <x v="16"/>
    <s v="W"/>
    <s v="FY24"/>
    <x v="37"/>
    <n v="793"/>
    <n v="-0.19903381642512077"/>
    <n v="-0.17050209205020919"/>
    <m/>
    <m/>
    <m/>
    <m/>
    <n v="0.77"/>
    <n v="0.04"/>
    <n v="0.96"/>
    <n v="0.65"/>
    <m/>
    <n v="288"/>
    <d v="1899-12-30T00:31:00"/>
    <n v="13"/>
    <s v="Normal"/>
    <s v="Normal"/>
    <n v="-0.19903381642512077"/>
    <n v="-0.17050209205020919"/>
  </r>
  <r>
    <d v="2023-07-20T00:00:00"/>
    <x v="16"/>
    <s v="R"/>
    <s v="FY24"/>
    <x v="87"/>
    <n v="890"/>
    <n v="9.9447513812154689E-3"/>
    <n v="9.0702947845804991E-3"/>
    <m/>
    <m/>
    <m/>
    <m/>
    <n v="0.85"/>
    <n v="0.03"/>
    <n v="0.97"/>
    <n v="0.67"/>
    <m/>
    <n v="303"/>
    <d v="1899-12-30T00:21:00"/>
    <n v="15"/>
    <s v="Normal"/>
    <s v="Normal"/>
    <n v="9.9447513812154689E-3"/>
    <n v="9.0702947845804991E-3"/>
  </r>
  <r>
    <d v="2023-07-21T00:00:00"/>
    <x v="16"/>
    <s v="F"/>
    <s v="FY24"/>
    <x v="88"/>
    <n v="805"/>
    <n v="-0.11987381703470032"/>
    <n v="-9.1422121896162528E-2"/>
    <m/>
    <m/>
    <m/>
    <m/>
    <n v="0.87"/>
    <n v="0.04"/>
    <n v="0.96"/>
    <n v="0.59"/>
    <m/>
    <n v="319"/>
    <d v="1899-12-30T00:21:00"/>
    <n v="16"/>
    <s v="Normal"/>
    <s v="Normal"/>
    <n v="-0.11987381703470032"/>
    <n v="-9.1422121896162528E-2"/>
  </r>
  <r>
    <d v="2023-07-22T00:00:00"/>
    <x v="16"/>
    <s v="S"/>
    <s v="FY24"/>
    <x v="89"/>
    <n v="572"/>
    <n v="-0.21733505821474774"/>
    <n v="-0.21103448275862069"/>
    <m/>
    <m/>
    <m/>
    <m/>
    <n v="0.85"/>
    <n v="0.05"/>
    <n v="0.95"/>
    <n v="0.55000000000000004"/>
    <m/>
    <n v="335"/>
    <d v="1899-12-30T00:21:00"/>
    <n v="13"/>
    <s v="Normal"/>
    <s v="Normal"/>
    <n v="-0.21733505821474774"/>
    <n v="-0.21103448275862069"/>
  </r>
  <r>
    <d v="2023-07-23T00:00:00"/>
    <x v="17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24T00:00:00"/>
    <x v="17"/>
    <s v="M"/>
    <s v="FY24"/>
    <x v="90"/>
    <n v="937"/>
    <n v="-2.4777006937561942E-2"/>
    <n v="-1.6789087093389297E-2"/>
    <m/>
    <m/>
    <m/>
    <m/>
    <n v="0.8"/>
    <n v="0.05"/>
    <n v="0.95"/>
    <n v="0.65"/>
    <m/>
    <n v="316"/>
    <d v="1899-12-30T00:28:00"/>
    <n v="17"/>
    <s v="Normal"/>
    <s v="Normal"/>
    <n v="-2.4777006937561942E-2"/>
    <n v="-1.6789087093389297E-2"/>
  </r>
  <r>
    <d v="2023-07-25T00:00:00"/>
    <x v="17"/>
    <s v="T"/>
    <s v="FY24"/>
    <x v="91"/>
    <n v="1026"/>
    <n v="0.36484848484848487"/>
    <n v="0.26354679802955666"/>
    <m/>
    <m/>
    <m/>
    <m/>
    <n v="0.67"/>
    <n v="0.09"/>
    <n v="0.91"/>
    <n v="0.76"/>
    <m/>
    <n v="360"/>
    <d v="1899-12-30T00:45:00"/>
    <n v="18"/>
    <s v="Normal"/>
    <s v="Normal"/>
    <n v="0.36484848484848487"/>
    <n v="0.26354679802955666"/>
  </r>
  <r>
    <d v="2023-07-26T00:00:00"/>
    <x v="17"/>
    <s v="W"/>
    <s v="FY24"/>
    <x v="92"/>
    <n v="935"/>
    <n v="0.33293124246079614"/>
    <n v="0.17906683480453972"/>
    <m/>
    <m/>
    <m/>
    <m/>
    <n v="0.51"/>
    <n v="0.15"/>
    <n v="0.85"/>
    <n v="0.77"/>
    <m/>
    <n v="334"/>
    <d v="1899-12-30T01:22:00"/>
    <n v="15"/>
    <s v="Normal"/>
    <s v="Normal"/>
    <n v="0.33293124246079614"/>
    <n v="0.17906683480453972"/>
  </r>
  <r>
    <d v="2023-07-27T00:00:00"/>
    <x v="17"/>
    <s v="R"/>
    <s v="FY24"/>
    <x v="93"/>
    <n v="819"/>
    <n v="-2.6258205689277898E-2"/>
    <n v="-7.9775280898876408E-2"/>
    <m/>
    <m/>
    <m/>
    <m/>
    <n v="0.72"/>
    <n v="0.08"/>
    <n v="0.92"/>
    <n v="0.79"/>
    <m/>
    <n v="363"/>
    <d v="1899-12-30T00:37:00"/>
    <n v="14"/>
    <s v="Normal"/>
    <s v="Normal"/>
    <n v="-2.6258205689277898E-2"/>
    <n v="-7.9775280898876408E-2"/>
  </r>
  <r>
    <d v="2023-07-28T00:00:00"/>
    <x v="17"/>
    <s v="F"/>
    <s v="FY24"/>
    <x v="53"/>
    <n v="894"/>
    <n v="0.15412186379928317"/>
    <n v="0.11055900621118013"/>
    <m/>
    <m/>
    <m/>
    <m/>
    <n v="0.77"/>
    <n v="7.0000000000000007E-2"/>
    <n v="0.93"/>
    <n v="0.76"/>
    <m/>
    <n v="323"/>
    <d v="1899-12-30T00:42:00"/>
    <n v="14"/>
    <s v="Normal"/>
    <s v="Normal"/>
    <n v="0.15412186379928317"/>
    <n v="0.11055900621118013"/>
  </r>
  <r>
    <d v="2023-07-29T00:00:00"/>
    <x v="17"/>
    <s v="S"/>
    <s v="FY24"/>
    <x v="94"/>
    <n v="673"/>
    <n v="0.1884297520661157"/>
    <n v="0.17657342657342656"/>
    <m/>
    <m/>
    <m/>
    <m/>
    <n v="0.79"/>
    <n v="0.06"/>
    <n v="0.94"/>
    <n v="0.72"/>
    <m/>
    <n v="347"/>
    <d v="1899-12-30T00:29:00"/>
    <n v="12"/>
    <s v="Normal"/>
    <s v="Normal"/>
    <n v="0.1884297520661157"/>
    <n v="0.17657342657342656"/>
  </r>
  <r>
    <d v="2023-07-30T00:00:00"/>
    <x v="18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31T00:00:00"/>
    <x v="18"/>
    <s v="M"/>
    <s v="FY24"/>
    <x v="95"/>
    <n v="1016"/>
    <n v="0.1524390243902439"/>
    <n v="8.4311632870864461E-2"/>
    <m/>
    <m/>
    <m/>
    <m/>
    <n v="0.61"/>
    <n v="0.1"/>
    <n v="0.9"/>
    <n v="0.74"/>
    <m/>
    <n v="314"/>
    <d v="1899-12-30T01:27:00"/>
    <n v="16"/>
    <s v="Normal"/>
    <s v="Normal"/>
    <n v="0.1524390243902439"/>
    <n v="8.4311632870864461E-2"/>
  </r>
  <r>
    <d v="2023-08-01T00:00:00"/>
    <x v="18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02T00:00:00"/>
    <x v="18"/>
    <s v="W"/>
    <s v="FY24"/>
    <x v="96"/>
    <n v="962"/>
    <n v="8.1447963800904983E-3"/>
    <n v="2.8877005347593583E-2"/>
    <m/>
    <m/>
    <m/>
    <m/>
    <n v="0.56000000000000005"/>
    <n v="0.14000000000000001"/>
    <n v="0.86"/>
    <n v="0.78"/>
    <m/>
    <n v="372"/>
    <d v="1899-12-30T01:11:00"/>
    <n v="17"/>
    <s v="Normal"/>
    <s v="Normal"/>
    <n v="8.1447963800904983E-3"/>
    <n v="2.8877005347593583E-2"/>
  </r>
  <r>
    <d v="2023-08-03T00:00:00"/>
    <x v="18"/>
    <s v="R"/>
    <s v="FY24"/>
    <x v="97"/>
    <n v="867"/>
    <n v="0.14719101123595504"/>
    <n v="5.8608058608058608E-2"/>
    <m/>
    <m/>
    <m/>
    <m/>
    <n v="0.56000000000000005"/>
    <n v="0.15"/>
    <n v="0.85"/>
    <n v="0.83"/>
    <m/>
    <n v="361"/>
    <d v="1899-12-30T01:14:00"/>
    <n v="14"/>
    <s v="Normal"/>
    <s v="Normal"/>
    <n v="0.14719101123595504"/>
    <n v="5.8608058608058608E-2"/>
  </r>
  <r>
    <d v="2023-08-04T00:00:00"/>
    <x v="18"/>
    <s v="F"/>
    <s v="FY24"/>
    <x v="98"/>
    <n v="817"/>
    <n v="-6.9358178053830224E-2"/>
    <n v="-8.612975391498881E-2"/>
    <m/>
    <m/>
    <m/>
    <m/>
    <n v="0.72"/>
    <n v="0.09"/>
    <n v="0.91"/>
    <n v="0.77"/>
    <m/>
    <n v="307"/>
    <d v="1899-12-30T00:33:00"/>
    <n v="12"/>
    <s v="Normal"/>
    <s v="Normal"/>
    <n v="-6.9358178053830224E-2"/>
    <n v="-8.612975391498881E-2"/>
  </r>
  <r>
    <d v="2023-08-05T00:00:00"/>
    <x v="18"/>
    <s v="S"/>
    <s v="FY24"/>
    <x v="99"/>
    <n v="608"/>
    <n v="-2.6425591098748261E-2"/>
    <n v="-9.658246656760773E-2"/>
    <m/>
    <m/>
    <m/>
    <m/>
    <n v="0.53"/>
    <n v="0.13"/>
    <n v="0.87"/>
    <n v="0.76"/>
    <m/>
    <n v="369"/>
    <d v="1899-12-30T01:20:00"/>
    <n v="11"/>
    <s v="Normal"/>
    <s v="Normal"/>
    <n v="-2.6425591098748261E-2"/>
    <n v="-9.658246656760773E-2"/>
  </r>
  <r>
    <d v="2023-08-06T00:00:00"/>
    <x v="19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07T00:00:00"/>
    <x v="19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08T00:00:00"/>
    <x v="19"/>
    <s v="T"/>
    <s v="FY24"/>
    <x v="20"/>
    <n v="976"/>
    <n v="0"/>
    <n v="0"/>
    <m/>
    <m/>
    <m/>
    <m/>
    <n v="0.62"/>
    <n v="0.11"/>
    <n v="0.89"/>
    <n v="0.99"/>
    <m/>
    <n v="329"/>
    <d v="1899-12-30T01:22:00"/>
    <n v="12"/>
    <s v="Normal"/>
    <s v="Normal"/>
    <n v="0"/>
    <n v="0"/>
  </r>
  <r>
    <d v="2023-08-09T00:00:00"/>
    <x v="19"/>
    <s v="W"/>
    <s v="FY24"/>
    <x v="100"/>
    <n v="1034"/>
    <n v="-6.2836624775583485E-3"/>
    <n v="7.4844074844074848E-2"/>
    <m/>
    <m/>
    <m/>
    <m/>
    <n v="0.76"/>
    <n v="7.0000000000000007E-2"/>
    <n v="0.93"/>
    <n v="0.67"/>
    <m/>
    <n v="280"/>
    <d v="1899-12-30T00:32:00"/>
    <n v="16"/>
    <s v="Normal"/>
    <s v="Normal"/>
    <n v="-6.2836624775583485E-3"/>
    <n v="7.4844074844074848E-2"/>
  </r>
  <r>
    <d v="2023-08-10T00:00:00"/>
    <x v="19"/>
    <s v="R"/>
    <s v="FY24"/>
    <x v="79"/>
    <n v="907"/>
    <n v="-5.7786483839373161E-2"/>
    <n v="4.61361014994233E-2"/>
    <m/>
    <m/>
    <m/>
    <m/>
    <n v="0.8"/>
    <n v="0.06"/>
    <n v="0.94"/>
    <n v="0.57999999999999996"/>
    <m/>
    <n v="277"/>
    <d v="1899-12-30T00:29:00"/>
    <n v="16"/>
    <s v="Normal"/>
    <s v="Normal"/>
    <n v="-5.7786483839373161E-2"/>
    <n v="4.61361014994233E-2"/>
  </r>
  <r>
    <d v="2023-08-11T00:00:00"/>
    <x v="19"/>
    <s v="F"/>
    <s v="FY24"/>
    <x v="73"/>
    <n v="862"/>
    <n v="-5.5617352614015575E-3"/>
    <n v="5.5079559363525092E-2"/>
    <m/>
    <m/>
    <m/>
    <m/>
    <n v="0.9"/>
    <n v="0.04"/>
    <n v="0.96"/>
    <n v="0.62"/>
    <m/>
    <n v="291"/>
    <d v="1899-12-30T00:18:00"/>
    <n v="15"/>
    <s v="Normal"/>
    <s v="Normal"/>
    <n v="-5.5617352614015575E-3"/>
    <n v="5.5079559363525092E-2"/>
  </r>
  <r>
    <d v="2023-08-12T00:00:00"/>
    <x v="19"/>
    <s v="S"/>
    <s v="FY24"/>
    <x v="101"/>
    <n v="710"/>
    <n v="0.11571428571428571"/>
    <n v="0.16776315789473684"/>
    <m/>
    <m/>
    <m/>
    <m/>
    <n v="0.63"/>
    <n v="0.09"/>
    <n v="0.91"/>
    <n v="0.66"/>
    <m/>
    <n v="278"/>
    <d v="1899-12-30T01:00:00"/>
    <n v="11"/>
    <s v="Normal"/>
    <s v="Normal"/>
    <n v="0.11571428571428571"/>
    <n v="0.16776315789473684"/>
  </r>
  <r>
    <d v="2023-08-13T00:00:00"/>
    <x v="2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14T00:00:00"/>
    <x v="20"/>
    <s v="M"/>
    <s v="FY24"/>
    <x v="102"/>
    <n v="982"/>
    <n v="0"/>
    <n v="0"/>
    <m/>
    <m/>
    <m/>
    <m/>
    <n v="0.97"/>
    <n v="0.02"/>
    <n v="0.98"/>
    <n v="0.78"/>
    <m/>
    <n v="256"/>
    <d v="1899-12-30T00:09:00"/>
    <n v="12"/>
    <s v="Normal"/>
    <s v="Normal"/>
    <n v="0"/>
    <n v="0"/>
  </r>
  <r>
    <d v="2023-08-15T00:00:00"/>
    <x v="20"/>
    <s v="T"/>
    <s v="FY24"/>
    <x v="103"/>
    <n v="929"/>
    <n v="-0.12443233424159855"/>
    <n v="-4.8155737704918031E-2"/>
    <m/>
    <m/>
    <m/>
    <m/>
    <n v="0.87"/>
    <n v="0.04"/>
    <n v="0.96"/>
    <n v="0.6"/>
    <m/>
    <n v="262"/>
    <d v="1899-12-30T00:21:00"/>
    <n v="15"/>
    <s v="Normal"/>
    <s v="Normal"/>
    <n v="-0.12443233424159855"/>
    <n v="-4.8155737704918031E-2"/>
  </r>
  <r>
    <d v="2023-08-16T00:00:00"/>
    <x v="20"/>
    <s v="W"/>
    <s v="FY24"/>
    <x v="104"/>
    <n v="854"/>
    <n v="-0.17976513098464317"/>
    <n v="-0.17408123791102514"/>
    <m/>
    <m/>
    <m/>
    <m/>
    <n v="0.86"/>
    <n v="0.06"/>
    <n v="0.94"/>
    <n v="0.73"/>
    <m/>
    <n v="276"/>
    <d v="1899-12-30T00:29:00"/>
    <n v="12"/>
    <s v="Normal"/>
    <s v="Normal"/>
    <n v="-0.17976513098464317"/>
    <n v="-0.17408123791102514"/>
  </r>
  <r>
    <d v="2023-08-17T00:00:00"/>
    <x v="20"/>
    <s v="R"/>
    <s v="FY24"/>
    <x v="105"/>
    <n v="913"/>
    <n v="1.9750519750519752E-2"/>
    <n v="6.615214994487321E-3"/>
    <m/>
    <m/>
    <m/>
    <m/>
    <n v="0.85"/>
    <n v="7.0000000000000007E-2"/>
    <n v="0.93"/>
    <n v="0.67"/>
    <m/>
    <n v="257"/>
    <d v="1899-12-30T00:24:00"/>
    <n v="13"/>
    <s v="Normal"/>
    <s v="Normal"/>
    <n v="1.9750519750519752E-2"/>
    <n v="6.615214994487321E-3"/>
  </r>
  <r>
    <d v="2023-08-18T00:00:00"/>
    <x v="20"/>
    <s v="F"/>
    <s v="FY24"/>
    <x v="106"/>
    <n v="889"/>
    <n v="3.3557046979865772E-2"/>
    <n v="3.1322505800464036E-2"/>
    <m/>
    <m/>
    <m/>
    <m/>
    <n v="0.89"/>
    <n v="0.04"/>
    <n v="0.96"/>
    <n v="0.84"/>
    <m/>
    <n v="254"/>
    <d v="1899-12-30T00:15:00"/>
    <n v="10"/>
    <s v="Normal"/>
    <s v="Normal"/>
    <n v="3.3557046979865772E-2"/>
    <n v="3.1322505800464036E-2"/>
  </r>
  <r>
    <d v="2023-08-19T00:00:00"/>
    <x v="20"/>
    <s v="S"/>
    <s v="FY24"/>
    <x v="99"/>
    <n v="657"/>
    <n v="-0.10371318822023047"/>
    <n v="-7.464788732394366E-2"/>
    <m/>
    <m/>
    <m/>
    <m/>
    <n v="0.85"/>
    <n v="0.06"/>
    <n v="0.94"/>
    <n v="0.71"/>
    <m/>
    <n v="263"/>
    <d v="1899-12-30T00:24:00"/>
    <n v="9"/>
    <s v="Normal"/>
    <s v="Normal"/>
    <n v="-0.10371318822023047"/>
    <n v="-7.464788732394366E-2"/>
  </r>
  <r>
    <d v="2023-08-20T00:00:00"/>
    <x v="2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21T00:00:00"/>
    <x v="21"/>
    <s v="M"/>
    <s v="FY24"/>
    <x v="107"/>
    <n v="911"/>
    <n v="-4.1041041041041039E-2"/>
    <n v="-7.2301425661914456E-2"/>
    <m/>
    <m/>
    <m/>
    <m/>
    <n v="0.9"/>
    <n v="0.05"/>
    <n v="0.95"/>
    <n v="0.93"/>
    <m/>
    <n v="275"/>
    <d v="1899-12-30T00:16:00"/>
    <n v="10"/>
    <s v="Normal"/>
    <s v="Normal"/>
    <n v="-4.1041041041041039E-2"/>
    <n v="-7.2301425661914456E-2"/>
  </r>
  <r>
    <d v="2023-08-22T00:00:00"/>
    <x v="21"/>
    <s v="T"/>
    <s v="FY24"/>
    <x v="108"/>
    <n v="858"/>
    <n v="-3.6307053941908717E-2"/>
    <n v="-7.6426264800861135E-2"/>
    <m/>
    <m/>
    <m/>
    <m/>
    <n v="0.71"/>
    <n v="0.08"/>
    <n v="0.92"/>
    <n v="1.24"/>
    <m/>
    <n v="274"/>
    <d v="1899-12-30T00:39:00"/>
    <n v="7"/>
    <s v="Normal"/>
    <s v="Normal"/>
    <n v="-3.6307053941908717E-2"/>
    <n v="-7.6426264800861135E-2"/>
  </r>
  <r>
    <d v="2023-08-23T00:00:00"/>
    <x v="21"/>
    <s v="W"/>
    <s v="FY24"/>
    <x v="109"/>
    <n v="913"/>
    <n v="7.7092511013215861E-2"/>
    <n v="6.9086651053864162E-2"/>
    <m/>
    <m/>
    <m/>
    <m/>
    <n v="0.81"/>
    <n v="7.0000000000000007E-2"/>
    <n v="0.93"/>
    <n v="0.98"/>
    <m/>
    <n v="260"/>
    <d v="1899-12-30T00:31:00"/>
    <n v="9"/>
    <s v="Normal"/>
    <s v="Normal"/>
    <n v="7.7092511013215861E-2"/>
    <n v="6.9086651053864162E-2"/>
  </r>
  <r>
    <d v="2023-08-24T00:00:00"/>
    <x v="21"/>
    <s v="R"/>
    <s v="FY24"/>
    <x v="110"/>
    <n v="1058"/>
    <n v="0.44444444444444442"/>
    <n v="0.15881708652792989"/>
    <m/>
    <m/>
    <m/>
    <m/>
    <n v="0.27"/>
    <n v="0.25"/>
    <n v="0.75"/>
    <n v="1.1299999999999999"/>
    <m/>
    <n v="260"/>
    <d v="1899-12-30T02:00:00"/>
    <n v="9"/>
    <s v="Normal"/>
    <s v="Normal"/>
    <n v="0.44444444444444442"/>
    <n v="0.15881708652792989"/>
  </r>
  <r>
    <d v="2023-08-25T00:00:00"/>
    <x v="21"/>
    <s v="F"/>
    <s v="FY24"/>
    <x v="111"/>
    <n v="1043"/>
    <n v="0.18398268398268397"/>
    <n v="0.17322834645669291"/>
    <m/>
    <m/>
    <m/>
    <m/>
    <n v="0.87"/>
    <n v="0.05"/>
    <n v="0.95"/>
    <n v="1.03"/>
    <m/>
    <n v="321"/>
    <d v="1899-12-30T00:22:00"/>
    <n v="12"/>
    <s v="Normal"/>
    <s v="Normal"/>
    <n v="0.18398268398268397"/>
    <n v="0.17322834645669291"/>
  </r>
  <r>
    <d v="2023-08-26T00:00:00"/>
    <x v="21"/>
    <s v="S"/>
    <s v="FY24"/>
    <x v="112"/>
    <n v="719"/>
    <n v="7.571428571428572E-2"/>
    <n v="9.4368340943683404E-2"/>
    <m/>
    <m/>
    <m/>
    <m/>
    <n v="0.86"/>
    <n v="0.05"/>
    <n v="0.95"/>
    <n v="0.69"/>
    <m/>
    <n v="283"/>
    <d v="1899-12-30T00:21:00"/>
    <n v="11"/>
    <s v="Normal"/>
    <s v="Normal"/>
    <n v="7.571428571428572E-2"/>
    <n v="9.4368340943683404E-2"/>
  </r>
  <r>
    <d v="2023-08-27T00:00:00"/>
    <x v="2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28T00:00:00"/>
    <x v="22"/>
    <s v="M"/>
    <s v="FY24"/>
    <x v="113"/>
    <n v="1068"/>
    <n v="0.24947807933194155"/>
    <n v="0.17233809001097694"/>
    <m/>
    <m/>
    <m/>
    <m/>
    <n v="0.57999999999999996"/>
    <n v="0.11"/>
    <n v="0.89"/>
    <n v="0.67"/>
    <m/>
    <n v="269"/>
    <d v="1899-12-30T01:00:00"/>
    <n v="16"/>
    <s v="Normal"/>
    <s v="Normal"/>
    <n v="0.24947807933194155"/>
    <n v="0.17233809001097694"/>
  </r>
  <r>
    <d v="2023-08-29T00:00:00"/>
    <x v="22"/>
    <s v="T"/>
    <s v="FY24"/>
    <x v="114"/>
    <n v="1065"/>
    <n v="0.23358449946178686"/>
    <n v="0.24125874125874125"/>
    <m/>
    <m/>
    <m/>
    <m/>
    <n v="0.82"/>
    <n v="7.0000000000000007E-2"/>
    <n v="0.93"/>
    <n v="0.61"/>
    <m/>
    <n v="263"/>
    <d v="1899-12-30T00:45:00"/>
    <n v="17"/>
    <s v="Normal"/>
    <s v="Normal"/>
    <n v="0.23358449946178686"/>
    <n v="0.24125874125874125"/>
  </r>
  <r>
    <d v="2023-08-30T00:00:00"/>
    <x v="22"/>
    <s v="W"/>
    <s v="FY24"/>
    <x v="115"/>
    <n v="1097"/>
    <n v="0.26278118609406953"/>
    <n v="0.20153340635268346"/>
    <m/>
    <m/>
    <m/>
    <m/>
    <n v="0.67"/>
    <n v="0.11"/>
    <n v="0.89"/>
    <n v="0.71"/>
    <m/>
    <n v="263"/>
    <d v="1899-12-30T00:45:00"/>
    <n v="15"/>
    <s v="Normal"/>
    <s v="Normal"/>
    <n v="0.26278118609406953"/>
    <n v="0.20153340635268346"/>
  </r>
  <r>
    <d v="2023-08-31T00:00:00"/>
    <x v="22"/>
    <s v="R"/>
    <s v="FY24"/>
    <x v="116"/>
    <n v="921"/>
    <n v="-0.25476358503881441"/>
    <n v="-0.12948960302457466"/>
    <m/>
    <m/>
    <m/>
    <m/>
    <n v="0.54"/>
    <n v="0.13"/>
    <n v="0.87"/>
    <n v="0.85"/>
    <m/>
    <n v="300"/>
    <d v="1899-12-30T01:02:00"/>
    <n v="12"/>
    <s v="Normal"/>
    <s v="Normal"/>
    <n v="-0.25476358503881441"/>
    <n v="-0.12948960302457466"/>
  </r>
  <r>
    <d v="2023-09-01T00:00:00"/>
    <x v="22"/>
    <s v="F"/>
    <s v="FY24"/>
    <x v="117"/>
    <n v="817"/>
    <n v="-0.2129798903107861"/>
    <n v="-0.21668264621284755"/>
    <m/>
    <m/>
    <m/>
    <m/>
    <n v="0.85"/>
    <n v="5.1103368176538912E-2"/>
    <n v="0.95"/>
    <n v="0.56736111111111109"/>
    <m/>
    <n v="300"/>
    <d v="1899-12-30T00:21:00"/>
    <n v="16"/>
    <s v="Normal"/>
    <s v="Normal"/>
    <n v="-0.2129798903107861"/>
    <n v="-0.21668264621284755"/>
  </r>
  <r>
    <d v="2023-09-02T00:00:00"/>
    <x v="22"/>
    <s v="S"/>
    <s v="FY24"/>
    <x v="118"/>
    <n v="708"/>
    <n v="-5.3120849933598934E-3"/>
    <n v="-1.5299026425591099E-2"/>
    <m/>
    <m/>
    <m/>
    <m/>
    <n v="0.85"/>
    <n v="5.4739652870493989E-2"/>
    <n v="0.95"/>
    <n v="0.65555555555555556"/>
    <m/>
    <n v="300"/>
    <d v="1899-12-30T00:26:00"/>
    <n v="12"/>
    <s v="Normal"/>
    <s v="Normal"/>
    <n v="-5.3120849933598934E-3"/>
    <n v="-1.5299026425591099E-2"/>
  </r>
  <r>
    <d v="2023-09-03T00:00:00"/>
    <x v="23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9-04T00:00:00"/>
    <x v="23"/>
    <s v="M"/>
    <s v="FY24"/>
    <x v="81"/>
    <n v="865"/>
    <n v="-0.15288220551378445"/>
    <n v="-0.19007490636704119"/>
    <m/>
    <m/>
    <m/>
    <m/>
    <n v="0.53"/>
    <n v="0.14694280078895464"/>
    <n v="0.85"/>
    <n v="0.72312169312169305"/>
    <m/>
    <n v="316"/>
    <d v="1899-12-30T01:17:00"/>
    <n v="14"/>
    <s v="Normal"/>
    <s v="Normal"/>
    <n v="-0.15288220551378445"/>
    <n v="-0.19007490636704119"/>
  </r>
  <r>
    <d v="2023-09-05T00:00:00"/>
    <x v="23"/>
    <s v="T"/>
    <s v="FY24"/>
    <x v="107"/>
    <n v="929"/>
    <n v="-0.16404886561954624"/>
    <n v="-0.12769953051643193"/>
    <m/>
    <m/>
    <m/>
    <m/>
    <n v="0.94"/>
    <n v="3.0271398747390398E-2"/>
    <n v="0.97"/>
    <n v="0.60718954248366019"/>
    <m/>
    <n v="300"/>
    <d v="1899-12-30T00:10:00"/>
    <n v="17"/>
    <s v="Normal"/>
    <s v="Normal"/>
    <n v="-0.16404886561954624"/>
    <n v="-0.12769953051643193"/>
  </r>
  <r>
    <d v="2023-09-06T00:00:00"/>
    <x v="23"/>
    <s v="W"/>
    <s v="FY24"/>
    <x v="119"/>
    <n v="913"/>
    <n v="-0.21700404858299596"/>
    <n v="-0.16773017319963537"/>
    <m/>
    <m/>
    <m/>
    <m/>
    <n v="0.79"/>
    <n v="5.5842812823164424E-2"/>
    <n v="0.94"/>
    <n v="0.67629629629629628"/>
    <m/>
    <n v="300"/>
    <d v="1899-12-30T00:41:00"/>
    <n v="15"/>
    <s v="Normal"/>
    <s v="Normal"/>
    <n v="-0.21700404858299596"/>
    <n v="-0.16773017319963537"/>
  </r>
  <r>
    <d v="2023-09-07T00:00:00"/>
    <x v="23"/>
    <s v="R"/>
    <s v="FY24"/>
    <x v="120"/>
    <n v="929"/>
    <n v="-0.10700757575757576"/>
    <n v="8.6862106406080351E-3"/>
    <m/>
    <m/>
    <m/>
    <m/>
    <n v="0.99"/>
    <n v="1.4846235418875928E-2"/>
    <n v="0.99"/>
    <n v="0.57345679012345674"/>
    <m/>
    <n v="300"/>
    <d v="1899-12-30T00:41:00"/>
    <n v="18"/>
    <s v="Normal"/>
    <s v="Normal"/>
    <n v="-0.10700757575757576"/>
    <n v="8.6862106406080351E-3"/>
  </r>
  <r>
    <d v="2023-09-08T00:00:00"/>
    <x v="23"/>
    <s v="F"/>
    <s v="FY24"/>
    <x v="121"/>
    <n v="835"/>
    <n v="7.0847851335656215E-2"/>
    <n v="2.2031823745410038E-2"/>
    <m/>
    <m/>
    <m/>
    <m/>
    <n v="0.73"/>
    <n v="9.4360086767895882E-2"/>
    <n v="0.91"/>
    <n v="0.69841049382716036"/>
    <m/>
    <n v="300"/>
    <d v="1899-12-30T00:41:00"/>
    <n v="18"/>
    <s v="Normal"/>
    <s v="Normal"/>
    <n v="7.0847851335656215E-2"/>
    <n v="2.2031823745410038E-2"/>
  </r>
  <r>
    <d v="2023-09-09T00:00:00"/>
    <x v="23"/>
    <s v="S"/>
    <s v="FY24"/>
    <x v="122"/>
    <n v="677"/>
    <n v="-5.2069425901201602E-2"/>
    <n v="-4.3785310734463276E-2"/>
    <m/>
    <m/>
    <m/>
    <m/>
    <n v="0.87"/>
    <n v="4.647887323943662E-2"/>
    <n v="0.95"/>
    <n v="0.67449259259259264"/>
    <m/>
    <n v="271"/>
    <d v="1899-12-30T00:30:00"/>
    <n v="12"/>
    <s v="Normal"/>
    <s v="Normal"/>
    <n v="-5.2069425901201602E-2"/>
    <n v="-4.3785310734463276E-2"/>
  </r>
  <r>
    <d v="2023-09-10T00:00:00"/>
    <x v="2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9-11T00:00:00"/>
    <x v="24"/>
    <s v="M"/>
    <s v="FY24"/>
    <x v="107"/>
    <n v="894"/>
    <n v="-5.5226824457593686E-2"/>
    <n v="3.3526011560693639E-2"/>
    <m/>
    <m/>
    <m/>
    <m/>
    <n v="0.8"/>
    <n v="6.6805845511482248E-2"/>
    <n v="0.93"/>
    <n v="0.82115555555555564"/>
    <m/>
    <n v="248"/>
    <d v="1899-12-30T00:31:00"/>
    <n v="10"/>
    <s v="Normal"/>
    <s v="Normal"/>
    <n v="-5.5226824457593686E-2"/>
    <n v="3.3526011560693639E-2"/>
  </r>
  <r>
    <d v="2023-09-12T00:00:00"/>
    <x v="24"/>
    <s v="T"/>
    <s v="FY24"/>
    <x v="75"/>
    <n v="951"/>
    <n v="4.3841336116910233E-2"/>
    <n v="2.3681377825618945E-2"/>
    <m/>
    <m/>
    <m/>
    <m/>
    <n v="0.87"/>
    <n v="4.9000000000000002E-2"/>
    <n v="0.95"/>
    <n v="0.55475000000000008"/>
    <m/>
    <n v="252"/>
    <d v="1899-12-30T01:25:00"/>
    <n v="16"/>
    <s v="Normal"/>
    <s v="Normal"/>
    <n v="4.3841336116910233E-2"/>
    <n v="2.3681377825618945E-2"/>
  </r>
  <r>
    <d v="2023-09-13T00:00:00"/>
    <x v="24"/>
    <s v="W"/>
    <s v="FY24"/>
    <x v="123"/>
    <n v="887"/>
    <n v="-2.9989658738366079E-2"/>
    <n v="-2.8477546549835708E-2"/>
    <m/>
    <m/>
    <m/>
    <m/>
    <n v="0.9"/>
    <n v="5.4371002132196165E-2"/>
    <n v="0.95"/>
    <n v="0.58898677248677245"/>
    <m/>
    <n v="251"/>
    <d v="1899-12-30T00:19:00"/>
    <n v="14"/>
    <s v="Normal"/>
    <s v="Normal"/>
    <n v="-2.9989658738366079E-2"/>
    <n v="-2.8477546549835708E-2"/>
  </r>
  <r>
    <d v="2023-09-14T00:00:00"/>
    <x v="24"/>
    <s v="R"/>
    <s v="FY24"/>
    <x v="124"/>
    <n v="734"/>
    <n v="-5.726405090137858E-2"/>
    <n v="-0.20990312163616792"/>
    <m/>
    <m/>
    <m/>
    <m/>
    <n v="0.54"/>
    <n v="0.17435320584926883"/>
    <n v="0.83"/>
    <n v="0.74141414141414153"/>
    <m/>
    <n v="300"/>
    <d v="1899-12-30T01:16:00"/>
    <n v="11"/>
    <s v="Normal"/>
    <s v="Normal"/>
    <n v="-5.726405090137858E-2"/>
    <n v="-0.20990312163616792"/>
  </r>
  <r>
    <d v="2023-09-15T00:00:00"/>
    <x v="24"/>
    <s v="F"/>
    <s v="FY24"/>
    <x v="125"/>
    <n v="795"/>
    <n v="-8.6767895878524945E-2"/>
    <n v="-4.790419161676647E-2"/>
    <m/>
    <m/>
    <m/>
    <m/>
    <n v="0.78"/>
    <n v="5.5819477434679333E-2"/>
    <n v="0.94"/>
    <n v="0.58888888888888891"/>
    <m/>
    <n v="300"/>
    <d v="1899-12-30T00:39:00"/>
    <n v="15"/>
    <s v="Normal"/>
    <s v="Normal"/>
    <n v="-8.6767895878524945E-2"/>
    <n v="-4.790419161676647E-2"/>
  </r>
  <r>
    <d v="2023-09-16T00:00:00"/>
    <x v="24"/>
    <s v="S"/>
    <s v="FY24"/>
    <x v="126"/>
    <n v="553"/>
    <n v="-9.8591549295774655E-3"/>
    <n v="-0.18316100443131461"/>
    <m/>
    <m/>
    <m/>
    <m/>
    <n v="0.45"/>
    <n v="0.21337126600284495"/>
    <n v="0.79"/>
    <n v="0.61444444444444446"/>
    <m/>
    <n v="300"/>
    <d v="1899-12-30T00:39:00"/>
    <n v="10"/>
    <s v="Normal"/>
    <s v="Normal"/>
    <n v="-9.8591549295774655E-3"/>
    <n v="-0.18316100443131461"/>
  </r>
  <r>
    <d v="2023-09-17T00:00:00"/>
    <x v="25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9-18T00:00:00"/>
    <x v="25"/>
    <s v="M"/>
    <s v="FY24"/>
    <x v="93"/>
    <n v="812"/>
    <n v="-7.0981210855949897E-2"/>
    <n v="-9.1722595078299773E-2"/>
    <m/>
    <m/>
    <m/>
    <m/>
    <n v="0.78"/>
    <n v="8.7640449438202248E-2"/>
    <n v="0.91"/>
    <n v="0.63907407407407413"/>
    <m/>
    <n v="255"/>
    <d v="1899-12-30T00:29:00"/>
    <n v="12"/>
    <s v="Normal"/>
    <s v="Normal"/>
    <n v="-7.0981210855949897E-2"/>
    <n v="-9.1722595078299773E-2"/>
  </r>
  <r>
    <d v="2023-09-19T00:00:00"/>
    <x v="25"/>
    <s v="T"/>
    <s v="FY24"/>
    <x v="127"/>
    <n v="818"/>
    <n v="-6.3E-2"/>
    <n v="-0.13985278654048369"/>
    <m/>
    <m/>
    <m/>
    <m/>
    <n v="0.62"/>
    <n v="0.12700106723585913"/>
    <n v="0.87"/>
    <n v="0.90888888888888886"/>
    <m/>
    <n v="300"/>
    <d v="1899-12-30T01:00:00"/>
    <n v="10"/>
    <s v="Normal"/>
    <s v="Normal"/>
    <n v="-6.3E-2"/>
    <n v="-0.13985278654048369"/>
  </r>
  <r>
    <d v="2023-09-20T00:00:00"/>
    <x v="25"/>
    <s v="W"/>
    <s v="FY24"/>
    <x v="73"/>
    <n v="778"/>
    <n v="-4.6908315565031986E-2"/>
    <n v="-0.12288613303269448"/>
    <m/>
    <m/>
    <m/>
    <m/>
    <n v="0.63"/>
    <n v="0.12975391498881431"/>
    <n v="0.87"/>
    <n v="0.66495726495726493"/>
    <m/>
    <n v="300"/>
    <d v="1899-12-30T01:00:00"/>
    <n v="13"/>
    <s v="Normal"/>
    <s v="Normal"/>
    <n v="-4.6908315565031986E-2"/>
    <n v="-0.12288613303269448"/>
  </r>
  <r>
    <d v="2023-09-21T00:00:00"/>
    <x v="25"/>
    <s v="R"/>
    <s v="FY24"/>
    <x v="21"/>
    <n v="832"/>
    <n v="4.7244094488188976E-2"/>
    <n v="0.1335149863760218"/>
    <m/>
    <m/>
    <m/>
    <m/>
    <n v="0.65"/>
    <n v="0.10633727175080558"/>
    <n v="0.89"/>
    <n v="0.77037037037037026"/>
    <m/>
    <n v="300"/>
    <d v="1899-12-30T00:50:00"/>
    <n v="12"/>
    <s v="Normal"/>
    <s v="Normal"/>
    <n v="4.7244094488188976E-2"/>
    <n v="0.1335149863760218"/>
  </r>
  <r>
    <d v="2023-09-22T00:00:00"/>
    <x v="25"/>
    <s v="F"/>
    <s v="FY24"/>
    <x v="128"/>
    <n v="824"/>
    <n v="0.15201900237529692"/>
    <n v="3.6477987421383647E-2"/>
    <m/>
    <m/>
    <m/>
    <m/>
    <n v="0.62"/>
    <n v="0.15051546391752577"/>
    <n v="0.85"/>
    <n v="0.76296296296296306"/>
    <m/>
    <n v="300"/>
    <d v="1899-12-30T01:25:00"/>
    <n v="12"/>
    <s v="Normal"/>
    <s v="Normal"/>
    <n v="0.15201900237529692"/>
    <n v="3.6477987421383647E-2"/>
  </r>
  <r>
    <d v="2023-09-23T00:00:00"/>
    <x v="25"/>
    <s v="S"/>
    <s v="FY24"/>
    <x v="129"/>
    <n v="440"/>
    <n v="0.16927453769559034"/>
    <n v="-0.20433996383363473"/>
    <m/>
    <m/>
    <m/>
    <m/>
    <n v="0.11"/>
    <n v="0.46472019464720193"/>
    <n v="0.56000000000000005"/>
    <n v="1.1733333333333333"/>
    <m/>
    <n v="360"/>
    <d v="1899-12-30T04:11:00"/>
    <n v="5"/>
    <s v="Normal"/>
    <s v="Normal"/>
    <n v="0.16927453769559034"/>
    <n v="-0.20433996383363473"/>
  </r>
  <r>
    <d v="2023-09-24T00:00:00"/>
    <x v="26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9-25T00:00:00"/>
    <x v="26"/>
    <s v="M"/>
    <s v="FY24"/>
    <x v="53"/>
    <n v="879"/>
    <n v="8.5393258426966295E-2"/>
    <n v="8.2512315270935957E-2"/>
    <m/>
    <m/>
    <m/>
    <m/>
    <n v="0.73"/>
    <n v="9.0062111801242239E-2"/>
    <n v="0.91"/>
    <n v="0.83559259259259266"/>
    <m/>
    <n v="308"/>
    <d v="1899-12-30T00:37:00"/>
    <n v="12"/>
    <s v="Normal"/>
    <s v="Normal"/>
    <n v="8.5393258426966295E-2"/>
    <n v="8.2512315270935957E-2"/>
  </r>
  <r>
    <d v="2023-09-26T00:00:00"/>
    <x v="26"/>
    <s v="T"/>
    <s v="FY24"/>
    <x v="130"/>
    <n v="887"/>
    <n v="3.7353255069370331E-2"/>
    <n v="8.4352078239608802E-2"/>
    <m/>
    <m/>
    <m/>
    <m/>
    <n v="0.72"/>
    <n v="8.7448559670781897E-2"/>
    <n v="0.91"/>
    <n v="0.82950925925925934"/>
    <m/>
    <n v="303"/>
    <d v="1899-12-30T00:38:00"/>
    <n v="12"/>
    <s v="Normal"/>
    <s v="Normal"/>
    <n v="3.7353255069370331E-2"/>
    <n v="8.4352078239608802E-2"/>
  </r>
  <r>
    <d v="2023-09-27T00:00:00"/>
    <x v="26"/>
    <s v="W"/>
    <s v="FY24"/>
    <x v="131"/>
    <n v="726"/>
    <n v="3.5794183445190156E-2"/>
    <n v="-6.6838046272493568E-2"/>
    <m/>
    <m/>
    <m/>
    <m/>
    <n v="0.38"/>
    <n v="0.21598272138228941"/>
    <n v="0.78"/>
    <n v="0.87511111111111117"/>
    <m/>
    <n v="358"/>
    <d v="1899-12-30T01:37:00"/>
    <n v="11"/>
    <s v="Normal"/>
    <s v="Normal"/>
    <n v="3.5794183445190156E-2"/>
    <n v="-6.6838046272493568E-2"/>
  </r>
  <r>
    <d v="2023-09-28T00:00:00"/>
    <x v="26"/>
    <s v="R"/>
    <s v="FY24"/>
    <x v="79"/>
    <n v="779"/>
    <n v="3.3297529538131039E-2"/>
    <n v="-6.3701923076923073E-2"/>
    <m/>
    <m/>
    <m/>
    <m/>
    <n v="0.44"/>
    <n v="0.19022869022869024"/>
    <n v="0.81"/>
    <n v="1.1380452674897121"/>
    <m/>
    <n v="355"/>
    <d v="1899-12-30T02:01:00"/>
    <n v="9"/>
    <s v="Normal"/>
    <s v="Normal"/>
    <n v="3.3297529538131039E-2"/>
    <n v="-6.3701923076923073E-2"/>
  </r>
  <r>
    <d v="2023-09-29T00:00:00"/>
    <x v="26"/>
    <s v="F"/>
    <s v="FY24"/>
    <x v="132"/>
    <n v="830"/>
    <n v="-5.2577319587628867E-2"/>
    <n v="7.2815533980582527E-3"/>
    <m/>
    <m/>
    <m/>
    <m/>
    <n v="0.68"/>
    <n v="9.6844396082698583E-2"/>
    <n v="0.9"/>
    <n v="0.7685185185185186"/>
    <m/>
    <n v="300"/>
    <d v="1899-12-30T00:51:00"/>
    <n v="12"/>
    <s v="Normal"/>
    <s v="Normal"/>
    <n v="-5.2577319587628867E-2"/>
    <n v="7.2815533980582527E-3"/>
  </r>
  <r>
    <d v="2023-09-30T00:00:00"/>
    <x v="26"/>
    <s v="S"/>
    <s v="FY24"/>
    <x v="133"/>
    <n v="557"/>
    <n v="5.9610705596107053E-2"/>
    <n v="0.26590909090909093"/>
    <m/>
    <m/>
    <m/>
    <m/>
    <n v="0.12"/>
    <n v="0.36050516647531572"/>
    <n v="0.64"/>
    <n v="0.94122685185185184"/>
    <m/>
    <n v="365"/>
    <d v="1899-12-30T03:15:00"/>
    <m/>
    <s v="Normal"/>
    <s v="Normal"/>
    <n v="5.9610705596107053E-2"/>
    <n v="0.26590909090909093"/>
  </r>
  <r>
    <d v="2023-10-01T00:00:00"/>
    <x v="27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02T00:00:00"/>
    <x v="27"/>
    <s v="M"/>
    <s v="FY24"/>
    <x v="134"/>
    <n v="943"/>
    <n v="0.11076604554865424"/>
    <n v="7.2810011376564274E-2"/>
    <m/>
    <m/>
    <m/>
    <m/>
    <n v="0.57999999999999996"/>
    <n v="0.12"/>
    <n v="0.88"/>
    <n v="0.87"/>
    <m/>
    <n v="300"/>
    <d v="1899-12-30T01:13:00"/>
    <n v="12"/>
    <s v="Normal"/>
    <s v="Normal"/>
    <n v="0.11076604554865424"/>
    <n v="7.2810011376564274E-2"/>
  </r>
  <r>
    <d v="2023-10-03T00:00:00"/>
    <x v="27"/>
    <s v="T"/>
    <s v="FY24"/>
    <x v="128"/>
    <n v="909"/>
    <n v="-2.05761316872428E-3"/>
    <n v="2.480270574971815E-2"/>
    <m/>
    <m/>
    <m/>
    <m/>
    <n v="0.78"/>
    <n v="0.06"/>
    <n v="0.94"/>
    <n v="0.72"/>
    <m/>
    <n v="300"/>
    <d v="1899-12-30T00:34:00"/>
    <n v="14"/>
    <s v="Normal"/>
    <s v="Normal"/>
    <n v="-2.05761316872428E-3"/>
    <n v="2.480270574971815E-2"/>
  </r>
  <r>
    <d v="2023-10-04T00:00:00"/>
    <x v="27"/>
    <s v="W"/>
    <s v="FY24"/>
    <x v="135"/>
    <n v="730"/>
    <n v="4.859611231101512E-2"/>
    <n v="5.5096418732782371E-3"/>
    <m/>
    <m/>
    <m/>
    <m/>
    <n v="0.44"/>
    <n v="0.25"/>
    <n v="0.75"/>
    <n v="0.83"/>
    <m/>
    <n v="337"/>
    <d v="1899-12-30T02:00:00"/>
    <n v="11"/>
    <s v="Normal"/>
    <s v="Normal"/>
    <n v="4.859611231101512E-2"/>
    <n v="5.5096418732782371E-3"/>
  </r>
  <r>
    <d v="2023-10-05T00:00:00"/>
    <x v="27"/>
    <s v="R"/>
    <s v="FY24"/>
    <x v="136"/>
    <n v="749"/>
    <n v="-1.8711018711018712E-2"/>
    <n v="-3.8510911424903725E-2"/>
    <m/>
    <m/>
    <m/>
    <m/>
    <n v="0.44"/>
    <n v="0.21"/>
    <n v="0.79"/>
    <n v="0.83"/>
    <m/>
    <n v="360"/>
    <d v="1899-12-30T02:00:00"/>
    <n v="12"/>
    <s v="Normal"/>
    <s v="Normal"/>
    <n v="-1.8711018711018712E-2"/>
    <n v="-3.8510911424903725E-2"/>
  </r>
  <r>
    <d v="2023-10-06T00:00:00"/>
    <x v="27"/>
    <s v="F"/>
    <s v="FY24"/>
    <x v="87"/>
    <n v="596"/>
    <n v="-5.4406964091403701E-3"/>
    <n v="-0.28192771084337348"/>
    <m/>
    <m/>
    <m/>
    <m/>
    <n v="0.18"/>
    <n v="0.35"/>
    <n v="0.65"/>
    <n v="0.99"/>
    <m/>
    <n v="360"/>
    <d v="1899-12-30T03:30:00"/>
    <n v="8"/>
    <s v="Normal"/>
    <s v="Normal"/>
    <n v="-5.4406964091403701E-3"/>
    <n v="-0.28192771084337348"/>
  </r>
  <r>
    <d v="2023-10-07T00:00:00"/>
    <x v="27"/>
    <s v="S"/>
    <s v="FY24"/>
    <x v="137"/>
    <n v="541"/>
    <n v="-9.8737083811710674E-2"/>
    <n v="-2.8725314183123879E-2"/>
    <m/>
    <m/>
    <m/>
    <m/>
    <n v="0.24"/>
    <n v="0.31"/>
    <n v="0.69"/>
    <n v="0.84"/>
    <m/>
    <n v="376"/>
    <d v="1899-12-30T03:00:00"/>
    <n v="8"/>
    <s v="Normal"/>
    <s v="Normal"/>
    <n v="-9.8737083811710674E-2"/>
    <n v="-2.8725314183123879E-2"/>
  </r>
  <r>
    <d v="2023-10-08T00:00:00"/>
    <x v="28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09T00:00:00"/>
    <x v="28"/>
    <s v="M"/>
    <s v="FY24"/>
    <x v="138"/>
    <n v="776"/>
    <n v="-0.10438024231127679"/>
    <n v="-0.17709437963944857"/>
    <m/>
    <m/>
    <m/>
    <m/>
    <n v="0.42"/>
    <n v="0.19"/>
    <n v="0.81"/>
    <n v="0.91"/>
    <m/>
    <n v="412"/>
    <d v="1899-12-30T01:43:00"/>
    <n v="13"/>
    <s v="Normal"/>
    <s v="Normal"/>
    <n v="-0.10438024231127679"/>
    <n v="-0.17709437963944857"/>
  </r>
  <r>
    <d v="2023-10-10T00:00:00"/>
    <x v="28"/>
    <s v="T"/>
    <s v="FY24"/>
    <x v="139"/>
    <n v="866"/>
    <n v="5.3608247422680409E-2"/>
    <n v="-4.7304730473047306E-2"/>
    <m/>
    <m/>
    <m/>
    <m/>
    <n v="0.53"/>
    <n v="0.15"/>
    <n v="0.85"/>
    <n v="0.82"/>
    <m/>
    <n v="360"/>
    <d v="1899-12-30T01:20:00"/>
    <n v="14"/>
    <s v="Normal"/>
    <s v="Normal"/>
    <n v="5.3608247422680409E-2"/>
    <n v="-4.7304730473047306E-2"/>
  </r>
  <r>
    <d v="2023-10-11T00:00:00"/>
    <x v="28"/>
    <s v="W"/>
    <s v="FY24"/>
    <x v="8"/>
    <n v="876"/>
    <n v="-1.8537590113285273E-2"/>
    <n v="0.2"/>
    <m/>
    <m/>
    <m/>
    <m/>
    <n v="0.75"/>
    <n v="0.08"/>
    <n v="0.92"/>
    <n v="0.8"/>
    <m/>
    <n v="347"/>
    <d v="1899-12-30T00:30:00"/>
    <n v="14"/>
    <s v="Normal"/>
    <s v="Normal"/>
    <n v="-1.8537590113285273E-2"/>
    <n v="0.2"/>
  </r>
  <r>
    <d v="2023-10-12T00:00:00"/>
    <x v="28"/>
    <s v="R"/>
    <s v="FY24"/>
    <x v="140"/>
    <n v="784"/>
    <n v="-7.2033898305084748E-2"/>
    <n v="4.6728971962616821E-2"/>
    <m/>
    <m/>
    <m/>
    <m/>
    <n v="0.71"/>
    <n v="0.11"/>
    <n v="0.89"/>
    <n v="0.87"/>
    <m/>
    <n v="360"/>
    <d v="1899-12-30T00:41:00"/>
    <n v="12"/>
    <s v="Normal"/>
    <s v="Normal"/>
    <n v="-7.2033898305084748E-2"/>
    <n v="4.6728971962616821E-2"/>
  </r>
  <r>
    <d v="2023-10-13T00:00:00"/>
    <x v="28"/>
    <s v="F"/>
    <s v="FY24"/>
    <x v="141"/>
    <n v="737"/>
    <n v="-1.3129102844638949E-2"/>
    <n v="0.23657718120805368"/>
    <m/>
    <m/>
    <m/>
    <m/>
    <n v="0.61"/>
    <n v="0.18"/>
    <n v="0.82"/>
    <n v="0.82"/>
    <m/>
    <n v="330"/>
    <d v="1899-12-30T01:14:00"/>
    <n v="11"/>
    <s v="Normal"/>
    <s v="Normal"/>
    <n v="-1.3129102844638949E-2"/>
    <n v="0.23657718120805368"/>
  </r>
  <r>
    <d v="2023-10-14T00:00:00"/>
    <x v="28"/>
    <s v="S"/>
    <s v="FY24"/>
    <x v="142"/>
    <n v="584"/>
    <n v="-5.2229299363057327E-2"/>
    <n v="7.9482439926062853E-2"/>
    <m/>
    <m/>
    <m/>
    <m/>
    <n v="0.49"/>
    <n v="0.22"/>
    <n v="0.78"/>
    <n v="0.89"/>
    <m/>
    <n v="328"/>
    <d v="1899-12-30T01:30:00"/>
    <n v="8"/>
    <s v="Normal"/>
    <s v="Normal"/>
    <n v="-5.2229299363057327E-2"/>
    <n v="7.9482439926062853E-2"/>
  </r>
  <r>
    <d v="2023-10-15T00:00:00"/>
    <x v="29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16T00:00:00"/>
    <x v="29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17T00:00:00"/>
    <x v="29"/>
    <s v="T"/>
    <s v="FY24"/>
    <x v="143"/>
    <n v="960"/>
    <n v="0.11741682974559686"/>
    <n v="0.10854503464203233"/>
    <m/>
    <m/>
    <m/>
    <m/>
    <n v="0.53"/>
    <n v="0.16"/>
    <n v="0.84"/>
    <n v="0.75"/>
    <m/>
    <n v="360"/>
    <d v="1899-12-30T01:26:00"/>
    <n v="17"/>
    <s v="Normal"/>
    <s v="Normal"/>
    <n v="0.11741682974559686"/>
    <n v="0.10854503464203233"/>
  </r>
  <r>
    <d v="2023-10-18T00:00:00"/>
    <x v="29"/>
    <s v="W"/>
    <s v="FY24"/>
    <x v="144"/>
    <n v="923"/>
    <n v="0.12277019937040923"/>
    <n v="5.3652968036529677E-2"/>
    <m/>
    <m/>
    <m/>
    <m/>
    <n v="0.66"/>
    <n v="0.14000000000000001"/>
    <n v="0.86"/>
    <n v="0.88"/>
    <m/>
    <n v="360"/>
    <d v="1899-12-30T01:00:00"/>
    <n v="14"/>
    <s v="Normal"/>
    <s v="Normal"/>
    <n v="0.12277019937040923"/>
    <n v="5.3652968036529677E-2"/>
  </r>
  <r>
    <d v="2023-10-19T00:00:00"/>
    <x v="29"/>
    <s v="R"/>
    <s v="FY24"/>
    <x v="145"/>
    <n v="753"/>
    <n v="0.29223744292237441"/>
    <n v="-3.9540816326530615E-2"/>
    <m/>
    <m/>
    <m/>
    <m/>
    <n v="0.24"/>
    <n v="0.33"/>
    <n v="0.67"/>
    <n v="0.8"/>
    <m/>
    <n v="343"/>
    <d v="1899-12-30T03:00:00"/>
    <n v="12"/>
    <s v="Normal"/>
    <s v="Normal"/>
    <n v="0.29223744292237441"/>
    <n v="-3.9540816326530615E-2"/>
  </r>
  <r>
    <d v="2023-10-20T00:00:00"/>
    <x v="29"/>
    <s v="F"/>
    <s v="FY24"/>
    <x v="96"/>
    <n v="970"/>
    <n v="0.23503325942350334"/>
    <n v="0.31614654002713705"/>
    <m/>
    <m/>
    <m/>
    <m/>
    <n v="0.9"/>
    <n v="0.04"/>
    <n v="0.96"/>
    <n v="0.86"/>
    <m/>
    <n v="313"/>
    <d v="1899-12-30T01:16:00"/>
    <n v="13"/>
    <s v="Normal"/>
    <s v="Normal"/>
    <n v="0.23503325942350334"/>
    <n v="0.31614654002713705"/>
  </r>
  <r>
    <d v="2023-10-21T00:00:00"/>
    <x v="29"/>
    <s v="S"/>
    <s v="FY24"/>
    <x v="146"/>
    <n v="711"/>
    <n v="0.2661290322580645"/>
    <n v="0.21746575342465754"/>
    <m/>
    <m/>
    <m/>
    <m/>
    <n v="0.35"/>
    <n v="0.25"/>
    <n v="0.75"/>
    <n v="0.96"/>
    <m/>
    <n v="328"/>
    <d v="1899-12-30T02:00:00"/>
    <n v="9"/>
    <s v="Normal"/>
    <s v="Normal"/>
    <n v="0.2661290322580645"/>
    <n v="0.21746575342465754"/>
  </r>
  <r>
    <d v="2023-10-22T00:00:00"/>
    <x v="3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23T00:00:00"/>
    <x v="30"/>
    <s v="M"/>
    <s v="FY24"/>
    <x v="147"/>
    <n v="1067"/>
    <n v="0"/>
    <n v="0"/>
    <m/>
    <m/>
    <m/>
    <m/>
    <n v="0.9"/>
    <n v="0.04"/>
    <n v="0.96"/>
    <n v="0.67"/>
    <m/>
    <n v="306"/>
    <d v="1899-12-30T00:18:00"/>
    <n v="18"/>
    <s v="Normal"/>
    <s v="Normal"/>
    <n v="0"/>
    <n v="0"/>
  </r>
  <r>
    <d v="2023-10-24T00:00:00"/>
    <x v="30"/>
    <s v="T"/>
    <s v="FY24"/>
    <x v="148"/>
    <n v="1021"/>
    <n v="-3.5026269702276708E-2"/>
    <n v="6.3541666666666663E-2"/>
    <m/>
    <m/>
    <m/>
    <m/>
    <n v="0.82"/>
    <n v="7.0000000000000007E-2"/>
    <n v="0.93"/>
    <n v="0.56999999999999995"/>
    <m/>
    <n v="300"/>
    <d v="1899-12-30T00:47:00"/>
    <n v="20"/>
    <s v="Normal"/>
    <s v="Normal"/>
    <n v="-3.5026269702276708E-2"/>
    <n v="6.3541666666666663E-2"/>
  </r>
  <r>
    <d v="2023-10-25T00:00:00"/>
    <x v="30"/>
    <s v="W"/>
    <s v="FY24"/>
    <x v="149"/>
    <n v="1003"/>
    <n v="0.11962616822429907"/>
    <n v="8.6673889490790898E-2"/>
    <m/>
    <m/>
    <m/>
    <m/>
    <n v="0.51"/>
    <n v="0.16"/>
    <n v="0.84"/>
    <n v="0.7"/>
    <m/>
    <n v="300"/>
    <d v="1899-12-30T01:00:00"/>
    <n v="16"/>
    <s v="Normal"/>
    <s v="Normal"/>
    <n v="0.11962616822429907"/>
    <n v="8.6673889490790898E-2"/>
  </r>
  <r>
    <d v="2023-10-26T00:00:00"/>
    <x v="30"/>
    <s v="R"/>
    <s v="FY24"/>
    <x v="150"/>
    <n v="973"/>
    <n v="-5.1236749116607777E-2"/>
    <n v="0.29216467463479417"/>
    <m/>
    <m/>
    <m/>
    <m/>
    <n v="0.7"/>
    <n v="0.09"/>
    <n v="0.91"/>
    <n v="0.68"/>
    <m/>
    <n v="321"/>
    <d v="1899-12-30T00:37:00"/>
    <n v="17"/>
    <s v="Normal"/>
    <s v="Normal"/>
    <n v="-5.1236749116607777E-2"/>
    <n v="0.29216467463479417"/>
  </r>
  <r>
    <d v="2023-10-27T00:00:00"/>
    <x v="30"/>
    <s v="F"/>
    <s v="FY24"/>
    <x v="151"/>
    <n v="966"/>
    <n v="-3.052064631956912E-2"/>
    <n v="-4.1237113402061857E-3"/>
    <m/>
    <m/>
    <m/>
    <m/>
    <n v="0.64"/>
    <n v="0.11"/>
    <n v="0.89"/>
    <n v="0.68"/>
    <m/>
    <n v="325"/>
    <d v="1899-12-30T00:51:00"/>
    <n v="17"/>
    <s v="Normal"/>
    <s v="Normal"/>
    <n v="-3.052064631956912E-2"/>
    <n v="-4.1237113402061857E-3"/>
  </r>
  <r>
    <d v="2023-10-28T00:00:00"/>
    <x v="30"/>
    <s v="S"/>
    <s v="FY24"/>
    <x v="152"/>
    <n v="697"/>
    <n v="3.7154989384288746E-2"/>
    <n v="-1.969057665260197E-2"/>
    <m/>
    <m/>
    <m/>
    <m/>
    <n v="0.41"/>
    <n v="0.39"/>
    <n v="0.61"/>
    <n v="0.25"/>
    <m/>
    <n v="339"/>
    <d v="1899-12-30T03:00:00"/>
    <n v="12"/>
    <s v="Normal"/>
    <s v="Normal"/>
    <n v="3.7154989384288746E-2"/>
    <n v="-1.969057665260197E-2"/>
  </r>
  <r>
    <d v="2023-10-29T00:00:00"/>
    <x v="3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30T00:00:00"/>
    <x v="31"/>
    <s v="M"/>
    <s v="FY24"/>
    <x v="153"/>
    <n v="389"/>
    <n v="-0.4261261261261261"/>
    <n v="-0.63542642924086223"/>
    <m/>
    <m/>
    <m/>
    <m/>
    <n v="0.41"/>
    <n v="0.39"/>
    <n v="0.61"/>
    <n v="0.25"/>
    <m/>
    <n v="300"/>
    <d v="1899-12-30T04:12:00"/>
    <n v="17"/>
    <s v="Normal"/>
    <s v="Normal"/>
    <n v="-0.4261261261261261"/>
    <n v="-0.63542642924086223"/>
  </r>
  <r>
    <d v="2023-10-31T00:00:00"/>
    <x v="31"/>
    <s v="T"/>
    <s v="FY24"/>
    <x v="154"/>
    <n v="505"/>
    <n v="0.25771324863883849"/>
    <n v="-0.5053868756121449"/>
    <m/>
    <m/>
    <m/>
    <m/>
    <n v="7.0000000000000007E-2"/>
    <n v="0.64"/>
    <n v="0.36"/>
    <n v="0.56000000000000005"/>
    <m/>
    <n v="300"/>
    <d v="1899-12-30T08:01:00"/>
    <n v="10"/>
    <s v="Normal"/>
    <s v="Normal"/>
    <n v="0.25771324863883849"/>
    <n v="-0.5053868756121449"/>
  </r>
  <r>
    <d v="2023-11-01T00:00:00"/>
    <x v="31"/>
    <s v="W"/>
    <s v="FY24"/>
    <x v="103"/>
    <n v="934"/>
    <n v="-0.19532554257095158"/>
    <n v="-6.8793619142572288E-2"/>
    <m/>
    <m/>
    <m/>
    <m/>
    <n v="0.89"/>
    <n v="0.03"/>
    <n v="0.97"/>
    <n v="0.61"/>
    <m/>
    <n v="300"/>
    <d v="1899-12-30T00:18:00"/>
    <n v="17"/>
    <s v="Normal"/>
    <s v="Normal"/>
    <n v="-0.19532554257095158"/>
    <n v="-6.8793619142572288E-2"/>
  </r>
  <r>
    <d v="2023-11-02T00:00:00"/>
    <x v="31"/>
    <s v="R"/>
    <s v="FY24"/>
    <x v="155"/>
    <n v="859"/>
    <n v="-8.5661080074487903E-2"/>
    <n v="-0.1171634121274409"/>
    <m/>
    <m/>
    <m/>
    <m/>
    <n v="0.63"/>
    <n v="0.13"/>
    <n v="0.87"/>
    <n v="0.82"/>
    <m/>
    <n v="360"/>
    <d v="1899-12-30T01:00:00"/>
    <n v="14"/>
    <s v="Normal"/>
    <s v="Normal"/>
    <n v="-8.5661080074487903E-2"/>
    <n v="-0.1171634121274409"/>
  </r>
  <r>
    <d v="2023-11-03T00:00:00"/>
    <x v="31"/>
    <s v="F"/>
    <s v="FY24"/>
    <x v="156"/>
    <n v="862"/>
    <n v="-6.0185185185185182E-2"/>
    <n v="-0.10766045548654245"/>
    <m/>
    <m/>
    <m/>
    <m/>
    <n v="0.56999999999999995"/>
    <n v="0.15"/>
    <n v="0.85"/>
    <n v="0.82"/>
    <m/>
    <n v="360"/>
    <d v="1899-12-30T01:00:00"/>
    <n v="14"/>
    <s v="Normal"/>
    <s v="Normal"/>
    <n v="-6.0185185185185182E-2"/>
    <n v="-0.10766045548654245"/>
  </r>
  <r>
    <d v="2023-11-04T00:00:00"/>
    <x v="31"/>
    <s v="S"/>
    <s v="FY24"/>
    <x v="137"/>
    <n v="714"/>
    <n v="-0.19651995905834185"/>
    <n v="2.4390243902439025E-2"/>
    <m/>
    <m/>
    <m/>
    <m/>
    <n v="0.73"/>
    <n v="0.09"/>
    <n v="0.91"/>
    <n v="0.83"/>
    <m/>
    <n v="347"/>
    <d v="1899-12-30T00:38:00"/>
    <n v="11"/>
    <s v="Normal"/>
    <s v="Normal"/>
    <n v="-0.19651995905834185"/>
    <n v="2.4390243902439025E-2"/>
  </r>
  <r>
    <d v="2023-11-05T00:00:00"/>
    <x v="3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1-06T00:00:00"/>
    <x v="32"/>
    <s v="M"/>
    <s v="FY24"/>
    <x v="143"/>
    <n v="984"/>
    <n v="0.79277864992150704"/>
    <n v="1.5295629820051413"/>
    <m/>
    <m/>
    <m/>
    <m/>
    <n v="0.57999999999999996"/>
    <n v="0.14000000000000001"/>
    <n v="0.86"/>
    <n v="0.77"/>
    <m/>
    <n v="340"/>
    <d v="1899-12-30T01:00:00"/>
    <n v="16"/>
    <s v="Normal"/>
    <s v="Normal"/>
    <n v="0.79277864992150704"/>
    <n v="1.5295629820051413"/>
  </r>
  <r>
    <d v="2023-11-07T00:00:00"/>
    <x v="32"/>
    <s v="T"/>
    <s v="FY24"/>
    <x v="157"/>
    <n v="902"/>
    <n v="-0.30158730158730157"/>
    <n v="0.78613861386138617"/>
    <m/>
    <m/>
    <m/>
    <m/>
    <n v="0.85"/>
    <n v="7.0000000000000007E-2"/>
    <n v="0.93"/>
    <n v="0.65"/>
    <m/>
    <n v="311"/>
    <d v="1899-12-30T00:26:00"/>
    <n v="16"/>
    <s v="Normal"/>
    <s v="Normal"/>
    <n v="-0.30158730158730157"/>
    <n v="0.78613861386138617"/>
  </r>
  <r>
    <d v="2023-11-08T00:00:00"/>
    <x v="32"/>
    <s v="W"/>
    <s v="FY24"/>
    <x v="158"/>
    <n v="942"/>
    <n v="0.31639004149377592"/>
    <n v="8.5653104925053538E-3"/>
    <m/>
    <m/>
    <m/>
    <m/>
    <n v="0.37"/>
    <n v="0.26"/>
    <n v="0.74"/>
    <n v="0.81"/>
    <m/>
    <n v="303"/>
    <d v="1899-12-30T01:49:00"/>
    <n v="13"/>
    <s v="Normal"/>
    <s v="Normal"/>
    <n v="0.31639004149377592"/>
    <n v="8.5653104925053538E-3"/>
  </r>
  <r>
    <d v="2023-11-09T00:00:00"/>
    <x v="32"/>
    <s v="R"/>
    <s v="FY24"/>
    <x v="159"/>
    <n v="883"/>
    <n v="4.9898167006109981E-2"/>
    <n v="2.7939464493597205E-2"/>
    <m/>
    <m/>
    <m/>
    <m/>
    <n v="0.62"/>
    <n v="0.14000000000000001"/>
    <n v="0.86"/>
    <n v="0.89"/>
    <m/>
    <n v="327"/>
    <d v="1899-12-30T01:00:00"/>
    <n v="12"/>
    <s v="Normal"/>
    <s v="Normal"/>
    <n v="4.9898167006109981E-2"/>
    <n v="2.7939464493597205E-2"/>
  </r>
  <r>
    <d v="2023-11-10T00:00:00"/>
    <x v="32"/>
    <s v="F"/>
    <s v="FY24"/>
    <x v="160"/>
    <n v="787"/>
    <n v="3.3497536945812804E-2"/>
    <n v="-8.7006960556844551E-2"/>
    <m/>
    <m/>
    <m/>
    <m/>
    <n v="0.34"/>
    <n v="0.25"/>
    <n v="0.75"/>
    <n v="0.81"/>
    <m/>
    <n v="334"/>
    <d v="1899-12-30T02:06:00"/>
    <n v="12"/>
    <s v="Normal"/>
    <s v="Normal"/>
    <n v="3.3497536945812804E-2"/>
    <n v="-8.7006960556844551E-2"/>
  </r>
  <r>
    <d v="2023-11-11T00:00:00"/>
    <x v="32"/>
    <s v="S"/>
    <s v="FY24"/>
    <x v="161"/>
    <n v="648"/>
    <n v="-3.8216560509554139E-2"/>
    <n v="-9.2436974789915971E-2"/>
    <m/>
    <m/>
    <m/>
    <m/>
    <n v="0.63"/>
    <n v="0.14000000000000001"/>
    <n v="0.86"/>
    <n v="0.92"/>
    <m/>
    <n v="344"/>
    <d v="1899-12-30T01:02:00"/>
    <n v="9"/>
    <s v="Normal"/>
    <s v="Normal"/>
    <n v="-3.8216560509554139E-2"/>
    <n v="-9.2436974789915971E-2"/>
  </r>
  <r>
    <d v="2023-11-12T00:00:00"/>
    <x v="33"/>
    <s v="D"/>
    <s v="FY24"/>
    <x v="1"/>
    <n v="0"/>
    <n v="0"/>
    <n v="0"/>
    <m/>
    <m/>
    <m/>
    <m/>
    <n v="0"/>
    <n v="0"/>
    <n v="0"/>
    <n v="0"/>
    <m/>
    <n v="0"/>
    <d v="1899-12-30T00:00:00"/>
    <n v="0"/>
    <s v="Normal"/>
    <s v="Normal"/>
    <n v="0"/>
    <n v="0"/>
  </r>
  <r>
    <d v="2023-11-13T00:00:00"/>
    <x v="33"/>
    <s v="M"/>
    <s v="FY24"/>
    <x v="162"/>
    <n v="1026"/>
    <n v="-4.816112084063047E-2"/>
    <n v="4.2682926829268296E-2"/>
    <m/>
    <m/>
    <m/>
    <m/>
    <n v="0.81"/>
    <n v="0.06"/>
    <n v="0.94"/>
    <n v="0.67"/>
    <m/>
    <n v="301"/>
    <d v="1899-12-30T00:28:00"/>
    <n v="17"/>
    <s v="Normal"/>
    <s v="Normal"/>
    <n v="-4.816112084063047E-2"/>
    <n v="4.2682926829268296E-2"/>
  </r>
  <r>
    <d v="2023-11-14T00:00:00"/>
    <x v="33"/>
    <s v="T"/>
    <s v="FY24"/>
    <x v="140"/>
    <n v="794"/>
    <n v="-9.5041322314049589E-2"/>
    <n v="-0.11973392461197339"/>
    <m/>
    <m/>
    <m/>
    <m/>
    <n v="0.81"/>
    <n v="0.09"/>
    <n v="0.91"/>
    <n v="0.64"/>
    <m/>
    <n v="327"/>
    <d v="1899-12-30T00:48:00"/>
    <n v="15"/>
    <s v="Normal"/>
    <s v="Normal"/>
    <n v="-9.5041322314049589E-2"/>
    <n v="-0.11973392461197339"/>
  </r>
  <r>
    <d v="2023-11-15T00:00:00"/>
    <x v="33"/>
    <s v="W"/>
    <s v="FY24"/>
    <x v="163"/>
    <n v="808"/>
    <n v="-0.27423167848699764"/>
    <n v="-0.14225053078556263"/>
    <m/>
    <m/>
    <m/>
    <m/>
    <n v="0.62"/>
    <n v="0.12"/>
    <n v="0.88"/>
    <n v="0.75"/>
    <m/>
    <n v="300"/>
    <d v="1899-12-30T01:00:00"/>
    <n v="12"/>
    <s v="Normal"/>
    <s v="Normal"/>
    <n v="-0.27423167848699764"/>
    <n v="-0.14225053078556263"/>
  </r>
  <r>
    <d v="2023-11-16T00:00:00"/>
    <x v="33"/>
    <s v="R"/>
    <s v="FY24"/>
    <x v="164"/>
    <n v="712"/>
    <n v="-0.1658583899127061"/>
    <n v="-0.19365798414496035"/>
    <m/>
    <m/>
    <m/>
    <m/>
    <n v="0.6"/>
    <n v="0.17"/>
    <n v="0.83"/>
    <n v="0.64"/>
    <m/>
    <n v="317"/>
    <d v="1899-12-30T01:00:00"/>
    <n v="13"/>
    <s v="Normal"/>
    <s v="Normal"/>
    <n v="-0.1658583899127061"/>
    <n v="-0.19365798414496035"/>
  </r>
  <r>
    <d v="2023-11-17T00:00:00"/>
    <x v="33"/>
    <s v="F"/>
    <s v="FY24"/>
    <x v="165"/>
    <n v="531"/>
    <n v="-0.24976167778836988"/>
    <n v="-0.32528589580686151"/>
    <m/>
    <m/>
    <m/>
    <m/>
    <n v="0.33"/>
    <n v="0.33"/>
    <n v="0.67"/>
    <n v="0.79"/>
    <m/>
    <n v="360"/>
    <d v="1899-12-30T03:00:00"/>
    <n v="9"/>
    <s v="Normal"/>
    <s v="Normal"/>
    <n v="-0.24976167778836988"/>
    <n v="-0.32528589580686151"/>
  </r>
  <r>
    <d v="2023-11-18T00:00:00"/>
    <x v="33"/>
    <s v="S"/>
    <s v="FY24"/>
    <x v="166"/>
    <n v="621"/>
    <n v="1.8543046357615896E-2"/>
    <n v="-4.1666666666666664E-2"/>
    <m/>
    <m/>
    <m/>
    <m/>
    <n v="0.57999999999999996"/>
    <n v="0.19"/>
    <n v="0.81"/>
    <n v="0.86"/>
    <m/>
    <n v="300"/>
    <d v="1899-12-30T02:00:00"/>
    <n v="8"/>
    <s v="Normal"/>
    <s v="Normal"/>
    <n v="1.8543046357615896E-2"/>
    <n v="-4.1666666666666664E-2"/>
  </r>
  <r>
    <d v="2023-11-19T00:00:00"/>
    <x v="3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1-20T00:00:00"/>
    <x v="34"/>
    <s v="M"/>
    <s v="FY24"/>
    <x v="167"/>
    <n v="998"/>
    <n v="6.5317387304507826E-2"/>
    <n v="-2.7290448343079921E-2"/>
    <m/>
    <m/>
    <m/>
    <m/>
    <n v="0.6"/>
    <n v="0.14000000000000001"/>
    <n v="0.86"/>
    <n v="0.72"/>
    <m/>
    <n v="331"/>
    <d v="1899-12-30T01:07:00"/>
    <n v="17"/>
    <s v="Normal"/>
    <s v="Normal"/>
    <n v="6.5317387304507826E-2"/>
    <n v="-2.7290448343079921E-2"/>
  </r>
  <r>
    <d v="2023-11-21T00:00:00"/>
    <x v="34"/>
    <s v="T"/>
    <s v="FY24"/>
    <x v="168"/>
    <n v="877"/>
    <n v="0.20776255707762556"/>
    <n v="0.10453400503778337"/>
    <m/>
    <m/>
    <m/>
    <m/>
    <n v="0.47"/>
    <n v="0.17"/>
    <n v="0.83"/>
    <n v="0.78"/>
    <m/>
    <n v="360"/>
    <d v="1899-12-30T01:13:00"/>
    <n v="15"/>
    <s v="Normal"/>
    <s v="Normal"/>
    <n v="0.20776255707762556"/>
    <n v="0.10453400503778337"/>
  </r>
  <r>
    <d v="2023-11-22T00:00:00"/>
    <x v="34"/>
    <s v="W"/>
    <s v="FY24"/>
    <x v="169"/>
    <n v="862"/>
    <n v="0.22366992399565688"/>
    <n v="6.6831683168316836E-2"/>
    <m/>
    <m/>
    <m/>
    <m/>
    <n v="0.37"/>
    <n v="0.24"/>
    <n v="0.76"/>
    <n v="0.8"/>
    <m/>
    <n v="349"/>
    <d v="1899-12-30T02:00:00"/>
    <n v="14"/>
    <s v="Normal"/>
    <s v="Normal"/>
    <n v="0.22366992399565688"/>
    <n v="6.6831683168316836E-2"/>
  </r>
  <r>
    <d v="2023-11-23T00:00:00"/>
    <x v="34"/>
    <s v="R"/>
    <s v="FY24"/>
    <x v="170"/>
    <n v="967"/>
    <n v="0.39767441860465114"/>
    <n v="0.35814606741573035"/>
    <m/>
    <m/>
    <m/>
    <m/>
    <n v="0.37"/>
    <n v="0.2"/>
    <n v="0.8"/>
    <n v="0.9"/>
    <m/>
    <n v="326"/>
    <d v="1899-12-30T02:00:00"/>
    <n v="13"/>
    <s v="Normal"/>
    <s v="Normal"/>
    <n v="0.39767441860465114"/>
    <n v="0.35814606741573035"/>
  </r>
  <r>
    <d v="2023-11-24T00:00:00"/>
    <x v="34"/>
    <s v="F"/>
    <s v="FY24"/>
    <x v="171"/>
    <n v="943"/>
    <n v="0.84879288437102918"/>
    <n v="0.77589453860640301"/>
    <m/>
    <m/>
    <m/>
    <m/>
    <n v="0.08"/>
    <n v="0.35"/>
    <n v="0.65"/>
    <n v="0.97"/>
    <m/>
    <n v="360"/>
    <d v="1899-12-30T03:00:00"/>
    <n v="13"/>
    <s v="Normal"/>
    <s v="Normal"/>
    <n v="0.84879288437102918"/>
    <n v="0.77589453860640301"/>
  </r>
  <r>
    <d v="2023-11-25T00:00:00"/>
    <x v="34"/>
    <s v="S"/>
    <s v="FY24"/>
    <x v="172"/>
    <n v="884"/>
    <n v="0.39011703511053314"/>
    <n v="0.42351046698872785"/>
    <m/>
    <m/>
    <m/>
    <m/>
    <n v="0.44"/>
    <n v="0.17"/>
    <n v="0.83"/>
    <n v="0.85"/>
    <m/>
    <n v="337"/>
    <d v="1899-12-30T01:46:00"/>
    <n v="13"/>
    <s v="Normal"/>
    <s v="Normal"/>
    <n v="0.39011703511053314"/>
    <n v="0.42351046698872785"/>
  </r>
  <r>
    <d v="2023-11-26T00:00:00"/>
    <x v="35"/>
    <s v="D"/>
    <s v="FY24"/>
    <x v="173"/>
    <n v="160"/>
    <n v="0"/>
    <n v="0"/>
    <m/>
    <m/>
    <m/>
    <m/>
    <n v="0.1"/>
    <n v="0.45"/>
    <n v="0.55000000000000004"/>
    <n v="0.47"/>
    <m/>
    <n v="240"/>
    <d v="1899-12-30T03:00:00"/>
    <n v="3"/>
    <s v="Normal"/>
    <s v="Normal"/>
    <n v="0"/>
    <n v="0"/>
  </r>
  <r>
    <d v="2023-11-27T00:00:00"/>
    <x v="35"/>
    <s v="M"/>
    <s v="FY24"/>
    <x v="174"/>
    <n v="1150"/>
    <n v="0.41450777202072536"/>
    <n v="0.15230460921843689"/>
    <m/>
    <m/>
    <m/>
    <m/>
    <n v="0.17"/>
    <n v="0.3"/>
    <n v="0.7"/>
    <n v="0.86"/>
    <m/>
    <n v="364"/>
    <d v="1899-12-30T02:35:00"/>
    <n v="18"/>
    <s v="Normal"/>
    <s v="Normal"/>
    <n v="0.41450777202072536"/>
    <n v="0.15230460921843689"/>
  </r>
  <r>
    <d v="2023-11-28T00:00:00"/>
    <x v="35"/>
    <s v="T"/>
    <s v="FY24"/>
    <x v="175"/>
    <n v="1000"/>
    <n v="0.6275992438563327"/>
    <n v="0.1402508551881414"/>
    <m/>
    <m/>
    <m/>
    <m/>
    <n v="0.08"/>
    <n v="0.42"/>
    <n v="0.57999999999999996"/>
    <n v="0.83"/>
    <m/>
    <n v="360"/>
    <d v="1899-12-30T04:13:00"/>
    <n v="16"/>
    <s v="Normal"/>
    <s v="Normal"/>
    <n v="0.6275992438563327"/>
    <n v="0.1402508551881414"/>
  </r>
  <r>
    <d v="2023-11-29T00:00:00"/>
    <x v="35"/>
    <s v="W"/>
    <s v="FY24"/>
    <x v="176"/>
    <n v="930"/>
    <n v="0.48802129547471162"/>
    <n v="7.8886310904872387E-2"/>
    <m/>
    <m/>
    <m/>
    <m/>
    <n v="0.04"/>
    <n v="0.45"/>
    <n v="0.55000000000000004"/>
    <n v="0.85"/>
    <m/>
    <n v="369"/>
    <d v="1899-12-30T06:04:00"/>
    <n v="15"/>
    <s v="Normal"/>
    <s v="Normal"/>
    <n v="0.48802129547471162"/>
    <n v="7.8886310904872387E-2"/>
  </r>
  <r>
    <d v="2023-11-30T00:00:00"/>
    <x v="35"/>
    <s v="R"/>
    <s v="FY24"/>
    <x v="177"/>
    <n v="765"/>
    <n v="0.47836938435940102"/>
    <n v="-0.20889348500517063"/>
    <m/>
    <m/>
    <m/>
    <m/>
    <n v="0.06"/>
    <n v="0.56999999999999995"/>
    <n v="0.43"/>
    <n v="0.88"/>
    <m/>
    <n v="404"/>
    <d v="1899-12-30T07:00:00"/>
    <n v="13"/>
    <s v="Normal"/>
    <s v="Normal"/>
    <n v="0.47836938435940102"/>
    <n v="-0.20889348500517063"/>
  </r>
  <r>
    <d v="2023-12-01T00:00:00"/>
    <x v="35"/>
    <s v="F"/>
    <s v="FY24"/>
    <x v="178"/>
    <n v="784"/>
    <n v="7.903780068728522E-2"/>
    <n v="-0.16861081654294804"/>
    <m/>
    <m/>
    <m/>
    <m/>
    <n v="0.02"/>
    <n v="0.5"/>
    <n v="0.5"/>
    <n v="0.86"/>
    <m/>
    <n v="442"/>
    <d v="1899-12-30T06:00:00"/>
    <n v="15"/>
    <s v="Normal"/>
    <s v="Normal"/>
    <n v="7.903780068728522E-2"/>
    <n v="-0.16861081654294804"/>
  </r>
  <r>
    <d v="2023-12-02T00:00:00"/>
    <x v="35"/>
    <s v="S"/>
    <s v="FY24"/>
    <x v="179"/>
    <n v="563"/>
    <n v="0.18615528531337699"/>
    <n v="-0.36312217194570134"/>
    <m/>
    <m/>
    <m/>
    <m/>
    <n v="0.01"/>
    <n v="0.56000000000000005"/>
    <n v="0.44"/>
    <n v="0.86"/>
    <m/>
    <n v="420"/>
    <d v="1899-12-30T08:00:00"/>
    <n v="11"/>
    <s v="Normal"/>
    <s v="Normal"/>
    <n v="0.18615528531337699"/>
    <n v="-0.36312217194570134"/>
  </r>
  <r>
    <d v="2023-12-03T00:00:00"/>
    <x v="36"/>
    <s v="D"/>
    <s v="FY24"/>
    <x v="180"/>
    <n v="135"/>
    <n v="-0.42955326460481097"/>
    <n v="-0.15625"/>
    <m/>
    <m/>
    <m/>
    <m/>
    <n v="0.5"/>
    <n v="0.19"/>
    <n v="0.81"/>
    <n v="0.8"/>
    <m/>
    <n v="241"/>
    <d v="1899-12-30T01:00:00"/>
    <n v="3"/>
    <s v="Normal"/>
    <s v="Normal"/>
    <n v="-0.42955326460481097"/>
    <n v="-0.15625"/>
  </r>
  <r>
    <d v="2023-12-04T00:00:00"/>
    <x v="36"/>
    <s v="M"/>
    <s v="FY24"/>
    <x v="181"/>
    <n v="1038"/>
    <n v="-0.14529914529914531"/>
    <n v="-9.7391304347826085E-2"/>
    <m/>
    <m/>
    <m/>
    <m/>
    <n v="0.28000000000000003"/>
    <n v="0.26"/>
    <n v="0.74"/>
    <n v="0.79"/>
    <m/>
    <n v="371"/>
    <d v="1899-12-30T02:19:00"/>
    <n v="18"/>
    <s v="Normal"/>
    <s v="Normal"/>
    <n v="-0.14529914529914531"/>
    <n v="-9.7391304347826085E-2"/>
  </r>
  <r>
    <d v="2023-12-05T00:00:00"/>
    <x v="36"/>
    <s v="T"/>
    <s v="FY24"/>
    <x v="182"/>
    <n v="1133"/>
    <n v="-0.2607433217189315"/>
    <n v="0.13300000000000001"/>
    <m/>
    <m/>
    <m/>
    <m/>
    <n v="0.64"/>
    <n v="0.11"/>
    <n v="0.89"/>
    <n v="0.84"/>
    <m/>
    <n v="360"/>
    <d v="1899-12-30T00:48:00"/>
    <n v="18"/>
    <s v="Normal"/>
    <s v="Normal"/>
    <n v="-0.2607433217189315"/>
    <n v="0.13300000000000001"/>
  </r>
  <r>
    <d v="2023-12-06T00:00:00"/>
    <x v="36"/>
    <s v="W"/>
    <s v="FY24"/>
    <x v="183"/>
    <n v="1090"/>
    <n v="-0.23732856290995827"/>
    <n v="0.17204301075268819"/>
    <m/>
    <m/>
    <m/>
    <m/>
    <n v="0.56999999999999995"/>
    <n v="0.15"/>
    <n v="0.85"/>
    <n v="0.85"/>
    <m/>
    <n v="360"/>
    <d v="1899-12-30T01:00:00"/>
    <n v="17"/>
    <s v="Normal"/>
    <s v="Normal"/>
    <n v="-0.23732856290995827"/>
    <n v="0.17204301075268819"/>
  </r>
  <r>
    <d v="2023-12-07T00:00:00"/>
    <x v="36"/>
    <s v="R"/>
    <s v="FY24"/>
    <x v="184"/>
    <n v="963"/>
    <n v="-0.28756330894766463"/>
    <n v="0.25882352941176473"/>
    <m/>
    <m/>
    <m/>
    <m/>
    <n v="0.34"/>
    <n v="0.24"/>
    <n v="0.76"/>
    <n v="0.76"/>
    <m/>
    <n v="343"/>
    <d v="1899-12-30T02:00:00"/>
    <n v="16"/>
    <s v="Normal"/>
    <s v="Normal"/>
    <n v="-0.28756330894766463"/>
    <n v="0.25882352941176473"/>
  </r>
  <r>
    <d v="2023-12-08T00:00:00"/>
    <x v="36"/>
    <s v="F"/>
    <s v="FY24"/>
    <x v="185"/>
    <n v="881"/>
    <n v="-0.14585987261146496"/>
    <n v="0.12372448979591837"/>
    <m/>
    <m/>
    <m/>
    <m/>
    <n v="0.09"/>
    <n v="0.34"/>
    <n v="0.66"/>
    <n v="0.81"/>
    <m/>
    <n v="348"/>
    <d v="1899-12-30T03:29:00"/>
    <n v="14"/>
    <s v="Normal"/>
    <s v="Normal"/>
    <n v="-0.14585987261146496"/>
    <n v="0.12372448979591837"/>
  </r>
  <r>
    <d v="2023-12-09T00:00:00"/>
    <x v="36"/>
    <s v="S"/>
    <s v="FY24"/>
    <x v="186"/>
    <n v="756"/>
    <n v="-0.16876971608832808"/>
    <n v="0.34280639431616339"/>
    <m/>
    <m/>
    <m/>
    <m/>
    <n v="0.23"/>
    <n v="0.28000000000000003"/>
    <n v="0.72"/>
    <n v="0.78"/>
    <m/>
    <n v="360"/>
    <d v="1899-12-30T03:00:00"/>
    <n v="13"/>
    <s v="Normal"/>
    <s v="Normal"/>
    <n v="-0.16876971608832808"/>
    <n v="0.34280639431616339"/>
  </r>
  <r>
    <d v="2023-12-10T00:00:00"/>
    <x v="37"/>
    <s v="D"/>
    <s v="FY24"/>
    <x v="187"/>
    <n v="124"/>
    <n v="-7.8313253012048195E-2"/>
    <n v="-8.1481481481481488E-2"/>
    <m/>
    <m/>
    <m/>
    <m/>
    <n v="0.5"/>
    <n v="0.19"/>
    <n v="0.81"/>
    <n v="0.34"/>
    <m/>
    <n v="300"/>
    <d v="1899-12-30T02:00:00"/>
    <n v="4"/>
    <s v="Normal"/>
    <s v="Normal"/>
    <n v="-7.8313253012048195E-2"/>
    <n v="-8.1481481481481488E-2"/>
  </r>
  <r>
    <d v="2023-12-11T00:00:00"/>
    <x v="37"/>
    <s v="M"/>
    <s v="FY24"/>
    <x v="188"/>
    <n v="996"/>
    <n v="-2.7857142857142858E-2"/>
    <n v="-4.046242774566474E-2"/>
    <m/>
    <m/>
    <m/>
    <m/>
    <n v="0.23"/>
    <n v="0.27"/>
    <n v="0.73"/>
    <n v="0.89"/>
    <m/>
    <n v="360"/>
    <d v="1899-12-30T02:00:00"/>
    <n v="15"/>
    <s v="Normal"/>
    <s v="Normal"/>
    <n v="-2.7857142857142858E-2"/>
    <n v="-4.046242774566474E-2"/>
  </r>
  <r>
    <d v="2023-12-12T00:00:00"/>
    <x v="37"/>
    <s v="T"/>
    <s v="FY24"/>
    <x v="169"/>
    <n v="1034"/>
    <n v="-0.11468970934799685"/>
    <n v="-8.7378640776699032E-2"/>
    <m/>
    <m/>
    <m/>
    <m/>
    <n v="0.75"/>
    <n v="0.08"/>
    <n v="0.92"/>
    <n v="0.71"/>
    <m/>
    <n v="336"/>
    <d v="1899-12-30T00:35:00"/>
    <n v="18"/>
    <s v="Normal"/>
    <s v="Normal"/>
    <n v="-0.11468970934799685"/>
    <n v="-8.7378640776699032E-2"/>
  </r>
  <r>
    <d v="2023-12-13T00:00:00"/>
    <x v="37"/>
    <s v="W"/>
    <s v="FY24"/>
    <x v="115"/>
    <n v="1010"/>
    <n v="-3.4401876465989051E-2"/>
    <n v="-7.3394495412844041E-2"/>
    <m/>
    <m/>
    <m/>
    <m/>
    <n v="0.44"/>
    <n v="0.18"/>
    <n v="0.82"/>
    <n v="0.75"/>
    <m/>
    <n v="360"/>
    <d v="1899-12-30T01:24:00"/>
    <n v="18"/>
    <s v="Normal"/>
    <s v="Normal"/>
    <n v="-3.4401876465989051E-2"/>
    <n v="-7.3394495412844041E-2"/>
  </r>
  <r>
    <d v="2023-12-14T00:00:00"/>
    <x v="37"/>
    <s v="R"/>
    <s v="FY24"/>
    <x v="189"/>
    <n v="956"/>
    <n v="-2.7646129541864139E-2"/>
    <n v="-7.2689511941848393E-3"/>
    <m/>
    <m/>
    <m/>
    <m/>
    <n v="0.45"/>
    <n v="0.22"/>
    <n v="0.78"/>
    <n v="0.91"/>
    <m/>
    <n v="360"/>
    <d v="1899-12-30T01:37:00"/>
    <n v="14"/>
    <s v="Normal"/>
    <s v="Normal"/>
    <n v="-2.7646129541864139E-2"/>
    <n v="-7.2689511941848393E-3"/>
  </r>
  <r>
    <d v="2023-12-15T00:00:00"/>
    <x v="37"/>
    <s v="F"/>
    <s v="FY24"/>
    <x v="190"/>
    <n v="991"/>
    <n v="-9.8434004474272932E-2"/>
    <n v="0.12485811577752554"/>
    <m/>
    <m/>
    <m/>
    <m/>
    <n v="0.45"/>
    <n v="0.18"/>
    <n v="0.82"/>
    <n v="0.83"/>
    <m/>
    <n v="360"/>
    <d v="1899-12-30T01:31:00"/>
    <n v="16"/>
    <s v="Normal"/>
    <s v="Normal"/>
    <n v="-9.8434004474272932E-2"/>
    <n v="0.12485811577752554"/>
  </r>
  <r>
    <d v="2023-12-16T00:00:00"/>
    <x v="37"/>
    <s v="S"/>
    <s v="FY24"/>
    <x v="172"/>
    <n v="600"/>
    <n v="1.4231499051233396E-2"/>
    <n v="-0.20634920634920634"/>
    <m/>
    <m/>
    <m/>
    <m/>
    <n v="0.12"/>
    <n v="0.44"/>
    <n v="0.56000000000000005"/>
    <n v="0.86"/>
    <m/>
    <n v="387"/>
    <d v="1899-12-30T05:00:00"/>
    <n v="10"/>
    <s v="Normal"/>
    <s v="Normal"/>
    <n v="1.4231499051233396E-2"/>
    <n v="-0.20634920634920634"/>
  </r>
  <r>
    <d v="2023-12-17T00:00:00"/>
    <x v="38"/>
    <s v="D"/>
    <s v="FY24"/>
    <x v="191"/>
    <n v="170"/>
    <n v="0.15032679738562091"/>
    <n v="0.37096774193548387"/>
    <m/>
    <m/>
    <m/>
    <m/>
    <n v="0.93"/>
    <n v="0.03"/>
    <n v="0.97"/>
    <n v="0.47"/>
    <m/>
    <n v="300"/>
    <d v="1899-12-30T00:19:00"/>
    <n v="4"/>
    <s v="Normal"/>
    <s v="Normal"/>
    <n v="0.15032679738562091"/>
    <n v="0.37096774193548387"/>
  </r>
  <r>
    <d v="2023-12-18T00:00:00"/>
    <x v="38"/>
    <s v="M"/>
    <s v="FY24"/>
    <x v="192"/>
    <n v="1057"/>
    <n v="-3.8207200587803088E-2"/>
    <n v="6.1244979919678713E-2"/>
    <m/>
    <m/>
    <m/>
    <m/>
    <n v="0.46"/>
    <n v="0.19"/>
    <n v="0.81"/>
    <n v="0.78"/>
    <m/>
    <n v="360"/>
    <d v="1899-12-30T02:04:00"/>
    <n v="18"/>
    <s v="Normal"/>
    <s v="Normal"/>
    <n v="-3.8207200587803088E-2"/>
    <n v="6.1244979919678713E-2"/>
  </r>
  <r>
    <d v="2023-12-19T00:00:00"/>
    <x v="38"/>
    <s v="T"/>
    <s v="FY24"/>
    <x v="193"/>
    <n v="984"/>
    <n v="0.15616681455190773"/>
    <n v="-4.8355899419729204E-2"/>
    <m/>
    <m/>
    <m/>
    <m/>
    <n v="0.32"/>
    <n v="0.24"/>
    <n v="0.76"/>
    <n v="0.91"/>
    <m/>
    <n v="400"/>
    <d v="1899-12-30T02:02:00"/>
    <n v="16"/>
    <s v="Normal"/>
    <s v="Normal"/>
    <n v="0.15616681455190773"/>
    <n v="-4.8355899419729204E-2"/>
  </r>
  <r>
    <d v="2023-12-20T00:00:00"/>
    <x v="38"/>
    <s v="W"/>
    <s v="FY24"/>
    <x v="194"/>
    <n v="1137"/>
    <n v="7.0445344129554652E-2"/>
    <n v="0.12574257425742574"/>
    <m/>
    <m/>
    <m/>
    <m/>
    <n v="0.52"/>
    <n v="0.14000000000000001"/>
    <n v="0.86"/>
    <n v="0.72"/>
    <m/>
    <n v="360"/>
    <d v="1899-12-30T01:24:00"/>
    <n v="21"/>
    <s v="Normal"/>
    <s v="Normal"/>
    <n v="7.0445344129554652E-2"/>
    <n v="0.12574257425742574"/>
  </r>
  <r>
    <d v="2023-12-21T00:00:00"/>
    <x v="38"/>
    <s v="R"/>
    <s v="FY24"/>
    <x v="195"/>
    <n v="1026"/>
    <n v="5.2802599512591392E-2"/>
    <n v="7.3221757322175729E-2"/>
    <m/>
    <m/>
    <m/>
    <m/>
    <n v="0.37"/>
    <n v="0.21"/>
    <n v="0.79"/>
    <n v="0.76"/>
    <m/>
    <n v="360"/>
    <d v="1899-12-30T01:53:00"/>
    <n v="18"/>
    <s v="Normal"/>
    <s v="Normal"/>
    <n v="5.2802599512591392E-2"/>
    <n v="7.3221757322175729E-2"/>
  </r>
  <r>
    <d v="2023-12-22T00:00:00"/>
    <x v="38"/>
    <s v="F"/>
    <s v="FY24"/>
    <x v="196"/>
    <n v="924"/>
    <n v="0.13399503722084366"/>
    <n v="-6.7608476286579219E-2"/>
    <m/>
    <m/>
    <m/>
    <m/>
    <n v="0.16"/>
    <n v="0.33"/>
    <n v="0.67"/>
    <n v="0.85"/>
    <m/>
    <n v="420"/>
    <d v="1899-12-30T03:32:00"/>
    <n v="17"/>
    <s v="Normal"/>
    <s v="Normal"/>
    <n v="0.13399503722084366"/>
    <n v="-6.7608476286579219E-2"/>
  </r>
  <r>
    <d v="2023-12-23T00:00:00"/>
    <x v="38"/>
    <s v="S"/>
    <s v="FY24"/>
    <x v="71"/>
    <n v="629"/>
    <n v="5.6127221702525721E-3"/>
    <n v="4.8333333333333332E-2"/>
    <m/>
    <m/>
    <m/>
    <m/>
    <n v="0.12"/>
    <n v="0.41"/>
    <n v="0.59"/>
    <n v="0.84"/>
    <m/>
    <n v="360"/>
    <d v="1899-12-30T06:00:00"/>
    <n v="10"/>
    <s v="Normal"/>
    <s v="Normal"/>
    <n v="5.6127221702525721E-3"/>
    <n v="4.8333333333333332E-2"/>
  </r>
  <r>
    <d v="2023-12-24T00:00:00"/>
    <x v="39"/>
    <s v="D"/>
    <s v="FY24"/>
    <x v="197"/>
    <n v="137"/>
    <n v="0.26136363636363635"/>
    <n v="-0.19411764705882353"/>
    <m/>
    <m/>
    <m/>
    <m/>
    <n v="0.14000000000000001"/>
    <n v="0.38"/>
    <n v="0.62"/>
    <n v="0.61"/>
    <m/>
    <n v="240"/>
    <d v="1899-12-30T02:46:00"/>
    <n v="2"/>
    <s v="Normal"/>
    <s v="Normal"/>
    <n v="0.26136363636363635"/>
    <n v="-0.19411764705882353"/>
  </r>
  <r>
    <d v="2023-12-25T00:00:00"/>
    <x v="39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2-26T00:00:00"/>
    <x v="39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2-27T00:00:00"/>
    <x v="39"/>
    <s v="W"/>
    <s v="FY24"/>
    <x v="198"/>
    <n v="1041"/>
    <n v="0.10211800302571861"/>
    <n v="-8.4432717678100261E-2"/>
    <m/>
    <m/>
    <m/>
    <m/>
    <n v="0.56000000000000005"/>
    <n v="0.28551818805765272"/>
    <n v="0.71"/>
    <n v="0.80763742690058482"/>
    <m/>
    <n v="398"/>
    <d v="1899-12-30T00:46:00"/>
    <n v="19"/>
    <s v="Normal"/>
    <s v="Normal"/>
    <n v="0.10211800302571861"/>
    <n v="-8.4432717678100261E-2"/>
  </r>
  <r>
    <d v="2023-12-28T00:00:00"/>
    <x v="39"/>
    <s v="R"/>
    <s v="FY24"/>
    <x v="170"/>
    <n v="976"/>
    <n v="-7.2530864197530867E-2"/>
    <n v="-4.8732943469785572E-2"/>
    <m/>
    <m/>
    <m/>
    <m/>
    <n v="0.46"/>
    <n v="0.18801996672212978"/>
    <n v="0.81"/>
    <n v="0.73247563352826517"/>
    <m/>
    <n v="385"/>
    <d v="1899-12-30T01:53:00"/>
    <n v="19"/>
    <s v="Normal"/>
    <s v="Normal"/>
    <n v="-7.2530864197530867E-2"/>
    <n v="-4.8732943469785572E-2"/>
  </r>
  <r>
    <d v="2023-12-29T00:00:00"/>
    <x v="39"/>
    <s v="F"/>
    <s v="FY24"/>
    <x v="199"/>
    <n v="888"/>
    <n v="-0.19912472647702406"/>
    <n v="-3.896103896103896E-2"/>
    <m/>
    <m/>
    <m/>
    <m/>
    <n v="0.42"/>
    <n v="0.19125683060109289"/>
    <n v="0.81"/>
    <n v="0.78727777777777785"/>
    <m/>
    <n v="383"/>
    <d v="1899-12-30T01:53:00"/>
    <n v="16"/>
    <s v="Normal"/>
    <s v="Normal"/>
    <n v="-0.19912472647702406"/>
    <n v="-3.896103896103896E-2"/>
  </r>
  <r>
    <d v="2023-12-30T00:00:00"/>
    <x v="39"/>
    <s v="S"/>
    <s v="FY24"/>
    <x v="200"/>
    <n v="628"/>
    <n v="-0.15720930232558139"/>
    <n v="-1.589825119236884E-3"/>
    <m/>
    <m/>
    <m/>
    <m/>
    <n v="0.19"/>
    <n v="0.30684326710816778"/>
    <n v="0.69"/>
    <n v="0.90711111111111109"/>
    <m/>
    <n v="390"/>
    <d v="1899-12-30T03:00:00"/>
    <n v="10"/>
    <s v="Normal"/>
    <s v="Normal"/>
    <n v="-0.15720930232558139"/>
    <n v="-1.589825119236884E-3"/>
  </r>
  <r>
    <d v="2023-12-31T00:00:00"/>
    <x v="4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01T00:00:00"/>
    <x v="41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02T00:00:00"/>
    <x v="41"/>
    <s v="T"/>
    <s v="FY24"/>
    <x v="201"/>
    <n v="1097"/>
    <n v="0"/>
    <n v="0"/>
    <m/>
    <m/>
    <m/>
    <m/>
    <n v="0.91"/>
    <n v="0.05"/>
    <n v="0.95"/>
    <n v="0.73"/>
    <m/>
    <n v="360"/>
    <d v="1899-12-30T00:24:00"/>
    <n v="20"/>
    <s v="Normal"/>
    <s v="Normal"/>
    <n v="0"/>
    <n v="0"/>
  </r>
  <r>
    <d v="2024-01-03T00:00:00"/>
    <x v="41"/>
    <s v="W"/>
    <s v="FY24"/>
    <x v="66"/>
    <n v="944"/>
    <n v="-0.33081674673987643"/>
    <n v="-9.3179634966378488E-2"/>
    <m/>
    <m/>
    <m/>
    <m/>
    <n v="0.92"/>
    <n v="0.03"/>
    <n v="0.97"/>
    <n v="0.65"/>
    <m/>
    <n v="335"/>
    <d v="1899-12-30T00:15:00"/>
    <n v="18"/>
    <s v="Normal"/>
    <s v="Normal"/>
    <n v="-0.33081674673987643"/>
    <n v="-9.3179634966378488E-2"/>
  </r>
  <r>
    <d v="2024-01-04T00:00:00"/>
    <x v="41"/>
    <s v="R"/>
    <s v="FY24"/>
    <x v="202"/>
    <n v="924"/>
    <n v="-0.14309484193011648"/>
    <n v="-5.3278688524590161E-2"/>
    <m/>
    <m/>
    <m/>
    <m/>
    <n v="0.65"/>
    <n v="0.1"/>
    <n v="0.9"/>
    <n v="0.77"/>
    <m/>
    <n v="360"/>
    <d v="1899-12-30T01:00:00"/>
    <n v="16"/>
    <s v="Normal"/>
    <s v="Normal"/>
    <n v="-0.14309484193011648"/>
    <n v="-5.3278688524590161E-2"/>
  </r>
  <r>
    <d v="2024-01-05T00:00:00"/>
    <x v="41"/>
    <s v="F"/>
    <s v="FY24"/>
    <x v="203"/>
    <n v="974"/>
    <n v="-6.466302367941712E-2"/>
    <n v="9.6846846846846843E-2"/>
    <m/>
    <m/>
    <m/>
    <m/>
    <n v="0.77"/>
    <n v="0.05"/>
    <n v="0.95"/>
    <n v="0.67"/>
    <m/>
    <n v="334"/>
    <d v="1899-12-30T00:31:00"/>
    <n v="18"/>
    <s v="Normal"/>
    <s v="Normal"/>
    <n v="-6.466302367941712E-2"/>
    <n v="9.6846846846846843E-2"/>
  </r>
  <r>
    <d v="2024-01-06T00:00:00"/>
    <x v="41"/>
    <s v="S"/>
    <s v="FY24"/>
    <x v="204"/>
    <n v="759"/>
    <n v="-0.12030905077262694"/>
    <n v="0.20859872611464969"/>
    <m/>
    <m/>
    <m/>
    <m/>
    <n v="0.86"/>
    <n v="0.05"/>
    <n v="0.95"/>
    <n v="0.72"/>
    <m/>
    <n v="360"/>
    <d v="1899-12-30T00:32:00"/>
    <n v="14"/>
    <s v="Normal"/>
    <s v="Normal"/>
    <n v="-0.12030905077262694"/>
    <n v="0.20859872611464969"/>
  </r>
  <r>
    <d v="2024-01-07T00:00:00"/>
    <x v="4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08T00:00:00"/>
    <x v="42"/>
    <s v="M"/>
    <s v="FY24"/>
    <x v="68"/>
    <n v="1018"/>
    <n v="0"/>
    <n v="0"/>
    <m/>
    <m/>
    <m/>
    <m/>
    <n v="0.82"/>
    <n v="0.06"/>
    <n v="0.94"/>
    <n v="0.85"/>
    <m/>
    <n v="340"/>
    <d v="1899-12-30T00:24:00"/>
    <n v="15"/>
    <s v="Normal"/>
    <s v="Normal"/>
    <n v="0"/>
    <n v="0"/>
  </r>
  <r>
    <d v="2024-01-09T00:00:00"/>
    <x v="42"/>
    <s v="T"/>
    <s v="FY24"/>
    <x v="205"/>
    <n v="836"/>
    <n v="-0.11836379460400348"/>
    <n v="-0.23792160437556972"/>
    <m/>
    <m/>
    <m/>
    <m/>
    <n v="0.64"/>
    <n v="0.17"/>
    <n v="0.83"/>
    <n v="0.66"/>
    <m/>
    <n v="360"/>
    <d v="1899-12-30T02:00:00"/>
    <n v="17"/>
    <s v="Normal"/>
    <s v="Normal"/>
    <n v="-0.11836379460400348"/>
    <n v="-0.23792160437556972"/>
  </r>
  <r>
    <d v="2024-01-10T00:00:00"/>
    <x v="42"/>
    <s v="W"/>
    <s v="FY24"/>
    <x v="206"/>
    <n v="991"/>
    <n v="5.8461538461538461E-2"/>
    <n v="4.9788135593220338E-2"/>
    <m/>
    <m/>
    <m/>
    <m/>
    <n v="0.86"/>
    <n v="0.04"/>
    <n v="0.96"/>
    <n v="0.69"/>
    <m/>
    <n v="300"/>
    <d v="1899-12-30T00:22:00"/>
    <n v="16"/>
    <s v="Normal"/>
    <s v="Normal"/>
    <n v="5.8461538461538461E-2"/>
    <n v="4.9788135593220338E-2"/>
  </r>
  <r>
    <d v="2024-01-11T00:00:00"/>
    <x v="42"/>
    <s v="R"/>
    <s v="FY24"/>
    <x v="128"/>
    <n v="937"/>
    <n v="-5.8252427184466021E-2"/>
    <n v="1.406926406926407E-2"/>
    <m/>
    <m/>
    <m/>
    <m/>
    <n v="0.89"/>
    <n v="0.03"/>
    <n v="0.97"/>
    <n v="0.74"/>
    <m/>
    <n v="340"/>
    <d v="1899-12-30T00:20:00"/>
    <n v="16"/>
    <s v="Normal"/>
    <s v="Normal"/>
    <n v="-5.8252427184466021E-2"/>
    <n v="1.406926406926407E-2"/>
  </r>
  <r>
    <d v="2024-01-12T00:00:00"/>
    <x v="42"/>
    <s v="F"/>
    <s v="FY24"/>
    <x v="25"/>
    <n v="1027"/>
    <n v="3.4079844206426485E-2"/>
    <n v="5.4414784394250515E-2"/>
    <m/>
    <m/>
    <m/>
    <m/>
    <n v="0.94"/>
    <n v="0.03"/>
    <n v="0.97"/>
    <n v="0.81"/>
    <m/>
    <n v="340"/>
    <d v="1899-12-30T00:10:00"/>
    <n v="16"/>
    <s v="Normal"/>
    <s v="Normal"/>
    <n v="3.4079844206426485E-2"/>
    <n v="5.4414784394250515E-2"/>
  </r>
  <r>
    <d v="2024-01-13T00:00:00"/>
    <x v="42"/>
    <s v="S"/>
    <s v="FY24"/>
    <x v="207"/>
    <n v="805"/>
    <n v="3.6386449184441658E-2"/>
    <n v="6.0606060606060608E-2"/>
    <m/>
    <m/>
    <m/>
    <m/>
    <n v="0.97"/>
    <n v="0.03"/>
    <n v="0.97"/>
    <n v="0.56000000000000005"/>
    <m/>
    <n v="300"/>
    <d v="1899-12-30T00:10:00"/>
    <n v="16"/>
    <s v="Normal"/>
    <s v="Normal"/>
    <n v="3.6386449184441658E-2"/>
    <n v="6.0606060606060608E-2"/>
  </r>
  <r>
    <d v="2024-01-14T00:00:00"/>
    <x v="43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15T00:00:00"/>
    <x v="43"/>
    <s v="M"/>
    <s v="FY24"/>
    <x v="208"/>
    <n v="1000"/>
    <n v="-1.8467220683287165E-3"/>
    <n v="-1.768172888015717E-2"/>
    <m/>
    <m/>
    <m/>
    <m/>
    <n v="0.86"/>
    <n v="7.0000000000000007E-2"/>
    <n v="0.93"/>
    <n v="0.44"/>
    <m/>
    <n v="274"/>
    <d v="1899-12-30T00:41:00"/>
    <n v="23"/>
    <s v="Normal"/>
    <s v="Normal"/>
    <n v="-1.8467220683287165E-3"/>
    <n v="-1.768172888015717E-2"/>
  </r>
  <r>
    <d v="2024-01-16T00:00:00"/>
    <x v="43"/>
    <s v="T"/>
    <s v="FY24"/>
    <x v="209"/>
    <n v="980"/>
    <n v="2.6653504442250741E-2"/>
    <n v="0.17224880382775121"/>
    <m/>
    <m/>
    <m/>
    <m/>
    <n v="0.89"/>
    <n v="0.06"/>
    <n v="0.94"/>
    <n v="0.56999999999999995"/>
    <m/>
    <n v="300"/>
    <d v="1899-12-30T00:20:00"/>
    <n v="19"/>
    <s v="Normal"/>
    <s v="Normal"/>
    <n v="2.6653504442250741E-2"/>
    <n v="0.17224880382775121"/>
  </r>
  <r>
    <d v="2024-01-17T00:00:00"/>
    <x v="43"/>
    <s v="W"/>
    <s v="FY24"/>
    <x v="210"/>
    <n v="1085"/>
    <n v="0.15503875968992248"/>
    <n v="9.4853683148335019E-2"/>
    <m/>
    <m/>
    <m/>
    <m/>
    <n v="0.78"/>
    <n v="0.09"/>
    <n v="0.91"/>
    <n v="0.61"/>
    <m/>
    <n v="304"/>
    <d v="1899-12-30T00:42:00"/>
    <n v="20"/>
    <s v="Normal"/>
    <s v="Normal"/>
    <n v="0.15503875968992248"/>
    <n v="9.4853683148335019E-2"/>
  </r>
  <r>
    <d v="2024-01-18T00:00:00"/>
    <x v="43"/>
    <s v="R"/>
    <s v="FY24"/>
    <x v="206"/>
    <n v="961"/>
    <n v="6.3917525773195871E-2"/>
    <n v="2.5613660618996798E-2"/>
    <m/>
    <m/>
    <m/>
    <m/>
    <n v="0.86"/>
    <n v="7.0000000000000007E-2"/>
    <n v="0.93"/>
    <n v="0.59"/>
    <m/>
    <n v="300"/>
    <d v="1899-12-30T00:24:00"/>
    <n v="18"/>
    <s v="Normal"/>
    <s v="Normal"/>
    <n v="6.3917525773195871E-2"/>
    <n v="2.5613660618996798E-2"/>
  </r>
  <r>
    <d v="2024-01-19T00:00:00"/>
    <x v="43"/>
    <s v="F"/>
    <s v="FY24"/>
    <x v="211"/>
    <n v="1011"/>
    <n v="-2.1657250470809793E-2"/>
    <n v="-1.5579357351509251E-2"/>
    <m/>
    <m/>
    <m/>
    <m/>
    <n v="0.94"/>
    <n v="0.03"/>
    <n v="0.97"/>
    <n v="0.62"/>
    <m/>
    <n v="300"/>
    <d v="1899-12-30T00:12:00"/>
    <n v="18"/>
    <s v="Normal"/>
    <s v="Normal"/>
    <n v="-2.1657250470809793E-2"/>
    <n v="-1.5579357351509251E-2"/>
  </r>
  <r>
    <d v="2024-01-20T00:00:00"/>
    <x v="43"/>
    <s v="S"/>
    <s v="FY24"/>
    <x v="212"/>
    <n v="719"/>
    <n v="1.0895883777239709E-2"/>
    <n v="-0.10683229813664596"/>
    <m/>
    <m/>
    <m/>
    <m/>
    <n v="0.71"/>
    <n v="0.14000000000000001"/>
    <n v="0.86"/>
    <n v="0.61"/>
    <m/>
    <n v="273"/>
    <d v="1899-12-30T01:03:00"/>
    <n v="12"/>
    <s v="Normal"/>
    <s v="Normal"/>
    <n v="1.0895883777239709E-2"/>
    <n v="-0.10683229813664596"/>
  </r>
  <r>
    <d v="2024-01-21T00:00:00"/>
    <x v="4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22T00:00:00"/>
    <x v="44"/>
    <s v="M"/>
    <s v="FY24"/>
    <x v="213"/>
    <n v="1040"/>
    <n v="7.8630897317298803E-2"/>
    <n v="0.04"/>
    <m/>
    <m/>
    <m/>
    <m/>
    <n v="0.8"/>
    <n v="0.11"/>
    <n v="0.89"/>
    <n v="0.63"/>
    <m/>
    <n v="325"/>
    <d v="1899-12-30T01:00:00"/>
    <n v="20"/>
    <s v="Normal"/>
    <s v="Normal"/>
    <n v="7.8630897317298803E-2"/>
    <n v="0.04"/>
  </r>
  <r>
    <d v="2024-01-23T00:00:00"/>
    <x v="44"/>
    <s v="T"/>
    <s v="FY24"/>
    <x v="214"/>
    <n v="812"/>
    <n v="-2.8846153846153848E-3"/>
    <n v="-0.17142857142857143"/>
    <m/>
    <m/>
    <m/>
    <m/>
    <n v="0.44"/>
    <n v="0.22"/>
    <n v="0.78"/>
    <n v="0.49"/>
    <m/>
    <n v="360"/>
    <d v="1899-12-30T02:00:00"/>
    <n v="22"/>
    <s v="Normal"/>
    <s v="Normal"/>
    <n v="-2.8846153846153848E-3"/>
    <n v="-0.17142857142857143"/>
  </r>
  <r>
    <d v="2024-01-24T00:00:00"/>
    <x v="44"/>
    <s v="W"/>
    <s v="FY24"/>
    <x v="215"/>
    <n v="965"/>
    <n v="-0.14429530201342283"/>
    <n v="-0.11059907834101383"/>
    <m/>
    <m/>
    <m/>
    <m/>
    <n v="0.92"/>
    <n v="0.05"/>
    <n v="0.95"/>
    <n v="0.74"/>
    <m/>
    <n v="330"/>
    <d v="1899-12-30T02:00:00"/>
    <n v="16"/>
    <s v="Normal"/>
    <s v="Normal"/>
    <n v="-0.14429530201342283"/>
    <n v="-0.11059907834101383"/>
  </r>
  <r>
    <d v="2024-01-25T00:00:00"/>
    <x v="44"/>
    <s v="R"/>
    <s v="FY24"/>
    <x v="144"/>
    <n v="778"/>
    <n v="3.6821705426356592E-2"/>
    <n v="-0.19042663891779396"/>
    <m/>
    <m/>
    <m/>
    <m/>
    <n v="0.27"/>
    <n v="0.27"/>
    <n v="0.73"/>
    <n v="0.8"/>
    <m/>
    <n v="360"/>
    <d v="1899-12-30T02:10:00"/>
    <n v="13"/>
    <s v="Normal"/>
    <s v="Normal"/>
    <n v="3.6821705426356592E-2"/>
    <n v="-0.19042663891779396"/>
  </r>
  <r>
    <d v="2024-01-26T00:00:00"/>
    <x v="44"/>
    <s v="F"/>
    <s v="FY24"/>
    <x v="68"/>
    <n v="963"/>
    <n v="4.2348411934552452E-2"/>
    <n v="-4.7477744807121663E-2"/>
    <m/>
    <m/>
    <m/>
    <m/>
    <n v="0.68"/>
    <n v="0.11"/>
    <n v="0.89"/>
    <n v="0.72"/>
    <m/>
    <n v="343"/>
    <d v="1899-12-30T01:00:00"/>
    <n v="17"/>
    <s v="Normal"/>
    <s v="Normal"/>
    <n v="4.2348411934552452E-2"/>
    <n v="-4.7477744807121663E-2"/>
  </r>
  <r>
    <d v="2024-01-27T00:00:00"/>
    <x v="44"/>
    <s v="S"/>
    <s v="FY24"/>
    <x v="216"/>
    <n v="625"/>
    <n v="0.2251497005988024"/>
    <n v="-0.13073713490959665"/>
    <m/>
    <m/>
    <m/>
    <m/>
    <n v="0.19"/>
    <n v="0.39"/>
    <n v="0.61"/>
    <n v="0.76"/>
    <m/>
    <n v="360"/>
    <d v="1899-12-30T03:11:00"/>
    <n v="11"/>
    <s v="Normal"/>
    <s v="Normal"/>
    <n v="0.2251497005988024"/>
    <n v="-0.13073713490959665"/>
  </r>
  <r>
    <d v="2024-01-28T00:00:00"/>
    <x v="45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29T00:00:00"/>
    <x v="45"/>
    <s v="M"/>
    <s v="FY24"/>
    <x v="217"/>
    <n v="1123"/>
    <n v="7.1183533447684397E-2"/>
    <n v="7.9807692307692302E-2"/>
    <m/>
    <m/>
    <m/>
    <m/>
    <n v="0.75"/>
    <n v="0.1"/>
    <n v="0.9"/>
    <n v="0.67"/>
    <m/>
    <n v="320"/>
    <d v="1899-12-30T00:40:00"/>
    <n v="20"/>
    <s v="Normal"/>
    <s v="Normal"/>
    <n v="7.1183533447684397E-2"/>
    <n v="7.9807692307692302E-2"/>
  </r>
  <r>
    <d v="2024-01-30T00:00:00"/>
    <x v="45"/>
    <s v="T"/>
    <s v="FY24"/>
    <x v="218"/>
    <n v="1059"/>
    <n v="0.11764705882352941"/>
    <n v="0.30418719211822659"/>
    <m/>
    <m/>
    <m/>
    <m/>
    <n v="0.71"/>
    <n v="0.09"/>
    <n v="0.91"/>
    <n v="0.69"/>
    <m/>
    <n v="300"/>
    <d v="1899-12-30T00:41:00"/>
    <n v="17"/>
    <s v="Normal"/>
    <s v="Normal"/>
    <n v="0.11764705882352941"/>
    <n v="0.30418719211822659"/>
  </r>
  <r>
    <d v="2024-01-31T00:00:00"/>
    <x v="45"/>
    <s v="W"/>
    <s v="FY24"/>
    <x v="52"/>
    <n v="956"/>
    <n v="7.5490196078431368E-2"/>
    <n v="-9.3264248704663204E-3"/>
    <m/>
    <m/>
    <m/>
    <m/>
    <n v="0.69"/>
    <n v="0.13"/>
    <n v="0.87"/>
    <n v="0.73"/>
    <m/>
    <n v="310"/>
    <d v="1899-12-30T01:00:00"/>
    <n v="15"/>
    <s v="Normal"/>
    <s v="Normal"/>
    <n v="7.5490196078431368E-2"/>
    <n v="-9.3264248704663204E-3"/>
  </r>
  <r>
    <d v="2024-02-01T00:00:00"/>
    <x v="45"/>
    <s v="R"/>
    <s v="FY24"/>
    <x v="219"/>
    <n v="916"/>
    <n v="-6.9158878504672894E-2"/>
    <n v="0.17737789203084833"/>
    <m/>
    <m/>
    <m/>
    <m/>
    <n v="0.82"/>
    <n v="0.08"/>
    <n v="0.92"/>
    <n v="0.59"/>
    <m/>
    <n v="311"/>
    <d v="1899-12-30T00:30:00"/>
    <n v="18"/>
    <s v="Normal"/>
    <s v="Normal"/>
    <n v="-6.9158878504672894E-2"/>
    <n v="0.17737789203084833"/>
  </r>
  <r>
    <d v="2024-02-02T00:00:00"/>
    <x v="45"/>
    <s v="F"/>
    <s v="FY24"/>
    <x v="220"/>
    <n v="866"/>
    <n v="-0.13573407202216067"/>
    <n v="-0.10072689511941849"/>
    <m/>
    <m/>
    <m/>
    <m/>
    <n v="0.75"/>
    <n v="7.0000000000000007E-2"/>
    <n v="0.93"/>
    <n v="0.7"/>
    <m/>
    <n v="285"/>
    <d v="1899-12-30T00:32:00"/>
    <n v="13"/>
    <s v="Normal"/>
    <s v="Normal"/>
    <n v="-0.13573407202216067"/>
    <n v="-0.10072689511941849"/>
  </r>
  <r>
    <d v="2024-02-03T00:00:00"/>
    <x v="45"/>
    <s v="S"/>
    <s v="FY24"/>
    <x v="11"/>
    <n v="710"/>
    <n v="-0.26001955034213098"/>
    <n v="0.13600000000000001"/>
    <m/>
    <m/>
    <m/>
    <m/>
    <n v="0.79"/>
    <n v="0.06"/>
    <n v="0.94"/>
    <n v="0.63"/>
    <m/>
    <n v="310"/>
    <d v="1899-12-30T00:34:00"/>
    <n v="13"/>
    <s v="Normal"/>
    <s v="Normal"/>
    <n v="-0.26001955034213098"/>
    <n v="0.13600000000000001"/>
  </r>
  <r>
    <d v="2024-02-04T00:00:00"/>
    <x v="46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2-05T00:00:00"/>
    <x v="46"/>
    <s v="M"/>
    <s v="FY24"/>
    <x v="59"/>
    <n v="931"/>
    <n v="-0.1689351481184948"/>
    <n v="-0.1709706144256456"/>
    <m/>
    <m/>
    <m/>
    <m/>
    <n v="0.79"/>
    <n v="0.1"/>
    <n v="0.9"/>
    <n v="0.61"/>
    <m/>
    <n v="300"/>
    <d v="1899-12-30T01:04:00"/>
    <n v="17"/>
    <s v="Normal"/>
    <s v="Normal"/>
    <n v="-0.1689351481184948"/>
    <n v="-0.1709706144256456"/>
  </r>
  <r>
    <d v="2024-02-06T00:00:00"/>
    <x v="46"/>
    <s v="T"/>
    <s v="FY24"/>
    <x v="221"/>
    <n v="883"/>
    <n v="-0.17860224331320104"/>
    <n v="-0.16619452313503305"/>
    <m/>
    <m/>
    <m/>
    <m/>
    <n v="0.73"/>
    <n v="7.0000000000000007E-2"/>
    <n v="0.93"/>
    <n v="0.62"/>
    <m/>
    <n v="340"/>
    <d v="1899-12-30T00:43:00"/>
    <n v="18"/>
    <s v="Normal"/>
    <s v="Normal"/>
    <n v="-0.17860224331320104"/>
    <n v="-0.16619452313503305"/>
  </r>
  <r>
    <d v="2024-02-07T00:00:00"/>
    <x v="46"/>
    <s v="W"/>
    <s v="FY24"/>
    <x v="220"/>
    <n v="864"/>
    <n v="-0.14676390154968094"/>
    <n v="-9.6234309623430964E-2"/>
    <m/>
    <m/>
    <m/>
    <m/>
    <n v="0.82"/>
    <n v="0.08"/>
    <n v="0.92"/>
    <n v="0.62"/>
    <m/>
    <n v="310"/>
    <d v="1899-12-30T00:31:00"/>
    <n v="16"/>
    <s v="Normal"/>
    <s v="Normal"/>
    <n v="-0.14676390154968094"/>
    <n v="-9.6234309623430964E-2"/>
  </r>
  <r>
    <d v="2024-02-08T00:00:00"/>
    <x v="46"/>
    <s v="R"/>
    <s v="FY24"/>
    <x v="28"/>
    <n v="821"/>
    <n v="-7.3293172690763048E-2"/>
    <n v="-0.10371179039301311"/>
    <m/>
    <m/>
    <m/>
    <m/>
    <n v="0.72"/>
    <n v="0.11"/>
    <n v="0.89"/>
    <n v="0.67"/>
    <m/>
    <n v="330"/>
    <d v="1899-12-30T01:10:00"/>
    <n v="15"/>
    <s v="Normal"/>
    <s v="Normal"/>
    <n v="-7.3293172690763048E-2"/>
    <n v="-0.10371179039301311"/>
  </r>
  <r>
    <d v="2024-02-09T00:00:00"/>
    <x v="46"/>
    <s v="F"/>
    <s v="FY24"/>
    <x v="62"/>
    <n v="858"/>
    <n v="-5.7692307692307696E-2"/>
    <n v="-9.2378752886836026E-3"/>
    <m/>
    <m/>
    <m/>
    <m/>
    <n v="0.92"/>
    <n v="0.03"/>
    <n v="0.97"/>
    <n v="0.62"/>
    <m/>
    <n v="310"/>
    <d v="1899-12-30T00:20:00"/>
    <n v="16"/>
    <s v="Normal"/>
    <s v="Normal"/>
    <n v="-5.7692307692307696E-2"/>
    <n v="-9.2378752886836026E-3"/>
  </r>
  <r>
    <d v="2024-02-10T00:00:00"/>
    <x v="46"/>
    <s v="S"/>
    <s v="FY24"/>
    <x v="11"/>
    <n v="680"/>
    <n v="0"/>
    <n v="-4.2253521126760563E-2"/>
    <m/>
    <m/>
    <m/>
    <m/>
    <n v="0.78"/>
    <n v="0.1"/>
    <n v="0.9"/>
    <n v="0.71"/>
    <m/>
    <n v="310"/>
    <d v="1899-12-30T00:40:00"/>
    <n v="11"/>
    <s v="Normal"/>
    <s v="Normal"/>
    <n v="0"/>
    <n v="-4.2253521126760563E-2"/>
  </r>
  <r>
    <d v="2024-02-11T00:00:00"/>
    <x v="47"/>
    <s v="D"/>
    <s v="FY24"/>
    <x v="1"/>
    <n v="0"/>
    <n v="0"/>
    <n v="0"/>
    <m/>
    <m/>
    <m/>
    <m/>
    <n v="0"/>
    <n v="0"/>
    <n v="0"/>
    <n v="0"/>
    <m/>
    <n v="0"/>
    <d v="1899-12-30T00:00:00"/>
    <n v="0"/>
    <s v="Normal"/>
    <s v="Normal"/>
    <n v="0"/>
    <n v="0"/>
  </r>
  <r>
    <d v="2024-02-12T00:00:00"/>
    <x v="47"/>
    <s v="M"/>
    <s v="FY24"/>
    <x v="12"/>
    <n v="857"/>
    <n v="-8.9595375722543349E-2"/>
    <n v="-7.9484425349087007E-2"/>
    <m/>
    <m/>
    <m/>
    <m/>
    <n v="0.79"/>
    <n v="0.09"/>
    <n v="0.91"/>
    <n v="0.72"/>
    <m/>
    <n v="361"/>
    <d v="1899-12-30T00:31:00"/>
    <n v="16"/>
    <s v="Normal"/>
    <s v="Normal"/>
    <n v="-8.9595375722543349E-2"/>
    <n v="-7.9484425349087007E-2"/>
  </r>
  <r>
    <d v="2024-02-13T00:00:00"/>
    <x v="47"/>
    <s v="T"/>
    <s v="FY24"/>
    <x v="109"/>
    <n v="948"/>
    <n v="2.7310924369747899E-2"/>
    <n v="7.3612684031710077E-2"/>
    <m/>
    <m/>
    <m/>
    <m/>
    <n v="0.94"/>
    <n v="0.03"/>
    <n v="0.97"/>
    <n v="0.49"/>
    <m/>
    <n v="263"/>
    <d v="1899-12-30T00:11:00"/>
    <n v="19"/>
    <s v="Normal"/>
    <s v="Normal"/>
    <n v="2.7310924369747899E-2"/>
    <n v="7.3612684031710077E-2"/>
  </r>
  <r>
    <d v="2024-02-14T00:00:00"/>
    <x v="47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2-15T00:00:00"/>
    <x v="47"/>
    <s v="R"/>
    <s v="FY24"/>
    <x v="206"/>
    <n v="1005"/>
    <n v="0.1180931744312026"/>
    <n v="0.22411693057247259"/>
    <m/>
    <m/>
    <m/>
    <m/>
    <n v="0.91"/>
    <n v="0.03"/>
    <n v="0.97"/>
    <n v="0.55000000000000004"/>
    <m/>
    <n v="310"/>
    <d v="1899-12-30T00:11:00"/>
    <n v="21"/>
    <s v="Normal"/>
    <s v="Normal"/>
    <n v="0.1180931744312026"/>
    <n v="0.22411693057247259"/>
  </r>
  <r>
    <d v="2024-02-16T00:00:00"/>
    <x v="47"/>
    <s v="F"/>
    <s v="FY24"/>
    <x v="19"/>
    <n v="915"/>
    <n v="8.5034013605442174E-2"/>
    <n v="6.6433566433566432E-2"/>
    <m/>
    <m/>
    <m/>
    <m/>
    <n v="0.91"/>
    <n v="0.04"/>
    <n v="0.96"/>
    <n v="0.56999999999999995"/>
    <m/>
    <n v="303"/>
    <d v="1899-12-30T00:15:00"/>
    <n v="18"/>
    <s v="Normal"/>
    <s v="Normal"/>
    <n v="8.5034013605442174E-2"/>
    <n v="6.6433566433566432E-2"/>
  </r>
  <r>
    <d v="2024-02-17T00:00:00"/>
    <x v="47"/>
    <s v="S"/>
    <s v="FY24"/>
    <x v="222"/>
    <m/>
    <n v="0"/>
    <n v="0"/>
    <m/>
    <m/>
    <m/>
    <m/>
    <m/>
    <m/>
    <m/>
    <m/>
    <m/>
    <n v="0"/>
    <m/>
    <m/>
    <s v="Normal"/>
    <s v="Normal"/>
    <n v="0"/>
    <n v="0"/>
  </r>
  <r>
    <d v="2024-02-18T00:00:00"/>
    <x v="48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2-19T00:00:00"/>
    <x v="48"/>
    <s v="M"/>
    <s v="FY24"/>
    <x v="222"/>
    <m/>
    <n v="0"/>
    <n v="0"/>
    <m/>
    <m/>
    <m/>
    <m/>
    <m/>
    <m/>
    <m/>
    <m/>
    <m/>
    <n v="0"/>
    <m/>
    <m/>
    <s v="Normal"/>
    <s v="Normal"/>
    <n v="0"/>
    <n v="0"/>
  </r>
  <r>
    <d v="2024-02-20T00:00:00"/>
    <x v="48"/>
    <s v="T"/>
    <s v="FY24"/>
    <x v="223"/>
    <n v="927"/>
    <n v="1.1247443762781187E-2"/>
    <n v="-2.2151898734177215E-2"/>
    <m/>
    <m/>
    <m/>
    <m/>
    <n v="0.81"/>
    <n v="0.06"/>
    <n v="0.94"/>
    <n v="0.53"/>
    <m/>
    <n v="310"/>
    <d v="1899-12-30T00:31:00"/>
    <n v="20"/>
    <s v="Normal"/>
    <s v="Normal"/>
    <n v="1.1247443762781187E-2"/>
    <n v="-2.2151898734177215E-2"/>
  </r>
  <r>
    <d v="2024-02-21T00:00:00"/>
    <x v="48"/>
    <s v="W"/>
    <s v="FY24"/>
    <x v="163"/>
    <n v="896"/>
    <n v="0"/>
    <n v="0"/>
    <m/>
    <m/>
    <m/>
    <m/>
    <n v="0.93"/>
    <n v="0.03"/>
    <n v="0.97"/>
    <n v="0.46"/>
    <m/>
    <n v="250"/>
    <d v="1899-12-30T00:10:00"/>
    <n v="18"/>
    <s v="Normal"/>
    <s v="Normal"/>
    <n v="0"/>
    <n v="0"/>
  </r>
  <r>
    <d v="2024-02-22T00:00:00"/>
    <x v="48"/>
    <s v="R"/>
    <s v="FY24"/>
    <x v="224"/>
    <n v="835"/>
    <n v="-0.13662790697674418"/>
    <n v="-0.1691542288557214"/>
    <m/>
    <m/>
    <m/>
    <m/>
    <n v="0.83"/>
    <n v="0.06"/>
    <n v="0.94"/>
    <n v="0.64"/>
    <m/>
    <n v="311"/>
    <d v="1899-12-30T00:21:00"/>
    <n v="15"/>
    <s v="Normal"/>
    <s v="Normal"/>
    <n v="-0.13662790697674418"/>
    <n v="-0.1691542288557214"/>
  </r>
  <r>
    <d v="2024-02-23T00:00:00"/>
    <x v="48"/>
    <s v="F"/>
    <s v="FY24"/>
    <x v="106"/>
    <n v="872"/>
    <n v="-3.4482758620689655E-2"/>
    <n v="-4.6994535519125684E-2"/>
    <m/>
    <m/>
    <m/>
    <m/>
    <n v="0.84"/>
    <n v="0.06"/>
    <n v="0.94"/>
    <n v="0.56000000000000005"/>
    <m/>
    <n v="310"/>
    <d v="1899-12-30T00:24:00"/>
    <n v="18"/>
    <s v="Normal"/>
    <s v="Normal"/>
    <n v="-3.4482758620689655E-2"/>
    <n v="-4.6994535519125684E-2"/>
  </r>
  <r>
    <d v="2024-02-24T00:00:00"/>
    <x v="48"/>
    <s v="S"/>
    <s v="FY24"/>
    <x v="225"/>
    <n v="738"/>
    <n v="0"/>
    <n v="0"/>
    <m/>
    <m/>
    <m/>
    <m/>
    <n v="0.82"/>
    <n v="0.11"/>
    <n v="0.89"/>
    <n v="0.62"/>
    <m/>
    <n v="273"/>
    <d v="1899-12-30T01:03:00"/>
    <n v="12"/>
    <s v="Normal"/>
    <s v="Normal"/>
    <n v="0"/>
    <n v="0"/>
  </r>
  <r>
    <d v="2024-02-25T00:00:00"/>
    <x v="49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2-26T00:00:00"/>
    <x v="49"/>
    <s v="M"/>
    <s v="FY24"/>
    <x v="226"/>
    <n v="736"/>
    <n v="0"/>
    <n v="0"/>
    <m/>
    <m/>
    <m/>
    <m/>
    <n v="0.68"/>
    <n v="0.12"/>
    <n v="0.88"/>
    <n v="0.49"/>
    <m/>
    <n v="271"/>
    <d v="1899-12-30T01:10:00"/>
    <n v="15"/>
    <s v="Normal"/>
    <s v="Normal"/>
    <n v="0"/>
    <n v="0"/>
  </r>
  <r>
    <d v="2024-02-27T00:00:00"/>
    <x v="49"/>
    <s v="T"/>
    <s v="FY24"/>
    <x v="227"/>
    <n v="989"/>
    <n v="0.12841253791708795"/>
    <n v="6.6882416396979505E-2"/>
    <m/>
    <m/>
    <m/>
    <m/>
    <n v="0.66"/>
    <n v="0.11"/>
    <n v="0.89"/>
    <n v="0.65"/>
    <m/>
    <n v="301"/>
    <d v="1899-12-30T01:11:00"/>
    <n v="17"/>
    <s v="Normal"/>
    <s v="Normal"/>
    <n v="0.12841253791708795"/>
    <n v="6.6882416396979505E-2"/>
  </r>
  <r>
    <d v="2024-02-28T00:00:00"/>
    <x v="49"/>
    <s v="W"/>
    <s v="FY24"/>
    <x v="228"/>
    <n v="1036"/>
    <n v="0.21606948968512488"/>
    <n v="0.15625"/>
    <m/>
    <m/>
    <m/>
    <m/>
    <n v="0.81"/>
    <n v="0.08"/>
    <n v="0.92"/>
    <n v="0.72"/>
    <m/>
    <n v="302"/>
    <d v="1899-12-30T00:31:00"/>
    <n v="16"/>
    <s v="Normal"/>
    <s v="Normal"/>
    <n v="0.21606948968512488"/>
    <n v="0.15625"/>
  </r>
  <r>
    <d v="2024-02-29T00:00:00"/>
    <x v="49"/>
    <s v="R"/>
    <s v="FY24"/>
    <x v="229"/>
    <n v="952"/>
    <n v="0.18406285072951739"/>
    <n v="0.14011976047904193"/>
    <m/>
    <m/>
    <m/>
    <m/>
    <n v="0.75"/>
    <n v="0.1"/>
    <n v="0.9"/>
    <n v="0.69"/>
    <m/>
    <n v="311"/>
    <d v="1899-12-30T00:41:00"/>
    <n v="16"/>
    <s v="Normal"/>
    <s v="Normal"/>
    <n v="0.18406285072951739"/>
    <n v="0.14011976047904193"/>
  </r>
  <r>
    <d v="2024-03-01T00:00:00"/>
    <x v="49"/>
    <s v="F"/>
    <s v="FY24"/>
    <x v="131"/>
    <n v="843"/>
    <n v="2.1645021645021645E-3"/>
    <n v="-3.3256880733944956E-2"/>
    <m/>
    <m/>
    <m/>
    <m/>
    <n v="0.73"/>
    <n v="0.09"/>
    <n v="0.91"/>
    <n v="0.78"/>
    <m/>
    <n v="300"/>
    <d v="1899-12-30T00:51:00"/>
    <n v="12"/>
    <s v="Normal"/>
    <s v="Normal"/>
    <n v="2.1645021645021645E-3"/>
    <n v="-3.3256880733944956E-2"/>
  </r>
  <r>
    <d v="2024-03-02T00:00:00"/>
    <x v="49"/>
    <s v="S"/>
    <s v="FY24"/>
    <x v="230"/>
    <n v="754"/>
    <n v="9.6153846153846159E-3"/>
    <n v="2.1680216802168022E-2"/>
    <m/>
    <m/>
    <m/>
    <m/>
    <n v="0.7"/>
    <n v="0.1"/>
    <n v="0.9"/>
    <n v="0.69"/>
    <m/>
    <n v="320"/>
    <d v="1899-12-30T00:57:00"/>
    <n v="13"/>
    <s v="Normal"/>
    <s v="Normal"/>
    <n v="9.6153846153846159E-3"/>
    <n v="2.1680216802168022E-2"/>
  </r>
  <r>
    <d v="2024-03-03T00:00:00"/>
    <x v="5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04T00:00:00"/>
    <x v="50"/>
    <s v="M"/>
    <s v="FY24"/>
    <x v="82"/>
    <n v="977"/>
    <n v="0.23067776456599287"/>
    <n v="0.32744565217391303"/>
    <m/>
    <m/>
    <m/>
    <m/>
    <n v="0.81"/>
    <n v="0.06"/>
    <n v="0.94"/>
    <n v="0.7"/>
    <m/>
    <n v="270"/>
    <d v="1899-12-30T00:38:00"/>
    <n v="14"/>
    <s v="Normal"/>
    <s v="Normal"/>
    <n v="0.23067776456599287"/>
    <n v="0.32744565217391303"/>
  </r>
  <r>
    <d v="2024-03-05T00:00:00"/>
    <x v="50"/>
    <s v="T"/>
    <s v="FY24"/>
    <x v="231"/>
    <n v="909"/>
    <n v="-0.10125448028673835"/>
    <n v="-8.0889787664307378E-2"/>
    <m/>
    <m/>
    <m/>
    <m/>
    <n v="0.81"/>
    <n v="0.09"/>
    <n v="0.91"/>
    <n v="0.73"/>
    <m/>
    <n v="280"/>
    <d v="1899-12-30T00:28:00"/>
    <n v="13"/>
    <s v="Normal"/>
    <s v="Normal"/>
    <n v="-0.10125448028673835"/>
    <n v="-8.0889787664307378E-2"/>
  </r>
  <r>
    <d v="2024-03-06T00:00:00"/>
    <x v="50"/>
    <s v="W"/>
    <s v="FY24"/>
    <x v="232"/>
    <n v="929"/>
    <n v="-0.1125"/>
    <n v="-0.10328185328185328"/>
    <m/>
    <m/>
    <m/>
    <m/>
    <n v="0.81"/>
    <n v="7.0000000000000007E-2"/>
    <n v="0.93"/>
    <n v="0.57999999999999996"/>
    <m/>
    <n v="253"/>
    <d v="1899-12-30T00:21:00"/>
    <n v="15"/>
    <s v="Normal"/>
    <s v="Normal"/>
    <n v="-0.1125"/>
    <n v="-0.10328185328185328"/>
  </r>
  <r>
    <d v="2024-03-07T00:00:00"/>
    <x v="50"/>
    <s v="R"/>
    <s v="FY24"/>
    <x v="233"/>
    <n v="907"/>
    <n v="-7.6777251184834125E-2"/>
    <n v="-4.7268907563025209E-2"/>
    <m/>
    <m/>
    <m/>
    <m/>
    <n v="0.85"/>
    <n v="7.0000000000000007E-2"/>
    <n v="0.93"/>
    <n v="0.74"/>
    <m/>
    <n v="286"/>
    <d v="1899-12-30T00:21:00"/>
    <n v="13"/>
    <s v="Normal"/>
    <s v="Normal"/>
    <n v="-7.6777251184834125E-2"/>
    <n v="-4.7268907563025209E-2"/>
  </r>
  <r>
    <d v="2024-03-08T00:00:00"/>
    <x v="50"/>
    <s v="F"/>
    <s v="FY24"/>
    <x v="3"/>
    <n v="827"/>
    <n v="-5.7235421166306692E-2"/>
    <n v="-1.8979833926453145E-2"/>
    <m/>
    <m/>
    <m/>
    <m/>
    <n v="0.87"/>
    <n v="0.05"/>
    <n v="0.95"/>
    <n v="0.64"/>
    <m/>
    <n v="250"/>
    <d v="1899-12-30T00:18:00"/>
    <n v="12"/>
    <s v="Normal"/>
    <s v="Normal"/>
    <n v="-5.7235421166306692E-2"/>
    <n v="-1.8979833926453145E-2"/>
  </r>
  <r>
    <d v="2024-03-09T00:00:00"/>
    <x v="50"/>
    <s v="S"/>
    <s v="FY24"/>
    <x v="161"/>
    <n v="725"/>
    <n v="-0.10119047619047619"/>
    <n v="-3.8461538461538464E-2"/>
    <m/>
    <m/>
    <m/>
    <m/>
    <n v="0.93"/>
    <n v="0.04"/>
    <n v="0.96"/>
    <n v="0.46"/>
    <m/>
    <n v="240"/>
    <d v="1899-12-30T00:14:00"/>
    <n v="14"/>
    <s v="Normal"/>
    <s v="Normal"/>
    <n v="-0.10119047619047619"/>
    <n v="-3.8461538461538464E-2"/>
  </r>
  <r>
    <d v="2024-03-10T00:00:00"/>
    <x v="5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11T00:00:00"/>
    <x v="51"/>
    <s v="M"/>
    <s v="FY24"/>
    <x v="90"/>
    <n v="909"/>
    <n v="-4.9275362318840582E-2"/>
    <n v="-6.9600818833162742E-2"/>
    <m/>
    <m/>
    <m/>
    <m/>
    <n v="0.78"/>
    <n v="0.08"/>
    <n v="0.92"/>
    <n v="0.67"/>
    <m/>
    <n v="300"/>
    <d v="1899-12-30T00:28:00"/>
    <n v="15"/>
    <s v="Normal"/>
    <s v="Normal"/>
    <n v="-4.9275362318840582E-2"/>
    <n v="-6.9600818833162742E-2"/>
  </r>
  <r>
    <d v="2024-03-12T00:00:00"/>
    <x v="51"/>
    <s v="T"/>
    <s v="FY24"/>
    <x v="234"/>
    <n v="930"/>
    <n v="-1.4955134596211365E-2"/>
    <n v="2.3102310231023101E-2"/>
    <m/>
    <m/>
    <m/>
    <m/>
    <n v="0.83"/>
    <n v="0.06"/>
    <n v="0.94"/>
    <n v="0.59"/>
    <m/>
    <n v="273"/>
    <d v="1899-12-30T00:21:00"/>
    <n v="16"/>
    <s v="Normal"/>
    <s v="Normal"/>
    <n v="-1.4955134596211365E-2"/>
    <n v="2.3102310231023101E-2"/>
  </r>
  <r>
    <d v="2024-03-13T00:00:00"/>
    <x v="51"/>
    <s v="W"/>
    <s v="FY24"/>
    <x v="235"/>
    <n v="900"/>
    <n v="-6.2374245472837021E-2"/>
    <n v="-3.1216361679224973E-2"/>
    <m/>
    <m/>
    <m/>
    <m/>
    <n v="0.91"/>
    <n v="0.03"/>
    <n v="0.97"/>
    <n v="0.53"/>
    <m/>
    <n v="240"/>
    <d v="1899-12-30T00:13:00"/>
    <n v="15"/>
    <s v="Normal"/>
    <s v="Normal"/>
    <n v="-6.2374245472837021E-2"/>
    <n v="-3.1216361679224973E-2"/>
  </r>
  <r>
    <d v="2024-03-14T00:00:00"/>
    <x v="51"/>
    <s v="R"/>
    <s v="FY24"/>
    <x v="236"/>
    <n v="778"/>
    <n v="-0.16016427104722791"/>
    <n v="-0.14222712238147739"/>
    <m/>
    <m/>
    <m/>
    <m/>
    <n v="0.83"/>
    <n v="0.05"/>
    <n v="0.95"/>
    <n v="0.72"/>
    <m/>
    <n v="300"/>
    <d v="1899-12-30T00:26:00"/>
    <n v="12"/>
    <s v="Normal"/>
    <s v="Normal"/>
    <n v="-0.16016427104722791"/>
    <n v="-0.14222712238147739"/>
  </r>
  <r>
    <d v="2024-03-15T00:00:00"/>
    <x v="51"/>
    <s v="F"/>
    <s v="FY24"/>
    <x v="102"/>
    <n v="942"/>
    <n v="0.14432989690721648"/>
    <n v="0.13905683192261184"/>
    <m/>
    <m/>
    <m/>
    <m/>
    <n v="0.84"/>
    <n v="0.06"/>
    <n v="0.94"/>
    <n v="1.8"/>
    <m/>
    <n v="310"/>
    <d v="1899-12-30T00:25:00"/>
    <n v="6"/>
    <s v="Normal"/>
    <s v="Normal"/>
    <n v="0.14432989690721648"/>
    <n v="0.13905683192261184"/>
  </r>
  <r>
    <d v="2024-03-16T00:00:00"/>
    <x v="51"/>
    <s v="S"/>
    <s v="FY24"/>
    <x v="118"/>
    <n v="700"/>
    <n v="-7.9470198675496689E-3"/>
    <n v="-3.4482758620689655E-2"/>
    <m/>
    <m/>
    <m/>
    <m/>
    <n v="0.85"/>
    <n v="7.0000000000000007E-2"/>
    <n v="0.93"/>
    <n v="0.5"/>
    <m/>
    <n v="251"/>
    <d v="1899-12-30T00:21:00"/>
    <n v="13"/>
    <s v="Normal"/>
    <s v="Normal"/>
    <n v="-7.9470198675496689E-3"/>
    <n v="-3.4482758620689655E-2"/>
  </r>
  <r>
    <d v="2024-03-17T00:00:00"/>
    <x v="5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18T00:00:00"/>
    <x v="52"/>
    <s v="M"/>
    <s v="FY24"/>
    <x v="103"/>
    <n v="899"/>
    <n v="-2.032520325203252E-2"/>
    <n v="-1.1001100110011002E-2"/>
    <m/>
    <m/>
    <m/>
    <m/>
    <n v="0.83"/>
    <n v="7.0000000000000007E-2"/>
    <n v="0.93"/>
    <n v="0.67"/>
    <m/>
    <n v="300"/>
    <d v="1899-12-30T00:21:00"/>
    <n v="15"/>
    <s v="Normal"/>
    <s v="Normal"/>
    <n v="-2.032520325203252E-2"/>
    <n v="-1.1001100110011002E-2"/>
  </r>
  <r>
    <d v="2024-03-19T00:00:00"/>
    <x v="52"/>
    <s v="T"/>
    <s v="FY24"/>
    <x v="16"/>
    <n v="863"/>
    <n v="-0.10222672064777327"/>
    <n v="-7.2043010752688166E-2"/>
    <m/>
    <m/>
    <m/>
    <m/>
    <n v="0.96"/>
    <n v="0.03"/>
    <n v="0.97"/>
    <n v="0.6"/>
    <m/>
    <n v="282"/>
    <d v="1899-12-30T00:08:00"/>
    <n v="15"/>
    <s v="Normal"/>
    <s v="Normal"/>
    <n v="-0.10222672064777327"/>
    <n v="-7.2043010752688166E-2"/>
  </r>
  <r>
    <d v="2024-03-20T00:00:00"/>
    <x v="52"/>
    <s v="W"/>
    <s v="FY24"/>
    <x v="231"/>
    <n v="923"/>
    <n v="7.6180257510729613E-2"/>
    <n v="2.5555555555555557E-2"/>
    <m/>
    <m/>
    <m/>
    <m/>
    <n v="0.82"/>
    <n v="0.08"/>
    <n v="0.92"/>
    <n v="0.57999999999999996"/>
    <m/>
    <n v="255"/>
    <d v="1899-12-30T00:31:00"/>
    <n v="15"/>
    <s v="Normal"/>
    <s v="Normal"/>
    <n v="7.6180257510729613E-2"/>
    <n v="2.5555555555555557E-2"/>
  </r>
  <r>
    <d v="2024-03-21T00:00:00"/>
    <x v="52"/>
    <s v="R"/>
    <s v="FY24"/>
    <x v="19"/>
    <n v="906"/>
    <n v="0.16992665036674817"/>
    <n v="0.16452442159383032"/>
    <m/>
    <m/>
    <m/>
    <m/>
    <n v="0.82"/>
    <n v="0.05"/>
    <n v="0.95"/>
    <n v="0.72"/>
    <m/>
    <n v="300"/>
    <d v="1899-12-30T00:26:00"/>
    <n v="14"/>
    <s v="Normal"/>
    <s v="Normal"/>
    <n v="0.16992665036674817"/>
    <n v="0.16452442159383032"/>
  </r>
  <r>
    <d v="2024-03-22T00:00:00"/>
    <x v="52"/>
    <s v="F"/>
    <s v="FY24"/>
    <x v="237"/>
    <n v="992"/>
    <n v="0.16616616616616617"/>
    <n v="5.3078556263269641E-2"/>
    <m/>
    <m/>
    <m/>
    <m/>
    <n v="0.64"/>
    <n v="0.15"/>
    <n v="0.85"/>
    <n v="0.79"/>
    <m/>
    <n v="300"/>
    <d v="1899-12-30T00:58:00"/>
    <n v="14"/>
    <s v="Normal"/>
    <s v="Normal"/>
    <n v="0.16616616616616617"/>
    <n v="5.3078556263269641E-2"/>
  </r>
  <r>
    <d v="2024-03-23T00:00:00"/>
    <x v="52"/>
    <s v="S"/>
    <s v="FY24"/>
    <x v="238"/>
    <n v="696"/>
    <n v="0.2109479305740988"/>
    <n v="-5.7142857142857143E-3"/>
    <m/>
    <m/>
    <m/>
    <m/>
    <n v="0.42"/>
    <n v="0.23"/>
    <n v="0.77"/>
    <n v="0.94"/>
    <m/>
    <n v="329"/>
    <d v="1899-12-30T01:48:00"/>
    <n v="9"/>
    <s v="Normal"/>
    <s v="Normal"/>
    <n v="0.2109479305740988"/>
    <n v="-5.7142857142857143E-3"/>
  </r>
  <r>
    <d v="2024-03-24T00:00:00"/>
    <x v="53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25T00:00:00"/>
    <x v="53"/>
    <s v="M"/>
    <s v="FY24"/>
    <x v="239"/>
    <n v="916"/>
    <n v="0.25726141078838172"/>
    <n v="1.8909899888765295E-2"/>
    <m/>
    <m/>
    <m/>
    <m/>
    <n v="0.39"/>
    <n v="0.24"/>
    <n v="0.76"/>
    <n v="0.24"/>
    <m/>
    <n v="108"/>
    <d v="1899-12-30T05:13:00"/>
    <n v="15"/>
    <s v="Normal"/>
    <s v="Normal"/>
    <n v="0.25726141078838172"/>
    <n v="1.8909899888765295E-2"/>
  </r>
  <r>
    <d v="2024-03-26T00:00:00"/>
    <x v="53"/>
    <s v="T"/>
    <s v="FY24"/>
    <x v="240"/>
    <n v="873"/>
    <n v="0.28410372040586246"/>
    <n v="1.1587485515643106E-2"/>
    <m/>
    <m/>
    <m/>
    <m/>
    <n v="0.38"/>
    <n v="0.23"/>
    <n v="0.77"/>
    <n v="0.72"/>
    <m/>
    <n v="311"/>
    <d v="1899-12-30T02:00:00"/>
    <n v="14"/>
    <s v="Normal"/>
    <s v="Normal"/>
    <n v="0.28410372040586246"/>
    <n v="1.1587485515643106E-2"/>
  </r>
  <r>
    <d v="2024-03-27T00:00:00"/>
    <x v="53"/>
    <s v="W"/>
    <s v="FY24"/>
    <x v="241"/>
    <n v="980"/>
    <n v="0.16849451645064806"/>
    <n v="6.1755146262188518E-2"/>
    <m/>
    <m/>
    <m/>
    <m/>
    <n v="0.48"/>
    <n v="0.16"/>
    <n v="0.84"/>
    <n v="0.68"/>
    <m/>
    <n v="280"/>
    <d v="1899-12-30T01:08:00"/>
    <n v="15"/>
    <s v="Normal"/>
    <s v="Normal"/>
    <n v="0.16849451645064806"/>
    <n v="6.1755146262188518E-2"/>
  </r>
  <r>
    <d v="2024-03-28T00:00:00"/>
    <x v="53"/>
    <s v="R"/>
    <s v="FY24"/>
    <x v="242"/>
    <n v="753"/>
    <n v="0.26541274817136884"/>
    <n v="-0.16887417218543047"/>
    <m/>
    <m/>
    <m/>
    <m/>
    <n v="0.13"/>
    <n v="0.38"/>
    <n v="0.62"/>
    <n v="0.69"/>
    <m/>
    <n v="322"/>
    <d v="1899-12-30T03:00:00"/>
    <n v="13"/>
    <s v="Normal"/>
    <s v="Normal"/>
    <n v="0.26541274817136884"/>
    <n v="-0.16887417218543047"/>
  </r>
  <r>
    <d v="2024-03-29T00:00:00"/>
    <x v="53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30T00:00:00"/>
    <x v="53"/>
    <s v="S"/>
    <s v="FY24"/>
    <x v="243"/>
    <n v="628"/>
    <n v="5.1819184123484012E-2"/>
    <n v="-9.7701149425287362E-2"/>
    <m/>
    <m/>
    <m/>
    <m/>
    <n v="0.25"/>
    <n v="0.34"/>
    <n v="0.66"/>
    <n v="0.76"/>
    <m/>
    <n v="360"/>
    <d v="1899-12-30T03:00:00"/>
    <n v="11"/>
    <s v="Normal"/>
    <s v="Normal"/>
    <n v="5.1819184123484012E-2"/>
    <n v="-9.7701149425287362E-2"/>
  </r>
  <r>
    <d v="2024-03-31T00:00:00"/>
    <x v="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8DB79-3B0C-4FC1-AB3B-90708CEECD5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Z14:AD69" firstHeaderRow="0" firstDataRow="1" firstDataCol="1"/>
  <pivotFields count="24">
    <pivotField numFmtId="16" showAll="0"/>
    <pivotField axis="axisRow" numFmtI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>
      <items count="245">
        <item x="1"/>
        <item x="70"/>
        <item x="187"/>
        <item x="180"/>
        <item x="191"/>
        <item x="197"/>
        <item x="173"/>
        <item x="40"/>
        <item x="89"/>
        <item x="153"/>
        <item x="50"/>
        <item x="74"/>
        <item x="6"/>
        <item x="0"/>
        <item x="29"/>
        <item x="57"/>
        <item x="99"/>
        <item x="126"/>
        <item x="17"/>
        <item x="122"/>
        <item x="94"/>
        <item x="63"/>
        <item x="142"/>
        <item x="39"/>
        <item x="118"/>
        <item x="112"/>
        <item x="161"/>
        <item x="11"/>
        <item x="49"/>
        <item x="23"/>
        <item x="56"/>
        <item x="166"/>
        <item x="85"/>
        <item x="35"/>
        <item x="101"/>
        <item x="33"/>
        <item x="69"/>
        <item x="137"/>
        <item x="165"/>
        <item x="204"/>
        <item x="38"/>
        <item x="55"/>
        <item x="15"/>
        <item x="32"/>
        <item x="51"/>
        <item x="236"/>
        <item x="129"/>
        <item x="14"/>
        <item x="207"/>
        <item x="37"/>
        <item x="225"/>
        <item x="5"/>
        <item x="212"/>
        <item x="88"/>
        <item x="230"/>
        <item x="226"/>
        <item x="125"/>
        <item x="13"/>
        <item x="4"/>
        <item x="61"/>
        <item x="164"/>
        <item x="117"/>
        <item x="65"/>
        <item x="31"/>
        <item x="133"/>
        <item x="3"/>
        <item x="9"/>
        <item x="140"/>
        <item x="26"/>
        <item x="62"/>
        <item x="16"/>
        <item x="124"/>
        <item x="93"/>
        <item x="224"/>
        <item x="2"/>
        <item x="73"/>
        <item x="54"/>
        <item x="98"/>
        <item x="141"/>
        <item x="10"/>
        <item x="83"/>
        <item x="200"/>
        <item x="238"/>
        <item x="104"/>
        <item x="36"/>
        <item x="87"/>
        <item x="43"/>
        <item x="132"/>
        <item x="163"/>
        <item x="121"/>
        <item x="28"/>
        <item x="106"/>
        <item x="131"/>
        <item x="76"/>
        <item x="108"/>
        <item x="34"/>
        <item x="21"/>
        <item x="235"/>
        <item x="30"/>
        <item x="220"/>
        <item x="127"/>
        <item x="123"/>
        <item x="48"/>
        <item x="146"/>
        <item x="120"/>
        <item x="136"/>
        <item x="12"/>
        <item x="27"/>
        <item x="78"/>
        <item x="41"/>
        <item x="84"/>
        <item x="221"/>
        <item x="8"/>
        <item x="243"/>
        <item x="47"/>
        <item x="19"/>
        <item x="107"/>
        <item x="138"/>
        <item x="79"/>
        <item x="103"/>
        <item x="53"/>
        <item x="119"/>
        <item x="157"/>
        <item x="128"/>
        <item x="135"/>
        <item x="130"/>
        <item x="233"/>
        <item x="66"/>
        <item x="152"/>
        <item x="109"/>
        <item x="72"/>
        <item x="105"/>
        <item x="155"/>
        <item x="90"/>
        <item x="45"/>
        <item x="234"/>
        <item x="223"/>
        <item x="18"/>
        <item x="232"/>
        <item x="219"/>
        <item x="102"/>
        <item x="75"/>
        <item x="58"/>
        <item x="22"/>
        <item x="231"/>
        <item x="67"/>
        <item x="86"/>
        <item x="64"/>
        <item x="205"/>
        <item x="81"/>
        <item x="156"/>
        <item x="215"/>
        <item x="97"/>
        <item x="139"/>
        <item x="216"/>
        <item x="203"/>
        <item x="202"/>
        <item x="159"/>
        <item x="206"/>
        <item x="82"/>
        <item x="214"/>
        <item x="59"/>
        <item x="211"/>
        <item x="209"/>
        <item x="77"/>
        <item x="44"/>
        <item x="160"/>
        <item x="186"/>
        <item x="229"/>
        <item x="116"/>
        <item x="168"/>
        <item x="24"/>
        <item x="25"/>
        <item x="172"/>
        <item x="144"/>
        <item x="134"/>
        <item x="150"/>
        <item x="71"/>
        <item x="151"/>
        <item x="208"/>
        <item x="68"/>
        <item x="162"/>
        <item x="111"/>
        <item x="7"/>
        <item x="46"/>
        <item x="52"/>
        <item x="199"/>
        <item x="20"/>
        <item x="148"/>
        <item x="92"/>
        <item x="100"/>
        <item x="147"/>
        <item x="96"/>
        <item x="227"/>
        <item x="80"/>
        <item x="228"/>
        <item x="91"/>
        <item x="169"/>
        <item x="145"/>
        <item x="95"/>
        <item x="240"/>
        <item x="143"/>
        <item x="114"/>
        <item x="201"/>
        <item x="167"/>
        <item x="218"/>
        <item x="237"/>
        <item x="213"/>
        <item x="241"/>
        <item x="210"/>
        <item x="113"/>
        <item x="149"/>
        <item x="42"/>
        <item x="170"/>
        <item x="190"/>
        <item x="242"/>
        <item x="239"/>
        <item x="189"/>
        <item x="115"/>
        <item x="217"/>
        <item x="184"/>
        <item x="179"/>
        <item x="158"/>
        <item x="182"/>
        <item x="183"/>
        <item x="60"/>
        <item x="195"/>
        <item x="193"/>
        <item x="192"/>
        <item x="194"/>
        <item x="185"/>
        <item x="188"/>
        <item x="196"/>
        <item x="154"/>
        <item x="181"/>
        <item x="110"/>
        <item x="171"/>
        <item x="198"/>
        <item x="178"/>
        <item x="174"/>
        <item x="176"/>
        <item x="175"/>
        <item x="177"/>
        <item x="2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lls Off" fld="4" baseField="0" baseItem="0"/>
    <dataField name="Sum of Calls Ans" fld="5" baseField="1" baseItem="0"/>
    <dataField name="Average of SL" fld="12" subtotal="average" baseField="1" baseItem="0" numFmtId="10"/>
    <dataField name="Average of AU" fld="15" subtotal="average" baseField="1" baseItem="1" numFmtId="10"/>
  </dataFields>
  <formats count="9">
    <format dxfId="2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field="1" type="button" dataOnly="0" labelOnly="1" outline="0" axis="axisRow" fieldPosition="0"/>
    </format>
    <format dxfId="23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9">
      <pivotArea dataOnly="0" labelOnly="1" fieldPosition="0">
        <references count="1">
          <reference field="1" count="4">
            <x v="50"/>
            <x v="51"/>
            <x v="52"/>
            <x v="53"/>
          </reference>
        </references>
      </pivotArea>
    </format>
    <format dxfId="228">
      <pivotArea dataOnly="0" labelOnly="1" grandRow="1" outline="0" fieldPosition="0"/>
    </format>
    <format dxfId="2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D8988-7BE6-4CED-BC60-37DB2712FAE0}" name="Table32" displayName="Table32" ref="A3:H12" totalsRowShown="0" headerRowDxfId="566" dataDxfId="564" headerRowBorderDxfId="565" tableBorderDxfId="563" totalsRowBorderDxfId="562">
  <autoFilter ref="A3:H12" xr:uid="{521D8988-7BE6-4CED-BC60-37DB2712FAE0}"/>
  <tableColumns count="8">
    <tableColumn id="1" xr3:uid="{ABF25065-B947-4726-9538-F4FA1237CC05}" name="KPIs" dataDxfId="561"/>
    <tableColumn id="2" xr3:uid="{01670FA7-34AE-4FF9-AD72-8B46DD3D10C1}" name="Targets" dataDxfId="560"/>
    <tableColumn id="3" xr3:uid="{CE000B4A-0E8D-42FE-BCE1-DF6C53D0955D}" name="TTO" dataDxfId="559"/>
    <tableColumn id="4" xr3:uid="{9BB2FA1F-BBDD-4545-87A2-57076DD3513D}" name="JAM" dataDxfId="558"/>
    <tableColumn id="5" xr3:uid="{D2270F34-DE5E-4388-A446-513CF993B39C}" name="BAR" dataDxfId="557"/>
    <tableColumn id="6" xr3:uid="{55ADC9AD-3B00-4C0E-801B-63E27DABAB33}" name="OECS" dataDxfId="556"/>
    <tableColumn id="7" xr3:uid="{A394CC33-52E0-4FA4-83A8-B3E8C6A852B5}" name="GUY" dataDxfId="555"/>
    <tableColumn id="8" xr3:uid="{5CF751FF-2D7C-4276-A835-7ADA0D40426D}" name="BEL" dataDxfId="5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F930A0A-F82E-4AA1-8EBE-D6D0E095D828}" name="Table37" displayName="Table37" ref="AB15:AH22" totalsRowShown="0" headerRowDxfId="484" headerRowBorderDxfId="483">
  <autoFilter ref="AB15:AH22" xr:uid="{082712D6-05C7-4629-B973-F971A5957178}"/>
  <tableColumns count="7">
    <tableColumn id="1" xr3:uid="{6907FF1C-D67C-45E9-8523-76DF31EC206F}" name="KPIs" dataDxfId="482"/>
    <tableColumn id="2" xr3:uid="{158F987C-7BEB-4908-9F6C-2EE6CFCB51E5}" name="TTO"/>
    <tableColumn id="3" xr3:uid="{6C3E4C76-DE45-44C4-8154-88216E03B9BB}" name="JAM"/>
    <tableColumn id="4" xr3:uid="{B8349883-0F2F-4341-BB84-DEA884602631}" name="BAR"/>
    <tableColumn id="5" xr3:uid="{6186DFA7-2388-4CF7-A462-18735D0E453F}" name="OECS"/>
    <tableColumn id="6" xr3:uid="{05766BCB-8352-4C08-ABCA-58E3317F27D8}" name="GUY"/>
    <tableColumn id="7" xr3:uid="{8504BFF6-C004-4156-89EB-08F095854B3E}" name="BE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569764D-8D59-488F-9B79-0237F690A56E}" name="Table38" displayName="Table38" ref="AK3:AR12" totalsRowShown="0" headerRowDxfId="481" headerRowBorderDxfId="480" tableBorderDxfId="479" totalsRowBorderDxfId="478">
  <autoFilter ref="AK3:AR12" xr:uid="{33AAFE4B-EFA5-4E9F-BB96-1E661FD7EB78}"/>
  <tableColumns count="8">
    <tableColumn id="1" xr3:uid="{BF429F1E-C028-42EB-91CB-8EE317286DF8}" name="KPIs" dataDxfId="477"/>
    <tableColumn id="2" xr3:uid="{2B3293AB-1B63-4F52-AB74-5220B1D58414}" name="Targets"/>
    <tableColumn id="3" xr3:uid="{0964497B-9102-412F-B75E-6C3F94392B56}" name="TTO" dataDxfId="476"/>
    <tableColumn id="4" xr3:uid="{52BDFA0A-793B-4976-9A28-3291F20325AF}" name="JAM"/>
    <tableColumn id="5" xr3:uid="{B0FC74F1-98D6-4547-A208-0CC72B7CB11A}" name="BAR"/>
    <tableColumn id="6" xr3:uid="{E8B29B2C-2D9E-4081-B0B4-E84C2410430C}" name="OECS"/>
    <tableColumn id="7" xr3:uid="{6C4206BB-9407-41F1-930D-4C1A478C75F0}" name="GUY"/>
    <tableColumn id="8" xr3:uid="{0AA1CE42-775F-486E-B97D-A458C58A6261}" name="BE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AF4EB4C-A3B0-49E1-A189-BD32BFB61850}" name="Table39" displayName="Table39" ref="AK15:AQ22" totalsRowShown="0" headerRowDxfId="475" headerRowBorderDxfId="474" tableBorderDxfId="473" totalsRowBorderDxfId="472">
  <autoFilter ref="AK15:AQ22" xr:uid="{96157370-495B-4598-A1F0-2726191BA854}"/>
  <tableColumns count="7">
    <tableColumn id="1" xr3:uid="{22864E84-1636-40AA-BA6F-98A5F2F87164}" name="KPIs" dataDxfId="471"/>
    <tableColumn id="2" xr3:uid="{C8D85B37-FB91-4860-887A-447E9EAD49A3}" name="TTO"/>
    <tableColumn id="3" xr3:uid="{0EB17978-7EAA-4DC0-B9EB-9C662E7A70E3}" name="JAM"/>
    <tableColumn id="4" xr3:uid="{8C8D8FA7-B5C8-46F0-84BE-D950710C5655}" name="BAR"/>
    <tableColumn id="5" xr3:uid="{F4AEF2B1-A482-4F98-AA22-6A24CC5969A9}" name="OECS"/>
    <tableColumn id="6" xr3:uid="{5C36B3C2-ECA4-4E2B-929A-CA39A3538121}" name="GUY"/>
    <tableColumn id="7" xr3:uid="{2D31BDED-0AEC-4F05-A4D2-F9EF64219906}" name="BE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98FF5B3-FD6B-42B6-B80C-8A9E6240EF22}" name="Table40" displayName="Table40" ref="AT3:BA12" totalsRowShown="0" headerRowDxfId="470" headerRowBorderDxfId="469">
  <autoFilter ref="AT3:BA12" xr:uid="{339312AD-97FD-452E-920C-25324A970835}"/>
  <tableColumns count="8">
    <tableColumn id="1" xr3:uid="{9EB7C43D-4D6F-4226-B3CC-2105AD050955}" name="KPIs" dataDxfId="468"/>
    <tableColumn id="2" xr3:uid="{1733B3AC-70C4-46A6-A5B8-83A457E19ACE}" name="Targets" dataDxfId="467"/>
    <tableColumn id="3" xr3:uid="{4930BE69-311A-4C7D-BEE4-002DD4D3A607}" name="TTO" dataDxfId="466"/>
    <tableColumn id="4" xr3:uid="{A6D69B55-3EFA-4EF1-8E41-412F172B9A36}" name="JAM" dataDxfId="465"/>
    <tableColumn id="5" xr3:uid="{0359C899-4DBF-44E9-96A7-3053C9CFA608}" name="BAR" dataDxfId="464"/>
    <tableColumn id="6" xr3:uid="{8DE0B791-C195-4456-B49E-D5C9518D6131}" name="OECS" dataDxfId="463"/>
    <tableColumn id="7" xr3:uid="{56DEDDF8-A7BF-455F-86DE-13E328C5CFF9}" name="GUY" dataDxfId="462"/>
    <tableColumn id="8" xr3:uid="{D87432DF-77E1-4F9F-B2DD-DF3F2D2EBB94}" name="BEL" dataDxfId="46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5279EB1-A64B-44DC-B387-B8B334C87CC0}" name="Table41" displayName="Table41" ref="AT15:AZ22" totalsRowShown="0" headerRowDxfId="460" headerRowBorderDxfId="459">
  <autoFilter ref="AT15:AZ22" xr:uid="{65386EB3-7E6F-499E-88CA-948E1BE76CCE}"/>
  <tableColumns count="7">
    <tableColumn id="1" xr3:uid="{AC013B17-B81D-4D1D-AB16-6DD84849AD89}" name="KPIs" dataDxfId="458"/>
    <tableColumn id="2" xr3:uid="{DA79142A-CE61-4164-B179-2E14C7F7A2F3}" name="TTO"/>
    <tableColumn id="3" xr3:uid="{1D638DFA-586D-4E0E-8E03-ADB2D7D08272}" name="JAM"/>
    <tableColumn id="4" xr3:uid="{F91EC1B5-5E12-4198-AFD0-1A4B00A6A0AE}" name="BAR"/>
    <tableColumn id="5" xr3:uid="{2DBF6073-C9C7-4958-9361-219E9F8D9C84}" name="OECS"/>
    <tableColumn id="6" xr3:uid="{40626FA0-2289-4923-A54A-20E6DFC92373}" name="GUY"/>
    <tableColumn id="7" xr3:uid="{98B2EEB5-3EC5-43A4-B057-E321D3F4D82B}" name="B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7639CAE-A78B-47C6-BE67-3C8B574A189B}" name="Table42" displayName="Table42" ref="BC3:BJ12" totalsRowShown="0" headerRowDxfId="457" headerRowBorderDxfId="456" tableBorderDxfId="455" totalsRowBorderDxfId="454">
  <autoFilter ref="BC3:BJ12" xr:uid="{7D77CCEB-2E10-4424-B027-CEB052982645}"/>
  <tableColumns count="8">
    <tableColumn id="1" xr3:uid="{7F1617EB-33B2-445D-B86A-AA277714E5DE}" name="KPIs" dataDxfId="453"/>
    <tableColumn id="2" xr3:uid="{82E65861-2408-46E9-8D36-1720C04D14BA}" name="Targets" dataDxfId="452"/>
    <tableColumn id="3" xr3:uid="{A7F69F95-0FC6-4466-8188-8969C6836327}" name="TTO" dataDxfId="451"/>
    <tableColumn id="4" xr3:uid="{CF26FC93-2856-40E7-A240-75158AB36CF3}" name="JAM" dataDxfId="450"/>
    <tableColumn id="5" xr3:uid="{F8786390-28E5-4A5D-8210-CC455A50E073}" name="BAR" dataDxfId="449"/>
    <tableColumn id="6" xr3:uid="{02459DA3-A6C0-4110-8DDF-505D0EDE9702}" name="OECS" dataDxfId="448"/>
    <tableColumn id="7" xr3:uid="{5244CECF-3DB9-4AFC-8062-5F72FC544943}" name="GUY" dataDxfId="447"/>
    <tableColumn id="8" xr3:uid="{752809B4-7B1A-4113-9F5F-7B1D96A6914C}" name="BEL" dataDxfId="44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7F1094C-5226-4729-90FD-467D8AF01755}" name="Table43" displayName="Table43" ref="BC15:BI22" totalsRowShown="0" headerRowDxfId="445" headerRowBorderDxfId="444" tableBorderDxfId="443" totalsRowBorderDxfId="442">
  <autoFilter ref="BC15:BI22" xr:uid="{A133AB15-097C-44CA-8D82-36F666540D4F}"/>
  <tableColumns count="7">
    <tableColumn id="1" xr3:uid="{9FE4E816-FF39-4CC7-8B42-D98767D02649}" name="KPIs" dataDxfId="441"/>
    <tableColumn id="2" xr3:uid="{9F17B589-8198-41A0-BA8C-296C1BE5A128}" name="TTO"/>
    <tableColumn id="3" xr3:uid="{890F366D-A79A-459A-A6B7-093646968170}" name="JAM"/>
    <tableColumn id="4" xr3:uid="{D938B2D9-E593-4B33-9188-D50E73417DAC}" name="BAR"/>
    <tableColumn id="5" xr3:uid="{E50AA657-2573-4AD3-BDA5-D70784834483}" name="OECS"/>
    <tableColumn id="6" xr3:uid="{E07451CD-0F0A-4F79-9AAD-0CBBDCB1DA8B}" name="GUY"/>
    <tableColumn id="7" xr3:uid="{4AE986F6-9622-4096-86DA-8F3F7CF4E6A9}" name="BE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9BDEF8-C0CA-4709-B9CA-3C954C717EC5}" name="Table44" displayName="Table44" ref="BL3:BS12" totalsRowShown="0" headerRowDxfId="440" headerRowBorderDxfId="439" tableBorderDxfId="438" totalsRowBorderDxfId="437">
  <autoFilter ref="BL3:BS12" xr:uid="{7E55E2AE-45C6-4781-AA4C-14EBBE385B2C}"/>
  <tableColumns count="8">
    <tableColumn id="1" xr3:uid="{DCD3F983-CF56-4D66-A930-C53DE8F0B55D}" name="KPIs" dataDxfId="436"/>
    <tableColumn id="2" xr3:uid="{6290A391-5C99-492D-B21E-4F06C1D540F1}" name="Targets"/>
    <tableColumn id="3" xr3:uid="{7D0BA33C-56D6-4AB0-BCBB-DC363FC3E2F0}" name="TTO" dataDxfId="435"/>
    <tableColumn id="4" xr3:uid="{25533128-1771-4403-A2F3-CD901C14D46C}" name="JAM"/>
    <tableColumn id="5" xr3:uid="{F770AE9C-4C17-4627-8422-E76C6860A7EC}" name="BAR"/>
    <tableColumn id="6" xr3:uid="{141D683C-9AA9-4166-B832-B1AEAA6257F7}" name="OECS"/>
    <tableColumn id="7" xr3:uid="{57BD8129-EEDA-4B5D-B773-B389A4951675}" name="GUY"/>
    <tableColumn id="8" xr3:uid="{6BEBD221-5B69-473A-B5DD-5078F82011DC}" name="B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2178385-554C-448E-A902-106C40799DD3}" name="Table45" displayName="Table45" ref="BL15:BR22" totalsRowShown="0" headerRowDxfId="434" headerRowBorderDxfId="433" tableBorderDxfId="432" totalsRowBorderDxfId="431">
  <autoFilter ref="BL15:BR22" xr:uid="{366B9B30-4A3A-4989-8820-87EEEA812C00}"/>
  <tableColumns count="7">
    <tableColumn id="1" xr3:uid="{BFF83028-0FF4-42B0-BB6C-F4D6096B7B26}" name="KPIs" dataDxfId="430"/>
    <tableColumn id="2" xr3:uid="{CEB932A7-0A8C-42A7-BBE4-A7BE82D91991}" name="TTO"/>
    <tableColumn id="3" xr3:uid="{B196CDA1-D153-439D-926D-8A40B21DA43D}" name="JAM"/>
    <tableColumn id="4" xr3:uid="{A42324E9-B26F-430B-BDB2-76BB0BAA6999}" name="BAR"/>
    <tableColumn id="5" xr3:uid="{8C17856E-6848-43E2-9FA7-AF3AA6C633D6}" name="OECS"/>
    <tableColumn id="6" xr3:uid="{72AD88F8-B9FB-42EB-B8AB-02EC6E64BD6A}" name="GUY"/>
    <tableColumn id="7" xr3:uid="{5A054DC2-6510-4FF5-A681-37430AD7BD0F}" name="B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BBF4C1-146D-447A-88A5-26BD0F2868D4}" name="Table46" displayName="Table46" ref="BU3:CB12" totalsRowShown="0" headerRowDxfId="429" headerRowBorderDxfId="428" tableBorderDxfId="427" totalsRowBorderDxfId="426">
  <autoFilter ref="BU3:CB12" xr:uid="{6A156EEC-BA67-4D0C-9B88-DE7E34DE00EB}"/>
  <tableColumns count="8">
    <tableColumn id="1" xr3:uid="{AE0FCF15-74CA-4F87-B8DC-9ACE0B914887}" name="KPIs" dataDxfId="425"/>
    <tableColumn id="2" xr3:uid="{2069DC14-1F4A-4E4E-996A-D6F1E66C2FA8}" name="Targets" dataDxfId="424"/>
    <tableColumn id="3" xr3:uid="{1A67A2EE-9958-4E06-A332-59D1E31B1F09}" name="TTO" dataDxfId="423"/>
    <tableColumn id="4" xr3:uid="{C23F83E5-A646-4AE7-BC38-C308C50289CA}" name="JAM" dataDxfId="422"/>
    <tableColumn id="5" xr3:uid="{70EB641F-AEF4-443D-A982-69B28A0E7081}" name="BAR" dataDxfId="421"/>
    <tableColumn id="6" xr3:uid="{2C03004D-C79C-40A5-848C-95F6DE7C6606}" name="OECS" dataDxfId="420"/>
    <tableColumn id="7" xr3:uid="{17E6C4E4-1814-47C9-9BCE-C3CA9155B71B}" name="GUY" dataDxfId="419"/>
    <tableColumn id="8" xr3:uid="{BFD5BA5F-2D82-4D2F-9481-1342BD0687A5}" name="BEL" dataDxfId="4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FD32FF-EA43-49E3-84B7-28B554A76C00}" name="Table26" displayName="Table26" ref="A15:G22" totalsRowShown="0" headerRowDxfId="553" headerRowBorderDxfId="552" tableBorderDxfId="551" totalsRowBorderDxfId="550">
  <autoFilter ref="A15:G22" xr:uid="{B5FD32FF-EA43-49E3-84B7-28B554A76C00}"/>
  <tableColumns count="7">
    <tableColumn id="1" xr3:uid="{0FC8DA96-050E-40AD-997E-8647DF0DE2CC}" name="KPIs" dataDxfId="549"/>
    <tableColumn id="2" xr3:uid="{668A1404-49CA-4661-918F-80E91B9883BD}" name="TTO"/>
    <tableColumn id="3" xr3:uid="{42D7ACF3-53F4-4663-B108-6B8B5CD02FE8}" name="JAM"/>
    <tableColumn id="4" xr3:uid="{54D241E7-7945-4D3F-BF63-9D359CB7FBB0}" name="BAR" dataDxfId="548"/>
    <tableColumn id="5" xr3:uid="{405E4939-0C4B-4909-A73F-5790B3842DF6}" name="OECS" dataDxfId="547"/>
    <tableColumn id="6" xr3:uid="{2E1403DA-B155-4BE4-B5D9-186A5DE9764D}" name="GUY" dataDxfId="546"/>
    <tableColumn id="7" xr3:uid="{10B0A785-E7E5-458C-AEAA-D830EB774FF7}" name="BEL" dataDxfId="5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DA31759-25A4-4C5F-9A63-7E901363EEE4}" name="Table47" displayName="Table47" ref="BU15:CA22" totalsRowShown="0" headerRowDxfId="417" headerRowBorderDxfId="416" tableBorderDxfId="415" totalsRowBorderDxfId="414">
  <autoFilter ref="BU15:CA22" xr:uid="{31349177-1528-43EA-8F7F-7E7E77C4D633}"/>
  <tableColumns count="7">
    <tableColumn id="1" xr3:uid="{32268B6A-CB53-412C-BAD6-DF6AAAD214DF}" name="KPIs" dataDxfId="413"/>
    <tableColumn id="2" xr3:uid="{BF3882EB-3F43-4613-83B2-E98CC5BEC377}" name="TTO"/>
    <tableColumn id="3" xr3:uid="{610B1DEF-A92D-41BF-AD73-68015795F41C}" name="JAM"/>
    <tableColumn id="4" xr3:uid="{703CE098-4087-432C-B07E-CA8CBB5F4B69}" name="BAR"/>
    <tableColumn id="5" xr3:uid="{DC5669EE-F02B-4DA6-88CC-7DB6FCF1C237}" name="OECS"/>
    <tableColumn id="6" xr3:uid="{224CF839-8A6B-4E8D-82F5-84D61A7705BE}" name="GUY"/>
    <tableColumn id="7" xr3:uid="{1D56B81C-2FB6-404E-9725-807D6781877F}" name="BE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979BACC-C084-4577-98AE-D5BA09E078CB}" name="Table48" displayName="Table48" ref="CD3:CK12" totalsRowShown="0" headerRowDxfId="412" headerRowBorderDxfId="411" tableBorderDxfId="410" totalsRowBorderDxfId="409">
  <autoFilter ref="CD3:CK12" xr:uid="{08D47800-DD91-44E8-A4A2-0215DE9001C4}"/>
  <tableColumns count="8">
    <tableColumn id="1" xr3:uid="{DDEB46FD-314F-4B83-B10A-C02489313ABE}" name="KPIs" dataDxfId="408"/>
    <tableColumn id="2" xr3:uid="{26660E5C-226D-47AD-B734-087963CEFD68}" name="Targets"/>
    <tableColumn id="3" xr3:uid="{D2116707-30F8-4AA2-817B-A2849EAEEE4A}" name="TTO" dataDxfId="407"/>
    <tableColumn id="4" xr3:uid="{506E5E2A-99A6-4AC6-A566-1EFB74E7245C}" name="JAM"/>
    <tableColumn id="5" xr3:uid="{0F207EB6-EE10-473F-9676-504906675206}" name="BAR"/>
    <tableColumn id="6" xr3:uid="{746E9E4D-FAAF-46FF-8CE5-A415315E8808}" name="OECS"/>
    <tableColumn id="7" xr3:uid="{355AF3DB-1B8D-4A85-965A-3F3D82F4EF1D}" name="GUY"/>
    <tableColumn id="8" xr3:uid="{31C671C3-1B8E-404F-BCAF-B0DA325E815F}" name="B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88975C6-9274-42BF-B1C0-0FE95F964469}" name="Table49" displayName="Table49" ref="CD15:CJ22" totalsRowShown="0" headerRowDxfId="406" headerRowBorderDxfId="405">
  <autoFilter ref="CD15:CJ22" xr:uid="{0A372243-1B06-4253-A3E9-12B9167192EB}"/>
  <tableColumns count="7">
    <tableColumn id="1" xr3:uid="{EA1D4B06-4BDE-46BD-955D-08E01304D7FC}" name="KPIs" dataDxfId="404"/>
    <tableColumn id="2" xr3:uid="{5C06C180-A0E5-4E0F-8717-1A92AA26E38D}" name="TTO"/>
    <tableColumn id="3" xr3:uid="{A6B6582D-AE46-4358-A517-D508FD2C4E8C}" name="JAM"/>
    <tableColumn id="4" xr3:uid="{B8B2384A-D064-4107-8D57-99D97875EF3B}" name="BAR"/>
    <tableColumn id="5" xr3:uid="{0D0A876D-F721-4F2A-9DF9-D3031165F1AB}" name="OECS"/>
    <tableColumn id="6" xr3:uid="{4A8BD87B-49A1-4C60-8A14-D3AC4477EEC4}" name="GUY"/>
    <tableColumn id="7" xr3:uid="{24ECD74D-C28B-4502-9305-76BA71D50B3B}" name="BE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8534D68-A85F-4D18-8AC5-3648A14C514D}" name="Table50" displayName="Table50" ref="CM3:CT12" totalsRowShown="0" headerRowDxfId="403" headerRowBorderDxfId="402" tableBorderDxfId="401" totalsRowBorderDxfId="400">
  <autoFilter ref="CM3:CT12" xr:uid="{C56DAED8-74CB-4099-A4DB-8C4C513B655B}"/>
  <tableColumns count="8">
    <tableColumn id="1" xr3:uid="{383CF833-3252-410D-8F7D-6439109D5261}" name="KPIs" dataDxfId="399"/>
    <tableColumn id="2" xr3:uid="{7915392B-9CC2-4D15-B272-F0EFDEACA919}" name="Targets" dataDxfId="398"/>
    <tableColumn id="3" xr3:uid="{F27C1A60-C122-4255-B22C-5E883589D579}" name="TTO" dataDxfId="397"/>
    <tableColumn id="4" xr3:uid="{94EB3121-CB9B-4FAC-8BD1-A34230BC1670}" name="JAM" dataDxfId="396"/>
    <tableColumn id="5" xr3:uid="{0384DF7F-62DD-4C79-B5C0-F70D45F658BF}" name="BAR" dataDxfId="395"/>
    <tableColumn id="6" xr3:uid="{B384BEE4-B8CD-4AB4-B547-748D6CFB60CE}" name="OECS" dataDxfId="394"/>
    <tableColumn id="7" xr3:uid="{23FAC199-D296-41DB-8B6A-18971FD58BAD}" name="GUY" dataDxfId="393"/>
    <tableColumn id="8" xr3:uid="{7FFDA36D-F549-42A0-BE2B-EBA8733CF3EE}" name="BEL" dataDxfId="39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F5BAF4D-4417-42AD-8E13-A1CA0FCD852D}" name="Table51" displayName="Table51" ref="CM15:CS22" totalsRowShown="0" headerRowDxfId="391" headerRowBorderDxfId="390" tableBorderDxfId="389" totalsRowBorderDxfId="388">
  <autoFilter ref="CM15:CS22" xr:uid="{3AAC4CC4-D565-4316-8813-C9B3C73FB98F}"/>
  <tableColumns count="7">
    <tableColumn id="1" xr3:uid="{45DCE9BF-C09F-4FE8-8B9B-8FC376EC94EB}" name="KPIs" dataDxfId="387"/>
    <tableColumn id="2" xr3:uid="{7E45A73A-D230-45E0-B586-14875BD581E6}" name="TTO"/>
    <tableColumn id="3" xr3:uid="{B815C59C-0039-4BFF-802A-5304FB519375}" name="JAM"/>
    <tableColumn id="4" xr3:uid="{7C1E2CEE-91A8-40EC-B306-411E4DB93E2F}" name="BAR"/>
    <tableColumn id="5" xr3:uid="{C37CC35F-2064-4069-8212-6ADFF7708211}" name="OECS"/>
    <tableColumn id="6" xr3:uid="{5EE19948-6371-461A-A010-AE180D696540}" name="GUY"/>
    <tableColumn id="7" xr3:uid="{AC1102A7-7495-44B1-9055-67AE1C2F9548}" name="BE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5CE81C2E-D2DA-48F1-908E-3EA76A52E30A}" name="Table52" displayName="Table52" ref="CV3:DC12" totalsRowShown="0" headerRowDxfId="386" headerRowBorderDxfId="385" tableBorderDxfId="384" totalsRowBorderDxfId="383">
  <autoFilter ref="CV3:DC12" xr:uid="{8B979B1E-9481-405D-AA53-B4836BA9239C}"/>
  <tableColumns count="8">
    <tableColumn id="1" xr3:uid="{82FF8D5B-5256-4D8F-830A-3F2BC49B9C9E}" name="KPIs" dataDxfId="382"/>
    <tableColumn id="2" xr3:uid="{851DA8DE-013B-42B4-B644-88BC60C54B36}" name="Targets"/>
    <tableColumn id="3" xr3:uid="{F1CD5970-025F-4219-9D55-89ED3AF78A3A}" name="TTO" dataDxfId="381"/>
    <tableColumn id="4" xr3:uid="{9B38A02F-C502-4180-AB47-6C67FA80B3CB}" name="JAM"/>
    <tableColumn id="5" xr3:uid="{CB249B2F-5E30-4DED-A4B6-7DAE548CCBFD}" name="BAR"/>
    <tableColumn id="6" xr3:uid="{3FC3FB2E-3A5F-4BC7-B33F-8471A7D9A1F6}" name="OECS"/>
    <tableColumn id="7" xr3:uid="{60CC8010-F39B-4E14-BD07-68C4BBD42C07}" name="GUY"/>
    <tableColumn id="8" xr3:uid="{AF7C20BC-1BEC-4BAD-A9B4-AB4AE74729B0}" name="BE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8AFE4B92-CA67-4ADD-A920-4A8620F9A2E0}" name="Table53" displayName="Table53" ref="CV15:DB22" totalsRowShown="0" headerRowDxfId="380" headerRowBorderDxfId="379">
  <autoFilter ref="CV15:DB22" xr:uid="{F2BB815A-BF7A-4383-A1DC-ADE9225F3A71}"/>
  <tableColumns count="7">
    <tableColumn id="1" xr3:uid="{CE544D34-C911-48FB-B9A3-920AFF67E01B}" name="KPIs" dataDxfId="378"/>
    <tableColumn id="2" xr3:uid="{61CAA7C8-BB99-4A11-8D80-90E7833F578A}" name="TTO"/>
    <tableColumn id="3" xr3:uid="{FD583F35-01BA-40CA-9B9E-F6A99631A22C}" name="JAM"/>
    <tableColumn id="4" xr3:uid="{98C1E066-900C-448A-9843-703BC5F82A38}" name="BAR"/>
    <tableColumn id="5" xr3:uid="{95FA406C-0CE3-4134-AB9C-AAFAC9A0F5AA}" name="OECS"/>
    <tableColumn id="6" xr3:uid="{B85D1C13-2BCD-45C4-B55F-48F8E6125ED4}" name="GUY"/>
    <tableColumn id="7" xr3:uid="{1156FBE9-2087-420F-98D1-730353741A7C}" name="BE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105C8D2-C49F-43B8-965B-90B2CAF78C72}" name="Table5355" displayName="Table5355" ref="DF15:DL22" totalsRowShown="0" headerRowDxfId="377" headerRowBorderDxfId="376">
  <autoFilter ref="DF15:DL22" xr:uid="{AD5DB952-0D96-4EE1-BB01-222CB33F109C}"/>
  <tableColumns count="7">
    <tableColumn id="1" xr3:uid="{03ADE03C-C6C8-4CB8-84CC-382111E91B58}" name="KPIs" dataDxfId="375"/>
    <tableColumn id="2" xr3:uid="{F2AB2318-1CF2-4ADB-A19B-39C6AAF9B9DA}" name="TTO"/>
    <tableColumn id="3" xr3:uid="{AEAAED57-924F-4A1D-B7A6-9CF56A129BBE}" name="JAM"/>
    <tableColumn id="4" xr3:uid="{FEBCDCD7-C1A3-48F4-AAB9-0F3B2D4579B9}" name="BAR"/>
    <tableColumn id="5" xr3:uid="{4403E8DE-7879-469A-8BB3-E15582624D32}" name="OECS"/>
    <tableColumn id="6" xr3:uid="{8E1A509A-B94F-4143-A550-7EA817B6851B}" name="GUY"/>
    <tableColumn id="7" xr3:uid="{52135C7C-7741-4C59-8D22-2418BEC59C0C}" name="BE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52CFC4-9E28-4DDB-9943-49AC9065DE71}" name="Table7" displayName="Table7" ref="A1:X367" totalsRowShown="0" headerRowDxfId="374" tableBorderDxfId="373">
  <autoFilter ref="A1:X367" xr:uid="{3052CFC4-9E28-4DDB-9943-49AC9065DE71}"/>
  <tableColumns count="24">
    <tableColumn id="1" xr3:uid="{C9188B86-882B-4531-9A7C-9C8E74CF4DCD}" name="Date" dataDxfId="372" totalsRowDxfId="371"/>
    <tableColumn id="24" xr3:uid="{51917AE2-9521-4A90-8DD4-F84AA193E280}" name="Week Number" dataDxfId="370" totalsRowDxfId="369"/>
    <tableColumn id="2" xr3:uid="{8344D3B9-AC84-4150-B225-34BF77D3592E}" name="Day of the week" dataDxfId="368" totalsRowDxfId="367"/>
    <tableColumn id="14" xr3:uid="{C29776C6-4F85-4204-BBD4-7595D56E4BAD}" name="Fiscal" dataDxfId="366" totalsRowDxfId="365"/>
    <tableColumn id="3" xr3:uid="{36D3F057-C4A6-4ECB-BBA1-0422ED4322C2}" name="Calls Off" dataDxfId="364" totalsRowDxfId="363"/>
    <tableColumn id="4" xr3:uid="{48A00883-2030-48B1-BBC1-6FA1DBF92293}" name="Calls Ans" dataDxfId="362" totalsRowDxfId="361"/>
    <tableColumn id="15" xr3:uid="{9649B7A5-7919-4975-955B-3B6C35464C70}" name="WoW % change offer" dataDxfId="360" totalsRowDxfId="359"/>
    <tableColumn id="16" xr3:uid="{1F703A6A-FD49-47C1-BBCC-053F475F8081}" name="WoW % change ans" dataDxfId="358" totalsRowDxfId="357"/>
    <tableColumn id="5" xr3:uid="{DFF29B31-8A29-42E7-8A58-A7983425BB1A}" name="MTD Calls Offered" dataDxfId="356" totalsRowDxfId="355"/>
    <tableColumn id="6" xr3:uid="{A6B0FB5C-00D8-4813-BFD7-187C5BBE5F8E}" name="MTD Calls Ans" dataDxfId="354" totalsRowDxfId="353"/>
    <tableColumn id="7" xr3:uid="{BC18EA59-A5AC-49CE-A729-4AEFE9008FDD}" name="YTD Calls Offer" dataDxfId="352" totalsRowDxfId="351"/>
    <tableColumn id="8" xr3:uid="{27E7F2E3-6DBC-405E-B89F-A89D77189D05}" name="YTD Calls Ans" dataDxfId="350" totalsRowDxfId="349"/>
    <tableColumn id="9" xr3:uid="{C78EBBC1-F1A6-46CD-89AF-279BC9A3E4E2}" name="SL" dataDxfId="348" totalsRowDxfId="347"/>
    <tableColumn id="10" xr3:uid="{528632EF-EB19-4A23-A290-B6F67423399C}" name="ABR" dataDxfId="346" totalsRowDxfId="345"/>
    <tableColumn id="11" xr3:uid="{A7B18275-A049-46AD-9864-9406E87B4545}" name="ANS" dataDxfId="344" totalsRowDxfId="343"/>
    <tableColumn id="12" xr3:uid="{F578E4E4-AEB7-4722-BF14-9CB5D4E60521}" name="AU" dataDxfId="342" totalsRowDxfId="341"/>
    <tableColumn id="13" xr3:uid="{25A10A5C-C99C-456C-93AD-D7B33D475788}" name="AA" dataDxfId="340" totalsRowDxfId="339"/>
    <tableColumn id="18" xr3:uid="{BD060F69-631C-43B0-9215-7EEF16A5FFDD}" name="AHT" dataDxfId="338"/>
    <tableColumn id="19" xr3:uid="{EC8CCAD5-DF0F-424B-833F-E80D6B3E991D}" name="AWT" dataDxfId="337" totalsRowDxfId="336"/>
    <tableColumn id="17" xr3:uid="{E8A66EB3-2D71-4752-ADBB-32490072A07A}" name="Agents Log" dataDxfId="335" totalsRowDxfId="334"/>
    <tableColumn id="20" xr3:uid="{E5A9589E-60F7-426C-87FB-EA123739B2AC}" name="Change Percentage (Call Offered) Oulier Bool" dataDxfId="333">
      <calculatedColumnFormula>IF(OR(G2&lt;$AA$5,G2&gt;$AB$5), "Outlier", "Normal")</calculatedColumnFormula>
    </tableColumn>
    <tableColumn id="21" xr3:uid="{AD2BC5BE-5536-4F50-86B2-A246B3B8EDC9}" name="Change Percentage (Call Ans) Oulier Bool" dataDxfId="332">
      <calculatedColumnFormula>IF(OR(H2&lt;$AA$6,H2&gt;$AB$6), "Outlier", "Normal")</calculatedColumnFormula>
    </tableColumn>
    <tableColumn id="22" xr3:uid="{8ACA40B9-8C21-48F2-9349-226C110EFCCF}" name="Winsorized Values - Offered" dataDxfId="331" dataCellStyle="Percent"/>
    <tableColumn id="23" xr3:uid="{3FE026C0-D2FE-40C8-91E4-C0E954A2A2B5}" name="Winsorized Values - Ans" dataDxfId="330" dataCellStyle="Percen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EB218E-6C20-4792-BEBB-FBC817FA4AA2}" name="Table4" displayName="Table4" ref="AH13:AJ66" totalsRowShown="0">
  <autoFilter ref="AH13:AJ66" xr:uid="{CEEB218E-6C20-4792-BEBB-FBC817FA4AA2}"/>
  <tableColumns count="3">
    <tableColumn id="1" xr3:uid="{2E9E8C8B-6C61-4131-9387-F37B2B5AA83F}" name="Week of" dataDxfId="329"/>
    <tableColumn id="2" xr3:uid="{2A55958A-8386-4857-AA3A-808DE8D6820D}" name="Sum of Calls - Offered" dataDxfId="328"/>
    <tableColumn id="3" xr3:uid="{4DAF6653-BB52-41A3-A27D-4D70BE79B68B}" name="Sum of Calls - Answered" dataDxfId="32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4A5A66-678E-41C6-82F5-B4E9F28966E6}" name="Table3212" displayName="Table3212" ref="A3:H12" totalsRowShown="0" headerRowDxfId="544" dataDxfId="542" headerRowBorderDxfId="543" tableBorderDxfId="541" totalsRowBorderDxfId="540">
  <autoFilter ref="A3:H12" xr:uid="{521D8988-7BE6-4CED-BC60-37DB2712FAE0}"/>
  <tableColumns count="8">
    <tableColumn id="1" xr3:uid="{456B2C02-174B-45B0-A0B7-84B0B0BF568E}" name="KPIs" dataDxfId="539"/>
    <tableColumn id="2" xr3:uid="{79AB5D98-D4A0-44D1-842E-2E66BA661B9B}" name="Targets" dataDxfId="538"/>
    <tableColumn id="3" xr3:uid="{3D76E84B-4D5C-451B-94A7-7F92E80888D1}" name="TTO" dataDxfId="537"/>
    <tableColumn id="4" xr3:uid="{B8DA72B1-C1A0-4F8B-961F-20DCBB35765C}" name="JAM" dataDxfId="536"/>
    <tableColumn id="5" xr3:uid="{BCCE6BAB-42A2-42A0-BEB4-F158A249DB84}" name="BAR" dataDxfId="535"/>
    <tableColumn id="6" xr3:uid="{9AAE3E2A-9C50-4EA1-AA88-82B4B39E6932}" name="OECS" dataDxfId="534"/>
    <tableColumn id="7" xr3:uid="{B6AD5F0D-C31C-469F-9927-B5FA956517F3}" name="GUY" dataDxfId="533"/>
    <tableColumn id="8" xr3:uid="{E5A1A957-6C58-487E-A94F-9A211B43668B}" name="BEL" dataDxfId="53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EA32E-4CF4-4942-AC7A-C86A045E15D4}" name="Table2" displayName="Table2" ref="A1:X367" totalsRowShown="0" headerRowDxfId="326" dataDxfId="325" tableBorderDxfId="324">
  <autoFilter ref="A1:X367" xr:uid="{0D0EA32E-4CF4-4942-AC7A-C86A045E15D4}">
    <filterColumn colId="0">
      <filters>
        <dateGroupItem year="2023" month="4" dateTimeGrouping="month"/>
        <dateGroupItem year="2023" month="5" dateTimeGrouping="month"/>
        <dateGroupItem year="2023" month="6" dateTimeGrouping="month"/>
      </filters>
    </filterColumn>
  </autoFilter>
  <tableColumns count="24">
    <tableColumn id="1" xr3:uid="{078F076C-A212-46BB-BFDD-5D5F0E00699F}" name="Date" dataDxfId="323" totalsRowDxfId="322"/>
    <tableColumn id="23" xr3:uid="{F1EFC27E-C747-40D9-956E-DFCC42DDF8EA}" name="Week Number" dataDxfId="321" totalsRowDxfId="320"/>
    <tableColumn id="2" xr3:uid="{002690E0-B1FA-4110-8195-9C3D6CA0F646}" name="Day of the week" dataDxfId="319" totalsRowDxfId="318"/>
    <tableColumn id="3" xr3:uid="{79E08CDC-7DE4-4D41-9365-758CDBD52E9F}" name="Fiscal" dataDxfId="317" totalsRowDxfId="316"/>
    <tableColumn id="4" xr3:uid="{419E9EA2-2E24-4F7D-8D93-62EFFE986929}" name="Calls Off" dataDxfId="315" totalsRowDxfId="314"/>
    <tableColumn id="5" xr3:uid="{1ABBAEB1-FFAB-4450-BB74-0B3D8B2DD354}" name="Calls Ans" dataDxfId="313" totalsRowDxfId="312"/>
    <tableColumn id="6" xr3:uid="{7FE7E079-0ABF-44CA-92F1-7C78C55750DC}" name="WoW % change offer" dataDxfId="311" totalsRowDxfId="310"/>
    <tableColumn id="7" xr3:uid="{0EDE91B2-9E54-4788-9989-58B11E7074EA}" name="WoW % change (ans)" dataDxfId="309" totalsRowDxfId="308"/>
    <tableColumn id="8" xr3:uid="{C1B75734-C045-4927-A31F-A083C1692622}" name="MTD Calls Offered" dataDxfId="307" totalsRowDxfId="306"/>
    <tableColumn id="9" xr3:uid="{CF93A49B-E584-4FC3-B287-327859E7F9A1}" name="MTD Calls Ans" dataDxfId="305" totalsRowDxfId="304"/>
    <tableColumn id="10" xr3:uid="{C50CD3D0-A084-4042-AF70-249A679D3753}" name="YTD Calls Offer" dataDxfId="303" totalsRowDxfId="302"/>
    <tableColumn id="11" xr3:uid="{F57373B4-1A20-4415-9FA4-C14574F4964A}" name="YTD Calls Ans" dataDxfId="301" totalsRowDxfId="300"/>
    <tableColumn id="12" xr3:uid="{8C4E032F-6A91-41CF-83C5-BCB63E14A4DB}" name="SL" dataDxfId="299" totalsRowDxfId="298"/>
    <tableColumn id="13" xr3:uid="{E11ABD54-2EE7-4CC3-A0E5-32E98874164F}" name="ABR" dataDxfId="297" totalsRowDxfId="296"/>
    <tableColumn id="14" xr3:uid="{F03AD841-747D-4ACD-84FD-6C99D6677ABC}" name="ANS" dataDxfId="295" totalsRowDxfId="294"/>
    <tableColumn id="15" xr3:uid="{78D2C07D-5A63-4628-9B33-47F2FC54A289}" name="AU" dataDxfId="293" totalsRowDxfId="292"/>
    <tableColumn id="16" xr3:uid="{BAA93BDE-3F39-483D-9AE3-7A35FD3FB6BE}" name="AA" dataDxfId="291" totalsRowDxfId="290"/>
    <tableColumn id="18" xr3:uid="{EEFE7BAF-A4C1-4615-91A5-C9678CD83698}" name="AHT" dataDxfId="289"/>
    <tableColumn id="24" xr3:uid="{DDD69F75-E394-4230-B117-4584CB7E9B80}" name="AWT" dataDxfId="288"/>
    <tableColumn id="17" xr3:uid="{EA27D2F8-140A-4D4A-B154-818F69564DC8}" name="Agents Log" dataDxfId="287" totalsRowDxfId="286"/>
    <tableColumn id="19" xr3:uid="{514140DF-35A3-48D0-8D6D-2FA3491867B4}" name="Change Percentage (Call Offered) Oulier Bool" dataDxfId="285" totalsRowDxfId="284"/>
    <tableColumn id="20" xr3:uid="{903C0E36-1278-4ECD-BEE3-7732D6B400F6}" name="Change Percentage (Call Ans) Oulier Bool" dataDxfId="283" totalsRowDxfId="282"/>
    <tableColumn id="21" xr3:uid="{60E6CF9B-D57E-44FE-9B6A-CA61E723D27B}" name="Winsorized Values - Offered" dataDxfId="281" totalsRowDxfId="280"/>
    <tableColumn id="22" xr3:uid="{59F6C6C8-568A-42F2-B399-BD30B3AA0EC6}" name="Winsorized Values - Ans" dataDxfId="279" totalsRowDxfId="27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B41494-2563-4798-8709-D9674739CD81}" name="Table8" displayName="Table8" ref="AJ7:AL59" totalsRowShown="0" headerRowDxfId="277" headerRowBorderDxfId="276" tableBorderDxfId="275" totalsRowBorderDxfId="274">
  <autoFilter ref="AJ7:AL59" xr:uid="{CBB41494-2563-4798-8709-D9674739CD81}"/>
  <tableColumns count="3">
    <tableColumn id="1" xr3:uid="{36199FB1-55FC-4DA5-A945-4B71C0CA6BE9}" name="Week Of" dataDxfId="273"/>
    <tableColumn id="2" xr3:uid="{4A5CCE66-0C63-4E6E-B22F-9CE91541357B}" name="Sum of Calls - Offered" dataDxfId="272"/>
    <tableColumn id="3" xr3:uid="{6B9C22F2-42C4-4CD0-A709-261823EACAF5}" name="Sum of Calls - Answered" dataDxfId="271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815D4A-6205-4F1A-99C1-36BFB03190B0}" name="Table9" displayName="Table9" ref="A1:X367" totalsRowShown="0" headerRowDxfId="270" headerRowBorderDxfId="269" tableBorderDxfId="268" totalsRowBorderDxfId="267">
  <autoFilter ref="A1:X367" xr:uid="{D6815D4A-6205-4F1A-99C1-36BFB03190B0}">
    <filterColumn colId="0">
      <filters>
        <dateGroupItem year="2023" month="4" dateTimeGrouping="month"/>
        <dateGroupItem year="2023" month="5" dateTimeGrouping="month"/>
        <dateGroupItem year="2023" month="6" dateTimeGrouping="month"/>
      </filters>
    </filterColumn>
  </autoFilter>
  <tableColumns count="24">
    <tableColumn id="1" xr3:uid="{684C2A67-DC9A-4607-B057-0C27865EE6AF}" name="Date" dataDxfId="266"/>
    <tableColumn id="23" xr3:uid="{C355E023-5885-43CE-B535-33857A7DA682}" name="Week Number" dataDxfId="265"/>
    <tableColumn id="2" xr3:uid="{AF9ECCD9-3DFB-4B6B-9E82-379C59680363}" name="Day of the week" dataDxfId="264"/>
    <tableColumn id="14" xr3:uid="{A7FC41C0-38E6-4020-8156-86D1C5750F29}" name="Fiscal" dataDxfId="263"/>
    <tableColumn id="3" xr3:uid="{667353EE-4623-46F6-938B-1AF956C6933D}" name="Calls Off" dataDxfId="262"/>
    <tableColumn id="4" xr3:uid="{6D51C60B-EBF9-4541-96D4-044D7B91928D}" name="Calls Ans" dataDxfId="261"/>
    <tableColumn id="15" xr3:uid="{BBA78EBE-6FCB-4469-9BE0-8CB7A617D727}" name="WoW % change offer" dataDxfId="260"/>
    <tableColumn id="16" xr3:uid="{B328993E-B0F8-4140-BBDF-3C6BE70A92C3}" name="WoW % change ans" dataDxfId="259"/>
    <tableColumn id="5" xr3:uid="{EF9450E7-1607-4F24-B7AE-514068BBA7AF}" name="MTD Calls Offered" dataDxfId="258"/>
    <tableColumn id="6" xr3:uid="{6A284087-92E9-4091-BDCA-D08D79A1465A}" name="MTD Calls Ans" dataDxfId="257"/>
    <tableColumn id="7" xr3:uid="{23770DA1-70C8-4924-B4A0-850F881EE83C}" name="YTD Calls Offer" dataDxfId="256"/>
    <tableColumn id="8" xr3:uid="{DA8E0B8C-1F42-481A-91C1-95BF8BE85E8F}" name="YTD Calls Ans" dataDxfId="255"/>
    <tableColumn id="9" xr3:uid="{310A1A03-E23E-4AF4-9192-456C51ED5D13}" name="SL" dataDxfId="254"/>
    <tableColumn id="10" xr3:uid="{840BAABA-5A43-43DC-864C-DE2331E47D36}" name="ABR" dataDxfId="253"/>
    <tableColumn id="11" xr3:uid="{CC24FDFE-E1BE-4D59-B4BF-F38CAAAC48BC}" name="ANS" dataDxfId="252"/>
    <tableColumn id="12" xr3:uid="{05460178-4686-4F94-941B-61A36DEA788A}" name="AU" dataDxfId="251"/>
    <tableColumn id="13" xr3:uid="{4DC4B710-5C41-468E-8254-6F57AC8E4FEC}" name="AA" dataDxfId="250"/>
    <tableColumn id="18" xr3:uid="{86762D67-4433-4B79-A1E8-E5CF80740905}" name="AHT" dataDxfId="249"/>
    <tableColumn id="24" xr3:uid="{AED3AB4C-CD94-405A-830F-8FD17E4E5EE3}" name="AWT" dataDxfId="248"/>
    <tableColumn id="17" xr3:uid="{17B12E1A-9EE1-4008-80C9-2D2C5D731D33}" name="Agents Log" dataDxfId="247"/>
    <tableColumn id="19" xr3:uid="{83001357-8539-4234-8348-3193C7C1B61F}" name="Change Percentage (Call Offered) Oulier Bool" dataDxfId="246"/>
    <tableColumn id="20" xr3:uid="{E6929DAF-B27F-463B-9C30-63BF859131C3}" name="Change Percentage (Call Ans) Oulier Bool" dataDxfId="245"/>
    <tableColumn id="21" xr3:uid="{EFF8B97F-9336-4A3E-8E3C-B53A247C3E30}" name="Winsorized Values - Offered" dataDxfId="244"/>
    <tableColumn id="22" xr3:uid="{52F3237C-39D2-47D4-A6BB-210586B92139}" name="Winsorized Values - Ans" dataDxfId="243"/>
  </tableColumns>
  <tableStyleInfo name="TableStyleLight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11EC0F-9B19-4482-852C-5305F9D29AF8}" name="Table10" displayName="Table10" ref="AJ7:AL60" totalsRowShown="0" headerRowDxfId="242" headerRowBorderDxfId="241" tableBorderDxfId="240" totalsRowBorderDxfId="239">
  <autoFilter ref="AJ7:AL60" xr:uid="{4011EC0F-9B19-4482-852C-5305F9D29AF8}"/>
  <tableColumns count="3">
    <tableColumn id="1" xr3:uid="{477AC96E-C096-4AA6-A2B3-776D806D9CCF}" name="Week of" dataDxfId="238"/>
    <tableColumn id="2" xr3:uid="{6D15E549-8D03-4762-B080-85A90A9D45BA}" name="Sum of Calls - Offered" dataDxfId="237"/>
    <tableColumn id="3" xr3:uid="{7C906D59-B431-456F-B01C-77E96DAFD043}" name="Sum of Calls - Answered" dataDxfId="236"/>
  </tableColumns>
  <tableStyleInfo name="TableStyleMedium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589837-4FA1-4290-ACC9-7A1BA9576ABB}" name="Table6" displayName="Table6" ref="A1:X367" totalsRowShown="0" headerRowDxfId="226" dataDxfId="225" tableBorderDxfId="224">
  <autoFilter ref="A1:X367" xr:uid="{1A589837-4FA1-4290-ACC9-7A1BA9576ABB}"/>
  <tableColumns count="24">
    <tableColumn id="1" xr3:uid="{5B0B2CC6-1EDF-44E8-B015-CDBFA0252EB8}" name="Date" dataDxfId="223"/>
    <tableColumn id="24" xr3:uid="{2A5826F6-10CC-45F8-8F68-CED4661FDD64}" name="Week Number" dataDxfId="222"/>
    <tableColumn id="2" xr3:uid="{BE5856E4-FBFB-4C35-A65F-C2D4A4BA9293}" name="Day of the week" dataDxfId="221"/>
    <tableColumn id="14" xr3:uid="{BF5A5395-A12F-4E9E-A647-67A83815DD33}" name="Fiscal" dataDxfId="220"/>
    <tableColumn id="3" xr3:uid="{1FDA9D53-6343-4171-984D-F016DAC3A452}" name="Calls Off" dataDxfId="219"/>
    <tableColumn id="4" xr3:uid="{D7416F57-D8EB-4F89-9398-731CDDF7ABF0}" name="Calls Ans" dataDxfId="218"/>
    <tableColumn id="15" xr3:uid="{D3392110-4913-4772-AC41-5FF4F2D55325}" name="WoW % change offer" dataDxfId="217"/>
    <tableColumn id="16" xr3:uid="{4850BBEB-69C5-4C58-8175-16B47FA4DB42}" name="WoW % change ans" dataDxfId="216"/>
    <tableColumn id="5" xr3:uid="{345F2D57-222A-465B-ACBF-3E3886251986}" name="MTD Calls Offered" dataDxfId="215"/>
    <tableColumn id="6" xr3:uid="{AFBACC44-8F54-4409-B28C-F2FED98A9AA3}" name="MTD Calls Ans" dataDxfId="214"/>
    <tableColumn id="7" xr3:uid="{46C6239A-72B7-41C8-B156-E8AAA15B8BD5}" name="YTD Calls Offer" dataDxfId="213"/>
    <tableColumn id="8" xr3:uid="{35AE4E71-7FCC-43C6-B930-2816402C25B5}" name="YTD Calls Ans" dataDxfId="212"/>
    <tableColumn id="9" xr3:uid="{4237DCC4-BC67-4247-990C-ED3BB46D6B8A}" name="SL" dataDxfId="211"/>
    <tableColumn id="10" xr3:uid="{FDD78479-64EA-45DB-B8B0-F11600F5296F}" name="ABR" dataDxfId="210"/>
    <tableColumn id="11" xr3:uid="{CD009091-6A29-416D-871F-C316D4C56C97}" name="ANS" dataDxfId="209"/>
    <tableColumn id="12" xr3:uid="{AED37AE2-E9DF-435E-B9DE-0B0072CB8AFB}" name="AU" dataDxfId="208"/>
    <tableColumn id="13" xr3:uid="{825101E1-4A13-4A3E-90D4-618CF733E293}" name="AA" dataDxfId="207"/>
    <tableColumn id="18" xr3:uid="{75DC9B28-E6D4-4080-8C87-0DB0A78152D7}" name="AHT" dataDxfId="206"/>
    <tableColumn id="19" xr3:uid="{8E05AADC-40F1-487F-BA5D-60A431F61BBD}" name="AWT" dataDxfId="205"/>
    <tableColumn id="17" xr3:uid="{A372F43D-ED52-4B5C-8A21-12EF2AFFC659}" name="Agents Log" dataDxfId="204"/>
    <tableColumn id="20" xr3:uid="{B76945F4-D7FA-4C15-BAC7-AD36903D327C}" name="Change Percentage (Call Offered) Oulier Bool" dataDxfId="203"/>
    <tableColumn id="21" xr3:uid="{20D99408-44AC-44CF-ADB2-1176A71F56EB}" name="Change Percentage (Call Ans) Oulier Bool" dataDxfId="202"/>
    <tableColumn id="22" xr3:uid="{88DDB5D3-4C1D-46A4-B980-2547A930275B}" name="Winsorized Values - Offered" dataDxfId="201" dataCellStyle="Percent"/>
    <tableColumn id="23" xr3:uid="{280AD4A6-7BB5-428A-9B37-2BBF3FFA9755}" name="Winsorized Values - Ans" dataDxfId="200" dataCellStyle="Percent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D0F0DD-8C17-452A-8F8A-E6A11F0F238F}" name="Table13" displayName="Table13" ref="AN5:AP57" totalsRowShown="0">
  <autoFilter ref="AN5:AP57" xr:uid="{B9D0F0DD-8C17-452A-8F8A-E6A11F0F238F}"/>
  <tableColumns count="3">
    <tableColumn id="1" xr3:uid="{0590E773-C95C-4F3B-9661-D5B141B064DC}" name="Week of" dataDxfId="199"/>
    <tableColumn id="2" xr3:uid="{A597A63E-0EFB-4A1C-884E-C7360B0A4FF8}" name="Sum of Calls - Offered" dataDxfId="198"/>
    <tableColumn id="3" xr3:uid="{82B4EE72-438E-4032-9C6F-B39675B9AF4E}" name="Sum of Calls - Answered" dataDxfId="197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49B38A-627C-487A-BFA1-3DBDE790FC6F}" name="Table3" displayName="Table3" ref="A1:X367" totalsRowShown="0" headerRowDxfId="196" dataDxfId="194" headerRowBorderDxfId="195" tableBorderDxfId="193" totalsRowBorderDxfId="192" dataCellStyle="Percent">
  <autoFilter ref="A1:X367" xr:uid="{C949B38A-627C-487A-BFA1-3DBDE790FC6F}"/>
  <tableColumns count="24">
    <tableColumn id="1" xr3:uid="{FBC787A4-1197-4204-AEAB-FB44728BBC5A}" name="Date" dataDxfId="191" totalsRowDxfId="190"/>
    <tableColumn id="24" xr3:uid="{7437E879-8A1D-4E94-944D-B6C1F1EC797C}" name="Week Number" dataDxfId="189" totalsRowDxfId="188"/>
    <tableColumn id="2" xr3:uid="{1ECDDE43-8A94-474F-9A32-0C8867E5C886}" name="Day of the week" dataDxfId="187" totalsRowDxfId="186"/>
    <tableColumn id="3" xr3:uid="{F252616B-C7F5-4E2C-87B3-2A18B23AF7AE}" name="Fiscal" dataDxfId="185" totalsRowDxfId="184"/>
    <tableColumn id="4" xr3:uid="{4D1E97E3-D23B-4CBB-8416-331578574872}" name="Calls Off" dataDxfId="183" totalsRowDxfId="182"/>
    <tableColumn id="5" xr3:uid="{85E5D003-8598-45E2-B192-48979EE48A09}" name="Calls Ans" dataDxfId="181" totalsRowDxfId="180"/>
    <tableColumn id="6" xr3:uid="{1ED6EC18-D513-4473-AD49-7A75EB9E7FA3}" name="WoW % change offer" dataDxfId="179" totalsRowDxfId="178"/>
    <tableColumn id="7" xr3:uid="{C9DAB305-599A-462D-A017-9665B7EB109D}" name="WoW % change ans" dataDxfId="177" totalsRowDxfId="176"/>
    <tableColumn id="8" xr3:uid="{3A01DA71-133A-4AAF-B7AE-585A4C3EB4F9}" name="MTD Calls Offered" dataDxfId="175" totalsRowDxfId="174"/>
    <tableColumn id="9" xr3:uid="{66E4ED2D-B541-4E37-9219-591D12D9BA20}" name="MTD Calls Ans" dataDxfId="173" totalsRowDxfId="172"/>
    <tableColumn id="10" xr3:uid="{A3A46A50-4464-44B3-B4E3-8004FCA5B400}" name="YTD Calls Offer" dataDxfId="171" totalsRowDxfId="170"/>
    <tableColumn id="11" xr3:uid="{A96EAF46-43AA-41B5-A8CA-E9CFCEFB9575}" name="YTD Calls Ans" dataDxfId="169" totalsRowDxfId="168"/>
    <tableColumn id="12" xr3:uid="{307F1BDF-DDF2-4681-A9E1-68A99832D08E}" name="SL" dataDxfId="167" totalsRowDxfId="166" dataCellStyle="Percent"/>
    <tableColumn id="13" xr3:uid="{6CC697F2-5181-4D11-BAE7-B262C0DC3C68}" name="ABR" dataDxfId="165" totalsRowDxfId="164" dataCellStyle="Percent"/>
    <tableColumn id="14" xr3:uid="{F57C4767-26F2-4824-92A9-40754F2F8C28}" name="ANS" dataDxfId="163" totalsRowDxfId="162" dataCellStyle="Percent"/>
    <tableColumn id="15" xr3:uid="{BD547FF2-B6B0-4AEE-B983-61B17D7CDD45}" name="AU" dataDxfId="161" totalsRowDxfId="160" dataCellStyle="Percent"/>
    <tableColumn id="16" xr3:uid="{E50FA3FB-F553-449F-8702-69F70B6CAC12}" name="AA" dataDxfId="159" totalsRowDxfId="158" dataCellStyle="Percent"/>
    <tableColumn id="18" xr3:uid="{E8754235-7652-465C-8D9B-A9337A8A56A7}" name="AHT" dataDxfId="157" totalsRowDxfId="156" dataCellStyle="Percent"/>
    <tableColumn id="19" xr3:uid="{0107B893-12D3-4462-8775-0B2DE6319A4E}" name="AWT" dataDxfId="155" totalsRowDxfId="154" dataCellStyle="Percent"/>
    <tableColumn id="17" xr3:uid="{3BB2F00B-07C6-48C3-87E2-1CB96C898F3A}" name="Agents Log" dataDxfId="153" totalsRowDxfId="152" dataCellStyle="Percent"/>
    <tableColumn id="20" xr3:uid="{FE7EDD7A-1B01-4702-B626-3F2C62EAC128}" name="Change Percentage (Call Offered) Oulier Bool" dataDxfId="151" dataCellStyle="Percent"/>
    <tableColumn id="21" xr3:uid="{A7F2F258-EE2A-45D4-BB8A-24FC06AF16BE}" name="Change Percentage (Call Ans) Oulier Bool" dataDxfId="150" dataCellStyle="Percent"/>
    <tableColumn id="22" xr3:uid="{7B8571EE-5B81-475D-8945-2300EC1604C2}" name="Winsorized Values - Offered" dataDxfId="149" dataCellStyle="Percent"/>
    <tableColumn id="23" xr3:uid="{67F1B9D1-3913-4FAA-AD2F-1D30EC4CCCED}" name="Winsorized Values - Ans" dataDxfId="148" dataCellStyle="Percen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2C18D0D-B81D-46F7-BA6A-01D34339BFF7}" name="Table14" displayName="Table14" ref="AK3:AM55" totalsRowShown="0" headerRowDxfId="147" headerRowBorderDxfId="146" tableBorderDxfId="145" totalsRowBorderDxfId="144">
  <autoFilter ref="AK3:AM55" xr:uid="{E2C18D0D-B81D-46F7-BA6A-01D34339BFF7}"/>
  <tableColumns count="3">
    <tableColumn id="1" xr3:uid="{898A7E87-679D-4D87-87E2-67BEE8688433}" name="Week of" dataDxfId="143"/>
    <tableColumn id="2" xr3:uid="{0F792277-7268-424C-8859-56311EB0181F}" name="Sum of Calls - Offered" dataDxfId="142"/>
    <tableColumn id="3" xr3:uid="{2C0EFA03-7E54-491A-ACE9-74D8D6A6C8E9}" name="Sum of Calls - Answered" dataDxfId="141"/>
  </tableColumns>
  <tableStyleInfo name="TableStyleMedium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5D873C1F-11AC-46E7-8C41-C1CCBAAED5CE}" name="Table54" displayName="Table54" ref="A1:X367" totalsRowShown="0" headerRowDxfId="140" dataDxfId="138" headerRowBorderDxfId="139" tableBorderDxfId="137" totalsRowBorderDxfId="136" dataCellStyle="Percent">
  <autoFilter ref="A1:X367" xr:uid="{2CE7A820-194C-4A5B-BDAD-0798EA096FA2}"/>
  <tableColumns count="24">
    <tableColumn id="1" xr3:uid="{CC042F60-3A80-4F77-BC77-6961BC78BE0E}" name="Date" dataDxfId="135"/>
    <tableColumn id="24" xr3:uid="{04E0DAE3-6154-4136-A06F-4155A3AA76A7}" name="Week Number" dataDxfId="134"/>
    <tableColumn id="2" xr3:uid="{98EE8891-A236-4D46-95D2-0C87C1330032}" name="Day of the week" dataDxfId="133"/>
    <tableColumn id="3" xr3:uid="{DE088792-14EE-45C4-AE12-7DD4DAB08C53}" name="Fiscal" dataDxfId="132"/>
    <tableColumn id="4" xr3:uid="{A6482737-20AE-483D-AB52-43C443D4B8FD}" name="Calls Off" dataDxfId="131"/>
    <tableColumn id="5" xr3:uid="{D7E2B311-8B46-4DD1-8C16-4FE1907332E9}" name="Calls Ans" dataDxfId="130"/>
    <tableColumn id="6" xr3:uid="{51FAEF03-4931-4573-A009-DB7A8B351191}" name="WoW % change offer" dataDxfId="129"/>
    <tableColumn id="7" xr3:uid="{E121DB51-2D09-4C0F-BF15-9780003D616F}" name="WoW % change ans" dataDxfId="128"/>
    <tableColumn id="8" xr3:uid="{9675543B-CEF7-4C6F-AFB2-EF616B625B11}" name="MTD Calls Offered" dataDxfId="127"/>
    <tableColumn id="9" xr3:uid="{3DF9DD6F-8F8E-401D-9D57-3F34F3CF43DE}" name="MTD Calls Ans" dataDxfId="126"/>
    <tableColumn id="10" xr3:uid="{A7C2D136-477C-4BBE-BBE8-53DD70BE06C8}" name="YTD Calls Offer" dataDxfId="125"/>
    <tableColumn id="11" xr3:uid="{DDD4F7E3-B51A-49A0-BC1C-545312F3B882}" name="YTD Calls Ans" dataDxfId="124"/>
    <tableColumn id="12" xr3:uid="{A5F211E1-572A-4408-A073-6B9B5705A3EF}" name="SL" dataDxfId="123" dataCellStyle="Percent"/>
    <tableColumn id="13" xr3:uid="{33D4E699-8125-4494-8A14-D80224914E0F}" name="ABR" dataDxfId="122" dataCellStyle="Percent"/>
    <tableColumn id="14" xr3:uid="{8FA80FA0-49C3-44ED-AD4E-EA56D58BA837}" name="ANS" dataDxfId="121" dataCellStyle="Percent"/>
    <tableColumn id="15" xr3:uid="{C9BF3F8D-F730-441E-A0E7-DC50AA0CA240}" name="AU" dataDxfId="120" dataCellStyle="Percent"/>
    <tableColumn id="16" xr3:uid="{DBA332DE-ABB1-4E49-BED8-1E1894D3D07F}" name="AA" dataDxfId="119" dataCellStyle="Percent"/>
    <tableColumn id="17" xr3:uid="{04F37630-11EA-4A01-B412-6F528044472A}" name="AHT" dataDxfId="118" dataCellStyle="Percent"/>
    <tableColumn id="18" xr3:uid="{1ABC6F8A-E5F4-447A-A16E-FB50B1ECE0A6}" name="AWT" dataDxfId="117" dataCellStyle="Percent"/>
    <tableColumn id="19" xr3:uid="{9666F38C-8089-4C3C-A8FC-C5564E596CA0}" name="Agents Log" dataDxfId="116" dataCellStyle="Percent"/>
    <tableColumn id="20" xr3:uid="{A1EAB845-DC2E-4BE7-8E9B-7607EBDADC4B}" name="Change Percentage (Call Offered) Oulier Bool" dataDxfId="115" dataCellStyle="Percent"/>
    <tableColumn id="21" xr3:uid="{6CF049BA-761D-49F0-A833-2A88FA9AF2F8}" name="Change Percentage (Call Ans) Oulier Bool" dataDxfId="114" dataCellStyle="Percent"/>
    <tableColumn id="22" xr3:uid="{0BBADDEC-FBA9-4354-B1C9-61E50D231C70}" name="Winsorized Values - Offered" dataDxfId="113" dataCellStyle="Percent"/>
    <tableColumn id="23" xr3:uid="{23605E86-F599-4ECB-B7E9-7D783E71728D}" name="Winsorized Values - Ans" dataDxfId="112" dataCellStyle="Percent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3A59719-DED0-43C5-A212-9427B51558C0}" name="Table118212631" displayName="Table118212631" ref="C4:J12" totalsRowShown="0" headerRowDxfId="111" headerRowBorderDxfId="110" tableBorderDxfId="109" totalsRowBorderDxfId="108">
  <autoFilter ref="C4:J12" xr:uid="{0C5C6AA4-0044-4AFF-BC0F-00121ECE75DC}"/>
  <tableColumns count="8">
    <tableColumn id="1" xr3:uid="{4BA9DA3D-1016-402B-8BB0-B20EE81AB1A9}" name="Country " dataDxfId="107"/>
    <tableColumn id="2" xr3:uid="{BDAA8517-58D5-454F-BE96-E65BEA9B7FA1}" name="Calls Presented"/>
    <tableColumn id="3" xr3:uid="{8EA488A9-AA28-4EA6-A9F5-06FFED41F96C}" name="Calls Handled"/>
    <tableColumn id="4" xr3:uid="{83698A09-8BC5-4BE5-AA1E-A6494E004034}" name="SVL"/>
    <tableColumn id="5" xr3:uid="{13488F86-D3ED-46FA-899E-82DF695F09F6}" name="ANS"/>
    <tableColumn id="6" xr3:uid="{154942F8-5412-43F8-B6B5-56FDF877C4B7}" name="ABR" dataDxfId="106"/>
    <tableColumn id="7" xr3:uid="{7808B543-39C7-4BF9-89B4-2DEE5D2FCD9A}" name="AU/AO" dataDxfId="105"/>
    <tableColumn id="8" xr3:uid="{370A4443-09CD-4F9C-999A-5ABD3C5CD89B}" name="A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F3DAAA5-BAC8-4410-B15E-951BD7681639}" name="Table2613" displayName="Table2613" ref="A15:G22" totalsRowShown="0" headerRowDxfId="531" headerRowBorderDxfId="530" tableBorderDxfId="529" totalsRowBorderDxfId="528">
  <autoFilter ref="A15:G22" xr:uid="{B5FD32FF-EA43-49E3-84B7-28B554A76C00}"/>
  <tableColumns count="7">
    <tableColumn id="1" xr3:uid="{4BE5302D-6200-4272-860B-0FAEAC7158FE}" name="KPIs" dataDxfId="527"/>
    <tableColumn id="2" xr3:uid="{E1CE0F82-906B-414F-AFF4-FBEB78C44086}" name="TTO"/>
    <tableColumn id="3" xr3:uid="{F5F62F16-FA17-4720-BE40-169CE3ED5FA6}" name="JAM"/>
    <tableColumn id="4" xr3:uid="{2AD57CA2-1433-49C0-B7E5-828831D12E50}" name="BAR" dataDxfId="526"/>
    <tableColumn id="5" xr3:uid="{CF9DD4B6-07E6-4668-822E-29495BF495E4}" name="OECS" dataDxfId="525"/>
    <tableColumn id="6" xr3:uid="{DF73CB00-15FC-461E-9265-BFD6A4246602}" name="GUY" dataDxfId="524"/>
    <tableColumn id="7" xr3:uid="{59715729-6CCA-4E40-BCC1-DDC840A909FC}" name="BEL" dataDxfId="52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543AE2B-41E6-4BBF-B078-6C490F9AE5B4}" name="Table11821" displayName="Table11821" ref="B14:K22" totalsRowShown="0" headerRowDxfId="104" headerRowBorderDxfId="103" tableBorderDxfId="102" totalsRowBorderDxfId="101">
  <autoFilter ref="B14:K22" xr:uid="{5543AE2B-41E6-4BBF-B078-6C490F9AE5B4}"/>
  <tableColumns count="10">
    <tableColumn id="1" xr3:uid="{451F5A9D-D76F-4F59-BDB9-3AEEC940D4A7}" name="Country " dataDxfId="100"/>
    <tableColumn id="2" xr3:uid="{9930CC33-1271-450D-85A7-103236B34507}" name="Calls Presented"/>
    <tableColumn id="3" xr3:uid="{2651B912-BB21-42F0-BFBD-07EA4CEDCEE6}" name="Calls Handled"/>
    <tableColumn id="9" xr3:uid="{3A538D5A-375D-48E0-B15F-66DF27F371E9}" name="Avg Percent Change Calls Offered (Week over Week)"/>
    <tableColumn id="10" xr3:uid="{D15F439B-C39B-4B2B-817C-C4B526002E06}" name=" Avg Percent Change Calls Ans (Week over Week)"/>
    <tableColumn id="4" xr3:uid="{67B16908-25DC-459C-BCFA-879826143DD6}" name="SVL"/>
    <tableColumn id="5" xr3:uid="{35FDDE83-0F51-4177-9268-227A715F44A9}" name="ANS"/>
    <tableColumn id="6" xr3:uid="{538AA387-AE07-4C86-B497-DD6820E34CFE}" name="ABR" dataDxfId="99"/>
    <tableColumn id="7" xr3:uid="{94ECD204-4146-49AF-9DBE-24989AEA8D57}" name="AU/AO" dataDxfId="98"/>
    <tableColumn id="8" xr3:uid="{9D4D4738-B6F6-4F6A-9FDF-4A3A9BC2B249}" name="AA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2B1760-FA46-422F-9367-CC0B57E1679C}" name="Table1182118" displayName="Table1182118" ref="B28:K36" totalsRowShown="0" headerRowDxfId="97" headerRowBorderDxfId="96" tableBorderDxfId="95" totalsRowBorderDxfId="94">
  <autoFilter ref="B28:K36" xr:uid="{6E2B1760-FA46-422F-9367-CC0B57E1679C}"/>
  <tableColumns count="10">
    <tableColumn id="1" xr3:uid="{387A94A1-9307-4957-AF46-14A6989F89F7}" name="Country " dataDxfId="93"/>
    <tableColumn id="2" xr3:uid="{7BB8212A-23C3-4579-B245-DB1EBFFA36C7}" name="Calls Presented"/>
    <tableColumn id="3" xr3:uid="{2AEFFCC6-02A8-4652-8474-DEA38555E437}" name="Calls Handled"/>
    <tableColumn id="9" xr3:uid="{B7D7AD59-5B96-4BA5-B95F-7206B57D5106}" name="Avg Percent Change Calls Offered (Week over Week)"/>
    <tableColumn id="10" xr3:uid="{A730D328-3EF1-4787-9B1E-56FADCF89671}" name=" Avg Percent Change Calls Ans (Week over Week)"/>
    <tableColumn id="4" xr3:uid="{E584D16C-A527-41A9-AA8D-E3410DBD759F}" name="SVL"/>
    <tableColumn id="5" xr3:uid="{3F369367-530A-4721-9790-FCB15DE3AB99}" name="ANS"/>
    <tableColumn id="6" xr3:uid="{192D7582-31E5-4F01-9882-959B39492B30}" name="ABR" dataDxfId="92"/>
    <tableColumn id="7" xr3:uid="{8FD07E22-9D1F-4E81-BBFD-6FF4EAE1E6C3}" name="AU/AO" dataDxfId="91"/>
    <tableColumn id="8" xr3:uid="{E271D795-BC9E-47F8-8ED6-792B82A37ECB}" name="AA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B150E8C-3507-4981-8A77-BB85A97E6ACD}" name="Table1182126" displayName="Table1182126" ref="AB13:AI21" totalsRowShown="0" headerRowDxfId="90" headerRowBorderDxfId="89" tableBorderDxfId="88" totalsRowBorderDxfId="87">
  <autoFilter ref="AB13:AI21" xr:uid="{2B150E8C-3507-4981-8A77-BB85A97E6ACD}"/>
  <tableColumns count="8">
    <tableColumn id="1" xr3:uid="{CCF8354F-8527-4C6F-A669-07C6945219F6}" name="Country " dataDxfId="86"/>
    <tableColumn id="2" xr3:uid="{A08C8089-3626-4518-8D8A-9EEF66C725AD}" name="Calls Presented"/>
    <tableColumn id="3" xr3:uid="{2265CA77-5184-4191-980B-B95BBA7033CC}" name="Calls Handled"/>
    <tableColumn id="4" xr3:uid="{6DB7C032-33A6-4DA2-BB07-6CF56A9CEA6C}" name="SVL"/>
    <tableColumn id="5" xr3:uid="{99AB99B1-87B3-4076-A26B-4001EEFBED16}" name="ANS"/>
    <tableColumn id="6" xr3:uid="{A6861A28-5278-4CA2-A9F1-924EA4D2B877}" name="ABR" dataDxfId="85"/>
    <tableColumn id="7" xr3:uid="{10BA402F-EDC4-47A8-BB86-F008A3FE8EFD}" name="AU/AO" dataDxfId="84"/>
    <tableColumn id="8" xr3:uid="{66BA3D28-EF01-41E5-B1DE-8589301E6C48}" name="AA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2FA19FA-0AC3-4BFE-9D0D-BF74AA830128}" name="Table118212625" displayName="Table118212625" ref="AB25:AI33" totalsRowShown="0" headerRowDxfId="83" headerRowBorderDxfId="82" tableBorderDxfId="81" totalsRowBorderDxfId="80">
  <autoFilter ref="AB25:AI33" xr:uid="{B1741647-F274-4183-B4AD-F71ADF19915C}"/>
  <tableColumns count="8">
    <tableColumn id="1" xr3:uid="{D44571F2-8319-4807-8D14-DEF1BA1F75A3}" name="Country " dataDxfId="79"/>
    <tableColumn id="2" xr3:uid="{C6241B42-B30B-4D8B-A40B-AE765891A286}" name="Calls Presented"/>
    <tableColumn id="3" xr3:uid="{F59C2A7F-2E0A-4A18-89C8-DEC781070204}" name="Calls Handled"/>
    <tableColumn id="4" xr3:uid="{E5BC7E1D-A6CA-48D4-AD13-D25538BA12A1}" name="SVL"/>
    <tableColumn id="5" xr3:uid="{9630BE00-7CE6-4FF7-A999-6A3A9E9687ED}" name="ANS"/>
    <tableColumn id="6" xr3:uid="{DD8BEE23-FFE3-484C-AC17-60736C11F405}" name="ABR" dataDxfId="78"/>
    <tableColumn id="7" xr3:uid="{96171330-A0B9-4483-8E20-964B894430EA}" name="AU/AO" dataDxfId="77"/>
    <tableColumn id="8" xr3:uid="{43159855-5C27-4AA1-92B7-D9F098EC9DCF}" name="AA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1D1E63-5377-40D1-B32F-D9D12766FC6A}" name="Table118212617" displayName="Table118212617" ref="AB2:AI10" totalsRowShown="0" headerRowDxfId="76" headerRowBorderDxfId="75" tableBorderDxfId="74" totalsRowBorderDxfId="73">
  <autoFilter ref="AB2:AI10" xr:uid="{73208791-0FFB-47EF-8B12-2118DA7CAFD3}"/>
  <tableColumns count="8">
    <tableColumn id="1" xr3:uid="{30F7078D-5917-44B7-B254-D5497214CD55}" name="Country " dataDxfId="72"/>
    <tableColumn id="2" xr3:uid="{3D3120C1-39B3-4312-8030-324103D5C749}" name="Calls Presented"/>
    <tableColumn id="3" xr3:uid="{7D78E61B-78CD-46BB-A497-26E78FA5E721}" name="Calls Handled"/>
    <tableColumn id="4" xr3:uid="{B7BA8959-D6F4-4243-B963-67DF9EB6E397}" name="SVL"/>
    <tableColumn id="5" xr3:uid="{AE9A8789-6077-4738-A6C4-CC3561FEFC4C}" name="ANS"/>
    <tableColumn id="6" xr3:uid="{F8B3E2A9-EA74-436A-A6AF-8AACCE5E686A}" name="ABR" dataDxfId="71"/>
    <tableColumn id="7" xr3:uid="{CDF65758-2653-4CE6-966B-95E0B9E982A3}" name="AU/AO" dataDxfId="70"/>
    <tableColumn id="8" xr3:uid="{83C6EEF7-B24F-4AC0-9EB0-52D6BFD74BD5}" name="AA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43A536-7EB7-4733-A073-B66A8A06F4DA}" name="Table1161720" displayName="Table1161720" ref="S3:AB11" totalsRowShown="0" headerRowDxfId="69" headerRowBorderDxfId="68" tableBorderDxfId="67" totalsRowBorderDxfId="66">
  <autoFilter ref="S3:AB11" xr:uid="{A343A536-7EB7-4733-A073-B66A8A06F4DA}"/>
  <tableColumns count="10">
    <tableColumn id="1" xr3:uid="{67E23DA5-D648-4799-AEB7-DEAFEC227F77}" name="Country " dataDxfId="65"/>
    <tableColumn id="2" xr3:uid="{A3665C4D-62B0-4DDE-93C5-AE6A937A999F}" name="Calls Presented"/>
    <tableColumn id="3" xr3:uid="{DC5B3947-F0D1-434E-8DDC-111F881A86EE}" name="Calls Handled"/>
    <tableColumn id="9" xr3:uid="{2C821F28-4E4F-43EB-BD35-B13BF74D759D}" name="Percentage Change Calls Offered (MoM)"/>
    <tableColumn id="10" xr3:uid="{565963B1-B282-4EAB-9E2C-AF5B7C61496E}" name="Percentage Change Calls Answered (MoM)"/>
    <tableColumn id="4" xr3:uid="{C8178365-BD0A-4E41-83B6-B58ACE1051BE}" name="SVL"/>
    <tableColumn id="5" xr3:uid="{73F350C5-0485-44AA-9CDA-89AFFC75585D}" name="ANS"/>
    <tableColumn id="6" xr3:uid="{0A22FDDE-B11A-45BB-BAEB-84AF06C77658}" name="ABR" dataDxfId="64"/>
    <tableColumn id="7" xr3:uid="{87CCC65D-8D87-467B-91F4-251868B16581}" name="AU/AO" dataDxfId="63"/>
    <tableColumn id="8" xr3:uid="{33394499-FCA3-4BA4-85A7-80573DBEFF5E}" name="AA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289AA0-2E8F-4A8B-BC02-648DF9705DCE}" name="Table116172016" displayName="Table116172016" ref="A40:J48" totalsRowShown="0" headerRowDxfId="62" headerRowBorderDxfId="61" tableBorderDxfId="60" totalsRowBorderDxfId="59">
  <autoFilter ref="A40:J48" xr:uid="{C3289AA0-2E8F-4A8B-BC02-648DF9705DCE}"/>
  <tableColumns count="10">
    <tableColumn id="1" xr3:uid="{59592756-BDC1-4029-AD92-6FD3C8CAA56E}" name="Country " dataDxfId="58"/>
    <tableColumn id="2" xr3:uid="{153332B9-91B6-4341-8684-643978325B9A}" name="Calls Presented"/>
    <tableColumn id="3" xr3:uid="{830D4EBC-E5D4-4C9C-8348-720F214FEA86}" name="Calls Handled"/>
    <tableColumn id="9" xr3:uid="{099F5270-9B17-4F99-809D-9A404FBA2410}" name="Percentage Change Calls Offered (MoM)"/>
    <tableColumn id="10" xr3:uid="{98184CEF-FA30-414F-B6FC-2E7FE21D7D28}" name="Percentage Change Calls Answered (MoM)"/>
    <tableColumn id="4" xr3:uid="{87D52633-C134-4A49-94D9-AC8B6100CDB2}" name="SVL"/>
    <tableColumn id="5" xr3:uid="{66AFECBD-5ACF-466C-A0CF-25CA7CFDADF0}" name="ANS"/>
    <tableColumn id="6" xr3:uid="{413572AC-9F22-4AA9-83E7-55BF4F6ACBF8}" name="ABR" dataDxfId="57"/>
    <tableColumn id="7" xr3:uid="{E3703453-BB8B-4D2E-A173-89517DC4B958}" name="AU/AO" dataDxfId="56"/>
    <tableColumn id="8" xr3:uid="{A8702158-0663-4494-AC7B-7D3BD21DF7C3}" name="AA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20942D-4CCB-40ED-88D5-E43FAF715349}" name="Table116172019" displayName="Table116172019" ref="S40:AB48" totalsRowShown="0" headerRowDxfId="55" headerRowBorderDxfId="54" tableBorderDxfId="53" totalsRowBorderDxfId="52">
  <autoFilter ref="S40:AB48" xr:uid="{8920942D-4CCB-40ED-88D5-E43FAF715349}"/>
  <tableColumns count="10">
    <tableColumn id="1" xr3:uid="{58F325AC-39DE-499B-833A-6E20523C1D90}" name="Country " dataDxfId="51"/>
    <tableColumn id="2" xr3:uid="{81AD7983-7D8A-429A-A5CC-89691450686D}" name="Calls Presented"/>
    <tableColumn id="3" xr3:uid="{BD0AB51C-AC52-488C-BC49-1AAC9EB91994}" name="Calls Handled"/>
    <tableColumn id="9" xr3:uid="{D44A1580-CA47-45BB-ACF6-75F80F2B5634}" name="Percentage Change Calls Offered (MoM)"/>
    <tableColumn id="10" xr3:uid="{232BB311-1A39-49F4-9FE5-59FF5EA8C6B3}" name="Percentage Change Calls Answered (MoM)"/>
    <tableColumn id="4" xr3:uid="{819D80B3-3E21-4CC7-8820-1399F724B2BB}" name="SVL"/>
    <tableColumn id="5" xr3:uid="{5C85C2D1-8EB5-4877-A4D3-1D378AE26DA4}" name="ANS"/>
    <tableColumn id="6" xr3:uid="{5CA5C802-0E8C-40E2-9E8E-B5429CCC3450}" name="ABR" dataDxfId="50"/>
    <tableColumn id="7" xr3:uid="{D08B193B-5491-45D3-AB3C-7A5297753FB1}" name="AU/AO" dataDxfId="49"/>
    <tableColumn id="8" xr3:uid="{07E6300A-3A7F-49D4-8FFC-71C46DEA3886}" name="AA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320AC36-3948-4F67-B905-C847CA63F525}" name="Table11617201923" displayName="Table11617201923" ref="A52:J60" totalsRowShown="0" headerRowDxfId="48" headerRowBorderDxfId="47" tableBorderDxfId="46" totalsRowBorderDxfId="45">
  <autoFilter ref="A52:J60" xr:uid="{B320AC36-3948-4F67-B905-C847CA63F525}"/>
  <tableColumns count="10">
    <tableColumn id="1" xr3:uid="{7E1CBDA9-B3E5-4B36-9F34-7C6748A8719A}" name="Country " dataDxfId="44"/>
    <tableColumn id="2" xr3:uid="{CF3BAFF1-17F2-4306-B2EC-8C41D2F8A3D4}" name="Calls Presented"/>
    <tableColumn id="3" xr3:uid="{065C8690-A525-48CF-8E35-C3AFA413B05D}" name="Calls Handled"/>
    <tableColumn id="9" xr3:uid="{ED299AB7-DB20-449B-B3F4-D57AB8D55495}" name="Percentage Change Calls Offered (MoM)"/>
    <tableColumn id="10" xr3:uid="{17F61A8E-4CD8-48D6-A018-6E2DF98692FF}" name="Percentage Change Calls Answered (MoM)"/>
    <tableColumn id="4" xr3:uid="{5E4C341E-1A4A-4CF6-84FA-EB92C142201C}" name="SVL"/>
    <tableColumn id="5" xr3:uid="{5353FBEC-2524-4C56-815C-2FBB71BD02D7}" name="ANS"/>
    <tableColumn id="6" xr3:uid="{C29E8375-E38A-4C95-9D41-2FAFCFEC56A3}" name="ABR" dataDxfId="43"/>
    <tableColumn id="7" xr3:uid="{9A7D007C-C8FC-40E9-9810-E910203B56EC}" name="AU/AO" dataDxfId="42"/>
    <tableColumn id="8" xr3:uid="{A50CB434-02CB-4C47-9EA0-8BD2FE7521E6}" name="AA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6FCEF4-AA5A-4EF1-A8E1-47AFAD69CD33}" name="Table1161720192324" displayName="Table1161720192324" ref="S64:AB72" totalsRowShown="0" headerRowDxfId="41" headerRowBorderDxfId="40" tableBorderDxfId="39" totalsRowBorderDxfId="38">
  <autoFilter ref="S64:AB72" xr:uid="{C66FCEF4-AA5A-4EF1-A8E1-47AFAD69CD33}"/>
  <tableColumns count="10">
    <tableColumn id="1" xr3:uid="{5677FF45-617A-400E-ACD7-1A735AFAEDC1}" name="Country " dataDxfId="37"/>
    <tableColumn id="2" xr3:uid="{628D1F7A-7FC6-4153-A687-897596FDA618}" name="Calls Presented"/>
    <tableColumn id="3" xr3:uid="{C6045E5B-7D66-4916-B48F-A0F476D90E96}" name="Calls Handled"/>
    <tableColumn id="9" xr3:uid="{965C118F-D691-437E-AA58-F485AE832CFF}" name="Percentage Change Calls Offered (MoM)"/>
    <tableColumn id="10" xr3:uid="{08391648-B0CB-496C-8DD6-D171E471509A}" name="Percentage Change Calls Answered (MoM)"/>
    <tableColumn id="4" xr3:uid="{D77EEDC8-1C3E-4855-9873-2E0E75D2FC84}" name="SVL"/>
    <tableColumn id="5" xr3:uid="{56FFA124-0869-4C2A-8C86-E9C58147C78E}" name="ANS"/>
    <tableColumn id="6" xr3:uid="{CA6734BF-5657-4BC3-A6F6-B20531D06EB6}" name="ABR" dataDxfId="36"/>
    <tableColumn id="7" xr3:uid="{565D5370-0C31-4882-B7F6-FCF8D7A40C8A}" name="AU/AO" dataDxfId="35"/>
    <tableColumn id="8" xr3:uid="{95CB7142-1874-4646-95A2-E95C0C05F4FA}" name="A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7C0C936-3E83-475B-91BF-B4E6F8143263}" name="Table29" displayName="Table29" ref="J3:Q12" totalsRowShown="0" headerRowDxfId="522" headerRowBorderDxfId="521" tableBorderDxfId="520" totalsRowBorderDxfId="519">
  <autoFilter ref="J3:Q12" xr:uid="{DB77F600-4E80-4B76-9EFC-9E6130A1D442}"/>
  <tableColumns count="8">
    <tableColumn id="1" xr3:uid="{FDF5E3A9-985C-4142-9FFE-5375886D4209}" name="KPIs" dataDxfId="518"/>
    <tableColumn id="2" xr3:uid="{7F6BCDE6-A5FD-44C4-94B7-5942D8F99892}" name="Targets" dataDxfId="517"/>
    <tableColumn id="3" xr3:uid="{C6AB7537-AE14-4F6D-B532-84B994287B71}" name="TTO" dataDxfId="516"/>
    <tableColumn id="4" xr3:uid="{176E1022-DC81-4627-9ECC-F9DBAEC9BAE5}" name="JAM" dataDxfId="515"/>
    <tableColumn id="5" xr3:uid="{1D799B89-1B5C-4DEE-9E49-F7EE4E935225}" name="BAR" dataDxfId="514"/>
    <tableColumn id="6" xr3:uid="{BCE56C60-E7C6-4538-8AF4-EB3325E46DED}" name="OECS" dataDxfId="513"/>
    <tableColumn id="7" xr3:uid="{778F4DFB-48F6-4C8B-88CD-F62DFA8ED308}" name="GUY" dataDxfId="512"/>
    <tableColumn id="8" xr3:uid="{E72B0B81-3F17-458B-B627-5CC641DDC69D}" name="BEL" dataDxfId="511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BA63611-91C5-4620-9F6C-EF1225929F50}" name="Table116172019232422" displayName="Table116172019232422" ref="S76:AB84" totalsRowShown="0" headerRowDxfId="34" headerRowBorderDxfId="33" tableBorderDxfId="32" totalsRowBorderDxfId="31">
  <autoFilter ref="S76:AB84" xr:uid="{3BA63611-91C5-4620-9F6C-EF1225929F50}"/>
  <tableColumns count="10">
    <tableColumn id="1" xr3:uid="{12EBA16E-0C1D-454F-B51A-E485B12BF05B}" name="Country " dataDxfId="30"/>
    <tableColumn id="2" xr3:uid="{07C18981-3409-4166-AADB-E2C5ADC87F9E}" name="Calls Presented"/>
    <tableColumn id="3" xr3:uid="{A6D2FD40-115C-40DA-BC9C-05209F183014}" name="Calls Handled"/>
    <tableColumn id="9" xr3:uid="{2B0F9534-D96C-4D94-82BB-16EA7A0FA2B0}" name="Percentage Change Calls Offered (MoM)"/>
    <tableColumn id="10" xr3:uid="{19BB3EDA-108A-4CB4-9A46-B1947B45ECB4}" name="Percentage Change Calls Answered (MoM)"/>
    <tableColumn id="4" xr3:uid="{94445A9A-3193-411C-9427-ECB42F6DED90}" name="SVL"/>
    <tableColumn id="5" xr3:uid="{64356697-70D8-4478-A6F2-C2B6FB9E294F}" name="ANS"/>
    <tableColumn id="6" xr3:uid="{04ABC0D4-D861-4252-A855-61519ADC8A4D}" name="ABR" dataDxfId="29"/>
    <tableColumn id="7" xr3:uid="{FB4D30FF-BF14-4BAE-BC28-41FAE882BEFA}" name="AU/AO" dataDxfId="28"/>
    <tableColumn id="8" xr3:uid="{7C234D41-EB8E-4CDB-AC07-A4685B63CBF7}" name="AA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B1198B5-3F91-4AD6-9C47-0B2625E73666}" name="Table11617201923242227" displayName="Table11617201923242227" ref="T88:AC96" totalsRowShown="0" headerRowDxfId="27" headerRowBorderDxfId="26" tableBorderDxfId="25" totalsRowBorderDxfId="24">
  <autoFilter ref="T88:AC96" xr:uid="{DB1198B5-3F91-4AD6-9C47-0B2625E73666}"/>
  <tableColumns count="10">
    <tableColumn id="1" xr3:uid="{C5C8EF8B-971D-4967-B0BB-35EB15A8EF30}" name="Country " dataDxfId="23"/>
    <tableColumn id="2" xr3:uid="{430B9F0A-FC53-4C29-8E6F-9A17C5615360}" name="Calls Presented"/>
    <tableColumn id="3" xr3:uid="{24F16D99-3480-42DF-9EA0-F6F583BE803C}" name="Calls Handled"/>
    <tableColumn id="9" xr3:uid="{22F6FEF6-571E-4AA6-9D31-FDDFC80B9098}" name="Percentage Change Calls Offered (MoM)"/>
    <tableColumn id="10" xr3:uid="{C7F358BE-B5DD-499B-B1B1-EC863A92B53D}" name="Percentage Change Calls Answered (MoM)"/>
    <tableColumn id="4" xr3:uid="{F790B80F-B484-4E4F-8126-58391B960DD2}" name="SVL"/>
    <tableColumn id="5" xr3:uid="{780D51E3-3E2D-430B-8F43-4D248AC96E59}" name="ANS"/>
    <tableColumn id="6" xr3:uid="{ACE8A52D-8063-4A1A-8A63-24596C915193}" name="ABR" dataDxfId="22"/>
    <tableColumn id="7" xr3:uid="{9DD7B633-A029-496B-907B-94D3E32CE71A}" name="AU/AO" dataDxfId="21"/>
    <tableColumn id="8" xr3:uid="{068E5ACD-B530-43EE-AB1F-BA19539AC6F7}" name="AA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95C5E2-5D41-4F2D-9D08-9E227E08FBFE}" name="Table1161729" displayName="Table1161729" ref="A84:H92" totalsRowShown="0" headerRowDxfId="20" headerRowBorderDxfId="19" tableBorderDxfId="18" totalsRowBorderDxfId="17">
  <autoFilter ref="A84:H92" xr:uid="{F66C8388-30F5-4AC2-A14C-E2EBA0288A53}"/>
  <tableColumns count="8">
    <tableColumn id="1" xr3:uid="{2D57EE01-A824-4A36-9396-B7578A6DA3D4}" name="Country " dataDxfId="16"/>
    <tableColumn id="2" xr3:uid="{98181A30-B5A6-431F-B41E-60427FF8B4FA}" name="Calls Presented"/>
    <tableColumn id="3" xr3:uid="{703FED24-D73E-48D7-A194-25131B76B247}" name="Calls Handled"/>
    <tableColumn id="4" xr3:uid="{6B32F7B5-4460-4547-B2A5-AB962F3C5B0B}" name="SVL"/>
    <tableColumn id="5" xr3:uid="{08869973-2FF1-464F-B420-AC9B32B780B8}" name="ANS"/>
    <tableColumn id="6" xr3:uid="{2D026B3B-EE6E-4CF4-AEEF-14D5F0B82B87}" name="ABR" dataDxfId="15"/>
    <tableColumn id="7" xr3:uid="{A246F0EB-79EC-43CF-A7BD-EC200CABEA77}" name="AU/AO" dataDxfId="14"/>
    <tableColumn id="8" xr3:uid="{51A6EBB6-828D-408E-9CC7-E75698E5FA82}" name="AA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27B91F3-AF9E-49DE-A0B6-FCDCA133ABD5}" name="Table1161728" displayName="Table1161728" ref="B15:I23" totalsRowShown="0" headerRowDxfId="13" headerRowBorderDxfId="12" tableBorderDxfId="11" totalsRowBorderDxfId="10">
  <autoFilter ref="B15:I23" xr:uid="{9E9DF553-D556-4AE0-8C61-D4F5AF7AA5F6}"/>
  <tableColumns count="8">
    <tableColumn id="1" xr3:uid="{06D603FB-1688-4F45-9CCA-A3C6C333B646}" name="Country " dataDxfId="9"/>
    <tableColumn id="2" xr3:uid="{590169A4-FD79-4F4A-AF8E-431D67397D38}" name="Calls Presented"/>
    <tableColumn id="3" xr3:uid="{8B736BC3-ED97-4818-BDCD-41805C1D2291}" name="Calls Handled"/>
    <tableColumn id="4" xr3:uid="{3CF3935C-01C5-45AF-8F6A-78EB8A0C622F}" name="SVL"/>
    <tableColumn id="5" xr3:uid="{C5CA13D8-B562-493E-9BCA-82CFAFF52C7A}" name="ANS"/>
    <tableColumn id="6" xr3:uid="{3082803D-17E6-4EB1-85B3-BCA1305BB506}" name="ABR" dataDxfId="8"/>
    <tableColumn id="7" xr3:uid="{7BA869C6-DDFA-4CB1-8E07-301AC946DF24}" name="AU/AO" dataDxfId="7"/>
    <tableColumn id="8" xr3:uid="{F5E93AF9-ED5C-4D22-ACCA-257DEAB571A5}" name="AA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D8E57B4-DAD6-493D-87BB-312711E96E3E}" name="Table116172832" displayName="Table116172832" ref="B27:I35" totalsRowShown="0" headerRowDxfId="6" headerRowBorderDxfId="5" tableBorderDxfId="4" totalsRowBorderDxfId="3">
  <autoFilter ref="B27:I35" xr:uid="{87EAF582-30B9-4AE2-9E68-363176B2EE6D}"/>
  <tableColumns count="8">
    <tableColumn id="1" xr3:uid="{6FDAA82C-D96F-454B-9977-258989683833}" name="Country " dataDxfId="2"/>
    <tableColumn id="2" xr3:uid="{2E2F6202-AFE6-4681-A6C6-B516ED8C9655}" name="Calls Presented"/>
    <tableColumn id="3" xr3:uid="{2C8329B2-7DE4-41E1-9CB5-8A2B3BFA59CB}" name="Calls Handled"/>
    <tableColumn id="4" xr3:uid="{6BC4D21D-C2BA-4660-9D8B-4425660A42B2}" name="SVL"/>
    <tableColumn id="5" xr3:uid="{CF45625A-5F59-4018-A8EC-C7AD606EAA8F}" name="ANS"/>
    <tableColumn id="6" xr3:uid="{C6D89F7E-3A87-4C42-8871-17F83022C432}" name="ABR" dataDxfId="1"/>
    <tableColumn id="7" xr3:uid="{A38E61E2-0796-4A13-8A90-248C0F438911}" name="AU/AO" dataDxfId="0"/>
    <tableColumn id="8" xr3:uid="{42FF357D-BCF6-4307-B12E-1A99A9B85E91}" name="A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DFD44DF-657D-450D-A417-DEAEF432B282}" name="Table33" displayName="Table33" ref="J15:P22" totalsRowShown="0" headerRowDxfId="510" headerRowBorderDxfId="509" tableBorderDxfId="508" totalsRowBorderDxfId="507">
  <autoFilter ref="J15:P22" xr:uid="{8731FC1C-7B22-46F3-B64B-92E18D25BD64}"/>
  <tableColumns count="7">
    <tableColumn id="1" xr3:uid="{AD00D8E0-559E-473D-A794-7AF114DE4E1D}" name="KPIs" dataDxfId="506"/>
    <tableColumn id="2" xr3:uid="{60FB877F-7428-4D6D-A649-8CF6D6CF4B1C}" name="TTO"/>
    <tableColumn id="3" xr3:uid="{C9991B70-320F-478E-98FD-7DCC49633CE7}" name="JAM"/>
    <tableColumn id="4" xr3:uid="{E0F089B6-0DCB-431E-8D2A-1445149B1F62}" name="BAR"/>
    <tableColumn id="5" xr3:uid="{5E713E2A-866E-4783-8F69-E5A93141F765}" name="OECS"/>
    <tableColumn id="6" xr3:uid="{1A04AC93-A58A-4557-81A1-E7B45BB2918E}" name="GUY"/>
    <tableColumn id="7" xr3:uid="{D44ADFEF-A343-45C4-8BB1-A81F19962823}" name="BE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E814EBF-5621-4310-BF38-04A130D22D5D}" name="Table34" displayName="Table34" ref="S3:Z12" totalsRowShown="0" headerRowDxfId="505" headerRowBorderDxfId="504" tableBorderDxfId="503" totalsRowBorderDxfId="502">
  <autoFilter ref="S3:Z12" xr:uid="{22941733-C844-424A-9BB2-919B5A15044E}"/>
  <tableColumns count="8">
    <tableColumn id="1" xr3:uid="{F9935763-EDBB-495C-A49B-5B2BDF4DA14A}" name="KPIs" dataDxfId="501"/>
    <tableColumn id="2" xr3:uid="{900F8247-D98C-481F-81FB-BE8A9173C900}" name="Targets"/>
    <tableColumn id="3" xr3:uid="{F83DDE7A-6DE0-4346-89BF-97095B36B375}" name="TTO" dataDxfId="500"/>
    <tableColumn id="4" xr3:uid="{C5F798A9-93D5-471B-A46A-59C67AD642E7}" name="JAM"/>
    <tableColumn id="5" xr3:uid="{97852586-9A37-40EF-900C-B61E79573F6C}" name="BAR"/>
    <tableColumn id="6" xr3:uid="{523C5A29-A764-460C-948A-C7D3D9A41D95}" name="OECS"/>
    <tableColumn id="7" xr3:uid="{18F7DB61-9A7E-4276-9150-8D0E27BB3DCA}" name="GUY"/>
    <tableColumn id="8" xr3:uid="{F39CD0C9-2768-4B6F-A777-5AA7D2F63C65}" name="B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489282A-4D27-41BF-9CCB-50B20808A510}" name="Table35" displayName="Table35" ref="S15:Y22" totalsRowShown="0" headerRowDxfId="499" headerRowBorderDxfId="498" tableBorderDxfId="497" totalsRowBorderDxfId="496">
  <autoFilter ref="S15:Y22" xr:uid="{82FDF074-A779-450F-B6CD-ED405AAC2DA1}"/>
  <tableColumns count="7">
    <tableColumn id="1" xr3:uid="{F65D826E-5389-4ACB-9B0A-ABAC47118CC5}" name="KPIs" dataDxfId="495"/>
    <tableColumn id="2" xr3:uid="{5EB44BE5-C67F-4104-8B38-26E85CCDCCDE}" name="TTO"/>
    <tableColumn id="3" xr3:uid="{72AA3844-F0AB-406D-95AD-ED7CABF260DF}" name="JAM"/>
    <tableColumn id="4" xr3:uid="{5D21DBD5-4909-4C19-8F44-612412FCA163}" name="BAR"/>
    <tableColumn id="5" xr3:uid="{97D59DC2-4800-47E4-B626-B1F9B395080D}" name="OECS"/>
    <tableColumn id="6" xr3:uid="{A1E425C0-8518-4B5F-AFE8-4C96506C11BA}" name="GUY"/>
    <tableColumn id="7" xr3:uid="{F2C2E86A-C7A3-48E5-A98E-DE0E6DDBD57C}" name="BE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27C8CDF-90B7-45EA-B58F-C95036F54CEA}" name="Table36" displayName="Table36" ref="AB3:AI12" totalsRowShown="0" headerRowDxfId="494" headerRowBorderDxfId="493">
  <autoFilter ref="AB3:AI12" xr:uid="{8F78707F-527C-4B10-B429-72B3B2A61E9F}"/>
  <tableColumns count="8">
    <tableColumn id="1" xr3:uid="{CEC63D84-0E3F-4375-9DFA-67D89198BD72}" name="KPIs" dataDxfId="492"/>
    <tableColumn id="2" xr3:uid="{EEB9A6C1-5993-4095-A50F-4A1673B2EC8D}" name="Targets" dataDxfId="491"/>
    <tableColumn id="3" xr3:uid="{78B8A32B-9985-40C5-8A26-DF922150663B}" name="TTO" dataDxfId="490"/>
    <tableColumn id="4" xr3:uid="{7887A976-C5F8-48CA-A733-C913EC16AF36}" name="JAM" dataDxfId="489"/>
    <tableColumn id="5" xr3:uid="{1360768A-7318-430F-8F29-2D5AF2B70D87}" name="BAR" dataDxfId="488"/>
    <tableColumn id="6" xr3:uid="{EA440133-A16C-499F-8376-309F7351A128}" name="OECS" dataDxfId="487"/>
    <tableColumn id="7" xr3:uid="{81C262AF-57B5-46AC-B4B6-F98A5D67848C}" name="GUY" dataDxfId="486"/>
    <tableColumn id="8" xr3:uid="{F019F071-FDED-44CF-8769-8869705C3AA8}" name="BEL" dataDxfId="4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1.xml"/><Relationship Id="rId3" Type="http://schemas.openxmlformats.org/officeDocument/2006/relationships/table" Target="../tables/table46.xml"/><Relationship Id="rId7" Type="http://schemas.openxmlformats.org/officeDocument/2006/relationships/table" Target="../tables/table50.xml"/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9.xml"/><Relationship Id="rId11" Type="http://schemas.openxmlformats.org/officeDocument/2006/relationships/table" Target="../tables/table54.xml"/><Relationship Id="rId5" Type="http://schemas.openxmlformats.org/officeDocument/2006/relationships/table" Target="../tables/table48.xml"/><Relationship Id="rId10" Type="http://schemas.openxmlformats.org/officeDocument/2006/relationships/table" Target="../tables/table53.xml"/><Relationship Id="rId4" Type="http://schemas.openxmlformats.org/officeDocument/2006/relationships/table" Target="../tables/table47.xml"/><Relationship Id="rId9" Type="http://schemas.openxmlformats.org/officeDocument/2006/relationships/table" Target="../tables/table5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196F-7D3C-4657-BD93-9677F2B1E2C4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4035-1FC8-4F15-A050-BFD53B50152D}">
  <dimension ref="C3:J12"/>
  <sheetViews>
    <sheetView workbookViewId="0">
      <selection activeCell="J4" sqref="J4"/>
    </sheetView>
  </sheetViews>
  <sheetFormatPr defaultRowHeight="14.5"/>
  <sheetData>
    <row r="3" spans="3:10">
      <c r="C3" s="432" t="s">
        <v>173</v>
      </c>
      <c r="D3" s="434"/>
      <c r="E3" s="434"/>
      <c r="F3" s="434"/>
      <c r="G3" s="434"/>
      <c r="H3" s="434"/>
      <c r="I3" s="434"/>
      <c r="J3" s="433"/>
    </row>
    <row r="4" spans="3:10">
      <c r="C4" s="13" t="s">
        <v>1</v>
      </c>
      <c r="D4" s="14" t="s">
        <v>2</v>
      </c>
      <c r="E4" s="14" t="s">
        <v>15</v>
      </c>
      <c r="F4" s="14" t="s">
        <v>3</v>
      </c>
      <c r="G4" s="14" t="s">
        <v>4</v>
      </c>
      <c r="H4" s="14" t="s">
        <v>5</v>
      </c>
      <c r="I4" s="14" t="s">
        <v>6</v>
      </c>
      <c r="J4" s="8" t="s">
        <v>7</v>
      </c>
    </row>
    <row r="5" spans="3:10">
      <c r="C5" s="4" t="s">
        <v>8</v>
      </c>
      <c r="D5" s="1"/>
      <c r="E5" s="1"/>
      <c r="F5" s="2">
        <v>0.85</v>
      </c>
      <c r="G5" s="2">
        <v>0.94</v>
      </c>
      <c r="H5" s="2">
        <v>0.06</v>
      </c>
      <c r="I5" s="2">
        <v>0.65</v>
      </c>
      <c r="J5" s="12">
        <v>0.95</v>
      </c>
    </row>
    <row r="6" spans="3:10">
      <c r="C6" s="4" t="s">
        <v>71</v>
      </c>
      <c r="D6" s="1">
        <v>212387</v>
      </c>
      <c r="E6" s="1">
        <v>175429</v>
      </c>
      <c r="F6" s="60">
        <v>0.65</v>
      </c>
      <c r="G6" s="55">
        <f>Table118212631[[#This Row],[Calls Handled]]/Table118212631[[#This Row],[Calls Presented]]</f>
        <v>0.82598746627618447</v>
      </c>
      <c r="H6" s="55">
        <f>1-Table118212631[[#This Row],[ANS]]</f>
        <v>0.17401253372381553</v>
      </c>
      <c r="I6" s="211">
        <v>0.48</v>
      </c>
      <c r="J6" s="212">
        <v>0.9</v>
      </c>
    </row>
    <row r="7" spans="3:10">
      <c r="C7" s="4" t="s">
        <v>10</v>
      </c>
      <c r="D7" s="192">
        <v>121038</v>
      </c>
      <c r="E7" s="192">
        <v>93394</v>
      </c>
      <c r="F7" s="201">
        <v>0.71</v>
      </c>
      <c r="G7" s="55">
        <f>Table118212631[[#This Row],[Calls Handled]]/Table118212631[[#This Row],[Calls Presented]]</f>
        <v>0.77160891620813299</v>
      </c>
      <c r="H7" s="55">
        <f>1-Table118212631[[#This Row],[ANS]]</f>
        <v>0.22839108379186701</v>
      </c>
      <c r="I7" s="201">
        <v>0.63</v>
      </c>
      <c r="J7" s="194">
        <v>1</v>
      </c>
    </row>
    <row r="8" spans="3:10">
      <c r="C8" s="4" t="s">
        <v>11</v>
      </c>
      <c r="D8" s="61">
        <v>112774</v>
      </c>
      <c r="E8" s="61">
        <v>106941</v>
      </c>
      <c r="F8" s="43">
        <v>0.87</v>
      </c>
      <c r="G8" s="60">
        <f>Table118212631[[#This Row],[Calls Handled]]/Table118212631[[#This Row],[Calls Presented]]</f>
        <v>0.94827708514373876</v>
      </c>
      <c r="H8" s="60">
        <f>1-Table118212631[[#This Row],[ANS]]</f>
        <v>5.1722914856261237E-2</v>
      </c>
      <c r="I8" s="130">
        <v>0.56999999999999995</v>
      </c>
      <c r="J8" s="60">
        <v>1</v>
      </c>
    </row>
    <row r="9" spans="3:10">
      <c r="C9" s="4" t="s">
        <v>35</v>
      </c>
      <c r="D9" s="59">
        <v>297435</v>
      </c>
      <c r="E9" s="59">
        <v>256299</v>
      </c>
      <c r="F9" s="52">
        <v>0.66</v>
      </c>
      <c r="G9" s="55">
        <f>Table118212631[[#This Row],[Calls Handled]]/Table118212631[[#This Row],[Calls Presented]]</f>
        <v>0.86169751374249837</v>
      </c>
      <c r="H9" s="55">
        <f>1-Table118212631[[#This Row],[ANS]]</f>
        <v>0.13830248625750163</v>
      </c>
      <c r="I9" s="44">
        <v>0.74</v>
      </c>
      <c r="J9" s="114" t="s">
        <v>16</v>
      </c>
    </row>
    <row r="10" spans="3:10">
      <c r="C10" s="4" t="s">
        <v>13</v>
      </c>
      <c r="D10" s="192">
        <v>100617</v>
      </c>
      <c r="E10" s="193">
        <v>80198</v>
      </c>
      <c r="F10" s="195">
        <v>0.6</v>
      </c>
      <c r="G10" s="55">
        <f>Table118212631[[#This Row],[Calls Handled]]/Table118212631[[#This Row],[Calls Presented]]</f>
        <v>0.79706212667839427</v>
      </c>
      <c r="H10" s="55">
        <f>1-Table118212631[[#This Row],[ANS]]</f>
        <v>0.20293787332160573</v>
      </c>
      <c r="I10" s="195">
        <v>0.49</v>
      </c>
      <c r="J10" s="196">
        <v>0.98</v>
      </c>
    </row>
    <row r="11" spans="3:10">
      <c r="C11" s="4" t="s">
        <v>14</v>
      </c>
      <c r="D11" s="197">
        <v>25701</v>
      </c>
      <c r="E11" s="197">
        <v>18087</v>
      </c>
      <c r="F11" s="198">
        <v>0.74</v>
      </c>
      <c r="G11" s="55">
        <f>Table118212631[[#This Row],[Calls Handled]]/Table118212631[[#This Row],[Calls Presented]]</f>
        <v>0.70374693591689041</v>
      </c>
      <c r="H11" s="55">
        <f>1-Table118212631[[#This Row],[ANS]]</f>
        <v>0.29625306408310959</v>
      </c>
      <c r="I11" s="198">
        <v>0.3</v>
      </c>
      <c r="J11" s="205" t="s">
        <v>16</v>
      </c>
    </row>
    <row r="12" spans="3:10">
      <c r="C12" s="71" t="s">
        <v>0</v>
      </c>
      <c r="D12" s="72">
        <f>SUM(D6:D11)</f>
        <v>869952</v>
      </c>
      <c r="E12" s="72">
        <f>SUM(E6:E11)</f>
        <v>730348</v>
      </c>
      <c r="F12" s="119">
        <f>AVERAGEIF(F6:F11,"&lt;&gt;0")</f>
        <v>0.70500000000000007</v>
      </c>
      <c r="G12" s="119">
        <f>AVERAGEIF(G6:G11,"&lt;&gt;0")</f>
        <v>0.81806334066097319</v>
      </c>
      <c r="H12" s="119">
        <f>AVERAGEIF(H6:H11,"&lt;&gt;0")</f>
        <v>0.18193665933902681</v>
      </c>
      <c r="I12" s="119">
        <f>AVERAGEIF(I6:I11,"&lt;&gt;0")</f>
        <v>0.53500000000000003</v>
      </c>
      <c r="J12" s="150">
        <f>AVERAGEIF(J6:J11,"&lt;&gt;0")</f>
        <v>0.97</v>
      </c>
    </row>
  </sheetData>
  <mergeCells count="1">
    <mergeCell ref="C3:J3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4D96-15C7-422F-A39B-CA2FB433BA3E}">
  <sheetPr codeName="Sheet11"/>
  <dimension ref="B1:AK36"/>
  <sheetViews>
    <sheetView topLeftCell="X1" workbookViewId="0">
      <selection activeCell="AK9" sqref="AK9"/>
    </sheetView>
  </sheetViews>
  <sheetFormatPr defaultRowHeight="14.5"/>
  <cols>
    <col min="2" max="2" width="10" customWidth="1"/>
    <col min="3" max="4" width="18.54296875" bestFit="1" customWidth="1"/>
    <col min="5" max="5" width="32.1796875" bestFit="1" customWidth="1"/>
    <col min="6" max="6" width="28.453125" bestFit="1" customWidth="1"/>
    <col min="7" max="9" width="18.54296875" bestFit="1" customWidth="1"/>
    <col min="28" max="28" width="10.26953125" bestFit="1" customWidth="1"/>
    <col min="29" max="29" width="16" bestFit="1" customWidth="1"/>
    <col min="30" max="30" width="14.36328125" bestFit="1" customWidth="1"/>
    <col min="31" max="31" width="7.453125" customWidth="1"/>
    <col min="32" max="32" width="8.90625" customWidth="1"/>
    <col min="34" max="34" width="9.26953125" bestFit="1" customWidth="1"/>
    <col min="37" max="37" width="5.453125" bestFit="1" customWidth="1"/>
  </cols>
  <sheetData>
    <row r="1" spans="2:37">
      <c r="AB1" s="432" t="s">
        <v>171</v>
      </c>
      <c r="AC1" s="434"/>
      <c r="AD1" s="434"/>
      <c r="AE1" s="434"/>
      <c r="AF1" s="434"/>
      <c r="AG1" s="434"/>
      <c r="AH1" s="434"/>
      <c r="AI1" s="433"/>
    </row>
    <row r="2" spans="2:37">
      <c r="AB2" s="13" t="s">
        <v>1</v>
      </c>
      <c r="AC2" s="14" t="s">
        <v>2</v>
      </c>
      <c r="AD2" s="14" t="s">
        <v>15</v>
      </c>
      <c r="AE2" s="14" t="s">
        <v>3</v>
      </c>
      <c r="AF2" s="14" t="s">
        <v>4</v>
      </c>
      <c r="AG2" s="14" t="s">
        <v>5</v>
      </c>
      <c r="AH2" s="14" t="s">
        <v>6</v>
      </c>
      <c r="AI2" s="8" t="s">
        <v>7</v>
      </c>
    </row>
    <row r="3" spans="2:37">
      <c r="AB3" s="4" t="s">
        <v>8</v>
      </c>
      <c r="AC3" s="1"/>
      <c r="AD3" s="1"/>
      <c r="AE3" s="2">
        <v>0.85</v>
      </c>
      <c r="AF3" s="2">
        <v>0.94</v>
      </c>
      <c r="AG3" s="2">
        <v>0.06</v>
      </c>
      <c r="AH3" s="2">
        <v>0.65</v>
      </c>
      <c r="AI3" s="12">
        <v>0.95</v>
      </c>
    </row>
    <row r="4" spans="2:37">
      <c r="AB4" s="4" t="s">
        <v>71</v>
      </c>
      <c r="AC4" s="1">
        <v>3496</v>
      </c>
      <c r="AD4" s="1">
        <v>3295</v>
      </c>
      <c r="AE4" s="55">
        <v>0.86</v>
      </c>
      <c r="AF4" s="60">
        <f>Table118212617[[#This Row],[Calls Handled]]/Table118212617[[#This Row],[Calls Presented]]</f>
        <v>0.94250572082379858</v>
      </c>
      <c r="AG4" s="60">
        <f>1-Table118212617[[#This Row],[ANS]]</f>
        <v>5.7494279176201424E-2</v>
      </c>
      <c r="AH4" s="211">
        <v>0.31</v>
      </c>
      <c r="AI4" s="212">
        <v>0.99</v>
      </c>
    </row>
    <row r="5" spans="2:37">
      <c r="AB5" s="4" t="s">
        <v>10</v>
      </c>
      <c r="AC5" s="192">
        <v>3292</v>
      </c>
      <c r="AD5" s="192">
        <v>2311</v>
      </c>
      <c r="AE5" s="201">
        <v>0.41</v>
      </c>
      <c r="AF5" s="200">
        <f>Table118212617[[#This Row],[Calls Handled]]/Table118212617[[#This Row],[Calls Presented]]</f>
        <v>0.70200486026731468</v>
      </c>
      <c r="AG5" s="200">
        <f>1-Table118212617[[#This Row],[ANS]]</f>
        <v>0.29799513973268532</v>
      </c>
      <c r="AH5" s="194">
        <v>0.74</v>
      </c>
      <c r="AI5" s="194">
        <v>1</v>
      </c>
    </row>
    <row r="6" spans="2:37">
      <c r="AB6" s="4" t="s">
        <v>11</v>
      </c>
      <c r="AC6" s="61">
        <v>1885</v>
      </c>
      <c r="AD6" s="61">
        <v>1792</v>
      </c>
      <c r="AE6" s="43">
        <v>0.86</v>
      </c>
      <c r="AF6" s="60">
        <f>Table118212617[[#This Row],[Calls Handled]]/Table118212617[[#This Row],[Calls Presented]]</f>
        <v>0.9506631299734748</v>
      </c>
      <c r="AG6" s="60">
        <f>1-Table118212617[[#This Row],[ANS]]</f>
        <v>4.9336870026525204E-2</v>
      </c>
      <c r="AH6" s="44">
        <v>0.55000000000000004</v>
      </c>
      <c r="AI6" s="60">
        <v>1</v>
      </c>
    </row>
    <row r="7" spans="2:37">
      <c r="AB7" s="4" t="s">
        <v>35</v>
      </c>
      <c r="AC7" s="59">
        <v>5883</v>
      </c>
      <c r="AD7" s="59">
        <v>5279</v>
      </c>
      <c r="AE7" s="52">
        <v>0.75</v>
      </c>
      <c r="AF7" s="55">
        <f>Table118212617[[#This Row],[Calls Handled]]/Table118212617[[#This Row],[Calls Presented]]</f>
        <v>0.89733129355770869</v>
      </c>
      <c r="AG7" s="55">
        <f>1-Table118212617[[#This Row],[ANS]]</f>
        <v>0.10266870644229131</v>
      </c>
      <c r="AH7" s="44">
        <v>0.72</v>
      </c>
      <c r="AI7" s="114" t="s">
        <v>16</v>
      </c>
    </row>
    <row r="8" spans="2:37">
      <c r="AB8" s="4" t="s">
        <v>13</v>
      </c>
      <c r="AC8" s="192">
        <v>1984</v>
      </c>
      <c r="AD8" s="193">
        <v>1873</v>
      </c>
      <c r="AE8" s="196">
        <v>0.85</v>
      </c>
      <c r="AF8" s="278">
        <f>Table118212617[[#This Row],[Calls Handled]]/Table118212617[[#This Row],[Calls Presented]]</f>
        <v>0.94405241935483875</v>
      </c>
      <c r="AG8" s="278">
        <f>1-Table118212617[[#This Row],[ANS]]</f>
        <v>5.5947580645161255E-2</v>
      </c>
      <c r="AH8" s="195">
        <v>0.44</v>
      </c>
      <c r="AI8" s="196">
        <v>1</v>
      </c>
    </row>
    <row r="9" spans="2:37">
      <c r="AB9" s="4" t="s">
        <v>14</v>
      </c>
      <c r="AC9" s="197">
        <v>514</v>
      </c>
      <c r="AD9" s="197">
        <v>400</v>
      </c>
      <c r="AE9" s="199">
        <v>0.74</v>
      </c>
      <c r="AF9" s="60">
        <f>Table118212617[[#This Row],[Calls Handled]]/Table118212617[[#This Row],[Calls Presented]]</f>
        <v>0.77821011673151752</v>
      </c>
      <c r="AG9" s="60">
        <f>1-Table118212617[[#This Row],[ANS]]</f>
        <v>0.22178988326848248</v>
      </c>
      <c r="AH9" s="198">
        <v>0.28000000000000003</v>
      </c>
      <c r="AI9" s="205" t="s">
        <v>16</v>
      </c>
    </row>
    <row r="10" spans="2:37">
      <c r="AB10" s="71" t="s">
        <v>0</v>
      </c>
      <c r="AC10" s="72">
        <f>SUM(AC4:AC9)</f>
        <v>17054</v>
      </c>
      <c r="AD10" s="72">
        <f>SUM(AD4:AD9)</f>
        <v>14950</v>
      </c>
      <c r="AE10" s="119">
        <f>AVERAGEIF(AE4:AE9,"&lt;&gt;0")</f>
        <v>0.745</v>
      </c>
      <c r="AF10" s="119">
        <f>AVERAGEIF(AF4:AF9,"&lt;&gt;0")</f>
        <v>0.86912792345144219</v>
      </c>
      <c r="AG10" s="119">
        <f>AVERAGEIF(AG4:AG9,"&lt;&gt;0")</f>
        <v>0.13087207654855784</v>
      </c>
      <c r="AH10" s="119">
        <f>AVERAGEIF(AH4:AH9,"&lt;&gt;0")</f>
        <v>0.50666666666666671</v>
      </c>
      <c r="AI10" s="119">
        <f>AVERAGEIF(AI4:AI9,"&lt;&gt;0")</f>
        <v>0.99750000000000005</v>
      </c>
    </row>
    <row r="12" spans="2:37">
      <c r="AB12" s="432" t="s">
        <v>170</v>
      </c>
      <c r="AC12" s="434"/>
      <c r="AD12" s="434"/>
      <c r="AE12" s="434"/>
      <c r="AF12" s="434"/>
      <c r="AG12" s="434"/>
      <c r="AH12" s="434"/>
      <c r="AI12" s="433"/>
      <c r="AJ12" s="190"/>
      <c r="AK12" s="190"/>
    </row>
    <row r="13" spans="2:37" ht="30.5" customHeight="1">
      <c r="B13" s="432" t="s">
        <v>96</v>
      </c>
      <c r="C13" s="434"/>
      <c r="D13" s="434"/>
      <c r="E13" s="434"/>
      <c r="F13" s="434"/>
      <c r="G13" s="434"/>
      <c r="H13" s="434"/>
      <c r="I13" s="434"/>
      <c r="J13" s="434"/>
      <c r="K13" s="433"/>
      <c r="AB13" s="13" t="s">
        <v>1</v>
      </c>
      <c r="AC13" s="14" t="s">
        <v>2</v>
      </c>
      <c r="AD13" s="14" t="s">
        <v>15</v>
      </c>
      <c r="AE13" s="14" t="s">
        <v>3</v>
      </c>
      <c r="AF13" s="14" t="s">
        <v>4</v>
      </c>
      <c r="AG13" s="14" t="s">
        <v>5</v>
      </c>
      <c r="AH13" s="14" t="s">
        <v>6</v>
      </c>
      <c r="AI13" s="8" t="s">
        <v>7</v>
      </c>
    </row>
    <row r="14" spans="2:37" ht="29">
      <c r="B14" s="13" t="s">
        <v>1</v>
      </c>
      <c r="C14" s="14" t="s">
        <v>2</v>
      </c>
      <c r="D14" s="14" t="s">
        <v>15</v>
      </c>
      <c r="E14" s="121" t="s">
        <v>90</v>
      </c>
      <c r="F14" s="121" t="s">
        <v>91</v>
      </c>
      <c r="G14" s="14" t="s">
        <v>3</v>
      </c>
      <c r="H14" s="14" t="s">
        <v>4</v>
      </c>
      <c r="I14" s="14" t="s">
        <v>5</v>
      </c>
      <c r="J14" s="14" t="s">
        <v>6</v>
      </c>
      <c r="K14" s="8" t="s">
        <v>7</v>
      </c>
      <c r="AB14" s="4" t="s">
        <v>8</v>
      </c>
      <c r="AC14" s="1"/>
      <c r="AD14" s="1"/>
      <c r="AE14" s="2">
        <v>0.85</v>
      </c>
      <c r="AF14" s="2">
        <v>0.94</v>
      </c>
      <c r="AG14" s="2">
        <v>0.06</v>
      </c>
      <c r="AH14" s="2">
        <v>0.65</v>
      </c>
      <c r="AI14" s="12">
        <v>0.95</v>
      </c>
    </row>
    <row r="15" spans="2:37">
      <c r="B15" s="4" t="s">
        <v>8</v>
      </c>
      <c r="C15" s="1"/>
      <c r="D15" s="1"/>
      <c r="E15" s="64"/>
      <c r="F15" s="64"/>
      <c r="G15" s="2">
        <v>0.85</v>
      </c>
      <c r="H15" s="2">
        <v>0.94</v>
      </c>
      <c r="I15" s="2">
        <v>0.06</v>
      </c>
      <c r="J15" s="2">
        <v>0.65</v>
      </c>
      <c r="K15" s="12">
        <v>0.95</v>
      </c>
      <c r="AB15" s="4" t="s">
        <v>71</v>
      </c>
      <c r="AC15" s="1">
        <v>3319</v>
      </c>
      <c r="AD15" s="1">
        <v>3230</v>
      </c>
      <c r="AE15" s="60">
        <v>0.91</v>
      </c>
      <c r="AF15" s="60">
        <f>Table1182126[[#This Row],[Calls Handled]]/Table1182126[[#This Row],[Calls Presented]]</f>
        <v>0.97318469418499554</v>
      </c>
      <c r="AG15" s="60">
        <f>1-Table1182126[[#This Row],[ANS]]</f>
        <v>2.6815305815004464E-2</v>
      </c>
      <c r="AH15" s="211">
        <v>0.28000000000000003</v>
      </c>
      <c r="AI15" s="212">
        <v>0.99</v>
      </c>
    </row>
    <row r="16" spans="2:37">
      <c r="B16" s="4" t="s">
        <v>71</v>
      </c>
      <c r="C16" s="1">
        <v>3483</v>
      </c>
      <c r="D16" s="1">
        <v>3075</v>
      </c>
      <c r="E16" s="178">
        <v>-9.154929577464789E-2</v>
      </c>
      <c r="F16" s="178">
        <v>-0.12193032552826956</v>
      </c>
      <c r="G16" s="55">
        <v>0.69</v>
      </c>
      <c r="H16" s="55">
        <v>0.8828596037898363</v>
      </c>
      <c r="I16" s="55">
        <v>0.1171403962101637</v>
      </c>
      <c r="J16" s="55">
        <v>0.55000000000000004</v>
      </c>
      <c r="K16" s="55">
        <v>0.8</v>
      </c>
      <c r="AB16" s="4" t="s">
        <v>10</v>
      </c>
      <c r="AC16" s="192">
        <v>3629</v>
      </c>
      <c r="AD16" s="192">
        <v>2477</v>
      </c>
      <c r="AE16" s="201">
        <v>0.44</v>
      </c>
      <c r="AF16" s="200">
        <f>Table1182126[[#This Row],[Calls Handled]]/Table1182126[[#This Row],[Calls Presented]]</f>
        <v>0.68255717828602924</v>
      </c>
      <c r="AG16" s="200">
        <f>1-Table1182126[[#This Row],[ANS]]</f>
        <v>0.31744282171397076</v>
      </c>
      <c r="AH16" s="194">
        <v>0.72</v>
      </c>
      <c r="AI16" s="194">
        <v>1</v>
      </c>
    </row>
    <row r="17" spans="2:35">
      <c r="B17" s="4" t="s">
        <v>10</v>
      </c>
      <c r="C17" s="1">
        <v>1306</v>
      </c>
      <c r="D17" s="1">
        <v>1234</v>
      </c>
      <c r="E17" s="179">
        <v>4.0637450199203187E-2</v>
      </c>
      <c r="F17" s="179">
        <v>1.6474464579901153E-2</v>
      </c>
      <c r="G17" s="60">
        <v>0.9</v>
      </c>
      <c r="H17" s="60">
        <v>0.94486983154670745</v>
      </c>
      <c r="I17" s="60">
        <v>5.513016845329255E-2</v>
      </c>
      <c r="J17" s="60">
        <v>0.69</v>
      </c>
      <c r="K17" s="60">
        <v>1</v>
      </c>
      <c r="AB17" s="4" t="s">
        <v>11</v>
      </c>
      <c r="AC17" s="61">
        <v>1920</v>
      </c>
      <c r="AD17" s="61">
        <v>1779</v>
      </c>
      <c r="AE17" s="52">
        <v>0.8</v>
      </c>
      <c r="AF17" s="55">
        <f>Table1182126[[#This Row],[Calls Handled]]/Table1182126[[#This Row],[Calls Presented]]</f>
        <v>0.92656249999999996</v>
      </c>
      <c r="AG17" s="55">
        <f>1-Table1182126[[#This Row],[ANS]]</f>
        <v>7.3437500000000044E-2</v>
      </c>
      <c r="AH17" s="130">
        <v>0.55000000000000004</v>
      </c>
      <c r="AI17" s="60">
        <v>1</v>
      </c>
    </row>
    <row r="18" spans="2:35">
      <c r="B18" s="4" t="s">
        <v>11</v>
      </c>
      <c r="C18" s="61">
        <v>1981</v>
      </c>
      <c r="D18" s="61">
        <v>1879</v>
      </c>
      <c r="E18" s="179">
        <v>2.1134020618556702E-2</v>
      </c>
      <c r="F18" s="179">
        <v>1.6224986479177934E-2</v>
      </c>
      <c r="G18" s="43">
        <v>0.89</v>
      </c>
      <c r="H18" s="60">
        <v>0.94851085310449268</v>
      </c>
      <c r="I18" s="60">
        <v>5.1489146895507321E-2</v>
      </c>
      <c r="J18" s="130">
        <v>0.6</v>
      </c>
      <c r="K18" s="60">
        <v>1</v>
      </c>
      <c r="AB18" s="4" t="s">
        <v>35</v>
      </c>
      <c r="AC18" s="59">
        <v>5470</v>
      </c>
      <c r="AD18" s="59">
        <v>5159</v>
      </c>
      <c r="AE18" s="43">
        <v>0.85</v>
      </c>
      <c r="AF18" s="60">
        <f>Table1182126[[#This Row],[Calls Handled]]/Table1182126[[#This Row],[Calls Presented]]</f>
        <v>0.94314442413162702</v>
      </c>
      <c r="AG18" s="60">
        <f>1-Table1182126[[#This Row],[ANS]]</f>
        <v>5.6855575868372976E-2</v>
      </c>
      <c r="AH18" s="130">
        <v>0.8</v>
      </c>
      <c r="AI18" s="114" t="s">
        <v>16</v>
      </c>
    </row>
    <row r="19" spans="2:35">
      <c r="B19" s="4" t="s">
        <v>35</v>
      </c>
      <c r="C19" s="59">
        <v>4584</v>
      </c>
      <c r="D19" s="59">
        <v>4234</v>
      </c>
      <c r="E19" s="178">
        <v>-4.8765304004980289E-2</v>
      </c>
      <c r="F19" s="178">
        <v>-6.2444641275465014E-2</v>
      </c>
      <c r="G19" s="52">
        <v>0.85</v>
      </c>
      <c r="H19" s="55">
        <v>0.92364746945898779</v>
      </c>
      <c r="I19" s="55">
        <v>7.6352530541012209E-2</v>
      </c>
      <c r="J19" s="130">
        <v>0.6</v>
      </c>
      <c r="K19" s="114" t="s">
        <v>16</v>
      </c>
      <c r="AB19" s="4" t="s">
        <v>13</v>
      </c>
      <c r="AC19" s="192">
        <v>2014</v>
      </c>
      <c r="AD19" s="193">
        <v>1915</v>
      </c>
      <c r="AE19" s="195">
        <v>0.84</v>
      </c>
      <c r="AF19" s="278">
        <f>Table1182126[[#This Row],[Calls Handled]]/Table1182126[[#This Row],[Calls Presented]]</f>
        <v>0.95084409136047665</v>
      </c>
      <c r="AG19" s="278">
        <f>1-Table1182126[[#This Row],[ANS]]</f>
        <v>4.9155908639523349E-2</v>
      </c>
      <c r="AH19" s="195">
        <v>0.45</v>
      </c>
      <c r="AI19" s="196">
        <v>1</v>
      </c>
    </row>
    <row r="20" spans="2:35">
      <c r="B20" s="4" t="s">
        <v>13</v>
      </c>
      <c r="C20" s="116">
        <v>1959</v>
      </c>
      <c r="D20" s="58">
        <v>1858</v>
      </c>
      <c r="E20" s="179">
        <v>4.7033671833244257E-2</v>
      </c>
      <c r="F20" s="179">
        <v>5.8689458689458691E-2</v>
      </c>
      <c r="G20" s="56">
        <v>0.88</v>
      </c>
      <c r="H20" s="60">
        <v>0.94844308320571724</v>
      </c>
      <c r="I20" s="60">
        <v>5.1556916794282759E-2</v>
      </c>
      <c r="J20" s="57">
        <v>0.5</v>
      </c>
      <c r="K20" s="56">
        <v>0.95</v>
      </c>
      <c r="AB20" s="4" t="s">
        <v>14</v>
      </c>
      <c r="AC20" s="197">
        <v>327</v>
      </c>
      <c r="AD20" s="197">
        <v>315</v>
      </c>
      <c r="AE20" s="199">
        <v>0.97</v>
      </c>
      <c r="AF20" s="60">
        <f>Table1182126[[#This Row],[Calls Handled]]/Table1182126[[#This Row],[Calls Presented]]</f>
        <v>0.96330275229357798</v>
      </c>
      <c r="AG20" s="60">
        <f>1-Table1182126[[#This Row],[ANS]]</f>
        <v>3.669724770642202E-2</v>
      </c>
      <c r="AH20" s="198">
        <v>0.24</v>
      </c>
      <c r="AI20" s="205" t="s">
        <v>16</v>
      </c>
    </row>
    <row r="21" spans="2:35">
      <c r="B21" s="4" t="s">
        <v>14</v>
      </c>
      <c r="C21" s="10"/>
      <c r="D21" s="11"/>
      <c r="E21" s="11"/>
      <c r="F21" s="11"/>
      <c r="G21" s="11"/>
      <c r="H21" s="11"/>
      <c r="I21" s="11"/>
      <c r="J21" s="11"/>
      <c r="K21" s="11"/>
      <c r="AB21" s="71" t="s">
        <v>0</v>
      </c>
      <c r="AC21" s="72">
        <f>SUM(AC15:AC20)</f>
        <v>16679</v>
      </c>
      <c r="AD21" s="72">
        <f>SUM(AD15:AD20)</f>
        <v>14875</v>
      </c>
      <c r="AE21" s="119">
        <f>AVERAGEIF(AE15:AE20,"&lt;&gt;0")</f>
        <v>0.80166666666666675</v>
      </c>
      <c r="AF21" s="119">
        <f>AVERAGEIF(AF15:AF20,"&lt;&gt;0")</f>
        <v>0.90659927337611768</v>
      </c>
      <c r="AG21" s="119">
        <f>AVERAGEIF(AG15:AG20,"&lt;&gt;0")</f>
        <v>9.3400726623882269E-2</v>
      </c>
      <c r="AH21" s="119">
        <f>AVERAGEIF(AH15:AH20,"&lt;&gt;0")</f>
        <v>0.50666666666666671</v>
      </c>
      <c r="AI21" s="150">
        <f>AVERAGEIF(AI15:AI20,"&lt;&gt;0")</f>
        <v>0.99750000000000005</v>
      </c>
    </row>
    <row r="22" spans="2:35">
      <c r="B22" s="71" t="s">
        <v>0</v>
      </c>
      <c r="C22" s="72">
        <v>13313</v>
      </c>
      <c r="D22" s="72">
        <v>12280</v>
      </c>
      <c r="E22" s="181">
        <v>-6.3018914257248083E-3</v>
      </c>
      <c r="F22" s="181">
        <v>-1.8597211411039361E-2</v>
      </c>
      <c r="G22" s="119">
        <v>0.84199999999999997</v>
      </c>
      <c r="H22" s="150">
        <v>0.92966616822114823</v>
      </c>
      <c r="I22" s="150">
        <v>7.0333831778851705E-2</v>
      </c>
      <c r="J22" s="119">
        <v>0.58799999999999997</v>
      </c>
      <c r="K22" s="153">
        <v>0.9375</v>
      </c>
    </row>
    <row r="24" spans="2:35">
      <c r="AB24" s="432" t="s">
        <v>169</v>
      </c>
      <c r="AC24" s="434"/>
      <c r="AD24" s="434"/>
      <c r="AE24" s="434"/>
      <c r="AF24" s="434"/>
      <c r="AG24" s="434"/>
      <c r="AH24" s="434"/>
      <c r="AI24" s="433"/>
    </row>
    <row r="25" spans="2:35">
      <c r="AB25" s="13" t="s">
        <v>1</v>
      </c>
      <c r="AC25" s="14" t="s">
        <v>2</v>
      </c>
      <c r="AD25" s="14" t="s">
        <v>15</v>
      </c>
      <c r="AE25" s="14" t="s">
        <v>3</v>
      </c>
      <c r="AF25" s="14" t="s">
        <v>4</v>
      </c>
      <c r="AG25" s="14" t="s">
        <v>5</v>
      </c>
      <c r="AH25" s="14" t="s">
        <v>6</v>
      </c>
      <c r="AI25" s="8" t="s">
        <v>7</v>
      </c>
    </row>
    <row r="26" spans="2:35">
      <c r="AB26" s="4" t="s">
        <v>8</v>
      </c>
      <c r="AC26" s="1"/>
      <c r="AD26" s="1"/>
      <c r="AE26" s="2">
        <v>0.85</v>
      </c>
      <c r="AF26" s="2">
        <v>0.94</v>
      </c>
      <c r="AG26" s="2">
        <v>0.06</v>
      </c>
      <c r="AH26" s="2">
        <v>0.65</v>
      </c>
      <c r="AI26" s="12">
        <v>0.95</v>
      </c>
    </row>
    <row r="27" spans="2:35">
      <c r="B27" s="432" t="s">
        <v>95</v>
      </c>
      <c r="C27" s="434"/>
      <c r="D27" s="434"/>
      <c r="E27" s="434"/>
      <c r="F27" s="434"/>
      <c r="G27" s="434"/>
      <c r="H27" s="434"/>
      <c r="I27" s="434"/>
      <c r="J27" s="434"/>
      <c r="K27" s="433"/>
      <c r="AB27" s="4" t="s">
        <v>71</v>
      </c>
      <c r="AC27" s="1">
        <v>3866</v>
      </c>
      <c r="AD27" s="1">
        <v>3463</v>
      </c>
      <c r="AE27" s="55">
        <v>0.81</v>
      </c>
      <c r="AF27" s="55">
        <f>Table118212625[[#This Row],[Calls Handled]]/Table118212625[[#This Row],[Calls Presented]]</f>
        <v>0.8957578892912571</v>
      </c>
      <c r="AG27" s="55">
        <f>1-Table118212625[[#This Row],[ANS]]</f>
        <v>0.1042421107087429</v>
      </c>
      <c r="AH27" s="211">
        <v>0.37</v>
      </c>
      <c r="AI27" s="212">
        <v>0.98</v>
      </c>
    </row>
    <row r="28" spans="2:35" ht="17.5" customHeight="1">
      <c r="B28" s="13" t="s">
        <v>1</v>
      </c>
      <c r="C28" s="14" t="s">
        <v>2</v>
      </c>
      <c r="D28" s="14" t="s">
        <v>15</v>
      </c>
      <c r="E28" s="121" t="s">
        <v>90</v>
      </c>
      <c r="F28" s="121" t="s">
        <v>91</v>
      </c>
      <c r="G28" s="14" t="s">
        <v>3</v>
      </c>
      <c r="H28" s="14" t="s">
        <v>4</v>
      </c>
      <c r="I28" s="14" t="s">
        <v>5</v>
      </c>
      <c r="J28" s="14" t="s">
        <v>6</v>
      </c>
      <c r="K28" s="8" t="s">
        <v>7</v>
      </c>
      <c r="AB28" s="4" t="s">
        <v>10</v>
      </c>
      <c r="AC28" s="192">
        <v>3876</v>
      </c>
      <c r="AD28" s="192">
        <v>2722</v>
      </c>
      <c r="AE28" s="201">
        <v>0.55000000000000004</v>
      </c>
      <c r="AF28" s="200">
        <f>Table118212625[[#This Row],[Calls Handled]]/Table118212625[[#This Row],[Calls Presented]]</f>
        <v>0.70227038183694535</v>
      </c>
      <c r="AG28" s="200">
        <f>1-Table118212625[[#This Row],[ANS]]</f>
        <v>0.29772961816305465</v>
      </c>
      <c r="AH28" s="194">
        <v>0.72</v>
      </c>
      <c r="AI28" s="194">
        <v>1</v>
      </c>
    </row>
    <row r="29" spans="2:35">
      <c r="B29" s="4" t="s">
        <v>8</v>
      </c>
      <c r="C29" s="1"/>
      <c r="D29" s="1"/>
      <c r="E29" s="64"/>
      <c r="F29" s="64"/>
      <c r="G29" s="2">
        <v>0.85</v>
      </c>
      <c r="H29" s="2">
        <v>0.94</v>
      </c>
      <c r="I29" s="2">
        <v>0.06</v>
      </c>
      <c r="J29" s="2">
        <v>0.65</v>
      </c>
      <c r="K29" s="12">
        <v>0.95</v>
      </c>
      <c r="AB29" s="4" t="s">
        <v>11</v>
      </c>
      <c r="AC29" s="61">
        <v>2003</v>
      </c>
      <c r="AD29" s="61">
        <v>1894</v>
      </c>
      <c r="AE29" s="43">
        <v>0.86</v>
      </c>
      <c r="AF29" s="60">
        <f>Table118212625[[#This Row],[Calls Handled]]/Table118212625[[#This Row],[Calls Presented]]</f>
        <v>0.94558162755866204</v>
      </c>
      <c r="AG29" s="60">
        <f>1-Table118212625[[#This Row],[ANS]]</f>
        <v>5.4418372441337959E-2</v>
      </c>
      <c r="AH29" s="44">
        <v>0.61</v>
      </c>
      <c r="AI29" s="60">
        <v>1</v>
      </c>
    </row>
    <row r="30" spans="2:35">
      <c r="B30" s="4" t="s">
        <v>71</v>
      </c>
      <c r="C30" s="1">
        <v>3834</v>
      </c>
      <c r="D30" s="1">
        <v>3502</v>
      </c>
      <c r="E30" s="179" t="s">
        <v>16</v>
      </c>
      <c r="F30" s="179" t="s">
        <v>16</v>
      </c>
      <c r="G30" s="55">
        <v>0.72</v>
      </c>
      <c r="H30" s="55">
        <v>0.91340636411058951</v>
      </c>
      <c r="I30" s="55">
        <v>8.6593635889410492E-2</v>
      </c>
      <c r="J30" s="55">
        <v>0.57999999999999996</v>
      </c>
      <c r="K30" s="55">
        <v>0.82</v>
      </c>
      <c r="AB30" s="4" t="s">
        <v>35</v>
      </c>
      <c r="AC30" s="59">
        <v>5634</v>
      </c>
      <c r="AD30" s="59">
        <v>5274</v>
      </c>
      <c r="AE30" s="52">
        <v>0.85</v>
      </c>
      <c r="AF30" s="55">
        <f>Table118212625[[#This Row],[Calls Handled]]/Table118212625[[#This Row],[Calls Presented]]</f>
        <v>0.93610223642172519</v>
      </c>
      <c r="AG30" s="55">
        <f>1-Table118212625[[#This Row],[ANS]]</f>
        <v>6.3897763578274813E-2</v>
      </c>
      <c r="AH30" s="44">
        <v>0.64</v>
      </c>
      <c r="AI30" s="114" t="s">
        <v>16</v>
      </c>
    </row>
    <row r="31" spans="2:35">
      <c r="B31" s="4" t="s">
        <v>10</v>
      </c>
      <c r="C31" s="1">
        <v>1255</v>
      </c>
      <c r="D31" s="1">
        <v>1214</v>
      </c>
      <c r="E31" s="179" t="s">
        <v>16</v>
      </c>
      <c r="F31" s="179" t="s">
        <v>16</v>
      </c>
      <c r="G31" s="60">
        <v>0.91</v>
      </c>
      <c r="H31" s="60">
        <v>0.96733067729083666</v>
      </c>
      <c r="I31" s="60">
        <v>3.266932270916334E-2</v>
      </c>
      <c r="J31" s="60">
        <v>0.76</v>
      </c>
      <c r="K31" s="60">
        <v>1</v>
      </c>
      <c r="AB31" s="4" t="s">
        <v>13</v>
      </c>
      <c r="AC31" s="192">
        <v>1834</v>
      </c>
      <c r="AD31" s="193">
        <v>1688</v>
      </c>
      <c r="AE31" s="195">
        <v>0.78</v>
      </c>
      <c r="AF31" s="200">
        <f>Table118212625[[#This Row],[Calls Handled]]/Table118212625[[#This Row],[Calls Presented]]</f>
        <v>0.92039258451472195</v>
      </c>
      <c r="AG31" s="200">
        <f>1-Table118212625[[#This Row],[ANS]]</f>
        <v>7.9607415485278055E-2</v>
      </c>
      <c r="AH31" s="195">
        <v>0.48</v>
      </c>
      <c r="AI31" s="196">
        <v>1</v>
      </c>
    </row>
    <row r="32" spans="2:35">
      <c r="B32" s="4" t="s">
        <v>11</v>
      </c>
      <c r="C32" s="61">
        <v>1940</v>
      </c>
      <c r="D32" s="61">
        <v>1849</v>
      </c>
      <c r="E32" s="179" t="s">
        <v>16</v>
      </c>
      <c r="F32" s="179" t="s">
        <v>16</v>
      </c>
      <c r="G32" s="43">
        <v>0.9</v>
      </c>
      <c r="H32" s="60">
        <v>0.95309278350515458</v>
      </c>
      <c r="I32" s="60">
        <v>4.6907216494845416E-2</v>
      </c>
      <c r="J32" s="130">
        <v>0.53</v>
      </c>
      <c r="K32" s="60">
        <v>1</v>
      </c>
      <c r="AB32" s="4" t="s">
        <v>14</v>
      </c>
      <c r="AC32" s="197">
        <v>406</v>
      </c>
      <c r="AD32" s="197">
        <v>390</v>
      </c>
      <c r="AE32" s="199">
        <v>0.96</v>
      </c>
      <c r="AF32" s="60">
        <f>Table118212625[[#This Row],[Calls Handled]]/Table118212625[[#This Row],[Calls Presented]]</f>
        <v>0.96059113300492616</v>
      </c>
      <c r="AG32" s="60">
        <f>1-Table118212625[[#This Row],[ANS]]</f>
        <v>3.9408866995073843E-2</v>
      </c>
      <c r="AH32" s="198">
        <v>0.37</v>
      </c>
      <c r="AI32" s="205" t="s">
        <v>16</v>
      </c>
    </row>
    <row r="33" spans="2:35">
      <c r="B33" s="4" t="s">
        <v>35</v>
      </c>
      <c r="C33" s="59">
        <v>4819</v>
      </c>
      <c r="D33" s="59">
        <v>4516</v>
      </c>
      <c r="E33" s="179" t="s">
        <v>16</v>
      </c>
      <c r="F33" s="179" t="s">
        <v>16</v>
      </c>
      <c r="G33" s="52">
        <v>0.81</v>
      </c>
      <c r="H33" s="60">
        <v>0.93712388462336582</v>
      </c>
      <c r="I33" s="60">
        <v>6.2876115376634178E-2</v>
      </c>
      <c r="J33" s="130">
        <v>0.64</v>
      </c>
      <c r="K33" s="114" t="s">
        <v>16</v>
      </c>
      <c r="AB33" s="71" t="s">
        <v>0</v>
      </c>
      <c r="AC33" s="72">
        <f>SUM(AC27:AC32)</f>
        <v>17619</v>
      </c>
      <c r="AD33" s="72">
        <f>SUM(AD27:AD32)</f>
        <v>15431</v>
      </c>
      <c r="AE33" s="119">
        <f>AVERAGEIF(AE27:AE32,"&lt;&gt;0")</f>
        <v>0.80166666666666675</v>
      </c>
      <c r="AF33" s="119">
        <f>AVERAGEIF(AF27:AF32,"&lt;&gt;0")</f>
        <v>0.89344930877137296</v>
      </c>
      <c r="AG33" s="119">
        <f>AVERAGEIF(AG27:AG32,"&lt;&gt;0")</f>
        <v>0.10655069122862704</v>
      </c>
      <c r="AH33" s="119">
        <f>AVERAGEIF(AH27:AH32,"&lt;&gt;0")</f>
        <v>0.53166666666666662</v>
      </c>
      <c r="AI33" s="119">
        <f>AVERAGEIF(AI27:AI32,"&lt;&gt;0")</f>
        <v>0.995</v>
      </c>
    </row>
    <row r="34" spans="2:35">
      <c r="B34" s="4" t="s">
        <v>13</v>
      </c>
      <c r="C34" s="116">
        <v>1871</v>
      </c>
      <c r="D34" s="58">
        <v>1755</v>
      </c>
      <c r="E34" s="179" t="s">
        <v>16</v>
      </c>
      <c r="F34" s="179" t="s">
        <v>16</v>
      </c>
      <c r="G34" s="56">
        <v>0.86</v>
      </c>
      <c r="H34" s="60">
        <v>0.93800106894708712</v>
      </c>
      <c r="I34" s="60">
        <v>6.1998931052912876E-2</v>
      </c>
      <c r="J34" s="57">
        <v>0.49</v>
      </c>
      <c r="K34" s="56">
        <v>0.96</v>
      </c>
    </row>
    <row r="35" spans="2:35">
      <c r="B35" s="4" t="s">
        <v>14</v>
      </c>
      <c r="C35" s="10"/>
      <c r="D35" s="11"/>
      <c r="E35" s="11"/>
      <c r="F35" s="11"/>
      <c r="G35" s="11"/>
      <c r="H35" s="11"/>
      <c r="I35" s="11"/>
      <c r="J35" s="11"/>
      <c r="K35" s="11"/>
    </row>
    <row r="36" spans="2:35">
      <c r="B36" s="71" t="s">
        <v>0</v>
      </c>
      <c r="C36" s="72">
        <v>13719</v>
      </c>
      <c r="D36" s="72">
        <v>12836</v>
      </c>
      <c r="E36" s="180" t="s">
        <v>16</v>
      </c>
      <c r="F36" s="180" t="s">
        <v>16</v>
      </c>
      <c r="G36" s="119">
        <v>0.84000000000000008</v>
      </c>
      <c r="H36" s="150">
        <v>0.94179095569540683</v>
      </c>
      <c r="I36" s="150">
        <v>5.8209044304593262E-2</v>
      </c>
      <c r="J36" s="119">
        <v>0.6</v>
      </c>
      <c r="K36" s="153">
        <v>0.94499999999999995</v>
      </c>
    </row>
  </sheetData>
  <mergeCells count="5">
    <mergeCell ref="B13:K13"/>
    <mergeCell ref="B27:K27"/>
    <mergeCell ref="AB12:AI12"/>
    <mergeCell ref="AB24:AI24"/>
    <mergeCell ref="AB1:AI1"/>
  </mergeCells>
  <phoneticPr fontId="8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E5DD-8743-4A9C-A397-E8D7DB0D478A}">
  <sheetPr codeName="Sheet1"/>
  <dimension ref="A1:AC96"/>
  <sheetViews>
    <sheetView zoomScale="115" zoomScaleNormal="115" workbookViewId="0">
      <selection activeCell="F32" sqref="F32"/>
    </sheetView>
  </sheetViews>
  <sheetFormatPr defaultRowHeight="14.5"/>
  <cols>
    <col min="2" max="2" width="12.6328125" customWidth="1"/>
    <col min="3" max="3" width="16" bestFit="1" customWidth="1"/>
    <col min="4" max="4" width="14.36328125" bestFit="1" customWidth="1"/>
    <col min="5" max="9" width="12.6328125" customWidth="1"/>
    <col min="19" max="21" width="14.36328125" customWidth="1"/>
    <col min="22" max="22" width="37.08984375" bestFit="1" customWidth="1"/>
    <col min="23" max="24" width="39" bestFit="1" customWidth="1"/>
    <col min="25" max="28" width="14.36328125" customWidth="1"/>
  </cols>
  <sheetData>
    <row r="1" spans="2:28" ht="15" thickBot="1"/>
    <row r="2" spans="2:28" ht="15" thickBot="1">
      <c r="B2" s="435" t="s">
        <v>143</v>
      </c>
      <c r="C2" s="436"/>
      <c r="D2" s="436"/>
      <c r="E2" s="436"/>
      <c r="F2" s="436"/>
      <c r="G2" s="436"/>
      <c r="H2" s="436"/>
      <c r="I2" s="437"/>
      <c r="L2" s="435" t="s">
        <v>144</v>
      </c>
      <c r="M2" s="436"/>
      <c r="N2" s="436"/>
      <c r="O2" s="436"/>
      <c r="P2" s="436"/>
      <c r="Q2" s="437"/>
      <c r="S2" s="431" t="s">
        <v>78</v>
      </c>
      <c r="T2" s="431"/>
      <c r="U2" s="431"/>
      <c r="V2" s="431"/>
      <c r="W2" s="431"/>
      <c r="X2" s="431"/>
      <c r="Y2" s="431"/>
      <c r="Z2" s="431"/>
      <c r="AA2" s="431"/>
      <c r="AB2" s="431"/>
    </row>
    <row r="3" spans="2:28" ht="15" thickBot="1">
      <c r="B3" s="224" t="s">
        <v>1</v>
      </c>
      <c r="C3" s="225" t="s">
        <v>2</v>
      </c>
      <c r="D3" s="225" t="s">
        <v>15</v>
      </c>
      <c r="E3" s="225" t="s">
        <v>3</v>
      </c>
      <c r="F3" s="225" t="s">
        <v>4</v>
      </c>
      <c r="G3" s="225" t="s">
        <v>5</v>
      </c>
      <c r="H3" s="225" t="s">
        <v>6</v>
      </c>
      <c r="I3" s="225" t="s">
        <v>7</v>
      </c>
      <c r="L3" s="224" t="s">
        <v>1</v>
      </c>
      <c r="M3" s="225" t="s">
        <v>3</v>
      </c>
      <c r="N3" s="225" t="s">
        <v>4</v>
      </c>
      <c r="O3" s="225" t="s">
        <v>5</v>
      </c>
      <c r="P3" s="225" t="s">
        <v>6</v>
      </c>
      <c r="Q3" s="225" t="s">
        <v>7</v>
      </c>
      <c r="S3" s="13" t="s">
        <v>1</v>
      </c>
      <c r="T3" s="14" t="s">
        <v>2</v>
      </c>
      <c r="U3" s="14" t="s">
        <v>15</v>
      </c>
      <c r="V3" s="14" t="s">
        <v>75</v>
      </c>
      <c r="W3" s="14" t="s">
        <v>76</v>
      </c>
      <c r="X3" s="14" t="s">
        <v>3</v>
      </c>
      <c r="Y3" s="14" t="s">
        <v>4</v>
      </c>
      <c r="Z3" s="14" t="s">
        <v>5</v>
      </c>
      <c r="AA3" s="14" t="s">
        <v>6</v>
      </c>
      <c r="AB3" s="8" t="s">
        <v>7</v>
      </c>
    </row>
    <row r="4" spans="2:28" ht="15" thickBot="1">
      <c r="B4" s="226" t="s">
        <v>8</v>
      </c>
      <c r="C4" s="227"/>
      <c r="D4" s="227"/>
      <c r="E4" s="228">
        <v>0.85</v>
      </c>
      <c r="F4" s="228">
        <v>0.94</v>
      </c>
      <c r="G4" s="228">
        <v>0.06</v>
      </c>
      <c r="H4" s="228">
        <v>0.65</v>
      </c>
      <c r="I4" s="228">
        <v>0.95</v>
      </c>
      <c r="L4" s="229" t="s">
        <v>9</v>
      </c>
      <c r="M4" s="263" t="s">
        <v>150</v>
      </c>
      <c r="N4" s="263" t="s">
        <v>154</v>
      </c>
      <c r="O4" s="231" t="s">
        <v>163</v>
      </c>
      <c r="P4" s="231" t="s">
        <v>164</v>
      </c>
      <c r="Q4" s="263" t="s">
        <v>168</v>
      </c>
      <c r="S4" s="4" t="s">
        <v>8</v>
      </c>
      <c r="T4" s="1"/>
      <c r="U4" s="1"/>
      <c r="V4" s="1"/>
      <c r="W4" s="1"/>
      <c r="X4" s="2">
        <v>0.86</v>
      </c>
      <c r="Y4" s="2">
        <v>0.94</v>
      </c>
      <c r="Z4" s="2">
        <v>0.06</v>
      </c>
      <c r="AA4" s="2">
        <v>0.65</v>
      </c>
      <c r="AB4" s="12">
        <v>0.95</v>
      </c>
    </row>
    <row r="5" spans="2:28" ht="15" thickBot="1">
      <c r="B5" s="229" t="s">
        <v>9</v>
      </c>
      <c r="C5" s="230">
        <v>18394</v>
      </c>
      <c r="D5" s="230">
        <v>15776</v>
      </c>
      <c r="E5" s="231">
        <v>0.63</v>
      </c>
      <c r="F5" s="231">
        <v>0.86</v>
      </c>
      <c r="G5" s="231">
        <v>0.14000000000000001</v>
      </c>
      <c r="H5" s="231">
        <v>0.47</v>
      </c>
      <c r="I5" s="231">
        <v>0.91</v>
      </c>
      <c r="L5" s="226" t="s">
        <v>10</v>
      </c>
      <c r="M5" s="234" t="s">
        <v>148</v>
      </c>
      <c r="N5" s="234" t="s">
        <v>155</v>
      </c>
      <c r="O5" s="265" t="s">
        <v>162</v>
      </c>
      <c r="P5" s="234" t="s">
        <v>156</v>
      </c>
      <c r="Q5" s="234" t="s">
        <v>156</v>
      </c>
      <c r="S5" s="4" t="s">
        <v>9</v>
      </c>
      <c r="T5" s="59">
        <v>29848</v>
      </c>
      <c r="U5" s="59">
        <v>19894</v>
      </c>
      <c r="V5" s="131">
        <v>6.2395444029186689E-2</v>
      </c>
      <c r="W5" s="131">
        <v>0.11726384364820847</v>
      </c>
      <c r="X5" s="55">
        <v>0.31</v>
      </c>
      <c r="Y5" s="55">
        <v>0.66651031894934332</v>
      </c>
      <c r="Z5" s="55">
        <v>0.33348968105065668</v>
      </c>
      <c r="AA5" s="60">
        <v>0.74</v>
      </c>
      <c r="AB5" s="55">
        <v>0.80359999999999998</v>
      </c>
    </row>
    <row r="6" spans="2:28" ht="15" thickBot="1">
      <c r="B6" s="226" t="s">
        <v>10</v>
      </c>
      <c r="C6" s="232">
        <v>14464</v>
      </c>
      <c r="D6" s="233">
        <v>11545</v>
      </c>
      <c r="E6" s="234">
        <v>0.66</v>
      </c>
      <c r="F6" s="234">
        <v>0.8</v>
      </c>
      <c r="G6" s="234">
        <v>0.2</v>
      </c>
      <c r="H6" s="235">
        <v>0.71</v>
      </c>
      <c r="I6" s="235">
        <v>1</v>
      </c>
      <c r="L6" s="229" t="s">
        <v>11</v>
      </c>
      <c r="M6" s="264" t="s">
        <v>149</v>
      </c>
      <c r="N6" s="231" t="s">
        <v>156</v>
      </c>
      <c r="O6" s="263" t="s">
        <v>159</v>
      </c>
      <c r="P6" s="263" t="s">
        <v>165</v>
      </c>
      <c r="Q6" s="269" t="s">
        <v>153</v>
      </c>
      <c r="S6" s="4" t="s">
        <v>10</v>
      </c>
      <c r="T6">
        <v>18585</v>
      </c>
      <c r="U6" s="1">
        <v>13968</v>
      </c>
      <c r="V6" s="131">
        <v>5.6986862310185973E-2</v>
      </c>
      <c r="W6" s="131">
        <v>-1.7790591378946629E-2</v>
      </c>
      <c r="X6" s="43">
        <v>0.47</v>
      </c>
      <c r="Y6" s="60">
        <v>0.75157384987893461</v>
      </c>
      <c r="Z6" s="60">
        <v>0.24842615012106539</v>
      </c>
      <c r="AA6" s="44">
        <v>1.08</v>
      </c>
      <c r="AB6" s="43">
        <v>1</v>
      </c>
    </row>
    <row r="7" spans="2:28" ht="15" thickBot="1">
      <c r="B7" s="229" t="s">
        <v>11</v>
      </c>
      <c r="C7" s="230">
        <v>9179</v>
      </c>
      <c r="D7" s="230">
        <v>8760</v>
      </c>
      <c r="E7" s="236">
        <v>0.88</v>
      </c>
      <c r="F7" s="236">
        <v>0.95</v>
      </c>
      <c r="G7" s="236">
        <v>0.05</v>
      </c>
      <c r="H7" s="231">
        <v>0.57999999999999996</v>
      </c>
      <c r="I7" s="236">
        <v>1</v>
      </c>
      <c r="L7" s="226" t="s">
        <v>12</v>
      </c>
      <c r="M7" s="265" t="s">
        <v>151</v>
      </c>
      <c r="N7" s="265" t="s">
        <v>157</v>
      </c>
      <c r="O7" s="234" t="s">
        <v>161</v>
      </c>
      <c r="P7" s="234" t="s">
        <v>166</v>
      </c>
      <c r="Q7" s="261" t="s">
        <v>16</v>
      </c>
      <c r="S7" s="4" t="s">
        <v>11</v>
      </c>
      <c r="T7" s="61">
        <v>14741</v>
      </c>
      <c r="U7" s="61">
        <v>13886</v>
      </c>
      <c r="V7" s="134">
        <v>-8.2529408103566321E-2</v>
      </c>
      <c r="W7" s="134">
        <v>-9.1111402015970677E-2</v>
      </c>
      <c r="X7" s="43">
        <v>0.86</v>
      </c>
      <c r="Y7" s="60">
        <v>0.94199850756393733</v>
      </c>
      <c r="Z7" s="60">
        <v>5.8001492436062674E-2</v>
      </c>
      <c r="AA7" s="130">
        <v>0.59</v>
      </c>
      <c r="AB7" s="43">
        <v>1</v>
      </c>
    </row>
    <row r="8" spans="2:28" ht="15" thickBot="1">
      <c r="B8" s="226" t="s">
        <v>12</v>
      </c>
      <c r="C8" s="237">
        <v>27087</v>
      </c>
      <c r="D8" s="237">
        <v>24389</v>
      </c>
      <c r="E8" s="234">
        <v>0.76</v>
      </c>
      <c r="F8" s="234">
        <v>0.9</v>
      </c>
      <c r="G8" s="234">
        <v>0.1</v>
      </c>
      <c r="H8" s="235">
        <v>0.67</v>
      </c>
      <c r="I8" s="238" t="s">
        <v>16</v>
      </c>
      <c r="L8" s="229" t="s">
        <v>13</v>
      </c>
      <c r="M8" s="266" t="s">
        <v>152</v>
      </c>
      <c r="N8" s="266" t="s">
        <v>158</v>
      </c>
      <c r="O8" s="242" t="s">
        <v>160</v>
      </c>
      <c r="P8" s="242" t="s">
        <v>161</v>
      </c>
      <c r="Q8" s="270" t="s">
        <v>153</v>
      </c>
      <c r="S8" s="4" t="s">
        <v>12</v>
      </c>
      <c r="T8" s="59">
        <v>29466</v>
      </c>
      <c r="U8" s="59">
        <v>21394</v>
      </c>
      <c r="V8" s="131">
        <v>4.8686739269698909E-2</v>
      </c>
      <c r="W8" s="131">
        <v>2.5402607361963189E-2</v>
      </c>
      <c r="X8" s="52">
        <v>0.35</v>
      </c>
      <c r="Y8" s="55">
        <v>0.72605715061426734</v>
      </c>
      <c r="Z8" s="55">
        <v>0.27394284938573266</v>
      </c>
      <c r="AA8" s="52">
        <v>0.63</v>
      </c>
      <c r="AB8" s="114" t="s">
        <v>16</v>
      </c>
    </row>
    <row r="9" spans="2:28" ht="15" thickBot="1">
      <c r="B9" s="229" t="s">
        <v>13</v>
      </c>
      <c r="C9" s="239">
        <v>10653</v>
      </c>
      <c r="D9" s="240">
        <v>8394</v>
      </c>
      <c r="E9" s="241">
        <v>0.54</v>
      </c>
      <c r="F9" s="242">
        <v>0.79</v>
      </c>
      <c r="G9" s="231">
        <v>0.21</v>
      </c>
      <c r="H9" s="243">
        <v>0.5</v>
      </c>
      <c r="I9" s="244">
        <v>1</v>
      </c>
      <c r="L9" s="226" t="s">
        <v>14</v>
      </c>
      <c r="M9" s="267" t="s">
        <v>153</v>
      </c>
      <c r="N9" s="234" t="s">
        <v>156</v>
      </c>
      <c r="O9" s="265" t="s">
        <v>159</v>
      </c>
      <c r="P9" s="234" t="s">
        <v>167</v>
      </c>
      <c r="Q9" s="261" t="s">
        <v>16</v>
      </c>
      <c r="S9" s="4" t="s">
        <v>13</v>
      </c>
      <c r="T9" s="58">
        <v>21922</v>
      </c>
      <c r="U9" s="58">
        <v>16115</v>
      </c>
      <c r="V9" s="131">
        <v>0.3048032855187191</v>
      </c>
      <c r="W9" s="131">
        <v>0.14893768715243119</v>
      </c>
      <c r="X9" s="57">
        <v>0.47</v>
      </c>
      <c r="Y9" s="55">
        <v>0.73510628592281724</v>
      </c>
      <c r="Z9" s="55">
        <v>0.26489371407718276</v>
      </c>
      <c r="AA9" s="57">
        <v>0.55000000000000004</v>
      </c>
      <c r="AB9" s="56">
        <v>0.96</v>
      </c>
    </row>
    <row r="10" spans="2:28" ht="15" thickBot="1">
      <c r="B10" s="226" t="s">
        <v>14</v>
      </c>
      <c r="C10" s="245">
        <v>1958</v>
      </c>
      <c r="D10" s="245">
        <v>1882</v>
      </c>
      <c r="E10" s="246">
        <v>0.96</v>
      </c>
      <c r="F10" s="235">
        <v>0.96</v>
      </c>
      <c r="G10" s="235">
        <v>0.04</v>
      </c>
      <c r="H10" s="234">
        <v>0.3</v>
      </c>
      <c r="I10" s="247" t="s">
        <v>16</v>
      </c>
      <c r="L10" s="248" t="s">
        <v>0</v>
      </c>
      <c r="M10" s="260">
        <v>5.0000000000000044E-2</v>
      </c>
      <c r="N10" s="260">
        <v>3.1557221391041224E-2</v>
      </c>
      <c r="O10" s="260">
        <v>-3.1557221391041154E-2</v>
      </c>
      <c r="P10" s="260">
        <v>-3.8333333333333441E-2</v>
      </c>
      <c r="Q10" s="268">
        <v>1.2499999999999956E-2</v>
      </c>
      <c r="S10" s="4" t="s">
        <v>14</v>
      </c>
      <c r="T10" s="10"/>
      <c r="U10" s="11"/>
      <c r="V10" s="11"/>
      <c r="W10" s="11"/>
      <c r="X10" s="11"/>
      <c r="Y10" s="11"/>
      <c r="Z10" s="11"/>
      <c r="AA10" s="11"/>
      <c r="AB10" s="11"/>
    </row>
    <row r="11" spans="2:28" ht="15" thickBot="1">
      <c r="B11" s="248" t="s">
        <v>0</v>
      </c>
      <c r="C11" s="249">
        <v>81735</v>
      </c>
      <c r="D11" s="249">
        <v>70746</v>
      </c>
      <c r="E11" s="250">
        <v>0.74</v>
      </c>
      <c r="F11" s="251">
        <v>0.88</v>
      </c>
      <c r="G11" s="251">
        <v>0.12</v>
      </c>
      <c r="H11" s="251">
        <v>0.54</v>
      </c>
      <c r="I11" s="252">
        <v>0.98</v>
      </c>
      <c r="S11" s="71" t="s">
        <v>0</v>
      </c>
      <c r="T11" s="72">
        <v>114562</v>
      </c>
      <c r="U11" s="72">
        <v>85257</v>
      </c>
      <c r="V11" s="135">
        <v>7.4247027493342332E-2</v>
      </c>
      <c r="W11" s="135">
        <v>3.7252874262424719E-2</v>
      </c>
      <c r="X11" s="73">
        <v>0.49199999999999999</v>
      </c>
      <c r="Y11" s="73">
        <v>0.74419964735252531</v>
      </c>
      <c r="Z11" s="73">
        <v>0.25580035264747469</v>
      </c>
      <c r="AA11" s="73">
        <v>0.71799999999999997</v>
      </c>
      <c r="AB11" s="74">
        <v>0.94089999999999996</v>
      </c>
    </row>
    <row r="12" spans="2:28">
      <c r="B12" s="219"/>
      <c r="C12" s="220"/>
      <c r="D12" s="220"/>
      <c r="E12" s="221"/>
      <c r="F12" s="221"/>
      <c r="G12" s="221"/>
      <c r="H12" s="221"/>
      <c r="I12" s="221"/>
      <c r="S12" s="219"/>
      <c r="T12" s="220"/>
      <c r="U12" s="220"/>
      <c r="V12" s="222"/>
      <c r="W12" s="222"/>
      <c r="X12" s="221"/>
      <c r="Y12" s="221"/>
      <c r="Z12" s="221"/>
      <c r="AA12" s="221"/>
      <c r="AB12" s="223"/>
    </row>
    <row r="13" spans="2:28">
      <c r="B13" s="219"/>
      <c r="C13" s="220"/>
      <c r="D13" s="220"/>
      <c r="E13" s="221"/>
      <c r="F13" s="221"/>
      <c r="G13" s="221"/>
      <c r="H13" s="221"/>
      <c r="I13" s="221"/>
      <c r="S13" s="219"/>
      <c r="T13" s="220"/>
      <c r="U13" s="220"/>
      <c r="V13" s="222"/>
      <c r="W13" s="222"/>
      <c r="X13" s="221"/>
      <c r="Y13" s="221"/>
      <c r="Z13" s="221"/>
      <c r="AA13" s="221"/>
      <c r="AB13" s="223"/>
    </row>
    <row r="14" spans="2:28">
      <c r="B14" s="431" t="s">
        <v>142</v>
      </c>
      <c r="C14" s="431"/>
      <c r="D14" s="431"/>
      <c r="E14" s="431"/>
      <c r="F14" s="431"/>
      <c r="G14" s="431"/>
      <c r="H14" s="431"/>
      <c r="I14" s="431"/>
      <c r="M14" s="262" t="s">
        <v>145</v>
      </c>
      <c r="N14" s="262" t="s">
        <v>146</v>
      </c>
      <c r="O14" s="262" t="s">
        <v>147</v>
      </c>
      <c r="S14" s="219"/>
      <c r="T14" s="220"/>
      <c r="U14" s="220"/>
      <c r="V14" s="222"/>
      <c r="W14" s="222"/>
      <c r="X14" s="221"/>
      <c r="Y14" s="221"/>
      <c r="Z14" s="221"/>
      <c r="AA14" s="221"/>
      <c r="AB14" s="223"/>
    </row>
    <row r="15" spans="2:28">
      <c r="B15" s="13" t="s">
        <v>1</v>
      </c>
      <c r="C15" s="14" t="s">
        <v>2</v>
      </c>
      <c r="D15" s="14" t="s">
        <v>15</v>
      </c>
      <c r="E15" s="14" t="s">
        <v>3</v>
      </c>
      <c r="F15" s="14" t="s">
        <v>4</v>
      </c>
      <c r="G15" s="14" t="s">
        <v>5</v>
      </c>
      <c r="H15" s="14" t="s">
        <v>6</v>
      </c>
      <c r="I15" s="8" t="s">
        <v>7</v>
      </c>
      <c r="S15" s="219"/>
      <c r="T15" s="220"/>
      <c r="U15" s="220"/>
      <c r="V15" s="222"/>
      <c r="W15" s="222"/>
      <c r="X15" s="221"/>
      <c r="Y15" s="221"/>
      <c r="Z15" s="221"/>
      <c r="AA15" s="221"/>
      <c r="AB15" s="223"/>
    </row>
    <row r="16" spans="2:28">
      <c r="B16" s="4" t="s">
        <v>8</v>
      </c>
      <c r="C16" s="1"/>
      <c r="D16" s="1"/>
      <c r="E16" s="2">
        <v>0.85</v>
      </c>
      <c r="F16" s="2">
        <v>0.94</v>
      </c>
      <c r="G16" s="2">
        <v>0.06</v>
      </c>
      <c r="H16" s="2">
        <v>0.65</v>
      </c>
      <c r="I16" s="12">
        <v>0.95</v>
      </c>
      <c r="S16" s="219"/>
      <c r="T16" s="220"/>
      <c r="U16" s="220"/>
      <c r="V16" s="222"/>
      <c r="W16" s="222"/>
      <c r="X16" s="221"/>
      <c r="Y16" s="221"/>
      <c r="Z16" s="221"/>
      <c r="AA16" s="221"/>
      <c r="AB16" s="223"/>
    </row>
    <row r="17" spans="2:28">
      <c r="B17" s="4" t="s">
        <v>9</v>
      </c>
      <c r="C17" s="59">
        <v>14026</v>
      </c>
      <c r="D17" s="59">
        <v>13300</v>
      </c>
      <c r="E17" s="55">
        <v>0.83</v>
      </c>
      <c r="F17" s="60">
        <f>(Table1161728[[#This Row],[Calls Handled]]/Table1161728[[#This Row],[Calls Presented]])</f>
        <v>0.94823898474262081</v>
      </c>
      <c r="G17" s="60">
        <f>1-Table1161728[[#This Row],[ANS]]</f>
        <v>5.1761015257379195E-2</v>
      </c>
      <c r="H17" s="55">
        <v>0.35</v>
      </c>
      <c r="I17" s="60">
        <v>0.98</v>
      </c>
      <c r="S17" s="219"/>
      <c r="T17" s="220"/>
      <c r="U17" s="220"/>
      <c r="V17" s="222"/>
      <c r="W17" s="222"/>
      <c r="X17" s="221"/>
      <c r="Y17" s="221"/>
      <c r="Z17" s="221"/>
      <c r="AA17" s="221"/>
      <c r="AB17" s="223"/>
    </row>
    <row r="18" spans="2:28">
      <c r="B18" s="4" t="s">
        <v>10</v>
      </c>
      <c r="C18">
        <v>10658</v>
      </c>
      <c r="D18" s="1">
        <v>8286</v>
      </c>
      <c r="E18" s="43">
        <v>0.59</v>
      </c>
      <c r="F18" s="55">
        <f>(Table1161728[[#This Row],[Calls Handled]]/Table1161728[[#This Row],[Calls Presented]])</f>
        <v>0.77744417339088012</v>
      </c>
      <c r="G18" s="55">
        <f>1-Table1161728[[#This Row],[ANS]]</f>
        <v>0.22255582660911988</v>
      </c>
      <c r="H18" s="44">
        <v>0.7</v>
      </c>
      <c r="I18" s="43">
        <v>0.99</v>
      </c>
      <c r="S18" s="219"/>
      <c r="T18" s="220"/>
      <c r="U18" s="220"/>
      <c r="V18" s="222"/>
      <c r="W18" s="222"/>
      <c r="X18" s="221"/>
      <c r="Y18" s="221"/>
      <c r="Z18" s="221"/>
      <c r="AA18" s="221"/>
      <c r="AB18" s="223"/>
    </row>
    <row r="19" spans="2:28">
      <c r="B19" s="4" t="s">
        <v>11</v>
      </c>
      <c r="C19" s="61">
        <v>8284</v>
      </c>
      <c r="D19" s="61">
        <v>7787</v>
      </c>
      <c r="E19" s="43">
        <v>0.85</v>
      </c>
      <c r="F19" s="60">
        <f>(Table1161728[[#This Row],[Calls Handled]]/Table1161728[[#This Row],[Calls Presented]])</f>
        <v>0.94000482858522449</v>
      </c>
      <c r="G19" s="60">
        <f>1-Table1161728[[#This Row],[ANS]]</f>
        <v>5.9995171414775506E-2</v>
      </c>
      <c r="H19" s="130">
        <v>0.62</v>
      </c>
      <c r="I19" s="43">
        <v>1</v>
      </c>
      <c r="S19" s="219"/>
      <c r="T19" s="220"/>
      <c r="U19" s="220"/>
      <c r="V19" s="222"/>
      <c r="W19" s="222"/>
      <c r="X19" s="221"/>
      <c r="Y19" s="221"/>
      <c r="Z19" s="221"/>
      <c r="AA19" s="221"/>
      <c r="AB19" s="223"/>
    </row>
    <row r="20" spans="2:28">
      <c r="B20" s="4" t="s">
        <v>12</v>
      </c>
      <c r="C20" s="59">
        <v>20778</v>
      </c>
      <c r="D20" s="59">
        <v>19235</v>
      </c>
      <c r="E20" s="52">
        <v>0.81</v>
      </c>
      <c r="F20" s="55">
        <f>(Table1161728[[#This Row],[Calls Handled]]/Table1161728[[#This Row],[Calls Presented]])</f>
        <v>0.92573876215227646</v>
      </c>
      <c r="G20" s="55">
        <f>1-Table1161728[[#This Row],[ANS]]</f>
        <v>7.4261237847723538E-2</v>
      </c>
      <c r="H20" s="52">
        <v>0.61</v>
      </c>
      <c r="I20" s="114" t="s">
        <v>16</v>
      </c>
      <c r="S20" s="219"/>
      <c r="T20" s="220"/>
      <c r="U20" s="220"/>
      <c r="V20" s="222"/>
      <c r="W20" s="222"/>
      <c r="X20" s="221"/>
      <c r="Y20" s="221"/>
      <c r="Z20" s="221"/>
      <c r="AA20" s="221"/>
      <c r="AB20" s="223"/>
    </row>
    <row r="21" spans="2:28">
      <c r="B21" s="4" t="s">
        <v>13</v>
      </c>
      <c r="C21" s="58">
        <v>8810</v>
      </c>
      <c r="D21" s="58">
        <v>8161</v>
      </c>
      <c r="E21" s="57">
        <v>0.7</v>
      </c>
      <c r="F21" s="55">
        <f>(Table1161728[[#This Row],[Calls Handled]]/Table1161728[[#This Row],[Calls Presented]])</f>
        <v>0.92633371169125989</v>
      </c>
      <c r="G21" s="55">
        <f>1-Table1161728[[#This Row],[ANS]]</f>
        <v>7.3666288308740113E-2</v>
      </c>
      <c r="H21" s="57">
        <v>0.47</v>
      </c>
      <c r="I21" s="56">
        <v>1</v>
      </c>
      <c r="S21" s="219"/>
      <c r="T21" s="220"/>
      <c r="U21" s="220"/>
      <c r="V21" s="222"/>
      <c r="W21" s="222"/>
      <c r="X21" s="221"/>
      <c r="Y21" s="221"/>
      <c r="Z21" s="221"/>
      <c r="AA21" s="221"/>
      <c r="AB21" s="223"/>
    </row>
    <row r="22" spans="2:28">
      <c r="B22" s="4" t="s">
        <v>14</v>
      </c>
      <c r="C22" s="59">
        <v>1611</v>
      </c>
      <c r="D22" s="59">
        <v>1533</v>
      </c>
      <c r="E22" s="43">
        <v>0.96</v>
      </c>
      <c r="F22" s="60">
        <f>(Table1161728[[#This Row],[Calls Handled]]/Table1161728[[#This Row],[Calls Presented]])</f>
        <v>0.95158286778398515</v>
      </c>
      <c r="G22" s="60">
        <f>1-Table1161728[[#This Row],[ANS]]</f>
        <v>4.8417132216014847E-2</v>
      </c>
      <c r="H22" s="52">
        <v>0.26</v>
      </c>
      <c r="I22" s="114" t="s">
        <v>16</v>
      </c>
      <c r="S22" s="219"/>
      <c r="T22" s="220"/>
      <c r="U22" s="220"/>
      <c r="V22" s="222"/>
      <c r="W22" s="222"/>
      <c r="X22" s="221"/>
      <c r="Y22" s="221"/>
      <c r="Z22" s="221"/>
      <c r="AA22" s="221"/>
      <c r="AB22" s="223"/>
    </row>
    <row r="23" spans="2:28">
      <c r="B23" s="71" t="s">
        <v>0</v>
      </c>
      <c r="C23" s="72">
        <f>SUM(C17:C22)</f>
        <v>64167</v>
      </c>
      <c r="D23" s="72">
        <f>SUM(D17:D22)</f>
        <v>58302</v>
      </c>
      <c r="E23" s="119">
        <f>AVERAGEIF(E17:E22,"&lt;&gt;0")</f>
        <v>0.79</v>
      </c>
      <c r="F23" s="119">
        <f t="shared" ref="F23:I23" si="0">AVERAGEIF(F17:F22,"&lt;&gt;0")</f>
        <v>0.91155722139104123</v>
      </c>
      <c r="G23" s="119">
        <f t="shared" si="0"/>
        <v>8.8442778608958841E-2</v>
      </c>
      <c r="H23" s="119">
        <f t="shared" si="0"/>
        <v>0.50166666666666659</v>
      </c>
      <c r="I23" s="73">
        <f t="shared" si="0"/>
        <v>0.99249999999999994</v>
      </c>
      <c r="S23" s="219"/>
      <c r="T23" s="220"/>
      <c r="U23" s="220"/>
      <c r="V23" s="222"/>
      <c r="W23" s="222"/>
      <c r="X23" s="221"/>
      <c r="Y23" s="221"/>
      <c r="Z23" s="221"/>
      <c r="AA23" s="221"/>
      <c r="AB23" s="223"/>
    </row>
    <row r="24" spans="2:28">
      <c r="B24" s="219"/>
      <c r="C24" s="220"/>
      <c r="D24" s="220"/>
      <c r="E24" s="221"/>
      <c r="F24" s="221"/>
      <c r="G24" s="221"/>
      <c r="H24" s="221"/>
      <c r="I24" s="221"/>
      <c r="S24" s="219"/>
      <c r="T24" s="220"/>
      <c r="U24" s="220"/>
      <c r="V24" s="222"/>
      <c r="W24" s="222"/>
      <c r="X24" s="221"/>
      <c r="Y24" s="221"/>
      <c r="Z24" s="221"/>
      <c r="AA24" s="221"/>
      <c r="AB24" s="223"/>
    </row>
    <row r="25" spans="2:28">
      <c r="B25" s="219"/>
      <c r="C25" s="220"/>
      <c r="D25" s="220"/>
      <c r="E25" s="221"/>
      <c r="F25" s="221"/>
      <c r="G25" s="221"/>
      <c r="H25" s="221"/>
      <c r="I25" s="221"/>
      <c r="S25" s="219"/>
      <c r="T25" s="220"/>
      <c r="U25" s="220"/>
      <c r="V25" s="222"/>
      <c r="W25" s="222"/>
      <c r="X25" s="221"/>
      <c r="Y25" s="221"/>
      <c r="Z25" s="221"/>
      <c r="AA25" s="221"/>
      <c r="AB25" s="223"/>
    </row>
    <row r="26" spans="2:28">
      <c r="B26" s="431" t="s">
        <v>174</v>
      </c>
      <c r="C26" s="431"/>
      <c r="D26" s="431"/>
      <c r="E26" s="431"/>
      <c r="F26" s="431"/>
      <c r="G26" s="431"/>
      <c r="H26" s="431"/>
      <c r="I26" s="431"/>
      <c r="S26" s="219"/>
      <c r="T26" s="220"/>
      <c r="U26" s="220"/>
      <c r="V26" s="222"/>
      <c r="W26" s="222"/>
      <c r="X26" s="221"/>
      <c r="Y26" s="221"/>
      <c r="Z26" s="221"/>
      <c r="AA26" s="221"/>
      <c r="AB26" s="223"/>
    </row>
    <row r="27" spans="2:28">
      <c r="B27" s="13" t="s">
        <v>1</v>
      </c>
      <c r="C27" s="14" t="s">
        <v>2</v>
      </c>
      <c r="D27" s="14" t="s">
        <v>15</v>
      </c>
      <c r="E27" s="14" t="s">
        <v>3</v>
      </c>
      <c r="F27" s="14" t="s">
        <v>4</v>
      </c>
      <c r="G27" s="14" t="s">
        <v>5</v>
      </c>
      <c r="H27" s="14" t="s">
        <v>6</v>
      </c>
      <c r="I27" s="8" t="s">
        <v>7</v>
      </c>
      <c r="S27" s="219"/>
      <c r="T27" s="220"/>
      <c r="U27" s="220"/>
      <c r="V27" s="222"/>
      <c r="W27" s="222"/>
      <c r="X27" s="221"/>
      <c r="Y27" s="221"/>
      <c r="Z27" s="221"/>
      <c r="AA27" s="221"/>
      <c r="AB27" s="223"/>
    </row>
    <row r="28" spans="2:28">
      <c r="B28" s="4" t="s">
        <v>8</v>
      </c>
      <c r="C28" s="1"/>
      <c r="D28" s="1"/>
      <c r="E28" s="2">
        <v>0.85</v>
      </c>
      <c r="F28" s="2">
        <v>0.94</v>
      </c>
      <c r="G28" s="2">
        <v>0.06</v>
      </c>
      <c r="H28" s="2">
        <v>0.65</v>
      </c>
      <c r="I28" s="12">
        <v>0.95</v>
      </c>
      <c r="S28" s="219"/>
      <c r="T28" s="220"/>
      <c r="U28" s="220"/>
      <c r="V28" s="222"/>
      <c r="W28" s="222"/>
      <c r="X28" s="221"/>
      <c r="Y28" s="221"/>
      <c r="Z28" s="221"/>
      <c r="AA28" s="221"/>
      <c r="AB28" s="223"/>
    </row>
    <row r="29" spans="2:28">
      <c r="B29" s="4" t="s">
        <v>9</v>
      </c>
      <c r="C29" s="59">
        <v>13242</v>
      </c>
      <c r="D29" s="59">
        <v>12385</v>
      </c>
      <c r="E29" s="55">
        <v>0.83</v>
      </c>
      <c r="F29" s="60">
        <f>(Table116172832[[#This Row],[Calls Handled]]/Table116172832[[#This Row],[Calls Presented]])</f>
        <v>0.9352816795046065</v>
      </c>
      <c r="G29" s="60">
        <f>1-Table116172832[[#This Row],[ANS]]</f>
        <v>6.47183204953935E-2</v>
      </c>
      <c r="H29" s="55">
        <v>0.32</v>
      </c>
      <c r="I29" s="60">
        <v>0.98</v>
      </c>
      <c r="S29" s="219"/>
      <c r="T29" s="220"/>
      <c r="U29" s="220"/>
      <c r="V29" s="222"/>
      <c r="W29" s="222"/>
      <c r="X29" s="221"/>
      <c r="Y29" s="221"/>
      <c r="Z29" s="221"/>
      <c r="AA29" s="221"/>
      <c r="AB29" s="223"/>
    </row>
    <row r="30" spans="2:28">
      <c r="B30" s="4" t="s">
        <v>10</v>
      </c>
      <c r="C30">
        <v>14594</v>
      </c>
      <c r="D30" s="1">
        <v>10557</v>
      </c>
      <c r="E30" s="43">
        <v>0.51</v>
      </c>
      <c r="F30" s="55">
        <f>(Table116172832[[#This Row],[Calls Handled]]/Table116172832[[#This Row],[Calls Presented]])</f>
        <v>0.72337947101548583</v>
      </c>
      <c r="G30" s="55">
        <f>1-Table116172832[[#This Row],[ANS]]</f>
        <v>0.27662052898451417</v>
      </c>
      <c r="H30" s="44">
        <v>0.72</v>
      </c>
      <c r="I30" s="313">
        <v>1</v>
      </c>
      <c r="S30" s="219"/>
      <c r="T30" s="220"/>
      <c r="U30" s="220"/>
      <c r="V30" s="222"/>
      <c r="W30" s="222"/>
      <c r="X30" s="221"/>
      <c r="Y30" s="221"/>
      <c r="Z30" s="221"/>
      <c r="AA30" s="221"/>
      <c r="AB30" s="223"/>
    </row>
    <row r="31" spans="2:28">
      <c r="B31" s="4" t="s">
        <v>11</v>
      </c>
      <c r="C31" s="61">
        <v>8118</v>
      </c>
      <c r="D31" s="61">
        <v>7644</v>
      </c>
      <c r="E31" s="43">
        <v>0.85</v>
      </c>
      <c r="F31" s="60">
        <f>(Table116172832[[#This Row],[Calls Handled]]/Table116172832[[#This Row],[Calls Presented]])</f>
        <v>0.94161123429416116</v>
      </c>
      <c r="G31" s="60">
        <f>1-Table116172832[[#This Row],[ANS]]</f>
        <v>5.8388765705838841E-2</v>
      </c>
      <c r="H31" s="130">
        <v>0.6</v>
      </c>
      <c r="I31" s="43">
        <v>1</v>
      </c>
      <c r="S31" s="219"/>
      <c r="T31" s="220"/>
      <c r="U31" s="220"/>
      <c r="V31" s="222"/>
      <c r="W31" s="222"/>
      <c r="X31" s="221"/>
      <c r="Y31" s="221"/>
      <c r="Z31" s="221"/>
      <c r="AA31" s="221"/>
      <c r="AB31" s="223"/>
    </row>
    <row r="32" spans="2:28">
      <c r="B32" s="4" t="s">
        <v>12</v>
      </c>
      <c r="C32" s="59">
        <v>24441</v>
      </c>
      <c r="D32" s="59">
        <v>21459</v>
      </c>
      <c r="E32" s="52">
        <v>0.71</v>
      </c>
      <c r="F32" s="55">
        <f>(Table116172832[[#This Row],[Calls Handled]]/Table116172832[[#This Row],[Calls Presented]])</f>
        <v>0.87799189885847551</v>
      </c>
      <c r="G32" s="55">
        <f>1-Table116172832[[#This Row],[ANS]]</f>
        <v>0.12200810114152449</v>
      </c>
      <c r="H32" s="52">
        <v>0.7</v>
      </c>
      <c r="I32" s="114" t="s">
        <v>16</v>
      </c>
      <c r="S32" s="219"/>
      <c r="T32" s="220"/>
      <c r="U32" s="220"/>
      <c r="V32" s="222"/>
      <c r="W32" s="222"/>
      <c r="X32" s="221"/>
      <c r="Y32" s="221"/>
      <c r="Z32" s="221"/>
      <c r="AA32" s="221"/>
      <c r="AB32" s="223"/>
    </row>
    <row r="33" spans="1:28">
      <c r="B33" s="4" t="s">
        <v>13</v>
      </c>
      <c r="C33" s="58">
        <v>8721</v>
      </c>
      <c r="D33" s="58">
        <v>7724</v>
      </c>
      <c r="E33" s="57">
        <v>0.79</v>
      </c>
      <c r="F33" s="55">
        <f>(Table116172832[[#This Row],[Calls Handled]]/Table116172832[[#This Row],[Calls Presented]])</f>
        <v>0.88567824790735006</v>
      </c>
      <c r="G33" s="55">
        <f>1-Table116172832[[#This Row],[ANS]]</f>
        <v>0.11432175209264994</v>
      </c>
      <c r="H33" s="57">
        <v>0.49</v>
      </c>
      <c r="I33" s="314">
        <v>1</v>
      </c>
      <c r="S33" s="219"/>
      <c r="T33" s="220"/>
      <c r="U33" s="220"/>
      <c r="V33" s="222"/>
      <c r="W33" s="222"/>
      <c r="X33" s="221"/>
      <c r="Y33" s="221"/>
      <c r="Z33" s="221"/>
      <c r="AA33" s="221"/>
      <c r="AB33" s="223"/>
    </row>
    <row r="34" spans="1:28">
      <c r="B34" s="4" t="s">
        <v>14</v>
      </c>
      <c r="C34" s="59">
        <v>1639</v>
      </c>
      <c r="D34" s="59">
        <v>1483</v>
      </c>
      <c r="E34" s="43">
        <v>0.91</v>
      </c>
      <c r="F34" s="55">
        <f>(Table116172832[[#This Row],[Calls Handled]]/Table116172832[[#This Row],[Calls Presented]])</f>
        <v>0.90482001220256258</v>
      </c>
      <c r="G34" s="55">
        <f>1-Table116172832[[#This Row],[ANS]]</f>
        <v>9.5179987797437415E-2</v>
      </c>
      <c r="H34" s="52">
        <v>0.32</v>
      </c>
      <c r="I34" s="114" t="s">
        <v>16</v>
      </c>
      <c r="S34" s="219"/>
      <c r="T34" s="220"/>
      <c r="U34" s="220"/>
      <c r="V34" s="222"/>
      <c r="W34" s="222"/>
      <c r="X34" s="221"/>
      <c r="Y34" s="221"/>
      <c r="Z34" s="221"/>
      <c r="AA34" s="221"/>
      <c r="AB34" s="223"/>
    </row>
    <row r="35" spans="1:28">
      <c r="B35" s="71" t="s">
        <v>0</v>
      </c>
      <c r="C35" s="72">
        <f>SUM(C29:C34)</f>
        <v>70755</v>
      </c>
      <c r="D35" s="72">
        <f>SUM(D29:D34)</f>
        <v>61252</v>
      </c>
      <c r="E35" s="119">
        <f>AVERAGEIF(E29:E34,"&lt;&gt;0")</f>
        <v>0.76666666666666661</v>
      </c>
      <c r="F35" s="119">
        <f t="shared" ref="F35:I35" si="1">AVERAGEIF(F29:F34,"&lt;&gt;0")</f>
        <v>0.87812709063044025</v>
      </c>
      <c r="G35" s="119">
        <f t="shared" si="1"/>
        <v>0.12187290936955973</v>
      </c>
      <c r="H35" s="119">
        <f t="shared" si="1"/>
        <v>0.52500000000000002</v>
      </c>
      <c r="I35" s="73">
        <f t="shared" si="1"/>
        <v>0.995</v>
      </c>
      <c r="S35" s="219"/>
      <c r="T35" s="220"/>
      <c r="U35" s="220"/>
      <c r="V35" s="222"/>
      <c r="W35" s="222"/>
      <c r="X35" s="221"/>
      <c r="Y35" s="221"/>
      <c r="Z35" s="221"/>
      <c r="AA35" s="221"/>
      <c r="AB35" s="223"/>
    </row>
    <row r="36" spans="1:28">
      <c r="B36" s="219"/>
      <c r="C36" s="220"/>
      <c r="D36" s="220"/>
      <c r="E36" s="221"/>
      <c r="F36" s="221"/>
      <c r="G36" s="221"/>
      <c r="H36" s="221"/>
      <c r="I36" s="221"/>
      <c r="S36" s="219"/>
      <c r="T36" s="220"/>
      <c r="U36" s="220"/>
      <c r="V36" s="222"/>
      <c r="W36" s="222"/>
      <c r="X36" s="221"/>
      <c r="Y36" s="221"/>
      <c r="Z36" s="221"/>
      <c r="AA36" s="221"/>
      <c r="AB36" s="223"/>
    </row>
    <row r="38" spans="1:28">
      <c r="L38" s="190"/>
      <c r="M38" s="190"/>
      <c r="N38" s="190"/>
      <c r="O38" s="190"/>
      <c r="P38" s="190"/>
      <c r="Q38" s="190"/>
    </row>
    <row r="39" spans="1:28">
      <c r="A39" s="218" t="s">
        <v>74</v>
      </c>
      <c r="B39" s="218"/>
      <c r="C39" s="218"/>
      <c r="D39" s="218"/>
      <c r="E39" s="218"/>
      <c r="F39" s="218"/>
      <c r="G39" s="218"/>
      <c r="H39" s="218"/>
      <c r="I39" s="218"/>
      <c r="J39" s="218"/>
      <c r="K39" s="190"/>
      <c r="L39" s="219"/>
      <c r="M39" s="219"/>
      <c r="N39" s="219"/>
      <c r="O39" s="219"/>
      <c r="P39" s="219"/>
      <c r="Q39" s="219"/>
      <c r="S39" s="431" t="s">
        <v>81</v>
      </c>
      <c r="T39" s="431"/>
      <c r="U39" s="431"/>
      <c r="V39" s="431"/>
      <c r="W39" s="431"/>
      <c r="X39" s="431"/>
      <c r="Y39" s="431"/>
      <c r="Z39" s="431"/>
      <c r="AA39" s="431"/>
      <c r="AB39" s="431"/>
    </row>
    <row r="40" spans="1:28">
      <c r="A40" s="13" t="s">
        <v>1</v>
      </c>
      <c r="B40" s="14" t="s">
        <v>2</v>
      </c>
      <c r="C40" s="14" t="s">
        <v>15</v>
      </c>
      <c r="D40" s="14" t="s">
        <v>75</v>
      </c>
      <c r="E40" s="14" t="s">
        <v>76</v>
      </c>
      <c r="F40" s="14" t="s">
        <v>3</v>
      </c>
      <c r="G40" s="14" t="s">
        <v>4</v>
      </c>
      <c r="H40" s="14" t="s">
        <v>5</v>
      </c>
      <c r="I40" s="14" t="s">
        <v>6</v>
      </c>
      <c r="J40" s="8" t="s">
        <v>7</v>
      </c>
      <c r="K40" s="219"/>
      <c r="L40" s="253"/>
      <c r="M40" s="253"/>
      <c r="N40" s="253"/>
      <c r="O40" s="253"/>
      <c r="P40" s="253"/>
      <c r="Q40" s="253"/>
      <c r="S40" s="13" t="s">
        <v>1</v>
      </c>
      <c r="T40" s="14" t="s">
        <v>2</v>
      </c>
      <c r="U40" s="14" t="s">
        <v>15</v>
      </c>
      <c r="V40" s="14" t="s">
        <v>75</v>
      </c>
      <c r="W40" s="14" t="s">
        <v>76</v>
      </c>
      <c r="X40" s="14" t="s">
        <v>3</v>
      </c>
      <c r="Y40" s="14" t="s">
        <v>4</v>
      </c>
      <c r="Z40" s="14" t="s">
        <v>5</v>
      </c>
      <c r="AA40" s="14" t="s">
        <v>6</v>
      </c>
      <c r="AB40" s="8" t="s">
        <v>7</v>
      </c>
    </row>
    <row r="41" spans="1:28">
      <c r="A41" s="4" t="s">
        <v>8</v>
      </c>
      <c r="B41" s="1"/>
      <c r="C41" s="1"/>
      <c r="D41" s="1"/>
      <c r="E41" s="1"/>
      <c r="F41" s="2">
        <v>0.86</v>
      </c>
      <c r="G41" s="2">
        <v>0.94</v>
      </c>
      <c r="H41" s="2">
        <v>0.06</v>
      </c>
      <c r="I41" s="2">
        <v>0.65</v>
      </c>
      <c r="J41" s="12">
        <v>0.95</v>
      </c>
      <c r="K41" s="253"/>
      <c r="L41" s="254"/>
      <c r="M41" s="254"/>
      <c r="N41" s="254"/>
      <c r="O41" s="254"/>
      <c r="P41" s="254"/>
      <c r="Q41" s="254"/>
      <c r="S41" s="4" t="s">
        <v>8</v>
      </c>
      <c r="T41" s="1"/>
      <c r="U41" s="1"/>
      <c r="V41" s="1"/>
      <c r="W41" s="1"/>
      <c r="X41" s="2">
        <v>0.86</v>
      </c>
      <c r="Y41" s="2">
        <v>0.94</v>
      </c>
      <c r="Z41" s="2">
        <v>0.06</v>
      </c>
      <c r="AA41" s="2">
        <v>0.65</v>
      </c>
      <c r="AB41" s="12">
        <v>0.95</v>
      </c>
    </row>
    <row r="42" spans="1:28">
      <c r="A42" s="4" t="s">
        <v>9</v>
      </c>
      <c r="B42" s="59">
        <v>28095</v>
      </c>
      <c r="C42" s="59">
        <v>17806</v>
      </c>
      <c r="D42" s="131">
        <v>0.18659458546268531</v>
      </c>
      <c r="E42" s="131">
        <v>0.33508285221564071</v>
      </c>
      <c r="F42" s="55">
        <v>0.30038461538461542</v>
      </c>
      <c r="G42" s="55">
        <v>0.63377825235807084</v>
      </c>
      <c r="H42" s="55">
        <v>0.36622174764192916</v>
      </c>
      <c r="I42" s="55">
        <v>0.73653846153846159</v>
      </c>
      <c r="J42" s="55">
        <v>0.8</v>
      </c>
      <c r="K42" s="254"/>
      <c r="L42" s="255"/>
      <c r="M42" s="255"/>
      <c r="N42" s="255"/>
      <c r="O42" s="255"/>
      <c r="P42" s="255"/>
      <c r="Q42" s="255"/>
      <c r="S42" s="4" t="s">
        <v>9</v>
      </c>
      <c r="T42" s="59">
        <v>18123</v>
      </c>
      <c r="U42" s="59">
        <v>16500</v>
      </c>
      <c r="V42" s="131">
        <v>-0.39282363977485929</v>
      </c>
      <c r="W42" s="131">
        <v>-0.17060420227204182</v>
      </c>
      <c r="X42" s="55">
        <v>0.76</v>
      </c>
      <c r="Y42" s="55">
        <v>0.91044529051481538</v>
      </c>
      <c r="Z42" s="55">
        <v>8.9554709485184625E-2</v>
      </c>
      <c r="AA42" s="60">
        <v>0.53</v>
      </c>
      <c r="AB42" s="55">
        <v>0.79</v>
      </c>
    </row>
    <row r="43" spans="1:28">
      <c r="A43" s="4" t="s">
        <v>10</v>
      </c>
      <c r="B43" s="1">
        <v>17583</v>
      </c>
      <c r="C43" s="1">
        <v>14221</v>
      </c>
      <c r="D43" s="81">
        <v>0.69752848040162196</v>
      </c>
      <c r="E43" s="81">
        <v>0.45602539162485922</v>
      </c>
      <c r="F43" s="43">
        <v>0.83</v>
      </c>
      <c r="G43" s="55">
        <v>0.80879258374566343</v>
      </c>
      <c r="H43" s="60">
        <v>0.19120741625433657</v>
      </c>
      <c r="I43" s="44">
        <v>0.65</v>
      </c>
      <c r="J43" s="43"/>
      <c r="K43" s="255"/>
      <c r="L43" s="255"/>
      <c r="M43" s="255"/>
      <c r="N43" s="255"/>
      <c r="O43" s="255"/>
      <c r="P43" s="255"/>
      <c r="Q43" s="255"/>
      <c r="S43" s="4" t="s">
        <v>10</v>
      </c>
      <c r="T43">
        <v>7663</v>
      </c>
      <c r="U43" s="1">
        <v>7042</v>
      </c>
      <c r="V43" s="131">
        <v>-0.58767823513586226</v>
      </c>
      <c r="W43" s="131">
        <v>-0.49584765177548684</v>
      </c>
      <c r="X43" s="52">
        <v>0.81</v>
      </c>
      <c r="Y43" s="55">
        <v>0.9189612423332898</v>
      </c>
      <c r="Z43" s="55">
        <v>8.1038757666710204E-2</v>
      </c>
      <c r="AA43" s="44">
        <v>0.73</v>
      </c>
      <c r="AB43" s="43">
        <v>1</v>
      </c>
    </row>
    <row r="44" spans="1:28">
      <c r="A44" s="4" t="s">
        <v>11</v>
      </c>
      <c r="B44" s="61">
        <v>16067</v>
      </c>
      <c r="C44" s="61">
        <v>15278</v>
      </c>
      <c r="D44" s="131">
        <v>0.34677284157585919</v>
      </c>
      <c r="E44" s="131">
        <v>0.37429162543851757</v>
      </c>
      <c r="F44" s="43">
        <v>0.87655172413793125</v>
      </c>
      <c r="G44" s="60">
        <v>0.95089313499719919</v>
      </c>
      <c r="H44" s="60">
        <v>4.9106865002800815E-2</v>
      </c>
      <c r="I44" s="130">
        <v>0.55551724137931047</v>
      </c>
      <c r="J44" s="43">
        <v>1</v>
      </c>
      <c r="K44" s="255"/>
      <c r="L44" s="256"/>
      <c r="M44" s="256"/>
      <c r="N44" s="256"/>
      <c r="O44" s="256"/>
      <c r="P44" s="256"/>
      <c r="Q44" s="256"/>
      <c r="S44" s="4" t="s">
        <v>11</v>
      </c>
      <c r="T44" s="1">
        <v>10186</v>
      </c>
      <c r="U44" s="1">
        <v>9765</v>
      </c>
      <c r="V44" s="131">
        <v>-0.30900210297808833</v>
      </c>
      <c r="W44" s="131">
        <v>-0.2967737289356186</v>
      </c>
      <c r="X44" s="43">
        <v>0.86</v>
      </c>
      <c r="Y44" s="60">
        <v>0.95866876104457099</v>
      </c>
      <c r="Z44" s="60">
        <v>4.1331238955429006E-2</v>
      </c>
      <c r="AA44" s="130">
        <v>0.57999999999999996</v>
      </c>
      <c r="AB44" s="43">
        <v>0.98</v>
      </c>
    </row>
    <row r="45" spans="1:28">
      <c r="A45" s="4" t="s">
        <v>12</v>
      </c>
      <c r="B45" s="59">
        <v>28098</v>
      </c>
      <c r="C45" s="59">
        <v>20864</v>
      </c>
      <c r="D45" s="134">
        <v>-2.3629161164778652E-2</v>
      </c>
      <c r="E45" s="131">
        <v>0.29582013539531704</v>
      </c>
      <c r="F45" s="52">
        <v>0.39333333333333337</v>
      </c>
      <c r="G45" s="55">
        <v>0.7425439533062852</v>
      </c>
      <c r="H45" s="55">
        <v>0.2574560466937148</v>
      </c>
      <c r="I45" s="43">
        <v>0.80869813656850698</v>
      </c>
      <c r="J45" s="114" t="s">
        <v>16</v>
      </c>
      <c r="K45" s="256"/>
      <c r="L45" s="257"/>
      <c r="M45" s="257"/>
      <c r="N45" s="257"/>
      <c r="O45" s="257"/>
      <c r="P45" s="257"/>
      <c r="Q45" s="257"/>
      <c r="S45" s="4" t="s">
        <v>12</v>
      </c>
      <c r="T45" s="59">
        <v>22974</v>
      </c>
      <c r="U45" s="59">
        <v>21626</v>
      </c>
      <c r="V45" s="131">
        <v>-0.220321726735899</v>
      </c>
      <c r="W45" s="131">
        <v>1.0844161914555483E-2</v>
      </c>
      <c r="X45" s="52">
        <v>0.85</v>
      </c>
      <c r="Y45" s="60">
        <v>0.94132497605989385</v>
      </c>
      <c r="Z45" s="60">
        <v>5.8675023940106152E-2</v>
      </c>
      <c r="AA45" s="52">
        <v>0.6</v>
      </c>
      <c r="AB45" s="114" t="s">
        <v>16</v>
      </c>
    </row>
    <row r="46" spans="1:28">
      <c r="A46" s="4" t="s">
        <v>13</v>
      </c>
      <c r="B46" s="58">
        <v>16801</v>
      </c>
      <c r="C46" s="58">
        <v>14026</v>
      </c>
      <c r="D46" s="131">
        <v>9.2605839890745917E-2</v>
      </c>
      <c r="E46" s="131">
        <v>0.25929251212066801</v>
      </c>
      <c r="F46" s="57">
        <v>0.60319999999999996</v>
      </c>
      <c r="G46" s="55">
        <v>0.83483126004404495</v>
      </c>
      <c r="H46" s="55">
        <v>0.16516873995595505</v>
      </c>
      <c r="I46" s="57">
        <v>0.60160000000000002</v>
      </c>
      <c r="J46" s="56">
        <v>0.95640000000000003</v>
      </c>
      <c r="K46" s="257"/>
      <c r="L46" s="258"/>
      <c r="M46" s="258"/>
      <c r="N46" s="258"/>
      <c r="O46" s="258"/>
      <c r="P46" s="258"/>
      <c r="Q46" s="258"/>
      <c r="S46" s="4" t="s">
        <v>13</v>
      </c>
      <c r="T46" s="58">
        <v>8327</v>
      </c>
      <c r="U46" s="58">
        <v>7134</v>
      </c>
      <c r="V46" s="131">
        <v>-0.62015327068698112</v>
      </c>
      <c r="W46" s="131">
        <v>-0.55730685696556004</v>
      </c>
      <c r="X46" s="57">
        <v>0.65</v>
      </c>
      <c r="Y46" s="55">
        <v>0.85673111564789239</v>
      </c>
      <c r="Z46" s="55">
        <v>0.14326888435210761</v>
      </c>
      <c r="AA46" s="57">
        <v>0.53</v>
      </c>
      <c r="AB46" s="56">
        <v>0.96</v>
      </c>
    </row>
    <row r="47" spans="1:28">
      <c r="A47" s="4" t="s">
        <v>14</v>
      </c>
      <c r="B47" s="10"/>
      <c r="C47" s="11"/>
      <c r="D47" s="11"/>
      <c r="E47" s="11"/>
      <c r="F47" s="11"/>
      <c r="G47" s="11"/>
      <c r="H47" s="11"/>
      <c r="I47" s="11"/>
      <c r="J47" s="11"/>
      <c r="K47" s="258"/>
      <c r="L47" s="223"/>
      <c r="M47" s="223"/>
      <c r="N47" s="223"/>
      <c r="O47" s="223"/>
      <c r="P47" s="223"/>
      <c r="Q47" s="223"/>
      <c r="S47" s="4" t="s">
        <v>14</v>
      </c>
      <c r="T47" s="10"/>
      <c r="U47" s="11"/>
      <c r="V47" s="11"/>
      <c r="W47" s="11"/>
      <c r="X47" s="11"/>
      <c r="Y47" s="11"/>
      <c r="Z47" s="11"/>
      <c r="AA47" s="11"/>
      <c r="AB47" s="11"/>
    </row>
    <row r="48" spans="1:28">
      <c r="A48" s="71" t="s">
        <v>0</v>
      </c>
      <c r="B48" s="72">
        <v>106644</v>
      </c>
      <c r="C48" s="72">
        <v>82195</v>
      </c>
      <c r="D48" s="135">
        <v>-1.1750998668442078E-2</v>
      </c>
      <c r="E48" s="135">
        <v>0.1059876342336479</v>
      </c>
      <c r="F48" s="73">
        <v>0.60069393457117604</v>
      </c>
      <c r="G48" s="73">
        <v>0.77074190765537676</v>
      </c>
      <c r="H48" s="73">
        <v>0.22925809234462324</v>
      </c>
      <c r="I48" s="73">
        <v>0.67047076789725568</v>
      </c>
      <c r="J48" s="74">
        <v>0.91880000000000006</v>
      </c>
      <c r="K48" s="223"/>
      <c r="S48" s="71" t="s">
        <v>0</v>
      </c>
      <c r="T48" s="72">
        <v>67273</v>
      </c>
      <c r="U48" s="72">
        <v>62067</v>
      </c>
      <c r="V48" s="135">
        <v>-0.41278085228958994</v>
      </c>
      <c r="W48" s="135">
        <v>-0.27200112600724868</v>
      </c>
      <c r="X48" s="73">
        <v>0.78600000000000003</v>
      </c>
      <c r="Y48" s="73">
        <v>0.92261382724124097</v>
      </c>
      <c r="Z48" s="73">
        <v>7.7386172758759031E-2</v>
      </c>
      <c r="AA48" s="73">
        <v>0.59399999999999997</v>
      </c>
      <c r="AB48" s="74">
        <v>0.9325</v>
      </c>
    </row>
    <row r="50" spans="1:28">
      <c r="L50" s="259"/>
      <c r="M50" s="259"/>
      <c r="N50" s="259"/>
      <c r="O50" s="259"/>
      <c r="P50" s="259"/>
      <c r="Q50" s="259"/>
    </row>
    <row r="51" spans="1:28">
      <c r="A51" s="431" t="s">
        <v>92</v>
      </c>
      <c r="B51" s="431"/>
      <c r="C51" s="431"/>
      <c r="D51" s="431"/>
      <c r="E51" s="431"/>
      <c r="F51" s="431"/>
      <c r="G51" s="431"/>
      <c r="H51" s="431"/>
      <c r="I51" s="431"/>
      <c r="J51" s="431"/>
      <c r="K51" s="259"/>
      <c r="L51" s="219"/>
      <c r="M51" s="219"/>
      <c r="N51" s="219"/>
      <c r="O51" s="219"/>
      <c r="P51" s="219"/>
      <c r="Q51" s="219"/>
    </row>
    <row r="52" spans="1:28">
      <c r="A52" s="13" t="s">
        <v>1</v>
      </c>
      <c r="B52" s="14" t="s">
        <v>2</v>
      </c>
      <c r="C52" s="14" t="s">
        <v>15</v>
      </c>
      <c r="D52" s="14" t="s">
        <v>75</v>
      </c>
      <c r="E52" s="14" t="s">
        <v>76</v>
      </c>
      <c r="F52" s="14" t="s">
        <v>3</v>
      </c>
      <c r="G52" s="14" t="s">
        <v>4</v>
      </c>
      <c r="H52" s="14" t="s">
        <v>5</v>
      </c>
      <c r="I52" s="14" t="s">
        <v>6</v>
      </c>
      <c r="J52" s="8" t="s">
        <v>7</v>
      </c>
      <c r="K52" s="219"/>
      <c r="L52" s="253"/>
      <c r="M52" s="253"/>
      <c r="N52" s="253"/>
      <c r="O52" s="253"/>
      <c r="P52" s="253"/>
      <c r="Q52" s="253"/>
    </row>
    <row r="53" spans="1:28">
      <c r="A53" s="4" t="s">
        <v>8</v>
      </c>
      <c r="B53" s="1"/>
      <c r="C53" s="1"/>
      <c r="D53" s="1"/>
      <c r="E53" s="1"/>
      <c r="F53" s="2">
        <v>0.86</v>
      </c>
      <c r="G53" s="2">
        <v>0.94</v>
      </c>
      <c r="H53" s="2">
        <v>0.06</v>
      </c>
      <c r="I53" s="2">
        <v>0.65</v>
      </c>
      <c r="J53" s="12">
        <v>0.95</v>
      </c>
      <c r="K53" s="253"/>
      <c r="L53" s="254"/>
      <c r="M53" s="254"/>
      <c r="N53" s="254"/>
      <c r="O53" s="254"/>
      <c r="P53" s="254"/>
      <c r="Q53" s="254"/>
    </row>
    <row r="54" spans="1:28">
      <c r="A54" s="4" t="s">
        <v>9</v>
      </c>
      <c r="B54" s="59">
        <v>14782</v>
      </c>
      <c r="C54" s="59">
        <v>14033</v>
      </c>
      <c r="D54" s="131">
        <v>-0.18435137670363627</v>
      </c>
      <c r="E54" s="131">
        <v>-0.14951515151515152</v>
      </c>
      <c r="F54" s="60">
        <v>0.86</v>
      </c>
      <c r="G54" s="60">
        <v>0.94933026654038699</v>
      </c>
      <c r="H54" s="60">
        <v>5.0669733459613009E-2</v>
      </c>
      <c r="I54" s="55">
        <v>0.45</v>
      </c>
      <c r="J54" s="55">
        <v>0.82</v>
      </c>
      <c r="K54" s="254"/>
      <c r="L54" s="255"/>
      <c r="M54" s="255"/>
      <c r="N54" s="255"/>
      <c r="O54" s="255"/>
      <c r="P54" s="255"/>
      <c r="Q54" s="255"/>
    </row>
    <row r="55" spans="1:28">
      <c r="A55" s="4" t="s">
        <v>10</v>
      </c>
      <c r="B55">
        <v>4560</v>
      </c>
      <c r="C55" s="1">
        <v>4362</v>
      </c>
      <c r="D55" s="131">
        <v>-0.4049327939449302</v>
      </c>
      <c r="E55" s="131">
        <v>-0.38057370065322349</v>
      </c>
      <c r="F55" s="43">
        <v>0.86</v>
      </c>
      <c r="G55" s="60">
        <v>0.95657894736842108</v>
      </c>
      <c r="H55" s="60">
        <v>4.3421052631578916E-2</v>
      </c>
      <c r="I55" s="44">
        <v>0.73</v>
      </c>
      <c r="J55" s="43">
        <v>1</v>
      </c>
      <c r="K55" s="255"/>
      <c r="L55" s="255"/>
      <c r="M55" s="255"/>
      <c r="N55" s="255"/>
      <c r="O55" s="255"/>
      <c r="P55" s="255"/>
      <c r="Q55" s="255"/>
    </row>
    <row r="56" spans="1:28">
      <c r="A56" s="4" t="s">
        <v>11</v>
      </c>
      <c r="B56" s="1">
        <v>8945</v>
      </c>
      <c r="C56" s="1">
        <v>8575</v>
      </c>
      <c r="D56" s="131">
        <v>-0.12183388965246417</v>
      </c>
      <c r="E56" s="131">
        <v>-0.12186379928315412</v>
      </c>
      <c r="F56" s="43">
        <v>0.9</v>
      </c>
      <c r="G56" s="60">
        <v>0.9586361095584125</v>
      </c>
      <c r="H56" s="60">
        <v>4.1363890441587503E-2</v>
      </c>
      <c r="I56" s="130">
        <v>0.55000000000000004</v>
      </c>
      <c r="J56" s="43">
        <v>1</v>
      </c>
      <c r="K56" s="255"/>
      <c r="L56" s="256"/>
      <c r="M56" s="256"/>
      <c r="N56" s="256"/>
      <c r="O56" s="256"/>
      <c r="P56" s="256"/>
      <c r="Q56" s="256"/>
    </row>
    <row r="57" spans="1:28">
      <c r="A57" s="4" t="s">
        <v>12</v>
      </c>
      <c r="B57" s="59">
        <v>18729</v>
      </c>
      <c r="C57" s="59">
        <v>17737</v>
      </c>
      <c r="D57" s="131">
        <v>-0.18477409245233742</v>
      </c>
      <c r="E57" s="131">
        <v>-0.17982983445852216</v>
      </c>
      <c r="F57" s="43">
        <v>0.88</v>
      </c>
      <c r="G57" s="60">
        <v>0.94703401142613064</v>
      </c>
      <c r="H57" s="60">
        <v>5.296598857386936E-2</v>
      </c>
      <c r="I57" s="52">
        <v>0.52</v>
      </c>
      <c r="J57" s="114" t="s">
        <v>16</v>
      </c>
      <c r="K57" s="256"/>
      <c r="L57" s="257"/>
      <c r="M57" s="257"/>
      <c r="N57" s="257"/>
      <c r="O57" s="257"/>
      <c r="P57" s="257"/>
      <c r="Q57" s="257"/>
    </row>
    <row r="58" spans="1:28">
      <c r="A58" s="4" t="s">
        <v>13</v>
      </c>
      <c r="B58" s="58">
        <v>4497</v>
      </c>
      <c r="C58" s="58">
        <v>4104</v>
      </c>
      <c r="D58" s="131">
        <v>-0.45994956166686685</v>
      </c>
      <c r="E58" s="131">
        <v>-0.42472666105971407</v>
      </c>
      <c r="F58" s="57">
        <v>0.7</v>
      </c>
      <c r="G58" s="55">
        <v>0.91260840560373579</v>
      </c>
      <c r="H58" s="55">
        <v>8.7391594396264205E-2</v>
      </c>
      <c r="I58" s="57">
        <v>0.54</v>
      </c>
      <c r="J58" s="56">
        <v>0.96</v>
      </c>
      <c r="K58" s="257"/>
      <c r="L58" s="258"/>
      <c r="M58" s="258"/>
      <c r="N58" s="258"/>
      <c r="O58" s="258"/>
      <c r="P58" s="258"/>
      <c r="Q58" s="258"/>
    </row>
    <row r="59" spans="1:28">
      <c r="A59" s="4" t="s">
        <v>14</v>
      </c>
      <c r="B59" s="10"/>
      <c r="C59" s="11"/>
      <c r="D59" s="11"/>
      <c r="E59" s="11"/>
      <c r="F59" s="11"/>
      <c r="G59" s="11"/>
      <c r="H59" s="11"/>
      <c r="I59" s="11"/>
      <c r="J59" s="11"/>
      <c r="K59" s="258"/>
      <c r="L59" s="223"/>
      <c r="M59" s="223"/>
      <c r="N59" s="223"/>
      <c r="O59" s="223"/>
      <c r="P59" s="223"/>
      <c r="Q59" s="223"/>
    </row>
    <row r="60" spans="1:28">
      <c r="A60" s="71" t="s">
        <v>0</v>
      </c>
      <c r="B60" s="72">
        <v>51513</v>
      </c>
      <c r="C60" s="72">
        <v>48811</v>
      </c>
      <c r="D60" s="135">
        <v>-0.23426932052978164</v>
      </c>
      <c r="E60" s="135">
        <v>-0.21357565211787263</v>
      </c>
      <c r="F60" s="73">
        <v>0.84000000000000008</v>
      </c>
      <c r="G60" s="73">
        <v>0.94754722108982203</v>
      </c>
      <c r="H60" s="73">
        <v>5.2452778910177966E-2</v>
      </c>
      <c r="I60" s="73">
        <v>0.55800000000000005</v>
      </c>
      <c r="J60" s="74">
        <v>0.94499999999999995</v>
      </c>
      <c r="K60" s="223"/>
    </row>
    <row r="63" spans="1:28">
      <c r="S63" s="431" t="s">
        <v>93</v>
      </c>
      <c r="T63" s="431"/>
      <c r="U63" s="431"/>
      <c r="V63" s="431"/>
      <c r="W63" s="431"/>
      <c r="X63" s="431"/>
      <c r="Y63" s="431"/>
      <c r="Z63" s="431"/>
      <c r="AA63" s="431"/>
      <c r="AB63" s="431"/>
    </row>
    <row r="64" spans="1:28">
      <c r="S64" s="13" t="s">
        <v>1</v>
      </c>
      <c r="T64" s="14" t="s">
        <v>2</v>
      </c>
      <c r="U64" s="14" t="s">
        <v>15</v>
      </c>
      <c r="V64" s="14" t="s">
        <v>75</v>
      </c>
      <c r="W64" s="14" t="s">
        <v>76</v>
      </c>
      <c r="X64" s="14" t="s">
        <v>3</v>
      </c>
      <c r="Y64" s="14" t="s">
        <v>4</v>
      </c>
      <c r="Z64" s="14" t="s">
        <v>5</v>
      </c>
      <c r="AA64" s="14" t="s">
        <v>6</v>
      </c>
      <c r="AB64" s="8" t="s">
        <v>7</v>
      </c>
    </row>
    <row r="65" spans="19:28">
      <c r="S65" s="4" t="s">
        <v>8</v>
      </c>
      <c r="T65" s="1"/>
      <c r="U65" s="1"/>
      <c r="V65" s="1"/>
      <c r="W65" s="1"/>
      <c r="X65" s="2">
        <v>0.86</v>
      </c>
      <c r="Y65" s="2">
        <v>0.94</v>
      </c>
      <c r="Z65" s="2">
        <v>0.06</v>
      </c>
      <c r="AA65" s="2">
        <v>0.65</v>
      </c>
      <c r="AB65" s="12">
        <v>0.95</v>
      </c>
    </row>
    <row r="66" spans="19:28">
      <c r="S66" s="4" t="s">
        <v>9</v>
      </c>
      <c r="T66" s="59">
        <v>16404</v>
      </c>
      <c r="U66" s="59">
        <v>15390</v>
      </c>
      <c r="V66" s="131">
        <v>0.10972804762549046</v>
      </c>
      <c r="W66" s="131">
        <v>9.6700634219340123E-2</v>
      </c>
      <c r="X66" s="60">
        <v>0.83</v>
      </c>
      <c r="Y66" s="60">
        <v>0.93818580833942944</v>
      </c>
      <c r="Z66" s="60">
        <v>6.1814191660570561E-2</v>
      </c>
      <c r="AA66" s="55">
        <v>0.46</v>
      </c>
      <c r="AB66" s="55">
        <v>0.81</v>
      </c>
    </row>
    <row r="67" spans="19:28">
      <c r="S67" s="4" t="s">
        <v>10</v>
      </c>
      <c r="T67">
        <v>4194</v>
      </c>
      <c r="U67" s="1">
        <v>4040</v>
      </c>
      <c r="V67" s="131">
        <v>-8.0263157894736842E-2</v>
      </c>
      <c r="W67" s="131">
        <v>-7.3819348922512615E-2</v>
      </c>
      <c r="X67" s="43">
        <v>0.89</v>
      </c>
      <c r="Y67" s="60">
        <v>0.96328087744396762</v>
      </c>
      <c r="Z67" s="60">
        <v>3.671912255603238E-2</v>
      </c>
      <c r="AA67" s="44">
        <v>0.72</v>
      </c>
      <c r="AB67" s="43">
        <v>1</v>
      </c>
    </row>
    <row r="68" spans="19:28">
      <c r="S68" s="4" t="s">
        <v>11</v>
      </c>
      <c r="T68" s="1">
        <v>10535</v>
      </c>
      <c r="U68" s="1">
        <v>10047</v>
      </c>
      <c r="V68" s="131">
        <v>0.17775293460033539</v>
      </c>
      <c r="W68" s="131">
        <v>0.17166180758017494</v>
      </c>
      <c r="X68" s="43">
        <v>0.83</v>
      </c>
      <c r="Y68" s="60">
        <v>0.95367821547223541</v>
      </c>
      <c r="Z68" s="60">
        <v>4.6321784527764587E-2</v>
      </c>
      <c r="AA68" s="130">
        <v>0.64</v>
      </c>
      <c r="AB68" s="43">
        <v>1</v>
      </c>
    </row>
    <row r="69" spans="19:28">
      <c r="S69" s="4" t="s">
        <v>12</v>
      </c>
      <c r="T69" s="59">
        <v>23825</v>
      </c>
      <c r="U69" s="59">
        <v>22655</v>
      </c>
      <c r="V69" s="131">
        <v>0.27209140904479684</v>
      </c>
      <c r="W69" s="131">
        <v>0.27727349608163726</v>
      </c>
      <c r="X69" s="43">
        <v>0.87</v>
      </c>
      <c r="Y69" s="60">
        <v>0.95089192025183633</v>
      </c>
      <c r="Z69" s="60">
        <v>4.9108079748163669E-2</v>
      </c>
      <c r="AA69" s="52">
        <v>0.64</v>
      </c>
      <c r="AB69" s="114" t="s">
        <v>16</v>
      </c>
    </row>
    <row r="70" spans="19:28">
      <c r="S70" s="4" t="s">
        <v>13</v>
      </c>
      <c r="T70" s="58">
        <v>8792</v>
      </c>
      <c r="U70" s="58">
        <v>8104</v>
      </c>
      <c r="V70" s="131">
        <v>0.95508116522125863</v>
      </c>
      <c r="W70" s="131">
        <v>0.97465886939571145</v>
      </c>
      <c r="X70" s="57">
        <v>0.81</v>
      </c>
      <c r="Y70" s="60">
        <v>0.92174704276615105</v>
      </c>
      <c r="Z70" s="60">
        <v>7.8252957233848952E-2</v>
      </c>
      <c r="AA70" s="57">
        <v>0.54</v>
      </c>
      <c r="AB70" s="56">
        <v>0.95</v>
      </c>
    </row>
    <row r="71" spans="19:28">
      <c r="S71" s="4" t="s">
        <v>14</v>
      </c>
      <c r="T71" s="10"/>
      <c r="U71" s="11"/>
      <c r="V71" s="11"/>
      <c r="W71" s="11"/>
      <c r="X71" s="11"/>
      <c r="Y71" s="11"/>
      <c r="Z71" s="11"/>
      <c r="AA71" s="11"/>
      <c r="AB71" s="11"/>
    </row>
    <row r="72" spans="19:28">
      <c r="S72" s="71" t="s">
        <v>0</v>
      </c>
      <c r="T72" s="72">
        <v>63750</v>
      </c>
      <c r="U72" s="72">
        <v>60236</v>
      </c>
      <c r="V72" s="135">
        <v>0.23755168598217927</v>
      </c>
      <c r="W72" s="135">
        <v>0.23406609165966688</v>
      </c>
      <c r="X72" s="73">
        <v>0.84600000000000009</v>
      </c>
      <c r="Y72" s="73">
        <v>0.94487843137254901</v>
      </c>
      <c r="Z72" s="73">
        <v>5.512156862745099E-2</v>
      </c>
      <c r="AA72" s="73">
        <v>0.6</v>
      </c>
      <c r="AB72" s="74">
        <v>0.94</v>
      </c>
    </row>
    <row r="75" spans="19:28">
      <c r="S75" s="431" t="s">
        <v>97</v>
      </c>
      <c r="T75" s="431"/>
      <c r="U75" s="431"/>
      <c r="V75" s="431"/>
      <c r="W75" s="431"/>
      <c r="X75" s="431"/>
      <c r="Y75" s="431"/>
      <c r="Z75" s="431"/>
      <c r="AA75" s="431"/>
      <c r="AB75" s="431"/>
    </row>
    <row r="76" spans="19:28">
      <c r="S76" s="13" t="s">
        <v>1</v>
      </c>
      <c r="T76" s="14" t="s">
        <v>2</v>
      </c>
      <c r="U76" s="14" t="s">
        <v>15</v>
      </c>
      <c r="V76" s="14" t="s">
        <v>75</v>
      </c>
      <c r="W76" s="14" t="s">
        <v>76</v>
      </c>
      <c r="X76" s="14" t="s">
        <v>3</v>
      </c>
      <c r="Y76" s="14" t="s">
        <v>4</v>
      </c>
      <c r="Z76" s="14" t="s">
        <v>5</v>
      </c>
      <c r="AA76" s="14" t="s">
        <v>6</v>
      </c>
      <c r="AB76" s="8" t="s">
        <v>7</v>
      </c>
    </row>
    <row r="77" spans="19:28">
      <c r="S77" s="4" t="s">
        <v>8</v>
      </c>
      <c r="T77" s="1"/>
      <c r="U77" s="1"/>
      <c r="V77" s="1"/>
      <c r="W77" s="1"/>
      <c r="X77" s="2">
        <v>0.86</v>
      </c>
      <c r="Y77" s="2">
        <v>0.94</v>
      </c>
      <c r="Z77" s="2">
        <v>0.06</v>
      </c>
      <c r="AA77" s="2">
        <v>0.65</v>
      </c>
      <c r="AB77" s="12">
        <v>0.95</v>
      </c>
    </row>
    <row r="78" spans="19:28">
      <c r="S78" s="4" t="s">
        <v>9</v>
      </c>
      <c r="T78" s="59">
        <v>14430</v>
      </c>
      <c r="U78" s="59">
        <v>13200</v>
      </c>
      <c r="V78" s="131">
        <v>-0.12033650329188003</v>
      </c>
      <c r="W78" s="131">
        <v>-0.14230019493177387</v>
      </c>
      <c r="X78" s="55">
        <v>0.76</v>
      </c>
      <c r="Y78" s="60">
        <v>0.91476091476091481</v>
      </c>
      <c r="Z78" s="60">
        <v>8.5239085239085188E-2</v>
      </c>
      <c r="AA78" s="55">
        <v>0.51</v>
      </c>
      <c r="AB78" s="55">
        <v>0.8</v>
      </c>
    </row>
    <row r="79" spans="19:28">
      <c r="S79" s="4" t="s">
        <v>10</v>
      </c>
      <c r="T79">
        <v>5170</v>
      </c>
      <c r="U79" s="1">
        <v>4953</v>
      </c>
      <c r="V79" s="131">
        <v>0.23271340009537433</v>
      </c>
      <c r="W79" s="131">
        <v>0.225990099009901</v>
      </c>
      <c r="X79" s="43">
        <v>0.9</v>
      </c>
      <c r="Y79" s="60">
        <v>0.95802707930367503</v>
      </c>
      <c r="Z79" s="60">
        <v>4.1972920696324967E-2</v>
      </c>
      <c r="AA79" s="44">
        <v>0.73</v>
      </c>
      <c r="AB79" s="43">
        <v>1</v>
      </c>
    </row>
    <row r="80" spans="19:28">
      <c r="S80" s="4" t="s">
        <v>11</v>
      </c>
      <c r="T80" s="1">
        <v>8527</v>
      </c>
      <c r="U80" s="1">
        <v>8175</v>
      </c>
      <c r="V80" s="131">
        <v>-0.19060275272899857</v>
      </c>
      <c r="W80" s="131">
        <v>-0.1863242759032547</v>
      </c>
      <c r="X80" s="43">
        <v>0.9</v>
      </c>
      <c r="Y80" s="60">
        <v>0.9587193620265041</v>
      </c>
      <c r="Z80" s="60">
        <v>4.1280637973495904E-2</v>
      </c>
      <c r="AA80" s="130">
        <v>0.56000000000000005</v>
      </c>
      <c r="AB80" s="43">
        <v>1</v>
      </c>
    </row>
    <row r="81" spans="1:29">
      <c r="S81" s="4" t="s">
        <v>12</v>
      </c>
      <c r="T81" s="59">
        <v>20172</v>
      </c>
      <c r="U81" s="59">
        <v>18302</v>
      </c>
      <c r="V81" s="131">
        <v>-0.15332633788037775</v>
      </c>
      <c r="W81" s="131">
        <v>-0.19214301478702273</v>
      </c>
      <c r="X81" s="52">
        <v>0.74</v>
      </c>
      <c r="Y81" s="60">
        <v>0.90729724370414433</v>
      </c>
      <c r="Z81" s="60">
        <v>9.2702756295855671E-2</v>
      </c>
      <c r="AA81" s="43">
        <v>0.7</v>
      </c>
      <c r="AB81" s="114" t="s">
        <v>16</v>
      </c>
    </row>
    <row r="82" spans="1:29">
      <c r="S82" s="4" t="s">
        <v>13</v>
      </c>
      <c r="T82" s="58">
        <v>4794</v>
      </c>
      <c r="U82" s="58">
        <v>4531</v>
      </c>
      <c r="V82" s="131">
        <v>-0.45473157415832577</v>
      </c>
      <c r="W82" s="131">
        <v>-0.44089338598223099</v>
      </c>
      <c r="X82" s="56">
        <v>0.87</v>
      </c>
      <c r="Y82" s="60">
        <v>0.94513975803087191</v>
      </c>
      <c r="Z82" s="60">
        <v>5.4860241969128087E-2</v>
      </c>
      <c r="AA82" s="57">
        <v>0.5</v>
      </c>
      <c r="AB82" s="56">
        <v>0.96</v>
      </c>
    </row>
    <row r="83" spans="1:29">
      <c r="A83" s="431" t="s">
        <v>141</v>
      </c>
      <c r="B83" s="431"/>
      <c r="C83" s="431"/>
      <c r="D83" s="431"/>
      <c r="E83" s="431"/>
      <c r="F83" s="431"/>
      <c r="G83" s="431"/>
      <c r="H83" s="431"/>
      <c r="S83" s="4" t="s">
        <v>14</v>
      </c>
      <c r="T83" s="10"/>
      <c r="U83" s="11"/>
      <c r="V83" s="11"/>
      <c r="W83" s="11"/>
      <c r="X83" s="11"/>
      <c r="Y83" s="11"/>
      <c r="Z83" s="11"/>
      <c r="AA83" s="11"/>
      <c r="AB83" s="11"/>
    </row>
    <row r="84" spans="1:29">
      <c r="A84" s="13" t="s">
        <v>1</v>
      </c>
      <c r="B84" s="14" t="s">
        <v>2</v>
      </c>
      <c r="C84" s="14" t="s">
        <v>15</v>
      </c>
      <c r="D84" s="14" t="s">
        <v>3</v>
      </c>
      <c r="E84" s="14" t="s">
        <v>4</v>
      </c>
      <c r="F84" s="14" t="s">
        <v>5</v>
      </c>
      <c r="G84" s="14" t="s">
        <v>6</v>
      </c>
      <c r="H84" s="8" t="s">
        <v>7</v>
      </c>
      <c r="S84" s="71" t="s">
        <v>0</v>
      </c>
      <c r="T84" s="72">
        <v>53093</v>
      </c>
      <c r="U84" s="72">
        <v>49161</v>
      </c>
      <c r="V84" s="135">
        <v>-0.16716862745098041</v>
      </c>
      <c r="W84" s="135">
        <v>-0.1838601500763663</v>
      </c>
      <c r="X84" s="73">
        <v>0.83399999999999996</v>
      </c>
      <c r="Y84" s="73">
        <v>0.92594127286082906</v>
      </c>
      <c r="Z84" s="73">
        <v>7.4058727139170943E-2</v>
      </c>
      <c r="AA84" s="73">
        <v>0.6</v>
      </c>
      <c r="AB84" s="74">
        <v>0.94</v>
      </c>
    </row>
    <row r="85" spans="1:29">
      <c r="A85" s="4" t="s">
        <v>8</v>
      </c>
      <c r="B85" s="1"/>
      <c r="C85" s="1"/>
      <c r="D85" s="2">
        <v>0.85</v>
      </c>
      <c r="E85" s="2">
        <v>0.94</v>
      </c>
      <c r="F85" s="2">
        <v>0.06</v>
      </c>
      <c r="G85" s="2">
        <v>0.65</v>
      </c>
      <c r="H85" s="12">
        <v>0.95</v>
      </c>
    </row>
    <row r="86" spans="1:29">
      <c r="A86" s="4" t="s">
        <v>9</v>
      </c>
      <c r="B86" s="271">
        <v>189413</v>
      </c>
      <c r="C86" s="271">
        <v>153805</v>
      </c>
      <c r="D86" s="55">
        <v>0.62</v>
      </c>
      <c r="E86" s="55">
        <f>Table1161729[[#This Row],[Calls Handled]]/Table1161729[[#This Row],[Calls Presented]]</f>
        <v>0.81200867944650046</v>
      </c>
      <c r="F86" s="55">
        <f>1-Table1161729[[#This Row],[ANS]]</f>
        <v>0.18799132055349954</v>
      </c>
      <c r="G86" s="55">
        <v>0.5</v>
      </c>
      <c r="H86" s="55">
        <v>0.89</v>
      </c>
      <c r="J86" s="277">
        <f>C86/$C$92</f>
        <v>0.24447291414002534</v>
      </c>
    </row>
    <row r="87" spans="1:29">
      <c r="A87" s="4" t="s">
        <v>10</v>
      </c>
      <c r="B87" s="272">
        <v>96434</v>
      </c>
      <c r="C87" s="273">
        <v>76268</v>
      </c>
      <c r="D87" s="52">
        <v>0.74</v>
      </c>
      <c r="E87" s="55">
        <f>Table1161729[[#This Row],[Calls Handled]]/Table1161729[[#This Row],[Calls Presented]]</f>
        <v>0.79088288363025494</v>
      </c>
      <c r="F87" s="55">
        <f>1-Table1161729[[#This Row],[ANS]]</f>
        <v>0.20911711636974506</v>
      </c>
      <c r="G87" s="130">
        <v>0.61</v>
      </c>
      <c r="H87" s="43">
        <v>1</v>
      </c>
      <c r="J87" s="277">
        <f t="shared" ref="J87:J91" si="2">C87/$C$92</f>
        <v>0.12122791987016972</v>
      </c>
      <c r="T87" s="431" t="s">
        <v>118</v>
      </c>
      <c r="U87" s="431"/>
      <c r="V87" s="431"/>
      <c r="W87" s="431"/>
      <c r="X87" s="431"/>
      <c r="Y87" s="431"/>
      <c r="Z87" s="431"/>
      <c r="AA87" s="431"/>
      <c r="AB87" s="431"/>
      <c r="AC87" s="431"/>
    </row>
    <row r="88" spans="1:29">
      <c r="A88" s="4" t="s">
        <v>11</v>
      </c>
      <c r="B88" s="274">
        <v>99308</v>
      </c>
      <c r="C88" s="274">
        <v>94232</v>
      </c>
      <c r="D88" s="43">
        <v>0.88</v>
      </c>
      <c r="E88" s="60">
        <f>Table1161729[[#This Row],[Calls Handled]]/Table1161729[[#This Row],[Calls Presented]]</f>
        <v>0.94888629314858819</v>
      </c>
      <c r="F88" s="60">
        <f>1-Table1161729[[#This Row],[ANS]]</f>
        <v>5.1113706851411811E-2</v>
      </c>
      <c r="G88" s="130">
        <v>0.56999999999999995</v>
      </c>
      <c r="H88" s="43">
        <v>1</v>
      </c>
      <c r="J88" s="277">
        <f t="shared" si="2"/>
        <v>0.14978168229409231</v>
      </c>
      <c r="T88" s="13" t="s">
        <v>1</v>
      </c>
      <c r="U88" s="14" t="s">
        <v>2</v>
      </c>
      <c r="V88" s="14" t="s">
        <v>15</v>
      </c>
      <c r="W88" s="14" t="s">
        <v>75</v>
      </c>
      <c r="X88" s="14" t="s">
        <v>76</v>
      </c>
      <c r="Y88" s="14" t="s">
        <v>3</v>
      </c>
      <c r="Z88" s="14" t="s">
        <v>4</v>
      </c>
      <c r="AA88" s="14" t="s">
        <v>5</v>
      </c>
      <c r="AB88" s="14" t="s">
        <v>6</v>
      </c>
      <c r="AC88" s="8" t="s">
        <v>7</v>
      </c>
    </row>
    <row r="89" spans="1:29">
      <c r="A89" s="4" t="s">
        <v>12</v>
      </c>
      <c r="B89" s="271">
        <v>260393</v>
      </c>
      <c r="C89" s="271">
        <v>223134</v>
      </c>
      <c r="D89" s="52">
        <v>0.65</v>
      </c>
      <c r="E89" s="55">
        <f>Table1161729[[#This Row],[Calls Handled]]/Table1161729[[#This Row],[Calls Presented]]</f>
        <v>0.85691243620220203</v>
      </c>
      <c r="F89" s="55">
        <f>1-Table1161729[[#This Row],[ANS]]</f>
        <v>0.14308756379779797</v>
      </c>
      <c r="G89" s="43">
        <v>0.75</v>
      </c>
      <c r="H89" s="114" t="s">
        <v>16</v>
      </c>
      <c r="J89" s="277">
        <f t="shared" si="2"/>
        <v>0.35467129952680609</v>
      </c>
      <c r="T89" s="4" t="s">
        <v>8</v>
      </c>
      <c r="U89" s="1"/>
      <c r="V89" s="1"/>
      <c r="W89" s="1"/>
      <c r="X89" s="1"/>
      <c r="Y89" s="2">
        <v>0.86</v>
      </c>
      <c r="Z89" s="2">
        <v>0.94</v>
      </c>
      <c r="AA89" s="2">
        <v>0.06</v>
      </c>
      <c r="AB89" s="2">
        <v>0.65</v>
      </c>
      <c r="AC89" s="12">
        <v>0.95</v>
      </c>
    </row>
    <row r="90" spans="1:29">
      <c r="A90" s="4" t="s">
        <v>13</v>
      </c>
      <c r="B90" s="275">
        <v>85415</v>
      </c>
      <c r="C90" s="275">
        <v>66135</v>
      </c>
      <c r="D90" s="57">
        <v>0.55000000000000004</v>
      </c>
      <c r="E90" s="55">
        <f>Table1161729[[#This Row],[Calls Handled]]/Table1161729[[#This Row],[Calls Presented]]</f>
        <v>0.7742785225077562</v>
      </c>
      <c r="F90" s="55">
        <f>1-Table1161729[[#This Row],[ANS]]</f>
        <v>0.2257214774922438</v>
      </c>
      <c r="G90" s="57">
        <v>0.49</v>
      </c>
      <c r="H90" s="56">
        <v>0.98</v>
      </c>
      <c r="J90" s="277">
        <f t="shared" si="2"/>
        <v>0.10512152515620803</v>
      </c>
      <c r="T90" s="4" t="s">
        <v>9</v>
      </c>
      <c r="U90" s="59">
        <v>14092</v>
      </c>
      <c r="V90" s="59">
        <v>12929</v>
      </c>
      <c r="W90" s="131">
        <v>6.7575757575757581E-2</v>
      </c>
      <c r="X90" s="131">
        <v>-2.0530303030303031E-2</v>
      </c>
      <c r="Y90" s="55">
        <v>0.76</v>
      </c>
      <c r="Z90" s="60">
        <v>0.91</v>
      </c>
      <c r="AA90" s="60">
        <v>0.09</v>
      </c>
      <c r="AB90" s="55">
        <v>0.46</v>
      </c>
      <c r="AC90" s="55">
        <v>0.79</v>
      </c>
    </row>
    <row r="91" spans="1:29">
      <c r="A91" s="4" t="s">
        <v>14</v>
      </c>
      <c r="B91" s="276">
        <v>22865</v>
      </c>
      <c r="C91" s="276">
        <v>15555</v>
      </c>
      <c r="D91" s="198">
        <v>0.7</v>
      </c>
      <c r="E91" s="55">
        <f>Table1161729[[#This Row],[Calls Handled]]/Table1161729[[#This Row],[Calls Presented]]</f>
        <v>0.6802973977695167</v>
      </c>
      <c r="F91" s="55">
        <f>1-Table1161729[[#This Row],[ANS]]</f>
        <v>0.3197026022304833</v>
      </c>
      <c r="G91" s="198">
        <v>0.3</v>
      </c>
      <c r="H91" s="206" t="s">
        <v>16</v>
      </c>
      <c r="J91" s="277">
        <f t="shared" si="2"/>
        <v>2.4724659012698508E-2</v>
      </c>
      <c r="T91" s="4" t="s">
        <v>10</v>
      </c>
      <c r="U91">
        <v>4820</v>
      </c>
      <c r="V91" s="1">
        <v>4628</v>
      </c>
      <c r="W91" s="131">
        <v>-2.6852412679184333E-2</v>
      </c>
      <c r="X91" s="131">
        <v>-6.5616797900262466E-2</v>
      </c>
      <c r="Y91" s="43">
        <v>0.85</v>
      </c>
      <c r="Z91" s="60">
        <v>0.96</v>
      </c>
      <c r="AA91" s="60">
        <v>0.04</v>
      </c>
      <c r="AB91" s="44">
        <v>0.61</v>
      </c>
      <c r="AC91" s="43">
        <v>1</v>
      </c>
    </row>
    <row r="92" spans="1:29">
      <c r="A92" s="71" t="s">
        <v>0</v>
      </c>
      <c r="B92" s="72">
        <f>SUM(B86:B91)</f>
        <v>753828</v>
      </c>
      <c r="C92" s="72">
        <f>SUM(C86:C91)</f>
        <v>629129</v>
      </c>
      <c r="D92" s="119">
        <f>AVERAGEIF(D86:D91,"&lt;&gt;0")</f>
        <v>0.69</v>
      </c>
      <c r="E92" s="119">
        <f t="shared" ref="E92:H92" si="3">AVERAGEIF(E86:E91,"&lt;&gt;0")</f>
        <v>0.81054436878413627</v>
      </c>
      <c r="F92" s="119">
        <f t="shared" si="3"/>
        <v>0.18945563121586359</v>
      </c>
      <c r="G92" s="119">
        <f t="shared" si="3"/>
        <v>0.53666666666666663</v>
      </c>
      <c r="H92" s="150">
        <f t="shared" si="3"/>
        <v>0.96750000000000003</v>
      </c>
      <c r="T92" s="4" t="s">
        <v>11</v>
      </c>
      <c r="U92" s="1">
        <v>9887</v>
      </c>
      <c r="V92" s="1">
        <v>9440</v>
      </c>
      <c r="W92" s="131">
        <v>0.20941896024464832</v>
      </c>
      <c r="X92" s="131">
        <v>0.1547400611620795</v>
      </c>
      <c r="Y92" s="43">
        <v>0.9</v>
      </c>
      <c r="Z92" s="60">
        <v>0.96</v>
      </c>
      <c r="AA92" s="60">
        <v>0.04</v>
      </c>
      <c r="AB92" s="130">
        <v>0.56999999999999995</v>
      </c>
      <c r="AC92" s="43">
        <v>1</v>
      </c>
    </row>
    <row r="93" spans="1:29">
      <c r="T93" s="4" t="s">
        <v>12</v>
      </c>
      <c r="U93" s="59">
        <v>23555</v>
      </c>
      <c r="V93" s="59">
        <v>20220</v>
      </c>
      <c r="W93" s="131">
        <v>0.28701781226095507</v>
      </c>
      <c r="X93" s="131">
        <v>0.10479728991367064</v>
      </c>
      <c r="Y93" s="52">
        <v>0.64</v>
      </c>
      <c r="Z93" s="60">
        <v>0.86</v>
      </c>
      <c r="AA93" s="60">
        <v>0.14000000000000001</v>
      </c>
      <c r="AB93" s="43">
        <v>0.84</v>
      </c>
      <c r="AC93" s="114" t="s">
        <v>16</v>
      </c>
    </row>
    <row r="94" spans="1:29">
      <c r="T94" s="4" t="s">
        <v>13</v>
      </c>
      <c r="U94" s="185" t="s">
        <v>16</v>
      </c>
      <c r="V94" s="185" t="s">
        <v>16</v>
      </c>
      <c r="W94" s="131" t="e">
        <v>#VALUE!</v>
      </c>
      <c r="X94" s="131" t="e">
        <v>#VALUE!</v>
      </c>
      <c r="Y94" s="56" t="e">
        <v>#VALUE!</v>
      </c>
      <c r="Z94" s="60" t="e">
        <v>#VALUE!</v>
      </c>
      <c r="AA94" s="60" t="e">
        <v>#VALUE!</v>
      </c>
      <c r="AB94" s="186" t="s">
        <v>16</v>
      </c>
      <c r="AC94" s="56" t="e">
        <v>#VALUE!</v>
      </c>
    </row>
    <row r="95" spans="1:29">
      <c r="T95" s="4" t="s">
        <v>14</v>
      </c>
      <c r="U95" s="10"/>
      <c r="V95" s="11"/>
      <c r="W95" s="11"/>
      <c r="X95" s="11"/>
      <c r="Y95" s="11"/>
      <c r="Z95" s="11"/>
      <c r="AA95" s="11"/>
      <c r="AB95" s="11"/>
      <c r="AC95" s="11"/>
    </row>
    <row r="96" spans="1:29">
      <c r="T96" s="71" t="s">
        <v>0</v>
      </c>
      <c r="U96" s="72">
        <v>52354</v>
      </c>
      <c r="V96" s="72">
        <v>47217</v>
      </c>
      <c r="W96" s="135">
        <v>6.4949858627774054E-2</v>
      </c>
      <c r="X96" s="135">
        <v>-3.9543540611460301E-2</v>
      </c>
      <c r="Y96" s="73" t="e">
        <v>#VALUE!</v>
      </c>
      <c r="Z96" s="73">
        <v>0.90187951254918441</v>
      </c>
      <c r="AA96" s="73">
        <v>9.8120487450815586E-2</v>
      </c>
      <c r="AB96" s="73">
        <v>0.62</v>
      </c>
      <c r="AC96" s="74" t="e">
        <v>#VALUE!</v>
      </c>
    </row>
  </sheetData>
  <mergeCells count="11">
    <mergeCell ref="A83:H83"/>
    <mergeCell ref="T87:AC87"/>
    <mergeCell ref="S75:AB75"/>
    <mergeCell ref="S63:AB63"/>
    <mergeCell ref="B2:I2"/>
    <mergeCell ref="S2:AB2"/>
    <mergeCell ref="S39:AB39"/>
    <mergeCell ref="A51:J51"/>
    <mergeCell ref="B14:I14"/>
    <mergeCell ref="L2:Q2"/>
    <mergeCell ref="B26:I26"/>
  </mergeCells>
  <phoneticPr fontId="8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84DC-8565-4FE9-AF44-80DC4178234A}">
  <sheetPr codeName="Sheet5"/>
  <dimension ref="A1:A6"/>
  <sheetViews>
    <sheetView workbookViewId="0">
      <selection activeCell="G8" sqref="G8"/>
    </sheetView>
  </sheetViews>
  <sheetFormatPr defaultRowHeight="14.5"/>
  <cols>
    <col min="1" max="1" width="18.1796875" bestFit="1" customWidth="1"/>
  </cols>
  <sheetData>
    <row r="1" spans="1:1">
      <c r="A1" t="s">
        <v>44</v>
      </c>
    </row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11</v>
      </c>
    </row>
    <row r="6" spans="1:1">
      <c r="A6" t="s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8B04-035F-4139-A1A3-8F10DB044943}">
  <sheetPr codeName="Sheet12"/>
  <dimension ref="E1:M3"/>
  <sheetViews>
    <sheetView workbookViewId="0">
      <selection activeCell="M9" sqref="M9"/>
    </sheetView>
  </sheetViews>
  <sheetFormatPr defaultRowHeight="14.5"/>
  <sheetData>
    <row r="1" spans="5:13" s="146" customFormat="1" ht="14.5" customHeight="1">
      <c r="E1" s="438" t="s">
        <v>82</v>
      </c>
      <c r="F1" s="438"/>
      <c r="G1" s="438"/>
      <c r="H1" s="438"/>
      <c r="I1" s="438"/>
      <c r="J1" s="438"/>
      <c r="K1" s="438"/>
      <c r="L1" s="438"/>
      <c r="M1" s="438"/>
    </row>
    <row r="2" spans="5:13" s="146" customFormat="1" ht="14.5" customHeight="1">
      <c r="E2" s="438"/>
      <c r="F2" s="438"/>
      <c r="G2" s="438"/>
      <c r="H2" s="438"/>
      <c r="I2" s="438"/>
      <c r="J2" s="438"/>
      <c r="K2" s="438"/>
      <c r="L2" s="438"/>
      <c r="M2" s="438"/>
    </row>
    <row r="3" spans="5:13" s="146" customFormat="1" ht="14.5" customHeight="1">
      <c r="E3" s="438"/>
      <c r="F3" s="438"/>
      <c r="G3" s="438"/>
      <c r="H3" s="438"/>
      <c r="I3" s="438"/>
      <c r="J3" s="438"/>
      <c r="K3" s="438"/>
      <c r="L3" s="438"/>
      <c r="M3" s="438"/>
    </row>
  </sheetData>
  <mergeCells count="1">
    <mergeCell ref="E1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52DC-0223-4254-8F57-6226AFD15B8C}">
  <sheetPr codeName="Sheet3"/>
  <dimension ref="A2:H22"/>
  <sheetViews>
    <sheetView workbookViewId="0">
      <selection activeCell="E22" sqref="E22"/>
    </sheetView>
  </sheetViews>
  <sheetFormatPr defaultRowHeight="14.5"/>
  <cols>
    <col min="1" max="1" width="32" bestFit="1" customWidth="1"/>
    <col min="2" max="2" width="12.6328125" bestFit="1" customWidth="1"/>
    <col min="3" max="3" width="6.7265625" bestFit="1" customWidth="1"/>
    <col min="4" max="4" width="7.7265625" bestFit="1" customWidth="1"/>
    <col min="5" max="6" width="7.453125" bestFit="1" customWidth="1"/>
    <col min="7" max="7" width="7.1796875" bestFit="1" customWidth="1"/>
    <col min="8" max="8" width="6.7265625" bestFit="1" customWidth="1"/>
  </cols>
  <sheetData>
    <row r="2" spans="1:8" ht="18.5">
      <c r="A2" s="422" t="s">
        <v>102</v>
      </c>
      <c r="B2" s="422"/>
      <c r="C2" s="422"/>
      <c r="D2" s="422"/>
      <c r="E2" s="422"/>
      <c r="F2" s="422"/>
      <c r="G2" s="422"/>
      <c r="H2" s="422"/>
    </row>
    <row r="3" spans="1:8">
      <c r="A3" s="6" t="s">
        <v>17</v>
      </c>
      <c r="B3" s="7" t="s">
        <v>18</v>
      </c>
      <c r="C3" s="7" t="s">
        <v>71</v>
      </c>
      <c r="D3" s="7" t="s">
        <v>35</v>
      </c>
      <c r="E3" s="7" t="s">
        <v>13</v>
      </c>
      <c r="F3" s="7" t="s">
        <v>11</v>
      </c>
      <c r="G3" s="7" t="s">
        <v>10</v>
      </c>
      <c r="H3" s="7" t="s">
        <v>14</v>
      </c>
    </row>
    <row r="4" spans="1:8">
      <c r="A4" s="4" t="s">
        <v>19</v>
      </c>
      <c r="B4" s="9" t="s">
        <v>26</v>
      </c>
      <c r="C4" s="70" t="s">
        <v>105</v>
      </c>
      <c r="D4" s="70" t="s">
        <v>103</v>
      </c>
      <c r="E4" s="70" t="s">
        <v>107</v>
      </c>
      <c r="F4" s="123" t="s">
        <v>109</v>
      </c>
      <c r="G4" s="151" t="s">
        <v>99</v>
      </c>
      <c r="H4" s="106" t="s">
        <v>114</v>
      </c>
    </row>
    <row r="5" spans="1:8">
      <c r="A5" s="4" t="s">
        <v>20</v>
      </c>
      <c r="B5" s="9" t="s">
        <v>27</v>
      </c>
      <c r="C5" s="53">
        <v>0.86</v>
      </c>
      <c r="D5" s="117">
        <v>0.84</v>
      </c>
      <c r="E5" s="117">
        <v>0.77</v>
      </c>
      <c r="F5" s="117">
        <v>0.84</v>
      </c>
      <c r="G5" s="45">
        <v>0.65</v>
      </c>
      <c r="H5" s="45">
        <v>0.78</v>
      </c>
    </row>
    <row r="6" spans="1:8">
      <c r="A6" s="4" t="s">
        <v>21</v>
      </c>
      <c r="B6" s="9" t="s">
        <v>26</v>
      </c>
      <c r="C6" s="70" t="s">
        <v>98</v>
      </c>
      <c r="D6" s="70" t="s">
        <v>98</v>
      </c>
      <c r="E6" s="70" t="s">
        <v>101</v>
      </c>
      <c r="F6" s="123" t="s">
        <v>110</v>
      </c>
      <c r="G6" s="106" t="s">
        <v>112</v>
      </c>
      <c r="H6" s="106" t="s">
        <v>115</v>
      </c>
    </row>
    <row r="7" spans="1:8">
      <c r="A7" s="4" t="s">
        <v>22</v>
      </c>
      <c r="B7" s="9" t="s">
        <v>27</v>
      </c>
      <c r="C7" s="53">
        <v>0.99</v>
      </c>
      <c r="D7" s="53">
        <v>0.99</v>
      </c>
      <c r="E7" s="53">
        <v>0.85</v>
      </c>
      <c r="F7" s="117">
        <v>0.73</v>
      </c>
      <c r="G7" s="45">
        <v>0.7</v>
      </c>
      <c r="H7" s="45">
        <v>0.83</v>
      </c>
    </row>
    <row r="8" spans="1:8">
      <c r="A8" s="4" t="s">
        <v>23</v>
      </c>
      <c r="B8" s="9" t="s">
        <v>28</v>
      </c>
      <c r="C8" s="70" t="s">
        <v>106</v>
      </c>
      <c r="D8" s="70" t="s">
        <v>104</v>
      </c>
      <c r="E8" s="70" t="s">
        <v>108</v>
      </c>
      <c r="F8" s="70" t="s">
        <v>111</v>
      </c>
      <c r="G8" s="30" t="s">
        <v>113</v>
      </c>
      <c r="H8" s="30" t="s">
        <v>116</v>
      </c>
    </row>
    <row r="9" spans="1:8">
      <c r="A9" s="4" t="s">
        <v>24</v>
      </c>
      <c r="B9" s="9" t="s">
        <v>29</v>
      </c>
      <c r="C9" s="117">
        <v>0.84</v>
      </c>
      <c r="D9" s="117">
        <v>0.71</v>
      </c>
      <c r="E9" s="117">
        <v>0.79</v>
      </c>
      <c r="F9" s="53">
        <v>0.88</v>
      </c>
      <c r="G9" s="45">
        <v>0.71</v>
      </c>
      <c r="H9" s="141">
        <v>0.86</v>
      </c>
    </row>
    <row r="10" spans="1:8">
      <c r="A10" s="4" t="s">
        <v>25</v>
      </c>
      <c r="B10" s="3">
        <v>0.85</v>
      </c>
      <c r="C10" s="53">
        <v>0.89</v>
      </c>
      <c r="D10" s="53">
        <v>0.97</v>
      </c>
      <c r="E10" s="133">
        <v>1</v>
      </c>
      <c r="F10" s="133">
        <v>0.86</v>
      </c>
      <c r="G10" s="141">
        <v>1</v>
      </c>
      <c r="H10" s="133">
        <v>0.75</v>
      </c>
    </row>
    <row r="11" spans="1:8">
      <c r="A11" s="4" t="s">
        <v>31</v>
      </c>
      <c r="B11" s="125" t="s">
        <v>16</v>
      </c>
      <c r="C11" s="124">
        <v>18</v>
      </c>
      <c r="D11" s="124">
        <v>63</v>
      </c>
      <c r="E11" s="124">
        <v>4</v>
      </c>
      <c r="F11" s="124">
        <v>7</v>
      </c>
      <c r="G11" s="124">
        <v>9</v>
      </c>
      <c r="H11" s="129">
        <v>4</v>
      </c>
    </row>
    <row r="12" spans="1:8">
      <c r="A12" s="5" t="s">
        <v>73</v>
      </c>
      <c r="B12" s="125" t="s">
        <v>16</v>
      </c>
      <c r="C12" s="126">
        <v>0.11</v>
      </c>
      <c r="D12" s="126">
        <v>0.24</v>
      </c>
      <c r="E12" s="127">
        <v>0.31</v>
      </c>
      <c r="F12" s="127">
        <v>0.19</v>
      </c>
      <c r="G12" s="142">
        <v>0.11</v>
      </c>
      <c r="H12" s="128">
        <v>0.17</v>
      </c>
    </row>
    <row r="14" spans="1:8" ht="18.5">
      <c r="A14" s="423" t="s">
        <v>102</v>
      </c>
      <c r="B14" s="424"/>
      <c r="C14" s="424"/>
      <c r="D14" s="424"/>
      <c r="E14" s="424"/>
      <c r="F14" s="424"/>
      <c r="G14" s="425"/>
      <c r="H14" s="118"/>
    </row>
    <row r="15" spans="1:8">
      <c r="A15" s="6" t="s">
        <v>17</v>
      </c>
      <c r="B15" s="7" t="s">
        <v>71</v>
      </c>
      <c r="C15" s="7" t="s">
        <v>35</v>
      </c>
      <c r="D15" s="7" t="s">
        <v>13</v>
      </c>
      <c r="E15" s="7" t="s">
        <v>11</v>
      </c>
      <c r="F15" s="7" t="s">
        <v>10</v>
      </c>
      <c r="G15" s="7" t="s">
        <v>14</v>
      </c>
    </row>
    <row r="16" spans="1:8">
      <c r="A16" s="4" t="s">
        <v>37</v>
      </c>
      <c r="B16" s="1">
        <v>159</v>
      </c>
      <c r="C16" s="1">
        <v>267</v>
      </c>
      <c r="D16" s="1">
        <v>13</v>
      </c>
      <c r="E16" s="1">
        <v>37</v>
      </c>
      <c r="F16" s="1">
        <v>79</v>
      </c>
      <c r="G16" s="1">
        <v>23</v>
      </c>
    </row>
    <row r="17" spans="1:7">
      <c r="A17" s="4" t="s">
        <v>38</v>
      </c>
      <c r="B17" s="1">
        <v>0</v>
      </c>
      <c r="C17" s="1">
        <v>1</v>
      </c>
      <c r="D17" s="1">
        <v>0</v>
      </c>
      <c r="E17" s="1">
        <v>10</v>
      </c>
      <c r="F17" s="1">
        <v>7</v>
      </c>
      <c r="G17" s="1">
        <v>4</v>
      </c>
    </row>
    <row r="18" spans="1:7">
      <c r="A18" s="4" t="s">
        <v>39</v>
      </c>
      <c r="B18" s="1">
        <v>0</v>
      </c>
      <c r="C18" s="1">
        <v>0</v>
      </c>
      <c r="D18" s="1">
        <v>1</v>
      </c>
      <c r="E18" s="1">
        <v>2</v>
      </c>
      <c r="F18" s="1">
        <v>3</v>
      </c>
      <c r="G18" s="1">
        <v>1</v>
      </c>
    </row>
    <row r="19" spans="1:7">
      <c r="A19" s="4" t="s">
        <v>40</v>
      </c>
      <c r="B19" s="1">
        <v>159</v>
      </c>
      <c r="C19" s="1">
        <v>268</v>
      </c>
      <c r="D19" s="1">
        <v>14</v>
      </c>
      <c r="E19" s="1">
        <v>49</v>
      </c>
      <c r="F19" s="1">
        <v>89</v>
      </c>
      <c r="G19" s="1">
        <v>28</v>
      </c>
    </row>
    <row r="20" spans="1:7">
      <c r="A20" s="4" t="s">
        <v>41</v>
      </c>
      <c r="B20" s="18">
        <v>1</v>
      </c>
      <c r="C20" s="18">
        <v>0.99626865671641796</v>
      </c>
      <c r="D20" s="60">
        <v>1</v>
      </c>
      <c r="E20" s="55">
        <v>0.78723404255319152</v>
      </c>
      <c r="F20" s="60">
        <v>0.91860465116279066</v>
      </c>
      <c r="G20" s="60">
        <v>0.85185185185185186</v>
      </c>
    </row>
    <row r="21" spans="1:7">
      <c r="A21" s="4" t="s">
        <v>117</v>
      </c>
      <c r="B21" s="19">
        <v>0</v>
      </c>
      <c r="C21" s="19">
        <v>0</v>
      </c>
      <c r="D21" s="131">
        <v>7.1428571428571425E-2</v>
      </c>
      <c r="E21" s="69">
        <v>4.0816326530612242E-2</v>
      </c>
      <c r="F21" s="69">
        <v>3.3707865168539325E-2</v>
      </c>
      <c r="G21" s="69">
        <v>3.5714285714285712E-2</v>
      </c>
    </row>
    <row r="22" spans="1:7">
      <c r="A22" s="5" t="s">
        <v>43</v>
      </c>
      <c r="B22" s="20">
        <v>0</v>
      </c>
      <c r="C22" s="20">
        <v>3.7313432835820895E-3</v>
      </c>
      <c r="D22" s="132">
        <v>0</v>
      </c>
      <c r="E22" s="54">
        <v>0.21276595744680851</v>
      </c>
      <c r="F22" s="122">
        <v>8.1395348837209308E-2</v>
      </c>
      <c r="G22" s="122">
        <v>0.14814814814814814</v>
      </c>
    </row>
  </sheetData>
  <mergeCells count="2">
    <mergeCell ref="A2:H2"/>
    <mergeCell ref="A14:G1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FF09-7496-44BD-868C-ABA675039D7B}">
  <sheetPr codeName="Sheet2"/>
  <dimension ref="A1:DL23"/>
  <sheetViews>
    <sheetView topLeftCell="CU1" workbookViewId="0">
      <selection activeCell="DF14" sqref="DF14:DL22"/>
    </sheetView>
  </sheetViews>
  <sheetFormatPr defaultRowHeight="14.5"/>
  <cols>
    <col min="1" max="1" width="32" bestFit="1" customWidth="1"/>
    <col min="2" max="2" width="12.6328125" bestFit="1" customWidth="1"/>
    <col min="5" max="5" width="11.7265625" bestFit="1" customWidth="1"/>
    <col min="6" max="7" width="15.26953125" bestFit="1" customWidth="1"/>
    <col min="8" max="8" width="14.36328125" bestFit="1" customWidth="1"/>
    <col min="10" max="10" width="23.54296875" bestFit="1" customWidth="1"/>
    <col min="11" max="11" width="12.6328125" bestFit="1" customWidth="1"/>
    <col min="12" max="12" width="6.90625" bestFit="1" customWidth="1"/>
    <col min="16" max="16" width="8.90625" customWidth="1"/>
    <col min="19" max="19" width="23.54296875" bestFit="1" customWidth="1"/>
    <col min="20" max="20" width="12.6328125" bestFit="1" customWidth="1"/>
    <col min="28" max="28" width="23.54296875" bestFit="1" customWidth="1"/>
    <col min="29" max="29" width="12.6328125" bestFit="1" customWidth="1"/>
    <col min="37" max="37" width="23.54296875" customWidth="1"/>
    <col min="38" max="38" width="12.6328125" bestFit="1" customWidth="1"/>
    <col min="46" max="46" width="23.54296875" bestFit="1" customWidth="1"/>
    <col min="47" max="47" width="12.6328125" bestFit="1" customWidth="1"/>
    <col min="55" max="55" width="23.54296875" bestFit="1" customWidth="1"/>
    <col min="56" max="56" width="12.6328125" bestFit="1" customWidth="1"/>
    <col min="64" max="64" width="23.54296875" bestFit="1" customWidth="1"/>
    <col min="65" max="65" width="12.6328125" bestFit="1" customWidth="1"/>
    <col min="66" max="66" width="6.90625" bestFit="1" customWidth="1"/>
    <col min="73" max="73" width="23.54296875" bestFit="1" customWidth="1"/>
    <col min="74" max="74" width="12.6328125" bestFit="1" customWidth="1"/>
    <col min="82" max="82" width="23.54296875" customWidth="1"/>
    <col min="83" max="83" width="12.6328125" bestFit="1" customWidth="1"/>
    <col min="91" max="91" width="23.54296875" bestFit="1" customWidth="1"/>
    <col min="92" max="92" width="12.6328125" bestFit="1" customWidth="1"/>
    <col min="100" max="100" width="23.54296875" bestFit="1" customWidth="1"/>
    <col min="101" max="101" width="12.6328125" bestFit="1" customWidth="1"/>
    <col min="109" max="109" width="20.6328125" customWidth="1"/>
    <col min="110" max="110" width="23.08984375" bestFit="1" customWidth="1"/>
    <col min="111" max="111" width="9.90625" bestFit="1" customWidth="1"/>
    <col min="112" max="112" width="11.1796875" bestFit="1" customWidth="1"/>
    <col min="113" max="114" width="10" bestFit="1" customWidth="1"/>
  </cols>
  <sheetData>
    <row r="1" spans="1:116">
      <c r="DE1" t="s">
        <v>232</v>
      </c>
    </row>
    <row r="2" spans="1:116" ht="18.5">
      <c r="A2" s="422" t="s">
        <v>172</v>
      </c>
      <c r="B2" s="422"/>
      <c r="C2" s="422"/>
      <c r="D2" s="422"/>
      <c r="E2" s="422"/>
      <c r="F2" s="422"/>
      <c r="G2" s="422"/>
      <c r="H2" s="422"/>
      <c r="J2" s="426" t="s">
        <v>175</v>
      </c>
      <c r="K2" s="426"/>
      <c r="L2" s="426"/>
      <c r="M2" s="426"/>
      <c r="N2" s="426"/>
      <c r="O2" s="426"/>
      <c r="P2" s="426"/>
      <c r="Q2" s="426"/>
      <c r="S2" s="422" t="s">
        <v>176</v>
      </c>
      <c r="T2" s="422"/>
      <c r="U2" s="422"/>
      <c r="V2" s="422"/>
      <c r="W2" s="422"/>
      <c r="X2" s="422"/>
      <c r="Y2" s="422"/>
      <c r="Z2" s="422"/>
      <c r="AB2" s="422" t="s">
        <v>177</v>
      </c>
      <c r="AC2" s="422"/>
      <c r="AD2" s="422"/>
      <c r="AE2" s="422"/>
      <c r="AF2" s="422"/>
      <c r="AG2" s="422"/>
      <c r="AH2" s="422"/>
      <c r="AI2" s="422"/>
      <c r="AK2" s="426" t="s">
        <v>178</v>
      </c>
      <c r="AL2" s="426"/>
      <c r="AM2" s="426"/>
      <c r="AN2" s="426"/>
      <c r="AO2" s="426"/>
      <c r="AP2" s="426"/>
      <c r="AQ2" s="426"/>
      <c r="AR2" s="426"/>
      <c r="AT2" s="426" t="s">
        <v>179</v>
      </c>
      <c r="AU2" s="426"/>
      <c r="AV2" s="426"/>
      <c r="AW2" s="426"/>
      <c r="AX2" s="426"/>
      <c r="AY2" s="426"/>
      <c r="AZ2" s="426"/>
      <c r="BA2" s="426"/>
      <c r="BC2" s="422" t="s">
        <v>180</v>
      </c>
      <c r="BD2" s="422"/>
      <c r="BE2" s="422"/>
      <c r="BF2" s="422"/>
      <c r="BG2" s="422"/>
      <c r="BH2" s="422"/>
      <c r="BI2" s="422"/>
      <c r="BJ2" s="422"/>
      <c r="BL2" s="422" t="s">
        <v>181</v>
      </c>
      <c r="BM2" s="422"/>
      <c r="BN2" s="422"/>
      <c r="BO2" s="422"/>
      <c r="BP2" s="422"/>
      <c r="BQ2" s="422"/>
      <c r="BR2" s="422"/>
      <c r="BS2" s="422"/>
      <c r="BU2" s="426" t="s">
        <v>182</v>
      </c>
      <c r="BV2" s="426"/>
      <c r="BW2" s="426"/>
      <c r="BX2" s="426"/>
      <c r="BY2" s="426"/>
      <c r="BZ2" s="426"/>
      <c r="CA2" s="426"/>
      <c r="CB2" s="426"/>
      <c r="CD2" s="422" t="s">
        <v>183</v>
      </c>
      <c r="CE2" s="422"/>
      <c r="CF2" s="422"/>
      <c r="CG2" s="422"/>
      <c r="CH2" s="422"/>
      <c r="CI2" s="422"/>
      <c r="CJ2" s="422"/>
      <c r="CK2" s="422"/>
      <c r="CM2" s="426" t="s">
        <v>196</v>
      </c>
      <c r="CN2" s="426"/>
      <c r="CO2" s="426"/>
      <c r="CP2" s="426"/>
      <c r="CQ2" s="426"/>
      <c r="CR2" s="426"/>
      <c r="CS2" s="426"/>
      <c r="CT2" s="426"/>
      <c r="CV2" s="422" t="s">
        <v>202</v>
      </c>
      <c r="CW2" s="422"/>
      <c r="CX2" s="422"/>
      <c r="CY2" s="422"/>
      <c r="CZ2" s="422"/>
      <c r="DA2" s="422"/>
      <c r="DB2" s="422"/>
      <c r="DC2" s="422"/>
      <c r="DE2" s="422" t="s">
        <v>233</v>
      </c>
      <c r="DF2" s="422"/>
      <c r="DG2" s="422"/>
      <c r="DH2" s="422"/>
      <c r="DI2" s="422"/>
      <c r="DJ2" s="422"/>
      <c r="DK2" s="422"/>
      <c r="DL2" s="422"/>
    </row>
    <row r="3" spans="1:116">
      <c r="A3" s="6" t="s">
        <v>17</v>
      </c>
      <c r="B3" s="7" t="s">
        <v>18</v>
      </c>
      <c r="C3" s="7" t="s">
        <v>71</v>
      </c>
      <c r="D3" s="7" t="s">
        <v>35</v>
      </c>
      <c r="E3" s="7" t="s">
        <v>13</v>
      </c>
      <c r="F3" s="7" t="s">
        <v>11</v>
      </c>
      <c r="G3" s="7" t="s">
        <v>10</v>
      </c>
      <c r="H3" s="7" t="s">
        <v>14</v>
      </c>
      <c r="J3" s="7" t="s">
        <v>17</v>
      </c>
      <c r="K3" s="7" t="s">
        <v>18</v>
      </c>
      <c r="L3" s="7" t="s">
        <v>71</v>
      </c>
      <c r="M3" s="7" t="s">
        <v>35</v>
      </c>
      <c r="N3" s="7" t="s">
        <v>13</v>
      </c>
      <c r="O3" s="7" t="s">
        <v>11</v>
      </c>
      <c r="P3" s="7" t="s">
        <v>10</v>
      </c>
      <c r="Q3" s="7" t="s">
        <v>14</v>
      </c>
      <c r="S3" s="6" t="s">
        <v>17</v>
      </c>
      <c r="T3" s="7" t="s">
        <v>18</v>
      </c>
      <c r="U3" s="7" t="s">
        <v>71</v>
      </c>
      <c r="V3" s="7" t="s">
        <v>35</v>
      </c>
      <c r="W3" s="7" t="s">
        <v>13</v>
      </c>
      <c r="X3" s="7" t="s">
        <v>11</v>
      </c>
      <c r="Y3" s="7" t="s">
        <v>10</v>
      </c>
      <c r="Z3" s="93" t="s">
        <v>14</v>
      </c>
      <c r="AB3" s="7" t="s">
        <v>17</v>
      </c>
      <c r="AC3" s="7" t="s">
        <v>18</v>
      </c>
      <c r="AD3" s="7" t="s">
        <v>71</v>
      </c>
      <c r="AE3" s="7" t="s">
        <v>35</v>
      </c>
      <c r="AF3" s="7" t="s">
        <v>13</v>
      </c>
      <c r="AG3" s="7" t="s">
        <v>11</v>
      </c>
      <c r="AH3" s="7" t="s">
        <v>10</v>
      </c>
      <c r="AI3" s="7" t="s">
        <v>14</v>
      </c>
      <c r="AK3" s="6" t="s">
        <v>17</v>
      </c>
      <c r="AL3" s="7" t="s">
        <v>18</v>
      </c>
      <c r="AM3" s="7" t="s">
        <v>71</v>
      </c>
      <c r="AN3" s="7" t="s">
        <v>35</v>
      </c>
      <c r="AO3" s="7" t="s">
        <v>13</v>
      </c>
      <c r="AP3" s="7" t="s">
        <v>11</v>
      </c>
      <c r="AQ3" s="7" t="s">
        <v>10</v>
      </c>
      <c r="AR3" s="93" t="s">
        <v>14</v>
      </c>
      <c r="AT3" s="7" t="s">
        <v>17</v>
      </c>
      <c r="AU3" s="7" t="s">
        <v>18</v>
      </c>
      <c r="AV3" s="7" t="s">
        <v>71</v>
      </c>
      <c r="AW3" s="7" t="s">
        <v>35</v>
      </c>
      <c r="AX3" s="7" t="s">
        <v>13</v>
      </c>
      <c r="AY3" s="7" t="s">
        <v>11</v>
      </c>
      <c r="AZ3" s="7" t="s">
        <v>10</v>
      </c>
      <c r="BA3" s="7" t="s">
        <v>14</v>
      </c>
      <c r="BC3" s="7" t="s">
        <v>17</v>
      </c>
      <c r="BD3" s="7" t="s">
        <v>18</v>
      </c>
      <c r="BE3" s="7" t="s">
        <v>71</v>
      </c>
      <c r="BF3" s="7" t="s">
        <v>35</v>
      </c>
      <c r="BG3" s="7" t="s">
        <v>13</v>
      </c>
      <c r="BH3" s="7" t="s">
        <v>11</v>
      </c>
      <c r="BI3" s="7" t="s">
        <v>10</v>
      </c>
      <c r="BJ3" s="7" t="s">
        <v>14</v>
      </c>
      <c r="BL3" s="6" t="s">
        <v>17</v>
      </c>
      <c r="BM3" s="7" t="s">
        <v>18</v>
      </c>
      <c r="BN3" s="7" t="s">
        <v>71</v>
      </c>
      <c r="BO3" s="7" t="s">
        <v>35</v>
      </c>
      <c r="BP3" s="7" t="s">
        <v>13</v>
      </c>
      <c r="BQ3" s="7" t="s">
        <v>11</v>
      </c>
      <c r="BR3" s="7" t="s">
        <v>10</v>
      </c>
      <c r="BS3" s="93" t="s">
        <v>14</v>
      </c>
      <c r="BU3" s="7" t="s">
        <v>17</v>
      </c>
      <c r="BV3" s="7" t="s">
        <v>18</v>
      </c>
      <c r="BW3" s="7" t="s">
        <v>71</v>
      </c>
      <c r="BX3" s="7" t="s">
        <v>35</v>
      </c>
      <c r="BY3" s="7" t="s">
        <v>13</v>
      </c>
      <c r="BZ3" s="7" t="s">
        <v>11</v>
      </c>
      <c r="CA3" s="7" t="s">
        <v>10</v>
      </c>
      <c r="CB3" s="7" t="s">
        <v>14</v>
      </c>
      <c r="CD3" s="6" t="s">
        <v>17</v>
      </c>
      <c r="CE3" s="7" t="s">
        <v>18</v>
      </c>
      <c r="CF3" s="7" t="s">
        <v>71</v>
      </c>
      <c r="CG3" s="7" t="s">
        <v>35</v>
      </c>
      <c r="CH3" s="7" t="s">
        <v>13</v>
      </c>
      <c r="CI3" s="7" t="s">
        <v>11</v>
      </c>
      <c r="CJ3" s="7" t="s">
        <v>10</v>
      </c>
      <c r="CK3" s="93" t="s">
        <v>14</v>
      </c>
      <c r="CM3" s="7" t="s">
        <v>17</v>
      </c>
      <c r="CN3" s="7" t="s">
        <v>18</v>
      </c>
      <c r="CO3" s="7" t="s">
        <v>71</v>
      </c>
      <c r="CP3" s="7" t="s">
        <v>35</v>
      </c>
      <c r="CQ3" s="7" t="s">
        <v>13</v>
      </c>
      <c r="CR3" s="7" t="s">
        <v>11</v>
      </c>
      <c r="CS3" s="7" t="s">
        <v>10</v>
      </c>
      <c r="CT3" s="7" t="s">
        <v>14</v>
      </c>
      <c r="CV3" s="6" t="s">
        <v>17</v>
      </c>
      <c r="CW3" s="7" t="s">
        <v>18</v>
      </c>
      <c r="CX3" s="7" t="s">
        <v>71</v>
      </c>
      <c r="CY3" s="7" t="s">
        <v>35</v>
      </c>
      <c r="CZ3" s="7" t="s">
        <v>13</v>
      </c>
      <c r="DA3" s="7" t="s">
        <v>11</v>
      </c>
      <c r="DB3" s="7" t="s">
        <v>10</v>
      </c>
      <c r="DC3" s="93" t="s">
        <v>14</v>
      </c>
      <c r="DE3" s="315" t="s">
        <v>17</v>
      </c>
      <c r="DF3" s="315" t="s">
        <v>18</v>
      </c>
      <c r="DG3" s="315" t="s">
        <v>71</v>
      </c>
      <c r="DH3" s="315" t="s">
        <v>35</v>
      </c>
      <c r="DI3" s="315" t="s">
        <v>13</v>
      </c>
      <c r="DJ3" s="315" t="s">
        <v>11</v>
      </c>
      <c r="DK3" s="315" t="s">
        <v>10</v>
      </c>
      <c r="DL3" s="315" t="s">
        <v>14</v>
      </c>
    </row>
    <row r="4" spans="1:116">
      <c r="A4" s="4" t="s">
        <v>19</v>
      </c>
      <c r="B4" s="9" t="s">
        <v>26</v>
      </c>
      <c r="C4" s="213">
        <v>4.6296296296296293E-4</v>
      </c>
      <c r="D4" s="213">
        <v>3.7037037037037035E-4</v>
      </c>
      <c r="E4" s="213">
        <v>4.7453703703703704E-4</v>
      </c>
      <c r="F4" s="215">
        <v>2.1874999999999998E-3</v>
      </c>
      <c r="G4" s="216">
        <v>2.1296296296296298E-3</v>
      </c>
      <c r="H4" s="217">
        <v>5.9027777777777778E-4</v>
      </c>
      <c r="J4" s="1" t="s">
        <v>19</v>
      </c>
      <c r="K4" s="312" t="s">
        <v>26</v>
      </c>
      <c r="L4" s="213">
        <v>4.5138888888888892E-4</v>
      </c>
      <c r="M4" s="213">
        <v>3.7037037037037035E-4</v>
      </c>
      <c r="N4" s="213">
        <v>4.1666666666666669E-4</v>
      </c>
      <c r="O4" s="215">
        <v>1.3310185185185185E-3</v>
      </c>
      <c r="P4" s="216">
        <v>2.2337962962962967E-3</v>
      </c>
      <c r="Q4" s="217">
        <v>6.3657407407407402E-4</v>
      </c>
      <c r="S4" s="4" t="s">
        <v>19</v>
      </c>
      <c r="T4" s="312" t="s">
        <v>26</v>
      </c>
      <c r="U4" s="213">
        <v>5.0925925925925921E-4</v>
      </c>
      <c r="V4" s="213">
        <v>4.2824074074074075E-4</v>
      </c>
      <c r="W4" s="213">
        <v>4.1666666666666669E-4</v>
      </c>
      <c r="X4" s="215">
        <v>1.0416666666666667E-3</v>
      </c>
      <c r="Y4" s="216">
        <v>1.3310185185185185E-3</v>
      </c>
      <c r="Z4" s="322">
        <v>9.4907407407407408E-4</v>
      </c>
      <c r="AB4" s="1" t="s">
        <v>19</v>
      </c>
      <c r="AC4" s="312" t="s">
        <v>26</v>
      </c>
      <c r="AD4" s="213">
        <v>6.7129629629629625E-4</v>
      </c>
      <c r="AE4" s="213">
        <v>4.9768518518518521E-4</v>
      </c>
      <c r="AF4" s="213">
        <v>6.018518518518519E-4</v>
      </c>
      <c r="AG4" s="215">
        <v>1.0069444444444444E-3</v>
      </c>
      <c r="AH4" s="216"/>
      <c r="AI4" s="217">
        <v>5.5555555555555556E-4</v>
      </c>
      <c r="AK4" s="4" t="s">
        <v>19</v>
      </c>
      <c r="AL4" s="312" t="s">
        <v>26</v>
      </c>
      <c r="AM4" s="213">
        <v>6.4814814814814813E-4</v>
      </c>
      <c r="AN4" s="213">
        <v>5.3240740740740744E-4</v>
      </c>
      <c r="AO4" s="213">
        <v>5.3240740740740744E-4</v>
      </c>
      <c r="AP4" s="215">
        <v>1.2847222222222223E-3</v>
      </c>
      <c r="AQ4" s="216">
        <v>2.3379629629629631E-3</v>
      </c>
      <c r="AR4" s="322">
        <v>1.6087962962962963E-3</v>
      </c>
      <c r="AT4" s="1" t="s">
        <v>19</v>
      </c>
      <c r="AU4" s="312" t="s">
        <v>26</v>
      </c>
      <c r="AV4" s="213">
        <v>3.9351851851851852E-4</v>
      </c>
      <c r="AW4" s="213">
        <v>4.8611111111111104E-4</v>
      </c>
      <c r="AX4" s="213">
        <v>4.2824074074074075E-4</v>
      </c>
      <c r="AY4" s="215">
        <v>1.8171296296296297E-3</v>
      </c>
      <c r="AZ4" s="216">
        <v>1.423611111111111E-3</v>
      </c>
      <c r="BA4" s="217">
        <v>6.9444444444444447E-4</v>
      </c>
      <c r="BC4" s="1" t="s">
        <v>19</v>
      </c>
      <c r="BD4" s="312" t="s">
        <v>26</v>
      </c>
      <c r="BE4" s="213">
        <v>5.4398148148148144E-4</v>
      </c>
      <c r="BF4" s="213">
        <v>4.9768518518518521E-4</v>
      </c>
      <c r="BG4" s="213">
        <v>5.2083333333333333E-4</v>
      </c>
      <c r="BH4" s="215">
        <v>1.1111111111111111E-3</v>
      </c>
      <c r="BI4" s="216">
        <v>1.4120370370370369E-3</v>
      </c>
      <c r="BJ4" s="217">
        <v>4.6296296296296293E-4</v>
      </c>
      <c r="BL4" s="4" t="s">
        <v>19</v>
      </c>
      <c r="BM4" s="312" t="s">
        <v>26</v>
      </c>
      <c r="BN4" s="213">
        <v>4.8611111111111104E-4</v>
      </c>
      <c r="BO4" s="213">
        <v>5.2083333333333333E-4</v>
      </c>
      <c r="BP4" s="213">
        <v>3.9351851851851852E-4</v>
      </c>
      <c r="BQ4" s="215">
        <v>1.1574074074074073E-3</v>
      </c>
      <c r="BR4" s="216">
        <v>1.4004629629629629E-3</v>
      </c>
      <c r="BS4" s="322">
        <v>4.1666666666666669E-4</v>
      </c>
      <c r="BU4" s="1" t="s">
        <v>19</v>
      </c>
      <c r="BV4" s="312" t="s">
        <v>26</v>
      </c>
      <c r="BW4" s="213">
        <v>3.8194444444444446E-4</v>
      </c>
      <c r="BX4" s="213">
        <v>4.8611111111111104E-4</v>
      </c>
      <c r="BY4" s="213">
        <v>4.0509259259259258E-4</v>
      </c>
      <c r="BZ4" s="215">
        <v>9.3750000000000007E-4</v>
      </c>
      <c r="CA4" s="216">
        <v>9.9537037037037042E-4</v>
      </c>
      <c r="CB4" s="217">
        <v>1.0069444444444444E-3</v>
      </c>
      <c r="CD4" s="4" t="s">
        <v>19</v>
      </c>
      <c r="CE4" s="312" t="s">
        <v>26</v>
      </c>
      <c r="CF4" s="213" t="s">
        <v>226</v>
      </c>
      <c r="CG4" s="213" t="s">
        <v>225</v>
      </c>
      <c r="CH4" s="213" t="s">
        <v>229</v>
      </c>
      <c r="CI4" s="215">
        <v>1.3888888888888889E-3</v>
      </c>
      <c r="CJ4" s="216" t="s">
        <v>230</v>
      </c>
      <c r="CK4" s="322" t="s">
        <v>231</v>
      </c>
      <c r="CM4" s="1" t="s">
        <v>19</v>
      </c>
      <c r="CN4" s="312" t="s">
        <v>26</v>
      </c>
      <c r="CO4" s="213" t="s">
        <v>224</v>
      </c>
      <c r="CP4" s="213" t="s">
        <v>225</v>
      </c>
      <c r="CQ4" s="213" t="s">
        <v>226</v>
      </c>
      <c r="CR4" s="215" t="s">
        <v>227</v>
      </c>
      <c r="CS4" s="216" t="s">
        <v>228</v>
      </c>
      <c r="CT4" s="217" t="s">
        <v>225</v>
      </c>
      <c r="CV4" s="4" t="s">
        <v>19</v>
      </c>
      <c r="CW4" s="312" t="s">
        <v>26</v>
      </c>
      <c r="CX4" s="213" t="s">
        <v>218</v>
      </c>
      <c r="CY4" s="213" t="s">
        <v>219</v>
      </c>
      <c r="CZ4" s="213" t="s">
        <v>220</v>
      </c>
      <c r="DA4" s="215" t="s">
        <v>221</v>
      </c>
      <c r="DB4" s="216" t="s">
        <v>222</v>
      </c>
      <c r="DC4" s="322" t="s">
        <v>223</v>
      </c>
      <c r="DE4" s="187" t="s">
        <v>19</v>
      </c>
      <c r="DF4" s="316" t="s">
        <v>26</v>
      </c>
      <c r="DG4" s="320">
        <f>AVERAGE(C$4,K$4,T$4,AD$4,AM$4,AV$4,BE$4,BN$4,BW$4,CF$4,CO$4,CX$4)</f>
        <v>5.1256613756613752E-4</v>
      </c>
      <c r="DH4" s="320">
        <f t="shared" ref="DH4:DL4" si="0">AVERAGE(D$4,L$4,U$4,AE$4,AN$4,AW$4,BF$4,BO$4,BX$4,CG$4,CP$4,CY$4)</f>
        <v>4.835390946502057E-4</v>
      </c>
      <c r="DI4" s="320">
        <f t="shared" si="0"/>
        <v>4.6167695473251023E-4</v>
      </c>
      <c r="DJ4" s="320">
        <f t="shared" si="0"/>
        <v>1.1724537037037038E-3</v>
      </c>
      <c r="DK4" s="320">
        <f t="shared" si="0"/>
        <v>1.5089699074074074E-3</v>
      </c>
      <c r="DL4" s="320">
        <f t="shared" si="0"/>
        <v>9.8894032921810699E-4</v>
      </c>
    </row>
    <row r="5" spans="1:116">
      <c r="A5" s="4" t="s">
        <v>20</v>
      </c>
      <c r="B5" s="9" t="s">
        <v>27</v>
      </c>
      <c r="C5" s="53">
        <v>0.83</v>
      </c>
      <c r="D5" s="53">
        <v>0.93</v>
      </c>
      <c r="E5" s="53">
        <v>0.83</v>
      </c>
      <c r="F5" s="117">
        <v>0.64</v>
      </c>
      <c r="G5" s="45">
        <v>0.45</v>
      </c>
      <c r="H5" s="45">
        <v>0.68</v>
      </c>
      <c r="J5" s="1" t="s">
        <v>20</v>
      </c>
      <c r="K5" s="312" t="s">
        <v>27</v>
      </c>
      <c r="L5" s="53">
        <v>0.86</v>
      </c>
      <c r="M5" s="53">
        <v>0.93</v>
      </c>
      <c r="N5" s="53">
        <v>0.85</v>
      </c>
      <c r="O5" s="117">
        <v>0.75</v>
      </c>
      <c r="P5" s="45">
        <v>0.4</v>
      </c>
      <c r="Q5" s="45">
        <v>0.68</v>
      </c>
      <c r="S5" s="4" t="s">
        <v>20</v>
      </c>
      <c r="T5" s="312" t="s">
        <v>27</v>
      </c>
      <c r="U5" s="53">
        <v>0.79</v>
      </c>
      <c r="V5" s="53">
        <v>0.88</v>
      </c>
      <c r="W5" s="53">
        <v>0.87</v>
      </c>
      <c r="X5" s="117">
        <v>0.68</v>
      </c>
      <c r="Y5" s="45">
        <v>0.57999999999999996</v>
      </c>
      <c r="Z5" s="323">
        <v>0.67</v>
      </c>
      <c r="AB5" s="1" t="s">
        <v>20</v>
      </c>
      <c r="AC5" s="312" t="s">
        <v>27</v>
      </c>
      <c r="AD5" s="53">
        <v>0.64</v>
      </c>
      <c r="AE5" s="53">
        <v>0.81</v>
      </c>
      <c r="AF5" s="53">
        <v>0.7</v>
      </c>
      <c r="AG5" s="117">
        <v>0.68</v>
      </c>
      <c r="AH5" s="45"/>
      <c r="AI5" s="45">
        <v>0.77</v>
      </c>
      <c r="AK5" s="4" t="s">
        <v>20</v>
      </c>
      <c r="AL5" s="312" t="s">
        <v>27</v>
      </c>
      <c r="AM5" s="53">
        <v>0.68</v>
      </c>
      <c r="AN5" s="53">
        <v>0.8</v>
      </c>
      <c r="AO5" s="53">
        <v>0.74</v>
      </c>
      <c r="AP5" s="117">
        <v>0.71</v>
      </c>
      <c r="AQ5" s="45">
        <v>0.43</v>
      </c>
      <c r="AR5" s="323">
        <v>0.55000000000000004</v>
      </c>
      <c r="AT5" s="1" t="s">
        <v>20</v>
      </c>
      <c r="AU5" s="312" t="s">
        <v>27</v>
      </c>
      <c r="AV5" s="53">
        <v>0.92</v>
      </c>
      <c r="AW5" s="53">
        <v>0.81</v>
      </c>
      <c r="AX5" s="53">
        <v>0.85</v>
      </c>
      <c r="AY5" s="117">
        <v>0.65</v>
      </c>
      <c r="AZ5" s="45">
        <v>0.63</v>
      </c>
      <c r="BA5" s="45">
        <v>0.77</v>
      </c>
      <c r="BC5" s="1" t="s">
        <v>20</v>
      </c>
      <c r="BD5" s="312" t="s">
        <v>27</v>
      </c>
      <c r="BE5" s="53">
        <v>0.8</v>
      </c>
      <c r="BF5" s="53">
        <v>0.83</v>
      </c>
      <c r="BG5" s="53">
        <v>0.76</v>
      </c>
      <c r="BH5" s="117">
        <v>0.68</v>
      </c>
      <c r="BI5" s="45">
        <v>0.53</v>
      </c>
      <c r="BJ5" s="45">
        <v>0.87</v>
      </c>
      <c r="BL5" s="4" t="s">
        <v>20</v>
      </c>
      <c r="BM5" s="312" t="s">
        <v>27</v>
      </c>
      <c r="BN5" s="53">
        <v>0.81</v>
      </c>
      <c r="BO5" s="53">
        <v>0.8</v>
      </c>
      <c r="BP5" s="53">
        <v>0.95</v>
      </c>
      <c r="BQ5" s="117">
        <v>0.67</v>
      </c>
      <c r="BR5" s="45">
        <v>0.67</v>
      </c>
      <c r="BS5" s="323">
        <v>0.84</v>
      </c>
      <c r="BU5" s="1" t="s">
        <v>20</v>
      </c>
      <c r="BV5" s="312" t="s">
        <v>27</v>
      </c>
      <c r="BW5" s="53">
        <v>0.92</v>
      </c>
      <c r="BX5" s="53">
        <v>0.83</v>
      </c>
      <c r="BY5" s="53">
        <v>0.94</v>
      </c>
      <c r="BZ5" s="117">
        <v>0.75</v>
      </c>
      <c r="CA5" s="45">
        <v>0.61</v>
      </c>
      <c r="CB5" s="45">
        <v>0.82</v>
      </c>
      <c r="CD5" s="4" t="s">
        <v>20</v>
      </c>
      <c r="CE5" s="312" t="s">
        <v>27</v>
      </c>
      <c r="CF5" s="53">
        <v>0.85</v>
      </c>
      <c r="CG5" s="53">
        <v>0.83</v>
      </c>
      <c r="CH5" s="53">
        <v>0.81</v>
      </c>
      <c r="CI5" s="117">
        <v>0.75</v>
      </c>
      <c r="CJ5" s="45">
        <v>0.69</v>
      </c>
      <c r="CK5" s="323">
        <v>0.89</v>
      </c>
      <c r="CM5" s="1" t="s">
        <v>20</v>
      </c>
      <c r="CN5" s="312" t="s">
        <v>27</v>
      </c>
      <c r="CO5" s="53">
        <v>0.89</v>
      </c>
      <c r="CP5" s="53">
        <v>0.85</v>
      </c>
      <c r="CQ5" s="53">
        <v>0.85</v>
      </c>
      <c r="CR5" s="117">
        <v>0.78</v>
      </c>
      <c r="CS5" s="45">
        <v>0.57999999999999996</v>
      </c>
      <c r="CT5" s="45">
        <v>0.85</v>
      </c>
      <c r="CV5" s="4" t="s">
        <v>20</v>
      </c>
      <c r="CW5" s="312" t="s">
        <v>27</v>
      </c>
      <c r="CX5" s="53">
        <v>0.85</v>
      </c>
      <c r="CY5" s="53">
        <v>0.81</v>
      </c>
      <c r="CZ5" s="53">
        <v>0.78</v>
      </c>
      <c r="DA5" s="117">
        <v>0.72</v>
      </c>
      <c r="DB5" s="45">
        <v>0.6</v>
      </c>
      <c r="DC5" s="323">
        <v>0.81</v>
      </c>
      <c r="DE5" s="188" t="s">
        <v>20</v>
      </c>
      <c r="DF5" s="317" t="s">
        <v>27</v>
      </c>
      <c r="DG5" s="45">
        <f>AVERAGE(C$5,K$5,T$5,AD$5,AM$5,AV$5,BE$5,BN$5,BW$5,CF$5,CO$5,CX$5)</f>
        <v>0.81899999999999995</v>
      </c>
      <c r="DH5" s="45">
        <f t="shared" ref="DH5:DL5" si="1">AVERAGE(D$5,L$5,U$5,AE$5,AN$5,AW$5,BF$5,BO$5,BX$5,CG$5,CP$5,CY$5)</f>
        <v>0.82916666666666661</v>
      </c>
      <c r="DI5" s="45">
        <f t="shared" si="1"/>
        <v>0.83499999999999996</v>
      </c>
      <c r="DJ5" s="45">
        <f t="shared" si="1"/>
        <v>0.72916666666666663</v>
      </c>
      <c r="DK5" s="45">
        <f t="shared" si="1"/>
        <v>0.6018181818181817</v>
      </c>
      <c r="DL5" s="45">
        <f t="shared" si="1"/>
        <v>0.73583333333333334</v>
      </c>
    </row>
    <row r="6" spans="1:116">
      <c r="A6" s="4" t="s">
        <v>21</v>
      </c>
      <c r="B6" s="9" t="s">
        <v>26</v>
      </c>
      <c r="C6" s="213">
        <v>2.4305555555555552E-4</v>
      </c>
      <c r="D6" s="213">
        <v>2.8935185185185189E-4</v>
      </c>
      <c r="E6" s="213">
        <v>2.4305555555555552E-4</v>
      </c>
      <c r="F6" s="215">
        <v>2.4305555555555556E-3</v>
      </c>
      <c r="G6" s="216">
        <v>4.0856481481481481E-3</v>
      </c>
      <c r="H6" s="217">
        <v>3.7037037037037035E-4</v>
      </c>
      <c r="J6" s="1" t="s">
        <v>21</v>
      </c>
      <c r="K6" s="312" t="s">
        <v>26</v>
      </c>
      <c r="L6" s="213">
        <v>3.0092592592592595E-4</v>
      </c>
      <c r="M6" s="213">
        <v>2.5462962962962961E-4</v>
      </c>
      <c r="N6" s="213">
        <v>2.4305555555555552E-4</v>
      </c>
      <c r="O6" s="215">
        <v>1.3773148148148147E-3</v>
      </c>
      <c r="P6" s="216">
        <v>3.0787037037037037E-3</v>
      </c>
      <c r="Q6" s="217">
        <v>4.2824074074074075E-4</v>
      </c>
      <c r="S6" s="4" t="s">
        <v>21</v>
      </c>
      <c r="T6" s="312" t="s">
        <v>26</v>
      </c>
      <c r="U6" s="213">
        <v>2.5462962962962961E-4</v>
      </c>
      <c r="V6" s="213">
        <v>2.5462962962962961E-4</v>
      </c>
      <c r="W6" s="213">
        <v>2.4305555555555552E-4</v>
      </c>
      <c r="X6" s="215">
        <v>1.8518518518518517E-3</v>
      </c>
      <c r="Y6" s="216">
        <v>1.2962962962962963E-3</v>
      </c>
      <c r="Z6" s="322">
        <v>8.3333333333333339E-4</v>
      </c>
      <c r="AB6" s="1" t="s">
        <v>21</v>
      </c>
      <c r="AC6" s="312" t="s">
        <v>26</v>
      </c>
      <c r="AD6" s="213">
        <v>3.5879629629629635E-4</v>
      </c>
      <c r="AE6" s="213">
        <v>2.7777777777777778E-4</v>
      </c>
      <c r="AF6" s="213">
        <v>3.5879629629629635E-4</v>
      </c>
      <c r="AG6" s="215">
        <v>1.6087962962962963E-3</v>
      </c>
      <c r="AH6" s="216"/>
      <c r="AI6" s="217">
        <v>5.9027777777777778E-4</v>
      </c>
      <c r="AK6" s="4" t="s">
        <v>21</v>
      </c>
      <c r="AL6" s="312" t="s">
        <v>26</v>
      </c>
      <c r="AM6" s="213">
        <v>4.0509259259259258E-4</v>
      </c>
      <c r="AN6" s="213">
        <v>3.2407407407407406E-4</v>
      </c>
      <c r="AO6" s="213">
        <v>3.0092592592592595E-4</v>
      </c>
      <c r="AP6" s="215">
        <v>1.6782407407407406E-3</v>
      </c>
      <c r="AQ6" s="216">
        <v>2.685185185185185E-3</v>
      </c>
      <c r="AR6" s="322">
        <v>1.4699074074074074E-3</v>
      </c>
      <c r="AT6" s="1" t="s">
        <v>21</v>
      </c>
      <c r="AU6" s="312" t="s">
        <v>26</v>
      </c>
      <c r="AV6" s="213">
        <v>2.7777777777777778E-4</v>
      </c>
      <c r="AW6" s="213">
        <v>2.8935185185185189E-4</v>
      </c>
      <c r="AX6" s="213">
        <v>3.0092592592592595E-4</v>
      </c>
      <c r="AY6" s="215">
        <v>3.2870370370370367E-3</v>
      </c>
      <c r="AZ6" s="216">
        <v>1.8287037037037037E-3</v>
      </c>
      <c r="BA6" s="217">
        <v>7.291666666666667E-4</v>
      </c>
      <c r="BC6" s="1" t="s">
        <v>21</v>
      </c>
      <c r="BD6" s="312" t="s">
        <v>26</v>
      </c>
      <c r="BE6" s="213">
        <v>3.2407407407407406E-4</v>
      </c>
      <c r="BF6" s="213">
        <v>2.6620370370370372E-4</v>
      </c>
      <c r="BG6" s="213">
        <v>3.2407407407407406E-4</v>
      </c>
      <c r="BH6" s="215">
        <v>1.5856481481481479E-3</v>
      </c>
      <c r="BI6" s="216">
        <v>1.6203703703703703E-3</v>
      </c>
      <c r="BJ6" s="217">
        <v>3.8194444444444446E-4</v>
      </c>
      <c r="BL6" s="4" t="s">
        <v>21</v>
      </c>
      <c r="BM6" s="312" t="s">
        <v>26</v>
      </c>
      <c r="BN6" s="213">
        <v>2.7777777777777778E-4</v>
      </c>
      <c r="BO6" s="213">
        <v>2.4305555555555552E-4</v>
      </c>
      <c r="BP6" s="213">
        <v>2.199074074074074E-4</v>
      </c>
      <c r="BQ6" s="215">
        <v>2.2685185185185182E-3</v>
      </c>
      <c r="BR6" s="216">
        <v>1.7824074074074072E-3</v>
      </c>
      <c r="BS6" s="322">
        <v>2.5462962962962961E-4</v>
      </c>
      <c r="BU6" s="1" t="s">
        <v>21</v>
      </c>
      <c r="BV6" s="312" t="s">
        <v>26</v>
      </c>
      <c r="BW6" s="213">
        <v>2.199074074074074E-4</v>
      </c>
      <c r="BX6" s="213">
        <v>2.4305555555555552E-4</v>
      </c>
      <c r="BY6" s="213">
        <v>2.199074074074074E-4</v>
      </c>
      <c r="BZ6" s="215">
        <v>1.6319444444444445E-3</v>
      </c>
      <c r="CA6" s="216">
        <v>1.2847222222222223E-3</v>
      </c>
      <c r="CB6" s="217">
        <v>9.6064814814814808E-4</v>
      </c>
      <c r="CD6" s="4" t="s">
        <v>21</v>
      </c>
      <c r="CE6" s="312" t="s">
        <v>26</v>
      </c>
      <c r="CF6" s="213" t="s">
        <v>184</v>
      </c>
      <c r="CG6" s="213" t="s">
        <v>185</v>
      </c>
      <c r="CH6" s="213" t="s">
        <v>186</v>
      </c>
      <c r="CI6" s="215" t="s">
        <v>187</v>
      </c>
      <c r="CJ6" s="216" t="s">
        <v>188</v>
      </c>
      <c r="CK6" s="322" t="s">
        <v>189</v>
      </c>
      <c r="CM6" s="1" t="s">
        <v>21</v>
      </c>
      <c r="CN6" s="312" t="s">
        <v>26</v>
      </c>
      <c r="CO6" s="213" t="s">
        <v>198</v>
      </c>
      <c r="CP6" s="213" t="s">
        <v>184</v>
      </c>
      <c r="CQ6" s="213" t="s">
        <v>199</v>
      </c>
      <c r="CR6" s="215" t="s">
        <v>200</v>
      </c>
      <c r="CS6" s="216" t="s">
        <v>201</v>
      </c>
      <c r="CT6" s="217" t="s">
        <v>197</v>
      </c>
      <c r="CV6" s="4" t="s">
        <v>21</v>
      </c>
      <c r="CW6" s="312" t="s">
        <v>26</v>
      </c>
      <c r="CX6" s="213" t="s">
        <v>204</v>
      </c>
      <c r="CY6" s="213" t="s">
        <v>185</v>
      </c>
      <c r="CZ6" s="213" t="s">
        <v>205</v>
      </c>
      <c r="DA6" s="215" t="s">
        <v>206</v>
      </c>
      <c r="DB6" s="216" t="s">
        <v>207</v>
      </c>
      <c r="DC6" s="322" t="s">
        <v>203</v>
      </c>
      <c r="DE6" s="187" t="s">
        <v>21</v>
      </c>
      <c r="DF6" s="316" t="s">
        <v>26</v>
      </c>
      <c r="DG6" s="320">
        <f>AVERAGE(C$6,K$6,T$6,AD$6,AM$6,AV$6,BE$6,BN$6,BW$6,CF$6,CO$6,CX$6)</f>
        <v>3.0092592592592595E-4</v>
      </c>
      <c r="DH6" s="320">
        <f t="shared" ref="DH6:DL6" si="2">AVERAGE(D$6,L$6,U$6,AE$6,AN$6,AW$6,BF$6,BO$6,BX$6,CG$6,CP$6,CY$6)</f>
        <v>2.7649176954732508E-4</v>
      </c>
      <c r="DI6" s="320">
        <f t="shared" si="2"/>
        <v>2.7520576131687238E-4</v>
      </c>
      <c r="DJ6" s="319">
        <f t="shared" si="2"/>
        <v>1.6640946502057613E-3</v>
      </c>
      <c r="DK6" s="319">
        <f t="shared" si="2"/>
        <v>2.0645254629629633E-3</v>
      </c>
      <c r="DL6" s="319">
        <f t="shared" si="2"/>
        <v>1.0146604938271605E-3</v>
      </c>
    </row>
    <row r="7" spans="1:116">
      <c r="A7" s="4" t="s">
        <v>22</v>
      </c>
      <c r="B7" s="9" t="s">
        <v>27</v>
      </c>
      <c r="C7" s="53">
        <v>0.95</v>
      </c>
      <c r="D7" s="53">
        <v>0.95</v>
      </c>
      <c r="E7" s="53">
        <v>0.97</v>
      </c>
      <c r="F7" s="117">
        <v>0.64</v>
      </c>
      <c r="G7" s="45">
        <v>0.5</v>
      </c>
      <c r="H7" s="141">
        <v>0.86</v>
      </c>
      <c r="J7" s="1" t="s">
        <v>22</v>
      </c>
      <c r="K7" s="312" t="s">
        <v>27</v>
      </c>
      <c r="L7" s="53">
        <v>0.92</v>
      </c>
      <c r="M7" s="53">
        <v>0.97</v>
      </c>
      <c r="N7" s="53">
        <v>0.94</v>
      </c>
      <c r="O7" s="117">
        <v>0.77</v>
      </c>
      <c r="P7" s="45">
        <v>0.49</v>
      </c>
      <c r="Q7" s="141">
        <v>0.81</v>
      </c>
      <c r="S7" s="4" t="s">
        <v>22</v>
      </c>
      <c r="T7" s="312" t="s">
        <v>27</v>
      </c>
      <c r="U7" s="53">
        <v>0.96</v>
      </c>
      <c r="V7" s="53">
        <v>0.96</v>
      </c>
      <c r="W7" s="53">
        <v>0.96</v>
      </c>
      <c r="X7" s="117">
        <v>0.61</v>
      </c>
      <c r="Y7" s="45">
        <v>0.64</v>
      </c>
      <c r="Z7" s="324">
        <v>0.77</v>
      </c>
      <c r="AB7" s="1" t="s">
        <v>22</v>
      </c>
      <c r="AC7" s="312" t="s">
        <v>27</v>
      </c>
      <c r="AD7" s="53">
        <v>0.89</v>
      </c>
      <c r="AE7" s="53">
        <v>0.94</v>
      </c>
      <c r="AF7" s="53">
        <v>0.93</v>
      </c>
      <c r="AG7" s="117">
        <v>0.65</v>
      </c>
      <c r="AH7" s="45"/>
      <c r="AI7" s="141">
        <v>0.9</v>
      </c>
      <c r="AK7" s="4" t="s">
        <v>22</v>
      </c>
      <c r="AL7" s="312" t="s">
        <v>27</v>
      </c>
      <c r="AM7" s="53">
        <v>0.88</v>
      </c>
      <c r="AN7" s="53">
        <v>0.94</v>
      </c>
      <c r="AO7" s="53">
        <v>0.91</v>
      </c>
      <c r="AP7" s="117">
        <v>0.63</v>
      </c>
      <c r="AQ7" s="45">
        <v>0.55000000000000004</v>
      </c>
      <c r="AR7" s="324">
        <v>0.73</v>
      </c>
      <c r="AT7" s="1" t="s">
        <v>22</v>
      </c>
      <c r="AU7" s="312" t="s">
        <v>27</v>
      </c>
      <c r="AV7" s="53">
        <v>0.94</v>
      </c>
      <c r="AW7" s="53">
        <v>0.96</v>
      </c>
      <c r="AX7" s="53">
        <v>0.94</v>
      </c>
      <c r="AY7" s="117">
        <v>0.53</v>
      </c>
      <c r="AZ7" s="45">
        <v>0.7</v>
      </c>
      <c r="BA7" s="141">
        <v>0.85</v>
      </c>
      <c r="BC7" s="1" t="s">
        <v>22</v>
      </c>
      <c r="BD7" s="312" t="s">
        <v>27</v>
      </c>
      <c r="BE7" s="53">
        <v>0.93</v>
      </c>
      <c r="BF7" s="53">
        <v>0.97</v>
      </c>
      <c r="BG7" s="53">
        <v>0.93</v>
      </c>
      <c r="BH7" s="117">
        <v>0.65</v>
      </c>
      <c r="BI7" s="45">
        <v>0.62</v>
      </c>
      <c r="BJ7" s="141">
        <v>0.92</v>
      </c>
      <c r="BL7" s="4" t="s">
        <v>22</v>
      </c>
      <c r="BM7" s="312" t="s">
        <v>27</v>
      </c>
      <c r="BN7" s="53">
        <v>0.96</v>
      </c>
      <c r="BO7" s="53">
        <v>0.97</v>
      </c>
      <c r="BP7" s="53">
        <v>0.97</v>
      </c>
      <c r="BQ7" s="117">
        <v>0.65</v>
      </c>
      <c r="BR7" s="45">
        <v>0.66</v>
      </c>
      <c r="BS7" s="324">
        <v>0.96</v>
      </c>
      <c r="BU7" s="1" t="s">
        <v>22</v>
      </c>
      <c r="BV7" s="312" t="s">
        <v>27</v>
      </c>
      <c r="BW7" s="53">
        <v>0.96</v>
      </c>
      <c r="BX7" s="53">
        <v>0.97</v>
      </c>
      <c r="BY7" s="53">
        <v>0.99</v>
      </c>
      <c r="BZ7" s="117">
        <v>0.7</v>
      </c>
      <c r="CA7" s="45">
        <v>0.64</v>
      </c>
      <c r="CB7" s="141">
        <v>0.91</v>
      </c>
      <c r="CD7" s="4" t="s">
        <v>22</v>
      </c>
      <c r="CE7" s="312" t="s">
        <v>27</v>
      </c>
      <c r="CF7" s="53">
        <v>0.98</v>
      </c>
      <c r="CG7" s="53">
        <v>0.98</v>
      </c>
      <c r="CH7" s="53">
        <v>0.88</v>
      </c>
      <c r="CI7" s="117">
        <v>0.66</v>
      </c>
      <c r="CJ7" s="45">
        <v>0.76</v>
      </c>
      <c r="CK7" s="324">
        <v>0.87</v>
      </c>
      <c r="CM7" s="1" t="s">
        <v>22</v>
      </c>
      <c r="CN7" s="312" t="s">
        <v>27</v>
      </c>
      <c r="CO7" s="53">
        <v>0.97</v>
      </c>
      <c r="CP7" s="53">
        <v>0.98</v>
      </c>
      <c r="CQ7" s="53">
        <v>0.96</v>
      </c>
      <c r="CR7" s="117">
        <v>0.68</v>
      </c>
      <c r="CS7" s="45">
        <v>0.66</v>
      </c>
      <c r="CT7" s="141">
        <v>0.9</v>
      </c>
      <c r="CV7" s="4" t="s">
        <v>22</v>
      </c>
      <c r="CW7" s="312" t="s">
        <v>27</v>
      </c>
      <c r="CX7" s="53">
        <v>0.95</v>
      </c>
      <c r="CY7" s="53">
        <v>0.97</v>
      </c>
      <c r="CZ7" s="53">
        <v>0.9</v>
      </c>
      <c r="DA7" s="117">
        <v>0.57999999999999996</v>
      </c>
      <c r="DB7" s="45">
        <v>0.67</v>
      </c>
      <c r="DC7" s="324">
        <v>0.94</v>
      </c>
      <c r="DE7" s="188" t="s">
        <v>22</v>
      </c>
      <c r="DF7" s="317" t="s">
        <v>27</v>
      </c>
      <c r="DG7" s="141">
        <f>AVERAGE(C$7,K$7,T$7,AD$7,AM$7,AV$7,BE$7,BN$7,BW$7,CF$7,CO$7,CX$7)</f>
        <v>0.94100000000000006</v>
      </c>
      <c r="DH7" s="141">
        <f t="shared" ref="DH7:DL7" si="3">AVERAGE(D$7,L$7,U$7,AE$7,AN$7,AW$7,BF$7,BO$7,BX$7,CG$7,CP$7,CY$7)</f>
        <v>0.95916666666666683</v>
      </c>
      <c r="DI7" s="141">
        <f t="shared" si="3"/>
        <v>0.9425</v>
      </c>
      <c r="DJ7" s="45">
        <f t="shared" si="3"/>
        <v>0.68916666666666659</v>
      </c>
      <c r="DK7" s="45">
        <f t="shared" si="3"/>
        <v>0.64909090909090905</v>
      </c>
      <c r="DL7" s="45">
        <f t="shared" si="3"/>
        <v>0.8308333333333332</v>
      </c>
    </row>
    <row r="8" spans="1:116">
      <c r="A8" s="4" t="s">
        <v>23</v>
      </c>
      <c r="B8" s="9" t="s">
        <v>28</v>
      </c>
      <c r="C8" s="213">
        <v>4.1319444444444442E-3</v>
      </c>
      <c r="D8" s="214">
        <v>5.6018518518518518E-3</v>
      </c>
      <c r="E8" s="213">
        <v>6.5740740740740733E-3</v>
      </c>
      <c r="F8" s="213">
        <v>5.6944444444444438E-3</v>
      </c>
      <c r="G8" s="217">
        <v>3.9236111111111112E-3</v>
      </c>
      <c r="H8" s="217">
        <v>4.6180555555555558E-3</v>
      </c>
      <c r="J8" s="1" t="s">
        <v>23</v>
      </c>
      <c r="K8" s="312" t="s">
        <v>28</v>
      </c>
      <c r="L8" s="213">
        <v>4.1319444444444442E-3</v>
      </c>
      <c r="M8" s="214">
        <v>5.3240740740740748E-3</v>
      </c>
      <c r="N8" s="213">
        <v>4.4328703703703709E-3</v>
      </c>
      <c r="O8" s="213">
        <v>5.208333333333333E-3</v>
      </c>
      <c r="P8" s="217">
        <v>2.5694444444444445E-3</v>
      </c>
      <c r="Q8" s="217">
        <v>4.8263888888888887E-3</v>
      </c>
      <c r="S8" s="4" t="s">
        <v>23</v>
      </c>
      <c r="T8" s="312" t="s">
        <v>28</v>
      </c>
      <c r="U8" s="213">
        <v>4.7916666666666672E-3</v>
      </c>
      <c r="V8" s="214">
        <v>6.145833333333333E-3</v>
      </c>
      <c r="W8" s="213">
        <v>5.8217592592592592E-3</v>
      </c>
      <c r="X8" s="213">
        <v>6.2962962962962964E-3</v>
      </c>
      <c r="Y8" s="217">
        <v>4.31712962962963E-3</v>
      </c>
      <c r="Z8" s="322">
        <v>5.6249999999999989E-3</v>
      </c>
      <c r="AB8" s="1" t="s">
        <v>23</v>
      </c>
      <c r="AC8" s="312" t="s">
        <v>28</v>
      </c>
      <c r="AD8" s="213">
        <v>5.4166666666666669E-3</v>
      </c>
      <c r="AE8" s="214">
        <v>6.3078703703703708E-3</v>
      </c>
      <c r="AF8" s="213">
        <v>5.2199074074074066E-3</v>
      </c>
      <c r="AG8" s="213">
        <v>5.3240740740740748E-3</v>
      </c>
      <c r="AH8" s="217"/>
      <c r="AI8" s="217">
        <v>3.6689814814814814E-3</v>
      </c>
      <c r="AK8" s="4" t="s">
        <v>23</v>
      </c>
      <c r="AL8" s="312" t="s">
        <v>28</v>
      </c>
      <c r="AM8" s="213">
        <v>5.5671296296296302E-3</v>
      </c>
      <c r="AN8" s="214">
        <v>6.9212962962962969E-3</v>
      </c>
      <c r="AO8" s="213">
        <v>5.9606481481481489E-3</v>
      </c>
      <c r="AP8" s="213">
        <v>5.2546296296296299E-3</v>
      </c>
      <c r="AQ8" s="217">
        <v>2.7893518518518519E-3</v>
      </c>
      <c r="AR8" s="322">
        <v>6.0995370370370361E-3</v>
      </c>
      <c r="AT8" s="1" t="s">
        <v>23</v>
      </c>
      <c r="AU8" s="312" t="s">
        <v>28</v>
      </c>
      <c r="AV8" s="213">
        <v>4.2708333333333339E-3</v>
      </c>
      <c r="AW8" s="214">
        <v>6.215277777777777E-3</v>
      </c>
      <c r="AX8" s="213">
        <v>4.3749999999999995E-3</v>
      </c>
      <c r="AY8" s="213">
        <v>5.7523148148148143E-3</v>
      </c>
      <c r="AZ8" s="217">
        <v>4.5023148148148149E-3</v>
      </c>
      <c r="BA8" s="217">
        <v>5.5324074074074069E-3</v>
      </c>
      <c r="BC8" s="1" t="s">
        <v>23</v>
      </c>
      <c r="BD8" s="312" t="s">
        <v>28</v>
      </c>
      <c r="BE8" s="213">
        <v>4.6874999999999998E-3</v>
      </c>
      <c r="BF8" s="214">
        <v>6.3541666666666668E-3</v>
      </c>
      <c r="BG8" s="213">
        <v>8.3333333333333332E-3</v>
      </c>
      <c r="BH8" s="213">
        <v>4.7222222222222223E-3</v>
      </c>
      <c r="BI8" s="217">
        <v>5.185185185185185E-3</v>
      </c>
      <c r="BJ8" s="217">
        <v>4.0162037037037033E-3</v>
      </c>
      <c r="BL8" s="4" t="s">
        <v>23</v>
      </c>
      <c r="BM8" s="312" t="s">
        <v>28</v>
      </c>
      <c r="BN8" s="213">
        <v>4.6180555555555558E-3</v>
      </c>
      <c r="BO8" s="214">
        <v>6.6319444444444446E-3</v>
      </c>
      <c r="BP8" s="213">
        <v>6.2499999999999995E-3</v>
      </c>
      <c r="BQ8" s="213">
        <v>5.7175925925925927E-3</v>
      </c>
      <c r="BR8" s="217">
        <v>4.3981481481481484E-3</v>
      </c>
      <c r="BS8" s="322">
        <v>4.2592592592592595E-3</v>
      </c>
      <c r="BU8" s="1" t="s">
        <v>23</v>
      </c>
      <c r="BV8" s="312" t="s">
        <v>28</v>
      </c>
      <c r="BW8" s="213">
        <v>3.8773148148148143E-3</v>
      </c>
      <c r="BX8" s="214">
        <v>6.6203703703703702E-3</v>
      </c>
      <c r="BY8" s="213">
        <v>4.8842592592592592E-3</v>
      </c>
      <c r="BZ8" s="213">
        <v>5.4629629629629637E-3</v>
      </c>
      <c r="CA8" s="217">
        <v>5.37037037037037E-3</v>
      </c>
      <c r="CB8" s="217">
        <v>4.7800925925925919E-3</v>
      </c>
      <c r="CD8" s="4" t="s">
        <v>23</v>
      </c>
      <c r="CE8" s="312" t="s">
        <v>28</v>
      </c>
      <c r="CF8" s="213" t="s">
        <v>190</v>
      </c>
      <c r="CG8" s="214" t="s">
        <v>191</v>
      </c>
      <c r="CH8" s="213" t="s">
        <v>192</v>
      </c>
      <c r="CI8" s="213" t="s">
        <v>193</v>
      </c>
      <c r="CJ8" s="217" t="s">
        <v>194</v>
      </c>
      <c r="CK8" s="322" t="s">
        <v>195</v>
      </c>
      <c r="CM8" s="1" t="s">
        <v>23</v>
      </c>
      <c r="CN8" s="312" t="s">
        <v>28</v>
      </c>
      <c r="CO8" s="213" t="s">
        <v>208</v>
      </c>
      <c r="CP8" s="214" t="s">
        <v>213</v>
      </c>
      <c r="CQ8" s="213" t="s">
        <v>214</v>
      </c>
      <c r="CR8" s="213" t="s">
        <v>215</v>
      </c>
      <c r="CS8" s="217" t="s">
        <v>216</v>
      </c>
      <c r="CT8" s="217" t="s">
        <v>217</v>
      </c>
      <c r="CV8" s="4" t="s">
        <v>23</v>
      </c>
      <c r="CW8" s="312" t="s">
        <v>28</v>
      </c>
      <c r="CX8" s="213" t="s">
        <v>208</v>
      </c>
      <c r="CY8" s="214" t="s">
        <v>209</v>
      </c>
      <c r="CZ8" s="213" t="s">
        <v>210</v>
      </c>
      <c r="DA8" s="213" t="s">
        <v>211</v>
      </c>
      <c r="DB8" s="217" t="s">
        <v>212</v>
      </c>
      <c r="DC8" s="322" t="s">
        <v>209</v>
      </c>
      <c r="DE8" s="187" t="s">
        <v>23</v>
      </c>
      <c r="DF8" s="316" t="s">
        <v>28</v>
      </c>
      <c r="DG8" s="320">
        <f>AVERAGE(C$8,K$8,T$8,AD$8,AM$8,AV$8,BE$8,BN$8,BW$8,CF$8,CO$8,CX$8)</f>
        <v>4.6527777777777782E-3</v>
      </c>
      <c r="DH8" s="320">
        <f t="shared" ref="DH8:DL8" si="4">AVERAGE(D$8,L$8,U$8,AE$8,AN$8,AW$8,BF$8,BO$8,BX$8,CG$8,CP$8,CY$8)</f>
        <v>5.9529320987654327E-3</v>
      </c>
      <c r="DI8" s="320">
        <f t="shared" si="4"/>
        <v>5.8963477366255138E-3</v>
      </c>
      <c r="DJ8" s="320">
        <f t="shared" si="4"/>
        <v>5.3536522633744858E-3</v>
      </c>
      <c r="DK8" s="320">
        <f t="shared" si="4"/>
        <v>4.7092013888888886E-3</v>
      </c>
      <c r="DL8" s="320">
        <f t="shared" si="4"/>
        <v>4.4290123456790127E-3</v>
      </c>
    </row>
    <row r="9" spans="1:116">
      <c r="A9" s="4" t="s">
        <v>24</v>
      </c>
      <c r="B9" s="9" t="s">
        <v>29</v>
      </c>
      <c r="C9" s="53">
        <v>0.91</v>
      </c>
      <c r="D9" s="117">
        <v>0.8</v>
      </c>
      <c r="E9" s="117">
        <v>0.83</v>
      </c>
      <c r="F9" s="117">
        <v>0.8</v>
      </c>
      <c r="G9" s="141">
        <v>0.86</v>
      </c>
      <c r="H9" s="45">
        <v>0.81</v>
      </c>
      <c r="J9" s="1" t="s">
        <v>24</v>
      </c>
      <c r="K9" s="312" t="s">
        <v>29</v>
      </c>
      <c r="L9" s="53">
        <v>0.9</v>
      </c>
      <c r="M9" s="117">
        <v>0.85</v>
      </c>
      <c r="N9" s="117">
        <v>0.88</v>
      </c>
      <c r="O9" s="117">
        <v>0.81</v>
      </c>
      <c r="P9" s="141">
        <v>0.91</v>
      </c>
      <c r="Q9" s="45">
        <v>0.85</v>
      </c>
      <c r="S9" s="4" t="s">
        <v>24</v>
      </c>
      <c r="T9" s="312" t="s">
        <v>29</v>
      </c>
      <c r="U9" s="53">
        <v>0.85</v>
      </c>
      <c r="V9" s="117">
        <v>0.77</v>
      </c>
      <c r="W9" s="117">
        <v>0.81</v>
      </c>
      <c r="X9" s="117">
        <v>0.77</v>
      </c>
      <c r="Y9" s="141">
        <v>0.88</v>
      </c>
      <c r="Z9" s="323">
        <v>0.77</v>
      </c>
      <c r="AB9" s="1" t="s">
        <v>24</v>
      </c>
      <c r="AC9" s="312" t="s">
        <v>29</v>
      </c>
      <c r="AD9" s="53">
        <v>0.82</v>
      </c>
      <c r="AE9" s="117">
        <v>0.78</v>
      </c>
      <c r="AF9" s="117">
        <v>0.84</v>
      </c>
      <c r="AG9" s="117">
        <v>0.79</v>
      </c>
      <c r="AH9" s="141"/>
      <c r="AI9" s="45">
        <v>0.91</v>
      </c>
      <c r="AK9" s="4" t="s">
        <v>24</v>
      </c>
      <c r="AL9" s="312" t="s">
        <v>29</v>
      </c>
      <c r="AM9" s="53">
        <v>0.82</v>
      </c>
      <c r="AN9" s="117">
        <v>0.72</v>
      </c>
      <c r="AO9" s="117">
        <v>0.81</v>
      </c>
      <c r="AP9" s="117">
        <v>0.78</v>
      </c>
      <c r="AQ9" s="141">
        <v>0.93</v>
      </c>
      <c r="AR9" s="323">
        <v>0.82</v>
      </c>
      <c r="AT9" s="1" t="s">
        <v>24</v>
      </c>
      <c r="AU9" s="312" t="s">
        <v>29</v>
      </c>
      <c r="AV9" s="53">
        <v>0.89</v>
      </c>
      <c r="AW9" s="117">
        <v>0.77</v>
      </c>
      <c r="AX9" s="117">
        <v>0.91</v>
      </c>
      <c r="AY9" s="117">
        <v>0.79</v>
      </c>
      <c r="AZ9" s="141">
        <v>0.86</v>
      </c>
      <c r="BA9" s="45">
        <v>0.78</v>
      </c>
      <c r="BC9" s="1" t="s">
        <v>24</v>
      </c>
      <c r="BD9" s="312" t="s">
        <v>29</v>
      </c>
      <c r="BE9" s="53">
        <v>0.87</v>
      </c>
      <c r="BF9" s="117">
        <v>0.78</v>
      </c>
      <c r="BG9" s="117">
        <v>0.7</v>
      </c>
      <c r="BH9" s="117">
        <v>0.85</v>
      </c>
      <c r="BI9" s="141">
        <v>0.79</v>
      </c>
      <c r="BJ9" s="45">
        <v>0.93</v>
      </c>
      <c r="BL9" s="4" t="s">
        <v>24</v>
      </c>
      <c r="BM9" s="312" t="s">
        <v>29</v>
      </c>
      <c r="BN9" s="53">
        <v>0.89</v>
      </c>
      <c r="BO9" s="117">
        <v>0.75</v>
      </c>
      <c r="BP9" s="117">
        <v>0.77</v>
      </c>
      <c r="BQ9" s="117">
        <v>0.78</v>
      </c>
      <c r="BR9" s="141">
        <v>0.85</v>
      </c>
      <c r="BS9" s="323">
        <v>0.87</v>
      </c>
      <c r="BU9" s="1" t="s">
        <v>24</v>
      </c>
      <c r="BV9" s="312" t="s">
        <v>29</v>
      </c>
      <c r="BW9" s="53">
        <v>0.91</v>
      </c>
      <c r="BX9" s="117">
        <v>0.76</v>
      </c>
      <c r="BY9" s="117">
        <v>0.9</v>
      </c>
      <c r="BZ9" s="117">
        <v>0.83</v>
      </c>
      <c r="CA9" s="141">
        <v>0.81</v>
      </c>
      <c r="CB9" s="45">
        <v>0.83</v>
      </c>
      <c r="CD9" s="4" t="s">
        <v>24</v>
      </c>
      <c r="CE9" s="312" t="s">
        <v>29</v>
      </c>
      <c r="CF9" s="53">
        <v>0.89</v>
      </c>
      <c r="CG9" s="117">
        <v>0.75</v>
      </c>
      <c r="CH9" s="117">
        <v>0.83</v>
      </c>
      <c r="CI9" s="117">
        <v>0.78</v>
      </c>
      <c r="CJ9" s="141">
        <v>0.76</v>
      </c>
      <c r="CK9" s="323">
        <v>0.83</v>
      </c>
      <c r="CM9" s="1" t="s">
        <v>24</v>
      </c>
      <c r="CN9" s="312" t="s">
        <v>29</v>
      </c>
      <c r="CO9" s="53">
        <v>0.87</v>
      </c>
      <c r="CP9" s="117">
        <v>0.77</v>
      </c>
      <c r="CQ9" s="117">
        <v>0.85</v>
      </c>
      <c r="CR9" s="117">
        <v>0.77</v>
      </c>
      <c r="CS9" s="141">
        <v>0.78</v>
      </c>
      <c r="CT9" s="45">
        <v>0.88</v>
      </c>
      <c r="CV9" s="4" t="s">
        <v>24</v>
      </c>
      <c r="CW9" s="312" t="s">
        <v>29</v>
      </c>
      <c r="CX9" s="53">
        <v>0.84</v>
      </c>
      <c r="CY9" s="117">
        <v>0.71</v>
      </c>
      <c r="CZ9" s="117">
        <v>0.79</v>
      </c>
      <c r="DA9" s="117">
        <v>0.73</v>
      </c>
      <c r="DB9" s="141">
        <v>0.79</v>
      </c>
      <c r="DC9" s="323">
        <v>0.86</v>
      </c>
      <c r="DE9" s="188" t="s">
        <v>24</v>
      </c>
      <c r="DF9" s="317" t="s">
        <v>29</v>
      </c>
      <c r="DG9" s="141">
        <f>AVERAGE(C$9,K$9,T$9,AD$9,AM$9,AV$9,BE$9,BN$9,BW$9,CF$9,CO$9,CX$9)</f>
        <v>0.87099999999999989</v>
      </c>
      <c r="DH9" s="45">
        <f t="shared" ref="DH9:DL9" si="5">AVERAGE(D$9,L$9,U$9,AE$9,AN$9,AW$9,BF$9,BO$9,BX$9,CG$9,CP$9,CY$9)</f>
        <v>0.77833333333333332</v>
      </c>
      <c r="DI9" s="45">
        <f t="shared" si="5"/>
        <v>0.82083333333333341</v>
      </c>
      <c r="DJ9" s="45">
        <f t="shared" si="5"/>
        <v>0.79916666666666669</v>
      </c>
      <c r="DK9" s="45">
        <f t="shared" si="5"/>
        <v>0.81909090909090887</v>
      </c>
      <c r="DL9" s="141">
        <f t="shared" si="5"/>
        <v>0.85916666666666675</v>
      </c>
    </row>
    <row r="10" spans="1:116">
      <c r="A10" s="4" t="s">
        <v>25</v>
      </c>
      <c r="B10" s="3">
        <v>0.85</v>
      </c>
      <c r="C10" s="53">
        <v>0.9</v>
      </c>
      <c r="D10" s="53">
        <v>0.94</v>
      </c>
      <c r="E10" s="133">
        <v>0.92</v>
      </c>
      <c r="F10" s="133">
        <v>0.92</v>
      </c>
      <c r="G10" s="45">
        <v>0.78</v>
      </c>
      <c r="H10" s="133">
        <v>0.86</v>
      </c>
      <c r="J10" s="1" t="s">
        <v>25</v>
      </c>
      <c r="K10" s="3">
        <v>0.85</v>
      </c>
      <c r="L10" s="53">
        <v>0.86</v>
      </c>
      <c r="M10" s="53">
        <v>0.98</v>
      </c>
      <c r="N10" s="133">
        <v>0.91</v>
      </c>
      <c r="O10" s="133">
        <v>0.89</v>
      </c>
      <c r="P10" s="45">
        <v>1</v>
      </c>
      <c r="Q10" s="133">
        <v>1</v>
      </c>
      <c r="S10" s="4" t="s">
        <v>25</v>
      </c>
      <c r="T10" s="3">
        <v>0.85</v>
      </c>
      <c r="U10" s="53">
        <v>0.84</v>
      </c>
      <c r="V10" s="53">
        <v>0.98</v>
      </c>
      <c r="W10" s="133">
        <v>1</v>
      </c>
      <c r="X10" s="133">
        <v>0.94</v>
      </c>
      <c r="Y10" s="45">
        <v>0.77</v>
      </c>
      <c r="Z10" s="325">
        <v>0.67</v>
      </c>
      <c r="AB10" s="1" t="s">
        <v>25</v>
      </c>
      <c r="AC10" s="3">
        <v>0.85</v>
      </c>
      <c r="AD10" s="53">
        <v>0.83</v>
      </c>
      <c r="AE10" s="53">
        <v>0.95</v>
      </c>
      <c r="AF10" s="133">
        <v>0.83</v>
      </c>
      <c r="AG10" s="133">
        <v>0.89</v>
      </c>
      <c r="AH10" s="45"/>
      <c r="AI10" s="133">
        <v>1</v>
      </c>
      <c r="AK10" s="4" t="s">
        <v>25</v>
      </c>
      <c r="AL10" s="3">
        <v>0.85</v>
      </c>
      <c r="AM10" s="53">
        <v>0.82</v>
      </c>
      <c r="AN10" s="53">
        <v>0.96</v>
      </c>
      <c r="AO10" s="133">
        <v>0.87</v>
      </c>
      <c r="AP10" s="133">
        <v>1</v>
      </c>
      <c r="AQ10" s="45">
        <v>0.5</v>
      </c>
      <c r="AR10" s="325">
        <v>0.86</v>
      </c>
      <c r="AT10" s="1" t="s">
        <v>25</v>
      </c>
      <c r="AU10" s="3">
        <v>0.85</v>
      </c>
      <c r="AV10" s="53">
        <v>0.93</v>
      </c>
      <c r="AW10" s="53">
        <v>0.98</v>
      </c>
      <c r="AX10" s="133">
        <v>0.92</v>
      </c>
      <c r="AY10" s="133">
        <v>1</v>
      </c>
      <c r="AZ10" s="45">
        <v>0.81</v>
      </c>
      <c r="BA10" s="133">
        <v>0.89</v>
      </c>
      <c r="BC10" s="1" t="s">
        <v>25</v>
      </c>
      <c r="BD10" s="3">
        <v>0.85</v>
      </c>
      <c r="BE10" s="53">
        <v>0.82</v>
      </c>
      <c r="BF10" s="53">
        <v>0.95</v>
      </c>
      <c r="BG10" s="133">
        <v>0.88</v>
      </c>
      <c r="BH10" s="133">
        <v>1</v>
      </c>
      <c r="BI10" s="45">
        <v>0.78</v>
      </c>
      <c r="BJ10" s="133">
        <v>1</v>
      </c>
      <c r="BL10" s="4" t="s">
        <v>25</v>
      </c>
      <c r="BM10" s="3">
        <v>0.85</v>
      </c>
      <c r="BN10" s="53">
        <v>0.98</v>
      </c>
      <c r="BO10" s="53">
        <v>0.95</v>
      </c>
      <c r="BP10" s="133">
        <v>0.95</v>
      </c>
      <c r="BQ10" s="133">
        <v>0.96</v>
      </c>
      <c r="BR10" s="45">
        <v>0.73</v>
      </c>
      <c r="BS10" s="325">
        <v>0.96</v>
      </c>
      <c r="BU10" s="1" t="s">
        <v>25</v>
      </c>
      <c r="BV10" s="3">
        <v>0.85</v>
      </c>
      <c r="BW10" s="53">
        <v>0.89</v>
      </c>
      <c r="BX10" s="53">
        <v>0.95</v>
      </c>
      <c r="BY10" s="133">
        <v>1</v>
      </c>
      <c r="BZ10" s="133">
        <v>0.94</v>
      </c>
      <c r="CA10" s="45">
        <v>0.85</v>
      </c>
      <c r="CB10" s="133">
        <v>0.85</v>
      </c>
      <c r="CD10" s="4" t="s">
        <v>25</v>
      </c>
      <c r="CE10" s="3">
        <v>0.85</v>
      </c>
      <c r="CF10" s="53">
        <v>0.9</v>
      </c>
      <c r="CG10" s="53">
        <v>0.96</v>
      </c>
      <c r="CH10" s="133">
        <v>1</v>
      </c>
      <c r="CI10" s="133">
        <v>0.95</v>
      </c>
      <c r="CJ10" s="45">
        <v>0.89</v>
      </c>
      <c r="CK10" s="325">
        <v>0.73</v>
      </c>
      <c r="CM10" s="1" t="s">
        <v>25</v>
      </c>
      <c r="CN10" s="3">
        <v>0.85</v>
      </c>
      <c r="CO10" s="53">
        <v>0.89</v>
      </c>
      <c r="CP10" s="53">
        <v>0.97</v>
      </c>
      <c r="CQ10" s="133">
        <v>0.91</v>
      </c>
      <c r="CR10" s="133">
        <v>1</v>
      </c>
      <c r="CS10" s="45">
        <v>0.87</v>
      </c>
      <c r="CT10" s="133">
        <v>0.5</v>
      </c>
      <c r="CV10" s="4" t="s">
        <v>25</v>
      </c>
      <c r="CW10" s="3">
        <v>0.85</v>
      </c>
      <c r="CX10" s="53">
        <v>0.87</v>
      </c>
      <c r="CY10" s="53">
        <v>0.94</v>
      </c>
      <c r="CZ10" s="133">
        <v>1</v>
      </c>
      <c r="DA10" s="133">
        <v>0.92</v>
      </c>
      <c r="DB10" s="45">
        <v>0.74</v>
      </c>
      <c r="DC10" s="325">
        <v>0.83</v>
      </c>
      <c r="DE10" s="187" t="s">
        <v>25</v>
      </c>
      <c r="DF10" s="318">
        <v>0.85</v>
      </c>
      <c r="DG10" s="334">
        <f>AVERAGE(C$10,K$10,T$10,AD$10,AM$10,AV$10,BE$10,BN$10,BW$10,CF$10,CO$10,CX$10)</f>
        <v>0.87749999999999995</v>
      </c>
      <c r="DH10" s="334">
        <f t="shared" ref="DH10:DL10" si="6">AVERAGE(D$10,L$10,U$10,AE$10,AN$10,AW$10,BF$10,BO$10,BX$10,CG$10,CP$10,CY$10)</f>
        <v>0.9375</v>
      </c>
      <c r="DI10" s="334">
        <f t="shared" si="6"/>
        <v>0.93666666666666665</v>
      </c>
      <c r="DJ10" s="334">
        <f t="shared" si="6"/>
        <v>0.95750000000000002</v>
      </c>
      <c r="DK10" s="335">
        <f t="shared" si="6"/>
        <v>0.7981818181818181</v>
      </c>
      <c r="DL10" s="334">
        <f t="shared" si="6"/>
        <v>0.85416666666666663</v>
      </c>
    </row>
    <row r="11" spans="1:116">
      <c r="A11" s="4" t="s">
        <v>31</v>
      </c>
      <c r="B11" s="125" t="s">
        <v>16</v>
      </c>
      <c r="C11" s="124">
        <v>59</v>
      </c>
      <c r="D11" s="124">
        <v>180</v>
      </c>
      <c r="E11" s="124">
        <v>13</v>
      </c>
      <c r="F11" s="124">
        <v>13</v>
      </c>
      <c r="G11" s="30">
        <v>9</v>
      </c>
      <c r="H11" s="129">
        <v>7</v>
      </c>
      <c r="J11" s="1" t="s">
        <v>31</v>
      </c>
      <c r="K11" s="125" t="s">
        <v>16</v>
      </c>
      <c r="L11" s="124">
        <v>51</v>
      </c>
      <c r="M11" s="124">
        <v>162</v>
      </c>
      <c r="N11" s="124">
        <v>11</v>
      </c>
      <c r="O11" s="124">
        <v>9</v>
      </c>
      <c r="P11" s="30">
        <v>4</v>
      </c>
      <c r="Q11" s="129">
        <v>7</v>
      </c>
      <c r="S11" s="4" t="s">
        <v>31</v>
      </c>
      <c r="T11" s="125" t="s">
        <v>16</v>
      </c>
      <c r="U11" s="124">
        <v>76</v>
      </c>
      <c r="V11" s="124">
        <v>221</v>
      </c>
      <c r="W11" s="124">
        <v>17</v>
      </c>
      <c r="X11" s="124">
        <v>18</v>
      </c>
      <c r="Y11" s="30">
        <v>13</v>
      </c>
      <c r="Z11" s="326">
        <v>6</v>
      </c>
      <c r="AB11" s="1" t="s">
        <v>31</v>
      </c>
      <c r="AC11" s="125" t="s">
        <v>16</v>
      </c>
      <c r="AD11" s="124">
        <v>144</v>
      </c>
      <c r="AE11" s="124">
        <v>216</v>
      </c>
      <c r="AF11" s="124">
        <v>12</v>
      </c>
      <c r="AG11" s="124">
        <v>18</v>
      </c>
      <c r="AH11" s="30"/>
      <c r="AI11" s="129">
        <v>3</v>
      </c>
      <c r="AK11" s="4" t="s">
        <v>31</v>
      </c>
      <c r="AL11" s="125" t="s">
        <v>16</v>
      </c>
      <c r="AM11" s="124">
        <v>143</v>
      </c>
      <c r="AN11" s="124">
        <v>221</v>
      </c>
      <c r="AO11" s="124">
        <v>15</v>
      </c>
      <c r="AP11" s="124">
        <v>26</v>
      </c>
      <c r="AQ11" s="30">
        <v>6</v>
      </c>
      <c r="AR11" s="326">
        <v>7</v>
      </c>
      <c r="AT11" s="1" t="s">
        <v>31</v>
      </c>
      <c r="AU11" s="125" t="s">
        <v>16</v>
      </c>
      <c r="AV11" s="124">
        <v>73</v>
      </c>
      <c r="AW11" s="124">
        <v>189</v>
      </c>
      <c r="AX11" s="124">
        <v>12</v>
      </c>
      <c r="AY11" s="124">
        <v>24</v>
      </c>
      <c r="AZ11" s="30">
        <v>26</v>
      </c>
      <c r="BA11" s="129">
        <v>9</v>
      </c>
      <c r="BC11" s="1" t="s">
        <v>31</v>
      </c>
      <c r="BD11" s="125" t="s">
        <v>16</v>
      </c>
      <c r="BE11" s="124">
        <v>45</v>
      </c>
      <c r="BF11" s="124">
        <v>156</v>
      </c>
      <c r="BG11" s="124">
        <v>16</v>
      </c>
      <c r="BH11" s="124">
        <v>18</v>
      </c>
      <c r="BI11" s="30">
        <v>27</v>
      </c>
      <c r="BJ11" s="129">
        <v>7</v>
      </c>
      <c r="BL11" s="4" t="s">
        <v>31</v>
      </c>
      <c r="BM11" s="125" t="s">
        <v>16</v>
      </c>
      <c r="BN11" s="124">
        <v>54</v>
      </c>
      <c r="BO11" s="124">
        <v>195</v>
      </c>
      <c r="BP11" s="124">
        <v>20</v>
      </c>
      <c r="BQ11" s="124">
        <v>27</v>
      </c>
      <c r="BR11" s="30">
        <v>22</v>
      </c>
      <c r="BS11" s="326">
        <v>23</v>
      </c>
      <c r="BU11" s="1" t="s">
        <v>31</v>
      </c>
      <c r="BV11" s="125" t="s">
        <v>16</v>
      </c>
      <c r="BW11" s="124">
        <v>82</v>
      </c>
      <c r="BX11" s="124">
        <v>172</v>
      </c>
      <c r="BY11" s="124">
        <v>15</v>
      </c>
      <c r="BZ11" s="124">
        <v>18</v>
      </c>
      <c r="CA11" s="30">
        <v>34</v>
      </c>
      <c r="CB11" s="129">
        <v>13</v>
      </c>
      <c r="CD11" s="4" t="s">
        <v>31</v>
      </c>
      <c r="CE11" s="125" t="s">
        <v>16</v>
      </c>
      <c r="CF11" s="124">
        <v>70</v>
      </c>
      <c r="CG11" s="124">
        <v>214</v>
      </c>
      <c r="CH11" s="124">
        <v>8</v>
      </c>
      <c r="CI11" s="124">
        <v>20</v>
      </c>
      <c r="CJ11" s="30">
        <v>28</v>
      </c>
      <c r="CK11" s="326">
        <v>11</v>
      </c>
      <c r="CM11" s="1" t="s">
        <v>31</v>
      </c>
      <c r="CN11" s="125" t="s">
        <v>16</v>
      </c>
      <c r="CO11" s="124">
        <v>66</v>
      </c>
      <c r="CP11" s="124">
        <v>179</v>
      </c>
      <c r="CQ11" s="124">
        <v>11</v>
      </c>
      <c r="CR11" s="124">
        <v>29</v>
      </c>
      <c r="CS11" s="30">
        <v>37</v>
      </c>
      <c r="CT11" s="129">
        <v>4</v>
      </c>
      <c r="CV11" s="4" t="s">
        <v>31</v>
      </c>
      <c r="CW11" s="125" t="s">
        <v>16</v>
      </c>
      <c r="CX11" s="124">
        <v>61</v>
      </c>
      <c r="CY11" s="124">
        <v>160</v>
      </c>
      <c r="CZ11" s="124">
        <v>8</v>
      </c>
      <c r="DA11" s="124">
        <v>13</v>
      </c>
      <c r="DB11" s="30">
        <v>27</v>
      </c>
      <c r="DC11" s="326">
        <v>12</v>
      </c>
      <c r="DE11" s="188" t="s">
        <v>31</v>
      </c>
      <c r="DF11" s="333" t="s">
        <v>16</v>
      </c>
      <c r="DG11" s="129">
        <f>SUM(C$11,K$11,T$11,AD$11,AM$11,AV$11,BE$11,BN$11,BW$11,CF$11,CO$11,CX$11)</f>
        <v>797</v>
      </c>
      <c r="DH11" s="129">
        <f t="shared" ref="DH11:DL11" si="7">SUM(D$11,L$11,U$11,AE$11,AN$11,AW$11,BF$11,BO$11,BX$11,CG$11,CP$11,CY$11)</f>
        <v>2009</v>
      </c>
      <c r="DI11" s="129">
        <f t="shared" si="7"/>
        <v>513</v>
      </c>
      <c r="DJ11" s="129">
        <f t="shared" si="7"/>
        <v>234</v>
      </c>
      <c r="DK11" s="129">
        <f t="shared" si="7"/>
        <v>243</v>
      </c>
      <c r="DL11" s="129">
        <f t="shared" si="7"/>
        <v>113</v>
      </c>
    </row>
    <row r="12" spans="1:116">
      <c r="A12" s="5" t="s">
        <v>73</v>
      </c>
      <c r="B12" s="125" t="s">
        <v>16</v>
      </c>
      <c r="C12" s="126">
        <v>0.13</v>
      </c>
      <c r="D12" s="126">
        <v>0.23</v>
      </c>
      <c r="E12" s="127">
        <v>0.19</v>
      </c>
      <c r="F12" s="127">
        <v>0.17</v>
      </c>
      <c r="G12" s="141">
        <v>0.11</v>
      </c>
      <c r="H12" s="128">
        <v>0.11</v>
      </c>
      <c r="J12" s="1" t="s">
        <v>73</v>
      </c>
      <c r="K12" s="125" t="s">
        <v>16</v>
      </c>
      <c r="L12" s="53">
        <v>0.12</v>
      </c>
      <c r="M12" s="53">
        <v>0.23</v>
      </c>
      <c r="N12" s="330">
        <v>0.16</v>
      </c>
      <c r="O12" s="330">
        <v>0.21</v>
      </c>
      <c r="P12" s="141">
        <v>0.11</v>
      </c>
      <c r="Q12" s="133">
        <v>0.1</v>
      </c>
      <c r="S12" s="5" t="s">
        <v>73</v>
      </c>
      <c r="T12" s="332" t="s">
        <v>16</v>
      </c>
      <c r="U12" s="126">
        <v>0.15</v>
      </c>
      <c r="V12" s="126">
        <v>0.25</v>
      </c>
      <c r="W12" s="127">
        <v>0.24</v>
      </c>
      <c r="X12" s="127">
        <v>0.15</v>
      </c>
      <c r="Y12" s="142">
        <v>0.14000000000000001</v>
      </c>
      <c r="Z12" s="327">
        <v>7.0000000000000007E-2</v>
      </c>
      <c r="AB12" s="1" t="s">
        <v>73</v>
      </c>
      <c r="AC12" s="125" t="s">
        <v>16</v>
      </c>
      <c r="AD12" s="53">
        <v>0.16</v>
      </c>
      <c r="AE12" s="53">
        <v>0.19</v>
      </c>
      <c r="AF12" s="330">
        <v>0.1</v>
      </c>
      <c r="AG12" s="330">
        <v>0.18</v>
      </c>
      <c r="AH12" s="141"/>
      <c r="AI12" s="133">
        <v>0.05</v>
      </c>
      <c r="AK12" s="5" t="s">
        <v>73</v>
      </c>
      <c r="AL12" s="332" t="s">
        <v>16</v>
      </c>
      <c r="AM12" s="126">
        <v>0.18</v>
      </c>
      <c r="AN12" s="126">
        <v>0.21</v>
      </c>
      <c r="AO12" s="127">
        <v>0.12</v>
      </c>
      <c r="AP12" s="127">
        <v>0.2</v>
      </c>
      <c r="AQ12" s="142">
        <v>0.14000000000000001</v>
      </c>
      <c r="AR12" s="327">
        <v>0.11</v>
      </c>
      <c r="AT12" s="1" t="s">
        <v>73</v>
      </c>
      <c r="AU12" s="125" t="s">
        <v>16</v>
      </c>
      <c r="AV12" s="53">
        <v>0.17</v>
      </c>
      <c r="AW12" s="53">
        <v>0.2</v>
      </c>
      <c r="AX12" s="330">
        <v>0.18</v>
      </c>
      <c r="AY12" s="330">
        <v>0.2</v>
      </c>
      <c r="AZ12" s="141">
        <v>0.14000000000000001</v>
      </c>
      <c r="BA12" s="133">
        <v>0.1</v>
      </c>
      <c r="BC12" s="1" t="s">
        <v>73</v>
      </c>
      <c r="BD12" s="125" t="s">
        <v>16</v>
      </c>
      <c r="BE12" s="53">
        <v>0.12</v>
      </c>
      <c r="BF12" s="53">
        <v>0.2</v>
      </c>
      <c r="BG12" s="330">
        <v>0.18</v>
      </c>
      <c r="BH12" s="330">
        <v>0.13</v>
      </c>
      <c r="BI12" s="141">
        <v>0.17</v>
      </c>
      <c r="BJ12" s="133">
        <v>0.08</v>
      </c>
      <c r="BL12" s="5" t="s">
        <v>73</v>
      </c>
      <c r="BM12" s="332" t="s">
        <v>16</v>
      </c>
      <c r="BN12" s="126">
        <v>0.13</v>
      </c>
      <c r="BO12" s="126">
        <v>0.2</v>
      </c>
      <c r="BP12" s="127">
        <v>0.27</v>
      </c>
      <c r="BQ12" s="127">
        <v>0.17</v>
      </c>
      <c r="BR12" s="142">
        <v>0.14000000000000001</v>
      </c>
      <c r="BS12" s="327">
        <v>0.15</v>
      </c>
      <c r="BU12" s="1" t="s">
        <v>73</v>
      </c>
      <c r="BV12" s="125" t="s">
        <v>16</v>
      </c>
      <c r="BW12" s="53">
        <v>0.16</v>
      </c>
      <c r="BX12" s="53">
        <v>0.19</v>
      </c>
      <c r="BY12" s="330">
        <v>0.22</v>
      </c>
      <c r="BZ12" s="330">
        <v>0.14000000000000001</v>
      </c>
      <c r="CA12" s="141">
        <v>0.15</v>
      </c>
      <c r="CB12" s="133">
        <v>0.14000000000000001</v>
      </c>
      <c r="CD12" s="5" t="s">
        <v>73</v>
      </c>
      <c r="CE12" s="332" t="s">
        <v>16</v>
      </c>
      <c r="CF12" s="126">
        <v>0.13</v>
      </c>
      <c r="CG12" s="126">
        <v>0.25</v>
      </c>
      <c r="CH12" s="127">
        <v>0.13</v>
      </c>
      <c r="CI12" s="127">
        <v>0.2</v>
      </c>
      <c r="CJ12" s="142">
        <v>0.1</v>
      </c>
      <c r="CK12" s="327">
        <v>0.12</v>
      </c>
      <c r="CM12" s="1" t="s">
        <v>73</v>
      </c>
      <c r="CN12" s="125" t="s">
        <v>16</v>
      </c>
      <c r="CO12" s="53">
        <v>0.16</v>
      </c>
      <c r="CP12" s="53">
        <v>0.23</v>
      </c>
      <c r="CQ12" s="330">
        <v>0.23</v>
      </c>
      <c r="CR12" s="330">
        <v>0.26</v>
      </c>
      <c r="CS12" s="141">
        <v>0.17</v>
      </c>
      <c r="CT12" s="133">
        <v>7.0000000000000007E-2</v>
      </c>
      <c r="CV12" s="5" t="s">
        <v>73</v>
      </c>
      <c r="CW12" s="332" t="s">
        <v>16</v>
      </c>
      <c r="CX12" s="126">
        <v>0.15</v>
      </c>
      <c r="CY12" s="126">
        <v>0.22</v>
      </c>
      <c r="CZ12" s="127">
        <v>0.2</v>
      </c>
      <c r="DA12" s="127">
        <v>0.14000000000000001</v>
      </c>
      <c r="DB12" s="142">
        <v>0.18</v>
      </c>
      <c r="DC12" s="327">
        <v>0.19</v>
      </c>
      <c r="DE12" s="187" t="s">
        <v>73</v>
      </c>
      <c r="DF12" s="333" t="s">
        <v>16</v>
      </c>
      <c r="DG12" s="334">
        <f>AVERAGE(C$12,K$12,T$12,AD$12,AM$12,AV$12,BE$12,BN$12,BW$12,CF$12,CO$12,CX$12)</f>
        <v>0.14899999999999999</v>
      </c>
      <c r="DH12" s="334">
        <f t="shared" ref="DH12:DL12" si="8">AVERAGE(D$12,L$12,U$12,AE$12,AN$12,AW$12,BF$12,BO$12,BX$12,CG$12,CP$12,CY$12)</f>
        <v>0.19916666666666669</v>
      </c>
      <c r="DI12" s="334">
        <f t="shared" si="8"/>
        <v>0.19166666666666668</v>
      </c>
      <c r="DJ12" s="334">
        <f t="shared" si="8"/>
        <v>0.1825</v>
      </c>
      <c r="DK12" s="334">
        <f t="shared" si="8"/>
        <v>0.15090909090909091</v>
      </c>
      <c r="DL12" s="334">
        <f t="shared" si="8"/>
        <v>0.11416666666666665</v>
      </c>
    </row>
    <row r="14" spans="1:116" ht="18.5">
      <c r="A14" s="423" t="s">
        <v>172</v>
      </c>
      <c r="B14" s="424"/>
      <c r="C14" s="424"/>
      <c r="D14" s="424"/>
      <c r="E14" s="424"/>
      <c r="F14" s="424"/>
      <c r="G14" s="425"/>
      <c r="H14" s="118"/>
      <c r="J14" s="427" t="s">
        <v>175</v>
      </c>
      <c r="K14" s="428"/>
      <c r="L14" s="428"/>
      <c r="M14" s="428"/>
      <c r="N14" s="428"/>
      <c r="O14" s="428"/>
      <c r="P14" s="429"/>
      <c r="Q14" s="118"/>
      <c r="S14" s="423" t="s">
        <v>176</v>
      </c>
      <c r="T14" s="424"/>
      <c r="U14" s="424"/>
      <c r="V14" s="424"/>
      <c r="W14" s="424"/>
      <c r="X14" s="424"/>
      <c r="Y14" s="425"/>
      <c r="Z14" s="118"/>
      <c r="AB14" s="423" t="s">
        <v>177</v>
      </c>
      <c r="AC14" s="424"/>
      <c r="AD14" s="424"/>
      <c r="AE14" s="424"/>
      <c r="AF14" s="424"/>
      <c r="AG14" s="424"/>
      <c r="AH14" s="425"/>
      <c r="AI14" s="118"/>
      <c r="AK14" s="427" t="s">
        <v>178</v>
      </c>
      <c r="AL14" s="428"/>
      <c r="AM14" s="428"/>
      <c r="AN14" s="428"/>
      <c r="AO14" s="428"/>
      <c r="AP14" s="428"/>
      <c r="AQ14" s="429"/>
      <c r="AR14" s="118"/>
      <c r="AT14" s="427" t="s">
        <v>179</v>
      </c>
      <c r="AU14" s="428"/>
      <c r="AV14" s="428"/>
      <c r="AW14" s="428"/>
      <c r="AX14" s="428"/>
      <c r="AY14" s="428"/>
      <c r="AZ14" s="429"/>
      <c r="BA14" s="118"/>
      <c r="BC14" s="423" t="s">
        <v>180</v>
      </c>
      <c r="BD14" s="424"/>
      <c r="BE14" s="424"/>
      <c r="BF14" s="424"/>
      <c r="BG14" s="424"/>
      <c r="BH14" s="424"/>
      <c r="BI14" s="425"/>
      <c r="BJ14" s="118"/>
      <c r="BL14" s="423" t="s">
        <v>181</v>
      </c>
      <c r="BM14" s="424"/>
      <c r="BN14" s="424"/>
      <c r="BO14" s="424"/>
      <c r="BP14" s="424"/>
      <c r="BQ14" s="424"/>
      <c r="BR14" s="425"/>
      <c r="BS14" s="118"/>
      <c r="BU14" s="427" t="s">
        <v>182</v>
      </c>
      <c r="BV14" s="428"/>
      <c r="BW14" s="428"/>
      <c r="BX14" s="428"/>
      <c r="BY14" s="428"/>
      <c r="BZ14" s="428"/>
      <c r="CA14" s="429"/>
      <c r="CB14" s="118"/>
      <c r="CD14" s="423" t="s">
        <v>183</v>
      </c>
      <c r="CE14" s="424"/>
      <c r="CF14" s="424"/>
      <c r="CG14" s="424"/>
      <c r="CH14" s="424"/>
      <c r="CI14" s="424"/>
      <c r="CJ14" s="425"/>
      <c r="CK14" s="118"/>
      <c r="CM14" s="427" t="s">
        <v>196</v>
      </c>
      <c r="CN14" s="428"/>
      <c r="CO14" s="428"/>
      <c r="CP14" s="428"/>
      <c r="CQ14" s="428"/>
      <c r="CR14" s="428"/>
      <c r="CS14" s="429"/>
      <c r="CT14" s="118"/>
      <c r="CV14" s="423" t="s">
        <v>202</v>
      </c>
      <c r="CW14" s="424"/>
      <c r="CX14" s="424"/>
      <c r="CY14" s="424"/>
      <c r="CZ14" s="424"/>
      <c r="DA14" s="424"/>
      <c r="DB14" s="425"/>
      <c r="DC14" s="118"/>
      <c r="DF14" s="423" t="s">
        <v>233</v>
      </c>
      <c r="DG14" s="424"/>
      <c r="DH14" s="424"/>
      <c r="DI14" s="424"/>
      <c r="DJ14" s="424"/>
      <c r="DK14" s="424"/>
      <c r="DL14" s="425"/>
    </row>
    <row r="15" spans="1:116">
      <c r="A15" s="6" t="s">
        <v>17</v>
      </c>
      <c r="B15" s="7" t="s">
        <v>71</v>
      </c>
      <c r="C15" s="7" t="s">
        <v>35</v>
      </c>
      <c r="D15" s="7" t="s">
        <v>13</v>
      </c>
      <c r="E15" s="7" t="s">
        <v>11</v>
      </c>
      <c r="F15" s="7" t="s">
        <v>10</v>
      </c>
      <c r="G15" s="7" t="s">
        <v>14</v>
      </c>
      <c r="J15" s="7" t="s">
        <v>17</v>
      </c>
      <c r="K15" s="7" t="s">
        <v>71</v>
      </c>
      <c r="L15" s="7" t="s">
        <v>35</v>
      </c>
      <c r="M15" s="7" t="s">
        <v>13</v>
      </c>
      <c r="N15" s="7" t="s">
        <v>11</v>
      </c>
      <c r="O15" s="7" t="s">
        <v>10</v>
      </c>
      <c r="P15" s="7" t="s">
        <v>14</v>
      </c>
      <c r="S15" s="6" t="s">
        <v>17</v>
      </c>
      <c r="T15" s="7" t="s">
        <v>71</v>
      </c>
      <c r="U15" s="7" t="s">
        <v>35</v>
      </c>
      <c r="V15" s="7" t="s">
        <v>13</v>
      </c>
      <c r="W15" s="7" t="s">
        <v>11</v>
      </c>
      <c r="X15" s="7" t="s">
        <v>10</v>
      </c>
      <c r="Y15" s="93" t="s">
        <v>14</v>
      </c>
      <c r="AB15" s="7" t="s">
        <v>17</v>
      </c>
      <c r="AC15" s="7" t="s">
        <v>71</v>
      </c>
      <c r="AD15" s="7" t="s">
        <v>35</v>
      </c>
      <c r="AE15" s="7" t="s">
        <v>13</v>
      </c>
      <c r="AF15" s="7" t="s">
        <v>11</v>
      </c>
      <c r="AG15" s="7" t="s">
        <v>10</v>
      </c>
      <c r="AH15" s="7" t="s">
        <v>14</v>
      </c>
      <c r="AK15" s="6" t="s">
        <v>17</v>
      </c>
      <c r="AL15" s="7" t="s">
        <v>71</v>
      </c>
      <c r="AM15" s="7" t="s">
        <v>35</v>
      </c>
      <c r="AN15" s="7" t="s">
        <v>13</v>
      </c>
      <c r="AO15" s="7" t="s">
        <v>11</v>
      </c>
      <c r="AP15" s="7" t="s">
        <v>10</v>
      </c>
      <c r="AQ15" s="93" t="s">
        <v>14</v>
      </c>
      <c r="AT15" s="7" t="s">
        <v>17</v>
      </c>
      <c r="AU15" s="7" t="s">
        <v>71</v>
      </c>
      <c r="AV15" s="7" t="s">
        <v>35</v>
      </c>
      <c r="AW15" s="7" t="s">
        <v>13</v>
      </c>
      <c r="AX15" s="7" t="s">
        <v>11</v>
      </c>
      <c r="AY15" s="7" t="s">
        <v>10</v>
      </c>
      <c r="AZ15" s="7" t="s">
        <v>14</v>
      </c>
      <c r="BC15" s="6" t="s">
        <v>17</v>
      </c>
      <c r="BD15" s="7" t="s">
        <v>71</v>
      </c>
      <c r="BE15" s="7" t="s">
        <v>35</v>
      </c>
      <c r="BF15" s="7" t="s">
        <v>13</v>
      </c>
      <c r="BG15" s="7" t="s">
        <v>11</v>
      </c>
      <c r="BH15" s="7" t="s">
        <v>10</v>
      </c>
      <c r="BI15" s="93" t="s">
        <v>14</v>
      </c>
      <c r="BL15" s="7" t="s">
        <v>17</v>
      </c>
      <c r="BM15" s="7" t="s">
        <v>71</v>
      </c>
      <c r="BN15" s="7" t="s">
        <v>35</v>
      </c>
      <c r="BO15" s="7" t="s">
        <v>13</v>
      </c>
      <c r="BP15" s="7" t="s">
        <v>11</v>
      </c>
      <c r="BQ15" s="7" t="s">
        <v>10</v>
      </c>
      <c r="BR15" s="7" t="s">
        <v>14</v>
      </c>
      <c r="BU15" s="6" t="s">
        <v>17</v>
      </c>
      <c r="BV15" s="7" t="s">
        <v>71</v>
      </c>
      <c r="BW15" s="7" t="s">
        <v>35</v>
      </c>
      <c r="BX15" s="7" t="s">
        <v>13</v>
      </c>
      <c r="BY15" s="7" t="s">
        <v>11</v>
      </c>
      <c r="BZ15" s="7" t="s">
        <v>10</v>
      </c>
      <c r="CA15" s="93" t="s">
        <v>14</v>
      </c>
      <c r="CD15" s="7" t="s">
        <v>17</v>
      </c>
      <c r="CE15" s="7" t="s">
        <v>71</v>
      </c>
      <c r="CF15" s="7" t="s">
        <v>35</v>
      </c>
      <c r="CG15" s="7" t="s">
        <v>13</v>
      </c>
      <c r="CH15" s="7" t="s">
        <v>11</v>
      </c>
      <c r="CI15" s="7" t="s">
        <v>10</v>
      </c>
      <c r="CJ15" s="7" t="s">
        <v>14</v>
      </c>
      <c r="CM15" s="6" t="s">
        <v>17</v>
      </c>
      <c r="CN15" s="7" t="s">
        <v>71</v>
      </c>
      <c r="CO15" s="7" t="s">
        <v>35</v>
      </c>
      <c r="CP15" s="7" t="s">
        <v>13</v>
      </c>
      <c r="CQ15" s="7" t="s">
        <v>11</v>
      </c>
      <c r="CR15" s="7" t="s">
        <v>10</v>
      </c>
      <c r="CS15" s="93" t="s">
        <v>14</v>
      </c>
      <c r="CV15" s="7" t="s">
        <v>17</v>
      </c>
      <c r="CW15" s="7" t="s">
        <v>71</v>
      </c>
      <c r="CX15" s="7" t="s">
        <v>35</v>
      </c>
      <c r="CY15" s="7" t="s">
        <v>13</v>
      </c>
      <c r="CZ15" s="7" t="s">
        <v>11</v>
      </c>
      <c r="DA15" s="7" t="s">
        <v>10</v>
      </c>
      <c r="DB15" s="7" t="s">
        <v>14</v>
      </c>
      <c r="DF15" s="7" t="s">
        <v>17</v>
      </c>
      <c r="DG15" s="7" t="s">
        <v>71</v>
      </c>
      <c r="DH15" s="7" t="s">
        <v>35</v>
      </c>
      <c r="DI15" s="7" t="s">
        <v>13</v>
      </c>
      <c r="DJ15" s="7" t="s">
        <v>11</v>
      </c>
      <c r="DK15" s="7" t="s">
        <v>10</v>
      </c>
      <c r="DL15" s="7" t="s">
        <v>14</v>
      </c>
    </row>
    <row r="16" spans="1:116">
      <c r="A16" s="4" t="s">
        <v>37</v>
      </c>
      <c r="B16" s="1">
        <v>454</v>
      </c>
      <c r="C16" s="1">
        <v>799</v>
      </c>
      <c r="D16" s="1">
        <v>69</v>
      </c>
      <c r="E16" s="1">
        <v>76</v>
      </c>
      <c r="F16" s="42">
        <v>80</v>
      </c>
      <c r="G16" s="1">
        <v>63</v>
      </c>
      <c r="J16" s="1" t="s">
        <v>37</v>
      </c>
      <c r="K16" s="1">
        <v>428</v>
      </c>
      <c r="L16" s="1">
        <v>692</v>
      </c>
      <c r="M16" s="1">
        <v>67</v>
      </c>
      <c r="N16" s="1">
        <v>44</v>
      </c>
      <c r="O16" s="42">
        <v>35</v>
      </c>
      <c r="P16" s="1">
        <v>68</v>
      </c>
      <c r="S16" s="4" t="s">
        <v>37</v>
      </c>
      <c r="T16" s="1">
        <v>493</v>
      </c>
      <c r="U16" s="1">
        <v>898</v>
      </c>
      <c r="V16" s="1">
        <v>70</v>
      </c>
      <c r="W16" s="1">
        <v>123</v>
      </c>
      <c r="X16" s="42">
        <v>95</v>
      </c>
      <c r="Y16" s="94">
        <v>81</v>
      </c>
      <c r="AB16" s="1" t="s">
        <v>37</v>
      </c>
      <c r="AC16" s="1">
        <v>901</v>
      </c>
      <c r="AD16" s="1">
        <v>1151</v>
      </c>
      <c r="AE16" s="1">
        <v>123</v>
      </c>
      <c r="AF16" s="1">
        <v>99</v>
      </c>
      <c r="AG16" s="42"/>
      <c r="AH16" s="1">
        <v>61</v>
      </c>
      <c r="AK16" s="4" t="s">
        <v>37</v>
      </c>
      <c r="AL16" s="1">
        <v>806</v>
      </c>
      <c r="AM16" s="1">
        <v>1075</v>
      </c>
      <c r="AN16" s="1">
        <v>125</v>
      </c>
      <c r="AO16" s="1">
        <v>133</v>
      </c>
      <c r="AP16" s="42">
        <v>44</v>
      </c>
      <c r="AQ16" s="94">
        <v>66</v>
      </c>
      <c r="AT16" s="1" t="s">
        <v>37</v>
      </c>
      <c r="AU16" s="1">
        <v>435</v>
      </c>
      <c r="AV16" s="1">
        <v>939</v>
      </c>
      <c r="AW16" s="1">
        <v>67</v>
      </c>
      <c r="AX16" s="1">
        <v>120</v>
      </c>
      <c r="AY16" s="42">
        <v>189</v>
      </c>
      <c r="AZ16" s="1">
        <v>94</v>
      </c>
      <c r="BC16" s="4" t="s">
        <v>37</v>
      </c>
      <c r="BD16" s="1">
        <v>366</v>
      </c>
      <c r="BE16" s="1">
        <v>784</v>
      </c>
      <c r="BF16" s="1">
        <v>89</v>
      </c>
      <c r="BG16" s="1">
        <v>136</v>
      </c>
      <c r="BH16" s="42">
        <v>162</v>
      </c>
      <c r="BI16" s="94">
        <v>83</v>
      </c>
      <c r="BL16" s="1" t="s">
        <v>37</v>
      </c>
      <c r="BM16" s="1">
        <v>428</v>
      </c>
      <c r="BN16" s="1">
        <v>990</v>
      </c>
      <c r="BO16" s="1">
        <v>75</v>
      </c>
      <c r="BP16" s="1">
        <v>156</v>
      </c>
      <c r="BQ16" s="42">
        <v>157</v>
      </c>
      <c r="BR16" s="1">
        <v>152</v>
      </c>
      <c r="BU16" s="4" t="s">
        <v>37</v>
      </c>
      <c r="BV16" s="1">
        <v>514</v>
      </c>
      <c r="BW16" s="1">
        <v>921</v>
      </c>
      <c r="BX16" s="1">
        <v>68</v>
      </c>
      <c r="BY16" s="1">
        <v>125</v>
      </c>
      <c r="BZ16" s="42">
        <v>233</v>
      </c>
      <c r="CA16" s="94">
        <v>96</v>
      </c>
      <c r="CD16" s="1" t="s">
        <v>37</v>
      </c>
      <c r="CE16" s="1">
        <v>539</v>
      </c>
      <c r="CF16" s="1">
        <v>871</v>
      </c>
      <c r="CG16" s="1">
        <v>64</v>
      </c>
      <c r="CH16" s="1">
        <v>101</v>
      </c>
      <c r="CI16" s="42">
        <v>285</v>
      </c>
      <c r="CJ16" s="1">
        <v>94</v>
      </c>
      <c r="CM16" s="4" t="s">
        <v>37</v>
      </c>
      <c r="CN16" s="1">
        <v>425</v>
      </c>
      <c r="CO16" s="1">
        <v>765</v>
      </c>
      <c r="CP16" s="1">
        <v>47</v>
      </c>
      <c r="CQ16" s="1">
        <v>112</v>
      </c>
      <c r="CR16" s="42">
        <v>213</v>
      </c>
      <c r="CS16" s="94">
        <v>60</v>
      </c>
      <c r="CV16" s="1" t="s">
        <v>37</v>
      </c>
      <c r="CW16" s="1">
        <v>396</v>
      </c>
      <c r="CX16" s="1">
        <v>714</v>
      </c>
      <c r="CY16" s="1">
        <v>41</v>
      </c>
      <c r="CZ16" s="1">
        <v>90</v>
      </c>
      <c r="DA16" s="42">
        <v>147</v>
      </c>
      <c r="DB16" s="1">
        <v>63</v>
      </c>
      <c r="DF16" s="1" t="s">
        <v>37</v>
      </c>
      <c r="DG16" s="1">
        <f>SUM(B$16,K$16,T$16,AC$16,AL$16,AU$16,BD$16,BM$16,BV$16,CE$16,CN$16,CW$16)</f>
        <v>6185</v>
      </c>
      <c r="DH16" s="1">
        <f t="shared" ref="DH16:DL16" si="9">SUM(C$16,L$16,U$16,AD$16,AM$16,AV$16,BE$16,BN$16,BW$16,CF$16,CO$16,CX$16)</f>
        <v>10599</v>
      </c>
      <c r="DI16" s="1">
        <f t="shared" si="9"/>
        <v>905</v>
      </c>
      <c r="DJ16" s="1">
        <f t="shared" si="9"/>
        <v>1315</v>
      </c>
      <c r="DK16" s="1">
        <f t="shared" si="9"/>
        <v>1640</v>
      </c>
      <c r="DL16" s="1">
        <f t="shared" si="9"/>
        <v>981</v>
      </c>
    </row>
    <row r="17" spans="1:116">
      <c r="A17" s="4" t="s">
        <v>38</v>
      </c>
      <c r="B17" s="1">
        <v>3</v>
      </c>
      <c r="C17" s="1">
        <v>12</v>
      </c>
      <c r="D17" s="1">
        <v>0</v>
      </c>
      <c r="E17" s="1">
        <v>30</v>
      </c>
      <c r="F17" s="42">
        <v>168</v>
      </c>
      <c r="G17" s="1">
        <v>30</v>
      </c>
      <c r="J17" s="1" t="s">
        <v>38</v>
      </c>
      <c r="K17" s="1">
        <v>3</v>
      </c>
      <c r="L17" s="1">
        <v>2</v>
      </c>
      <c r="M17" s="1">
        <v>1</v>
      </c>
      <c r="N17" s="1">
        <v>10</v>
      </c>
      <c r="O17" s="42">
        <v>158</v>
      </c>
      <c r="P17" s="1">
        <v>29</v>
      </c>
      <c r="S17" s="4" t="s">
        <v>38</v>
      </c>
      <c r="T17" s="1">
        <v>6</v>
      </c>
      <c r="U17" s="1">
        <v>5</v>
      </c>
      <c r="V17" s="1">
        <v>0</v>
      </c>
      <c r="W17" s="1">
        <v>41</v>
      </c>
      <c r="X17" s="42">
        <v>66</v>
      </c>
      <c r="Y17" s="94">
        <v>18</v>
      </c>
      <c r="AB17" s="1" t="s">
        <v>38</v>
      </c>
      <c r="AC17" s="1">
        <v>17</v>
      </c>
      <c r="AD17" s="1">
        <v>8</v>
      </c>
      <c r="AE17" s="1">
        <v>2</v>
      </c>
      <c r="AF17" s="1">
        <v>60</v>
      </c>
      <c r="AG17" s="42"/>
      <c r="AH17" s="1">
        <v>50</v>
      </c>
      <c r="AK17" s="4" t="s">
        <v>38</v>
      </c>
      <c r="AL17" s="1">
        <v>1</v>
      </c>
      <c r="AM17" s="1">
        <v>10</v>
      </c>
      <c r="AN17" s="1">
        <v>0</v>
      </c>
      <c r="AO17" s="1">
        <v>115</v>
      </c>
      <c r="AP17" s="42">
        <v>181</v>
      </c>
      <c r="AQ17" s="94">
        <v>27</v>
      </c>
      <c r="AT17" s="1" t="s">
        <v>38</v>
      </c>
      <c r="AU17" s="1">
        <v>8</v>
      </c>
      <c r="AV17" s="1">
        <v>11</v>
      </c>
      <c r="AW17" s="1">
        <v>0</v>
      </c>
      <c r="AX17" s="1">
        <v>77</v>
      </c>
      <c r="AY17" s="42">
        <v>147</v>
      </c>
      <c r="AZ17" s="1">
        <v>18</v>
      </c>
      <c r="BC17" s="4" t="s">
        <v>38</v>
      </c>
      <c r="BD17" s="1">
        <v>3</v>
      </c>
      <c r="BE17" s="1">
        <v>2</v>
      </c>
      <c r="BF17" s="1">
        <v>1</v>
      </c>
      <c r="BG17" s="1">
        <v>117</v>
      </c>
      <c r="BH17" s="42">
        <v>116</v>
      </c>
      <c r="BI17" s="94">
        <v>5</v>
      </c>
      <c r="BL17" s="1" t="s">
        <v>38</v>
      </c>
      <c r="BM17" s="1">
        <v>0</v>
      </c>
      <c r="BN17" s="1">
        <v>8</v>
      </c>
      <c r="BO17" s="1">
        <v>0</v>
      </c>
      <c r="BP17" s="1">
        <v>60</v>
      </c>
      <c r="BQ17" s="42">
        <v>231</v>
      </c>
      <c r="BR17" s="1">
        <v>12</v>
      </c>
      <c r="BU17" s="4" t="s">
        <v>38</v>
      </c>
      <c r="BV17" s="1">
        <v>2</v>
      </c>
      <c r="BW17" s="1">
        <v>3</v>
      </c>
      <c r="BX17" s="1">
        <v>1</v>
      </c>
      <c r="BY17" s="1">
        <v>41</v>
      </c>
      <c r="BZ17" s="42">
        <v>69</v>
      </c>
      <c r="CA17" s="94">
        <v>8</v>
      </c>
      <c r="CD17" s="1" t="s">
        <v>38</v>
      </c>
      <c r="CE17" s="1">
        <v>9</v>
      </c>
      <c r="CF17" s="1">
        <v>4</v>
      </c>
      <c r="CG17" s="1">
        <v>0</v>
      </c>
      <c r="CH17" s="1">
        <v>30</v>
      </c>
      <c r="CI17" s="42">
        <v>25</v>
      </c>
      <c r="CJ17" s="1">
        <v>9</v>
      </c>
      <c r="CM17" s="4" t="s">
        <v>38</v>
      </c>
      <c r="CN17" s="1">
        <v>7</v>
      </c>
      <c r="CO17" s="1">
        <v>4</v>
      </c>
      <c r="CP17" s="1">
        <v>1</v>
      </c>
      <c r="CQ17" s="1">
        <v>27</v>
      </c>
      <c r="CR17" s="42">
        <v>22</v>
      </c>
      <c r="CS17" s="94">
        <v>5</v>
      </c>
      <c r="CV17" s="1" t="s">
        <v>38</v>
      </c>
      <c r="CW17" s="1">
        <v>20</v>
      </c>
      <c r="CX17" s="1">
        <v>6</v>
      </c>
      <c r="CY17" s="1">
        <v>1</v>
      </c>
      <c r="CZ17" s="1">
        <v>29</v>
      </c>
      <c r="DA17" s="42">
        <v>33</v>
      </c>
      <c r="DB17" s="1">
        <v>7</v>
      </c>
      <c r="DF17" s="1" t="s">
        <v>38</v>
      </c>
      <c r="DG17" s="1">
        <f>SUM(B$17,K$17,T$17,AC$17,AL$17,AU$17,BD$17,BM$17,BV$17,CE$17,CN$17,CW$17)</f>
        <v>79</v>
      </c>
      <c r="DH17" s="1">
        <f t="shared" ref="DH17:DL17" si="10">SUM(C$17,L$17,U$17,AD$17,AM$17,AV$17,BE$17,BN$17,BW$17,CF$17,CO$17,CX$17)</f>
        <v>75</v>
      </c>
      <c r="DI17" s="1">
        <f t="shared" si="10"/>
        <v>7</v>
      </c>
      <c r="DJ17" s="1">
        <f t="shared" si="10"/>
        <v>637</v>
      </c>
      <c r="DK17" s="1">
        <f t="shared" si="10"/>
        <v>1216</v>
      </c>
      <c r="DL17" s="1">
        <f t="shared" si="10"/>
        <v>218</v>
      </c>
    </row>
    <row r="18" spans="1:116">
      <c r="A18" s="4" t="s">
        <v>39</v>
      </c>
      <c r="B18" s="1">
        <v>0</v>
      </c>
      <c r="C18" s="1">
        <v>8</v>
      </c>
      <c r="D18" s="1">
        <v>1</v>
      </c>
      <c r="E18" s="1">
        <v>13</v>
      </c>
      <c r="F18" s="42">
        <v>0</v>
      </c>
      <c r="G18" s="1">
        <v>5</v>
      </c>
      <c r="J18" s="1" t="s">
        <v>39</v>
      </c>
      <c r="K18" s="1">
        <v>0</v>
      </c>
      <c r="L18" s="1">
        <v>4</v>
      </c>
      <c r="M18" s="1">
        <v>0</v>
      </c>
      <c r="N18" s="1">
        <v>0</v>
      </c>
      <c r="O18" s="42">
        <v>0</v>
      </c>
      <c r="P18" s="1">
        <v>3</v>
      </c>
      <c r="S18" s="4" t="s">
        <v>39</v>
      </c>
      <c r="T18" s="1">
        <v>0</v>
      </c>
      <c r="U18" s="1">
        <v>5</v>
      </c>
      <c r="V18" s="1">
        <v>0</v>
      </c>
      <c r="W18" s="1">
        <v>8</v>
      </c>
      <c r="X18" s="42">
        <v>4</v>
      </c>
      <c r="Y18" s="94">
        <v>10</v>
      </c>
      <c r="AB18" s="1" t="s">
        <v>39</v>
      </c>
      <c r="AC18" s="1">
        <v>1</v>
      </c>
      <c r="AD18" s="1">
        <v>11</v>
      </c>
      <c r="AE18" s="1">
        <v>0</v>
      </c>
      <c r="AF18" s="1">
        <v>8</v>
      </c>
      <c r="AG18" s="42"/>
      <c r="AH18" s="1">
        <v>23</v>
      </c>
      <c r="AK18" s="4" t="s">
        <v>39</v>
      </c>
      <c r="AL18" s="1">
        <v>22</v>
      </c>
      <c r="AM18" s="1">
        <v>5</v>
      </c>
      <c r="AN18" s="1">
        <v>1</v>
      </c>
      <c r="AO18" s="1">
        <v>10</v>
      </c>
      <c r="AP18" s="42">
        <v>4</v>
      </c>
      <c r="AQ18" s="94">
        <v>5</v>
      </c>
      <c r="AT18" s="1" t="s">
        <v>39</v>
      </c>
      <c r="AU18" s="1">
        <v>1</v>
      </c>
      <c r="AV18" s="1">
        <v>7</v>
      </c>
      <c r="AW18" s="1">
        <v>0</v>
      </c>
      <c r="AX18" s="1">
        <v>20</v>
      </c>
      <c r="AY18" s="42">
        <v>6</v>
      </c>
      <c r="AZ18" s="1">
        <v>1</v>
      </c>
      <c r="BC18" s="4" t="s">
        <v>39</v>
      </c>
      <c r="BD18" s="1">
        <v>0</v>
      </c>
      <c r="BE18" s="1">
        <v>7</v>
      </c>
      <c r="BF18" s="1">
        <v>0</v>
      </c>
      <c r="BG18" s="1">
        <v>15</v>
      </c>
      <c r="BH18" s="42">
        <v>2</v>
      </c>
      <c r="BI18" s="94">
        <v>2</v>
      </c>
      <c r="BL18" s="1" t="s">
        <v>39</v>
      </c>
      <c r="BM18" s="1">
        <v>3</v>
      </c>
      <c r="BN18" s="1">
        <v>5</v>
      </c>
      <c r="BO18" s="1">
        <v>0</v>
      </c>
      <c r="BP18" s="1">
        <v>19</v>
      </c>
      <c r="BQ18" s="42">
        <v>10</v>
      </c>
      <c r="BR18" s="1">
        <v>8</v>
      </c>
      <c r="BU18" s="4" t="s">
        <v>39</v>
      </c>
      <c r="BV18" s="1">
        <v>0</v>
      </c>
      <c r="BW18" s="1">
        <v>6</v>
      </c>
      <c r="BX18" s="1">
        <v>0</v>
      </c>
      <c r="BY18" s="1">
        <v>9</v>
      </c>
      <c r="BZ18" s="42">
        <v>29</v>
      </c>
      <c r="CA18" s="94">
        <v>11</v>
      </c>
      <c r="CD18" s="1" t="s">
        <v>39</v>
      </c>
      <c r="CE18" s="1">
        <v>0</v>
      </c>
      <c r="CF18" s="1">
        <v>5</v>
      </c>
      <c r="CG18" s="1">
        <v>1</v>
      </c>
      <c r="CH18" s="1">
        <v>3</v>
      </c>
      <c r="CI18" s="42">
        <v>16</v>
      </c>
      <c r="CJ18" s="1">
        <v>8</v>
      </c>
      <c r="CM18" s="4" t="s">
        <v>39</v>
      </c>
      <c r="CN18" s="1">
        <v>9</v>
      </c>
      <c r="CO18" s="1">
        <v>10</v>
      </c>
      <c r="CP18" s="1">
        <v>0</v>
      </c>
      <c r="CQ18" s="1">
        <v>5</v>
      </c>
      <c r="CR18" s="42">
        <v>4</v>
      </c>
      <c r="CS18" s="94">
        <v>0</v>
      </c>
      <c r="CV18" s="1" t="s">
        <v>39</v>
      </c>
      <c r="CW18" s="1">
        <v>41</v>
      </c>
      <c r="CX18" s="1">
        <v>3</v>
      </c>
      <c r="CY18" s="1">
        <v>0</v>
      </c>
      <c r="CZ18" s="1">
        <v>3</v>
      </c>
      <c r="DA18" s="42">
        <v>7</v>
      </c>
      <c r="DB18" s="1">
        <v>3</v>
      </c>
      <c r="DF18" s="1" t="s">
        <v>39</v>
      </c>
      <c r="DG18" s="1">
        <f>SUM(B$18,K$18,T$18,AC$18,AL$18,AU$18,BD$18,BM$18,BV$18,CE$18,CN$18,CW$18)</f>
        <v>77</v>
      </c>
      <c r="DH18" s="1">
        <f t="shared" ref="DH18:DL18" si="11">SUM(C$18,L$18,U$18,AD$18,AM$18,AV$18,BE$18,BN$18,BW$18,CF$18,CO$18,CX$18)</f>
        <v>76</v>
      </c>
      <c r="DI18" s="1">
        <f t="shared" si="11"/>
        <v>3</v>
      </c>
      <c r="DJ18" s="1">
        <f t="shared" si="11"/>
        <v>113</v>
      </c>
      <c r="DK18" s="1">
        <f t="shared" si="11"/>
        <v>82</v>
      </c>
      <c r="DL18" s="1">
        <f t="shared" si="11"/>
        <v>79</v>
      </c>
    </row>
    <row r="19" spans="1:116">
      <c r="A19" s="4" t="s">
        <v>40</v>
      </c>
      <c r="B19" s="1">
        <v>457</v>
      </c>
      <c r="C19" s="1">
        <v>819</v>
      </c>
      <c r="D19" s="1">
        <v>70</v>
      </c>
      <c r="E19" s="1">
        <v>119</v>
      </c>
      <c r="F19" s="42">
        <v>248</v>
      </c>
      <c r="G19" s="1">
        <v>98</v>
      </c>
      <c r="J19" s="1" t="s">
        <v>40</v>
      </c>
      <c r="K19" s="1">
        <v>431</v>
      </c>
      <c r="L19" s="1">
        <v>698</v>
      </c>
      <c r="M19" s="1">
        <v>68</v>
      </c>
      <c r="N19" s="1">
        <v>54</v>
      </c>
      <c r="O19" s="42">
        <v>193</v>
      </c>
      <c r="P19" s="1">
        <v>100</v>
      </c>
      <c r="S19" s="4" t="s">
        <v>40</v>
      </c>
      <c r="T19" s="1">
        <v>499</v>
      </c>
      <c r="U19" s="1">
        <v>908</v>
      </c>
      <c r="V19" s="1">
        <v>70</v>
      </c>
      <c r="W19" s="1">
        <v>173</v>
      </c>
      <c r="X19" s="42">
        <v>164</v>
      </c>
      <c r="Y19" s="94">
        <v>110</v>
      </c>
      <c r="AB19" s="1" t="s">
        <v>40</v>
      </c>
      <c r="AC19" s="1">
        <v>919</v>
      </c>
      <c r="AD19" s="1">
        <v>1170</v>
      </c>
      <c r="AE19" s="1">
        <v>125</v>
      </c>
      <c r="AF19" s="1">
        <v>167</v>
      </c>
      <c r="AG19" s="42"/>
      <c r="AH19" s="1">
        <v>134</v>
      </c>
      <c r="AK19" s="4" t="s">
        <v>40</v>
      </c>
      <c r="AL19" s="1">
        <v>829</v>
      </c>
      <c r="AM19" s="1">
        <v>1090</v>
      </c>
      <c r="AN19" s="1">
        <v>126</v>
      </c>
      <c r="AO19" s="1">
        <v>258</v>
      </c>
      <c r="AP19" s="42">
        <v>229</v>
      </c>
      <c r="AQ19" s="94">
        <v>98</v>
      </c>
      <c r="AT19" s="1" t="s">
        <v>40</v>
      </c>
      <c r="AU19" s="1">
        <v>444</v>
      </c>
      <c r="AV19" s="1">
        <v>957</v>
      </c>
      <c r="AW19" s="1">
        <v>67</v>
      </c>
      <c r="AX19" s="1">
        <v>217</v>
      </c>
      <c r="AY19" s="42">
        <v>342</v>
      </c>
      <c r="AZ19" s="1">
        <v>113</v>
      </c>
      <c r="BC19" s="4" t="s">
        <v>40</v>
      </c>
      <c r="BD19" s="1">
        <v>369</v>
      </c>
      <c r="BE19" s="1">
        <v>793</v>
      </c>
      <c r="BF19" s="1">
        <v>90</v>
      </c>
      <c r="BG19" s="1">
        <v>268</v>
      </c>
      <c r="BH19" s="42">
        <v>280</v>
      </c>
      <c r="BI19" s="94">
        <v>100</v>
      </c>
      <c r="BL19" s="1" t="s">
        <v>40</v>
      </c>
      <c r="BM19" s="1">
        <v>431</v>
      </c>
      <c r="BN19" s="1">
        <v>1003</v>
      </c>
      <c r="BO19" s="1">
        <v>75</v>
      </c>
      <c r="BP19" s="1">
        <v>235</v>
      </c>
      <c r="BQ19" s="42">
        <v>398</v>
      </c>
      <c r="BR19" s="1">
        <v>172</v>
      </c>
      <c r="BU19" s="4" t="s">
        <v>40</v>
      </c>
      <c r="BV19" s="1">
        <v>516</v>
      </c>
      <c r="BW19" s="1">
        <v>930</v>
      </c>
      <c r="BX19" s="1">
        <v>69</v>
      </c>
      <c r="BY19" s="1">
        <v>175</v>
      </c>
      <c r="BZ19" s="42">
        <v>331</v>
      </c>
      <c r="CA19" s="94">
        <v>115</v>
      </c>
      <c r="CD19" s="1" t="s">
        <v>40</v>
      </c>
      <c r="CE19" s="1">
        <v>548</v>
      </c>
      <c r="CF19" s="1">
        <v>880</v>
      </c>
      <c r="CG19" s="1">
        <v>65</v>
      </c>
      <c r="CH19" s="1">
        <v>134</v>
      </c>
      <c r="CI19" s="42">
        <v>326</v>
      </c>
      <c r="CJ19" s="1">
        <v>111</v>
      </c>
      <c r="CM19" s="4" t="s">
        <v>40</v>
      </c>
      <c r="CN19" s="1">
        <v>441</v>
      </c>
      <c r="CO19" s="1">
        <v>779</v>
      </c>
      <c r="CP19" s="1">
        <v>48</v>
      </c>
      <c r="CQ19" s="1">
        <v>144</v>
      </c>
      <c r="CR19" s="42">
        <v>239</v>
      </c>
      <c r="CS19" s="94">
        <v>65</v>
      </c>
      <c r="CV19" s="1" t="s">
        <v>40</v>
      </c>
      <c r="CW19" s="1">
        <v>457</v>
      </c>
      <c r="CX19" s="1">
        <v>723</v>
      </c>
      <c r="CY19" s="1">
        <v>42</v>
      </c>
      <c r="CZ19" s="1">
        <v>122</v>
      </c>
      <c r="DA19" s="42">
        <v>187</v>
      </c>
      <c r="DB19" s="1">
        <v>73</v>
      </c>
      <c r="DF19" s="1" t="s">
        <v>40</v>
      </c>
      <c r="DG19" s="1">
        <f>SUM(B$19,K$19,T$19,AC$19,AL$19,AU$19,BD$19,BM$19,BV$19,CE$19,CN$19,CW$19)</f>
        <v>6341</v>
      </c>
      <c r="DH19" s="1">
        <f t="shared" ref="DH19:DL19" si="12">SUM(C$19,L$19,U$19,AD$19,AM$19,AV$19,BE$19,BN$19,BW$19,CF$19,CO$19,CX$19)</f>
        <v>10750</v>
      </c>
      <c r="DI19" s="1">
        <f t="shared" si="12"/>
        <v>915</v>
      </c>
      <c r="DJ19" s="1">
        <f t="shared" si="12"/>
        <v>2066</v>
      </c>
      <c r="DK19" s="1">
        <f t="shared" si="12"/>
        <v>2937</v>
      </c>
      <c r="DL19" s="1">
        <f t="shared" si="12"/>
        <v>1289</v>
      </c>
    </row>
    <row r="20" spans="1:116">
      <c r="A20" s="4" t="s">
        <v>41</v>
      </c>
      <c r="B20" s="18">
        <f t="shared" ref="B20:G20" si="13">B16/(B19-B18)</f>
        <v>0.99343544857768051</v>
      </c>
      <c r="C20" s="60">
        <f>C16/(C19-C18)</f>
        <v>0.98520345252774355</v>
      </c>
      <c r="D20" s="60">
        <f t="shared" si="13"/>
        <v>1</v>
      </c>
      <c r="E20" s="55">
        <f t="shared" si="13"/>
        <v>0.71698113207547165</v>
      </c>
      <c r="F20" s="55">
        <f t="shared" si="13"/>
        <v>0.32258064516129031</v>
      </c>
      <c r="G20" s="55">
        <f t="shared" si="13"/>
        <v>0.67741935483870963</v>
      </c>
      <c r="J20" s="1" t="s">
        <v>41</v>
      </c>
      <c r="K20" s="18">
        <v>0.99</v>
      </c>
      <c r="L20" s="60">
        <v>1</v>
      </c>
      <c r="M20" s="60">
        <v>0.99</v>
      </c>
      <c r="N20" s="55">
        <v>0.81</v>
      </c>
      <c r="O20" s="55">
        <v>0.18</v>
      </c>
      <c r="P20" s="55">
        <v>0.7</v>
      </c>
      <c r="S20" s="4" t="s">
        <v>41</v>
      </c>
      <c r="T20" s="18">
        <v>0.99</v>
      </c>
      <c r="U20" s="60">
        <v>0.99</v>
      </c>
      <c r="V20" s="60">
        <v>1</v>
      </c>
      <c r="W20" s="55">
        <v>0.75</v>
      </c>
      <c r="X20" s="55">
        <v>0.59</v>
      </c>
      <c r="Y20" s="57">
        <v>0.81</v>
      </c>
      <c r="AB20" s="1" t="s">
        <v>41</v>
      </c>
      <c r="AC20" s="18">
        <v>0.98</v>
      </c>
      <c r="AD20" s="60">
        <v>0.99</v>
      </c>
      <c r="AE20" s="60">
        <v>0.98</v>
      </c>
      <c r="AF20" s="55">
        <v>0.62</v>
      </c>
      <c r="AG20" s="336" t="s">
        <v>16</v>
      </c>
      <c r="AH20" s="55">
        <v>0.55000000000000004</v>
      </c>
      <c r="AK20" s="4" t="s">
        <v>41</v>
      </c>
      <c r="AL20" s="18">
        <v>1</v>
      </c>
      <c r="AM20" s="60">
        <v>0.99</v>
      </c>
      <c r="AN20" s="60">
        <v>1</v>
      </c>
      <c r="AO20" s="55">
        <v>0.54</v>
      </c>
      <c r="AP20" s="55">
        <v>0.2</v>
      </c>
      <c r="AQ20" s="57">
        <v>0.71</v>
      </c>
      <c r="AT20" s="1" t="s">
        <v>41</v>
      </c>
      <c r="AU20" s="18">
        <v>0.98</v>
      </c>
      <c r="AV20" s="60">
        <v>0.99</v>
      </c>
      <c r="AW20" s="60">
        <v>1</v>
      </c>
      <c r="AX20" s="55">
        <v>0.61</v>
      </c>
      <c r="AY20" s="55">
        <v>0.56000000000000005</v>
      </c>
      <c r="AZ20" s="55">
        <v>0.84</v>
      </c>
      <c r="BC20" s="4" t="s">
        <v>41</v>
      </c>
      <c r="BD20" s="18">
        <v>0.99</v>
      </c>
      <c r="BE20" s="60">
        <v>1</v>
      </c>
      <c r="BF20" s="60">
        <v>0.99</v>
      </c>
      <c r="BG20" s="55">
        <v>0.54</v>
      </c>
      <c r="BH20" s="55">
        <v>0.57999999999999996</v>
      </c>
      <c r="BI20" s="57">
        <v>0.85</v>
      </c>
      <c r="BL20" s="1" t="s">
        <v>41</v>
      </c>
      <c r="BM20" s="18">
        <v>1</v>
      </c>
      <c r="BN20" s="60">
        <v>0.99</v>
      </c>
      <c r="BO20" s="60">
        <v>1</v>
      </c>
      <c r="BP20" s="55">
        <v>0.72</v>
      </c>
      <c r="BQ20" s="55">
        <v>0.4</v>
      </c>
      <c r="BR20" s="55">
        <v>0.93</v>
      </c>
      <c r="BU20" s="4" t="s">
        <v>41</v>
      </c>
      <c r="BV20" s="18">
        <v>1</v>
      </c>
      <c r="BW20" s="60">
        <v>1</v>
      </c>
      <c r="BX20" s="60">
        <v>0.99</v>
      </c>
      <c r="BY20" s="55">
        <v>0.75</v>
      </c>
      <c r="BZ20" s="55">
        <v>0.77</v>
      </c>
      <c r="CA20" s="57">
        <v>0.92</v>
      </c>
      <c r="CD20" s="1" t="s">
        <v>41</v>
      </c>
      <c r="CE20" s="18">
        <v>0.98</v>
      </c>
      <c r="CF20" s="60">
        <v>1</v>
      </c>
      <c r="CG20" s="60">
        <v>1</v>
      </c>
      <c r="CH20" s="55">
        <v>0.77</v>
      </c>
      <c r="CI20" s="55">
        <v>0.92</v>
      </c>
      <c r="CJ20" s="55">
        <v>0.91</v>
      </c>
      <c r="CM20" s="4" t="s">
        <v>41</v>
      </c>
      <c r="CN20" s="18">
        <v>0.98</v>
      </c>
      <c r="CO20" s="60">
        <v>0.99</v>
      </c>
      <c r="CP20" s="60">
        <v>0.98</v>
      </c>
      <c r="CQ20" s="55">
        <v>0.81</v>
      </c>
      <c r="CR20" s="55">
        <v>0.91</v>
      </c>
      <c r="CS20" s="57">
        <v>0.92</v>
      </c>
      <c r="CV20" s="1" t="s">
        <v>41</v>
      </c>
      <c r="CW20" s="18">
        <v>0.95</v>
      </c>
      <c r="CX20" s="60">
        <v>0.99</v>
      </c>
      <c r="CY20" s="60">
        <v>0.98</v>
      </c>
      <c r="CZ20" s="55">
        <v>0.76</v>
      </c>
      <c r="DA20" s="55">
        <v>0.82</v>
      </c>
      <c r="DB20" s="55">
        <v>0.9</v>
      </c>
      <c r="DF20" s="1" t="s">
        <v>41</v>
      </c>
      <c r="DG20" s="18">
        <f>AVERAGE(B$20,K$20,T$20,AC$20,AL$20,AU$20,BD$20,BM$20,BV$20,CE$20,CN$20,CW$20)</f>
        <v>0.98611962071480674</v>
      </c>
      <c r="DH20" s="18">
        <f t="shared" ref="DH20:DL20" si="14">AVERAGE(C$20,L$20,U$20,AD$20,AM$20,AV$20,BE$20,BN$20,BW$20,CF$20,CO$20,CX$20)</f>
        <v>0.99293362104397875</v>
      </c>
      <c r="DI20" s="18">
        <f t="shared" si="14"/>
        <v>0.99250000000000016</v>
      </c>
      <c r="DJ20" s="55">
        <f t="shared" si="14"/>
        <v>0.69974842767295609</v>
      </c>
      <c r="DK20" s="55">
        <f t="shared" si="14"/>
        <v>0.56841642228739009</v>
      </c>
      <c r="DL20" s="55">
        <f t="shared" si="14"/>
        <v>0.80978494623655906</v>
      </c>
    </row>
    <row r="21" spans="1:116">
      <c r="A21" s="4" t="s">
        <v>42</v>
      </c>
      <c r="B21" s="19">
        <f t="shared" ref="B21:G21" si="15">B18/B19</f>
        <v>0</v>
      </c>
      <c r="C21" s="19">
        <f t="shared" si="15"/>
        <v>9.768009768009768E-3</v>
      </c>
      <c r="D21" s="131">
        <f t="shared" si="15"/>
        <v>1.4285714285714285E-2</v>
      </c>
      <c r="E21" s="69">
        <f t="shared" si="15"/>
        <v>0.1092436974789916</v>
      </c>
      <c r="F21" s="69">
        <f t="shared" si="15"/>
        <v>0</v>
      </c>
      <c r="G21" s="69">
        <f t="shared" si="15"/>
        <v>5.1020408163265307E-2</v>
      </c>
      <c r="J21" s="1" t="s">
        <v>42</v>
      </c>
      <c r="K21" s="19">
        <v>0</v>
      </c>
      <c r="L21" s="19">
        <v>5.7000000000000002E-3</v>
      </c>
      <c r="M21" s="131">
        <v>0</v>
      </c>
      <c r="N21" s="69">
        <v>0</v>
      </c>
      <c r="O21" s="69">
        <v>0</v>
      </c>
      <c r="P21" s="69">
        <v>0.03</v>
      </c>
      <c r="S21" s="4" t="s">
        <v>42</v>
      </c>
      <c r="T21" s="19">
        <v>0</v>
      </c>
      <c r="U21" s="19">
        <v>5.4999999999999997E-3</v>
      </c>
      <c r="V21" s="131">
        <v>0</v>
      </c>
      <c r="W21" s="69">
        <v>4.6199999999999998E-2</v>
      </c>
      <c r="X21" s="69">
        <v>2.4400000000000002E-2</v>
      </c>
      <c r="Y21" s="328">
        <v>9.0899999999999995E-2</v>
      </c>
      <c r="AB21" s="1" t="s">
        <v>42</v>
      </c>
      <c r="AC21" s="19">
        <v>1.1000000000000001E-3</v>
      </c>
      <c r="AD21" s="19">
        <v>9.4000000000000004E-3</v>
      </c>
      <c r="AE21" s="131">
        <v>0</v>
      </c>
      <c r="AF21" s="69">
        <v>4.7899999999999998E-2</v>
      </c>
      <c r="AG21" s="336" t="s">
        <v>16</v>
      </c>
      <c r="AH21" s="69">
        <v>0.1716</v>
      </c>
      <c r="AK21" s="4" t="s">
        <v>42</v>
      </c>
      <c r="AL21" s="19">
        <v>2.6499999999999999E-2</v>
      </c>
      <c r="AM21" s="19">
        <v>4.5999999999999999E-3</v>
      </c>
      <c r="AN21" s="131">
        <v>7.9000000000000008E-3</v>
      </c>
      <c r="AO21" s="69">
        <v>3.8800000000000001E-2</v>
      </c>
      <c r="AP21" s="69">
        <v>1.7500000000000002E-2</v>
      </c>
      <c r="AQ21" s="328">
        <v>5.0999999999999997E-2</v>
      </c>
      <c r="AT21" s="1" t="s">
        <v>42</v>
      </c>
      <c r="AU21" s="19">
        <v>2.3E-3</v>
      </c>
      <c r="AV21" s="19">
        <v>7.3000000000000001E-3</v>
      </c>
      <c r="AW21" s="131">
        <v>0</v>
      </c>
      <c r="AX21" s="69">
        <v>9.2200000000000004E-2</v>
      </c>
      <c r="AY21" s="69">
        <v>1.7500000000000002E-2</v>
      </c>
      <c r="AZ21" s="69">
        <v>8.8000000000000005E-3</v>
      </c>
      <c r="BC21" s="4" t="s">
        <v>42</v>
      </c>
      <c r="BD21" s="19">
        <v>0</v>
      </c>
      <c r="BE21" s="19">
        <v>8.8000000000000005E-3</v>
      </c>
      <c r="BF21" s="131">
        <v>0</v>
      </c>
      <c r="BG21" s="69">
        <v>5.6000000000000001E-2</v>
      </c>
      <c r="BH21" s="69">
        <v>7.1000000000000004E-3</v>
      </c>
      <c r="BI21" s="328">
        <v>0.02</v>
      </c>
      <c r="BL21" s="1" t="s">
        <v>42</v>
      </c>
      <c r="BM21" s="19">
        <v>7.0000000000000001E-3</v>
      </c>
      <c r="BN21" s="19">
        <v>5.0000000000000001E-3</v>
      </c>
      <c r="BO21" s="131">
        <v>0</v>
      </c>
      <c r="BP21" s="69">
        <v>8.09E-2</v>
      </c>
      <c r="BQ21" s="69">
        <v>2.5100000000000001E-2</v>
      </c>
      <c r="BR21" s="69">
        <v>4.65E-2</v>
      </c>
      <c r="BU21" s="4" t="s">
        <v>42</v>
      </c>
      <c r="BV21" s="19">
        <v>0</v>
      </c>
      <c r="BW21" s="19">
        <v>6.4999999999999997E-3</v>
      </c>
      <c r="BX21" s="131">
        <v>0</v>
      </c>
      <c r="BY21" s="69">
        <v>5.1400000000000001E-2</v>
      </c>
      <c r="BZ21" s="69">
        <v>8.7599999999999997E-2</v>
      </c>
      <c r="CA21" s="328">
        <v>9.5699999999999993E-2</v>
      </c>
      <c r="CD21" s="1" t="s">
        <v>42</v>
      </c>
      <c r="CE21" s="19">
        <v>0</v>
      </c>
      <c r="CF21" s="19">
        <v>5.7000000000000002E-3</v>
      </c>
      <c r="CG21" s="131">
        <v>1.54E-2</v>
      </c>
      <c r="CH21" s="69">
        <v>2.24E-2</v>
      </c>
      <c r="CI21" s="69">
        <v>4.9099999999999998E-2</v>
      </c>
      <c r="CJ21" s="69">
        <v>7.2099999999999997E-2</v>
      </c>
      <c r="CM21" s="4" t="s">
        <v>42</v>
      </c>
      <c r="CN21" s="19">
        <v>2.0400000000000001E-2</v>
      </c>
      <c r="CO21" s="19">
        <v>1.2800000000000001E-2</v>
      </c>
      <c r="CP21" s="131">
        <v>0</v>
      </c>
      <c r="CQ21" s="69">
        <v>3.4700000000000002E-2</v>
      </c>
      <c r="CR21" s="69">
        <v>1.67E-2</v>
      </c>
      <c r="CS21" s="328">
        <v>0</v>
      </c>
      <c r="CV21" s="1" t="s">
        <v>42</v>
      </c>
      <c r="CW21" s="19">
        <v>8.9700000000000002E-2</v>
      </c>
      <c r="CX21" s="19">
        <v>4.1000000000000003E-3</v>
      </c>
      <c r="CY21" s="131">
        <v>0</v>
      </c>
      <c r="CZ21" s="69">
        <v>2.46E-2</v>
      </c>
      <c r="DA21" s="69">
        <v>3.7400000000000003E-2</v>
      </c>
      <c r="DB21" s="69">
        <v>4.1099999999999998E-2</v>
      </c>
      <c r="DF21" s="1" t="s">
        <v>42</v>
      </c>
      <c r="DG21" s="18">
        <f>AVERAGE(B$21,K$21,T$21,AC$21,AL$21,AU$21,BD$21,BM$21,BV$21,CE$21,CN$21,CW$21)</f>
        <v>1.2250000000000002E-2</v>
      </c>
      <c r="DH21" s="18">
        <f t="shared" ref="DH21:DL21" si="16">AVERAGE(C$21,L$21,U$21,AD$21,AM$21,AV$21,BE$21,BN$21,BW$21,CF$21,CO$21,CX$21)</f>
        <v>7.0973341473341486E-3</v>
      </c>
      <c r="DI21" s="18">
        <f t="shared" si="16"/>
        <v>3.1321428571428576E-3</v>
      </c>
      <c r="DJ21" s="18">
        <f t="shared" si="16"/>
        <v>5.0361974789915963E-2</v>
      </c>
      <c r="DK21" s="18">
        <f t="shared" si="16"/>
        <v>2.5672727272727271E-2</v>
      </c>
      <c r="DL21" s="18">
        <f t="shared" si="16"/>
        <v>5.6560034013605438E-2</v>
      </c>
    </row>
    <row r="22" spans="1:116">
      <c r="A22" s="5" t="s">
        <v>43</v>
      </c>
      <c r="B22" s="20">
        <f t="shared" ref="B22:G22" si="17">B17/(B19-B18)</f>
        <v>6.5645514223194746E-3</v>
      </c>
      <c r="C22" s="132">
        <f>C17/(C19-C18)</f>
        <v>1.4796547472256474E-2</v>
      </c>
      <c r="D22" s="132">
        <f t="shared" si="17"/>
        <v>0</v>
      </c>
      <c r="E22" s="54">
        <f>E17/(E19-E18)</f>
        <v>0.28301886792452829</v>
      </c>
      <c r="F22" s="54">
        <f t="shared" si="17"/>
        <v>0.67741935483870963</v>
      </c>
      <c r="G22" s="54">
        <f t="shared" si="17"/>
        <v>0.32258064516129031</v>
      </c>
      <c r="J22" s="1" t="s">
        <v>43</v>
      </c>
      <c r="K22" s="19">
        <v>7.0000000000000001E-3</v>
      </c>
      <c r="L22" s="131">
        <v>2.8999999999999998E-3</v>
      </c>
      <c r="M22" s="131">
        <v>1.47E-2</v>
      </c>
      <c r="N22" s="331">
        <v>0.1852</v>
      </c>
      <c r="O22" s="331">
        <v>0.81869999999999998</v>
      </c>
      <c r="P22" s="331">
        <v>0.29899999999999999</v>
      </c>
      <c r="S22" s="5" t="s">
        <v>43</v>
      </c>
      <c r="T22" s="20">
        <v>1.2E-2</v>
      </c>
      <c r="U22" s="132">
        <v>5.4999999999999997E-3</v>
      </c>
      <c r="V22" s="132">
        <v>0</v>
      </c>
      <c r="W22" s="54">
        <v>0.2485</v>
      </c>
      <c r="X22" s="54">
        <v>0.41249999999999998</v>
      </c>
      <c r="Y22" s="329">
        <v>0.18</v>
      </c>
      <c r="AB22" s="1" t="s">
        <v>43</v>
      </c>
      <c r="AC22" s="19">
        <v>1.8499999999999999E-2</v>
      </c>
      <c r="AD22" s="131">
        <v>6.8999999999999999E-3</v>
      </c>
      <c r="AE22" s="131">
        <v>1.6E-2</v>
      </c>
      <c r="AF22" s="331">
        <v>0.37740000000000001</v>
      </c>
      <c r="AG22" s="336" t="s">
        <v>16</v>
      </c>
      <c r="AH22" s="331">
        <v>0.45050000000000001</v>
      </c>
      <c r="AK22" s="5" t="s">
        <v>43</v>
      </c>
      <c r="AL22" s="20">
        <v>1.1999999999999999E-3</v>
      </c>
      <c r="AM22" s="132">
        <v>9.1999999999999998E-3</v>
      </c>
      <c r="AN22" s="132">
        <v>0</v>
      </c>
      <c r="AO22" s="54">
        <v>0.4637</v>
      </c>
      <c r="AP22" s="54">
        <v>0.8044</v>
      </c>
      <c r="AQ22" s="329">
        <v>0.2903</v>
      </c>
      <c r="AT22" s="1" t="s">
        <v>43</v>
      </c>
      <c r="AU22" s="19">
        <v>1.8100000000000002E-2</v>
      </c>
      <c r="AV22" s="131">
        <v>1.1599999999999999E-2</v>
      </c>
      <c r="AW22" s="131">
        <v>0</v>
      </c>
      <c r="AX22" s="331">
        <v>0.39090000000000003</v>
      </c>
      <c r="AY22" s="331">
        <v>0.4375</v>
      </c>
      <c r="AZ22" s="331">
        <v>0.16070000000000001</v>
      </c>
      <c r="BC22" s="5" t="s">
        <v>43</v>
      </c>
      <c r="BD22" s="20">
        <v>8.0999999999999996E-3</v>
      </c>
      <c r="BE22" s="132">
        <v>2.5000000000000001E-3</v>
      </c>
      <c r="BF22" s="132">
        <v>1.11E-2</v>
      </c>
      <c r="BG22" s="54">
        <v>0.46250000000000002</v>
      </c>
      <c r="BH22" s="54">
        <v>0.4173</v>
      </c>
      <c r="BI22" s="329">
        <v>5.0999999999999997E-2</v>
      </c>
      <c r="BL22" s="1" t="s">
        <v>43</v>
      </c>
      <c r="BM22" s="19">
        <v>0</v>
      </c>
      <c r="BN22" s="131">
        <v>8.0000000000000002E-3</v>
      </c>
      <c r="BO22" s="131">
        <v>0</v>
      </c>
      <c r="BP22" s="331">
        <v>0.27779999999999999</v>
      </c>
      <c r="BQ22" s="331">
        <v>0.59540000000000004</v>
      </c>
      <c r="BR22" s="331">
        <v>7.3200000000000001E-2</v>
      </c>
      <c r="BU22" s="5" t="s">
        <v>43</v>
      </c>
      <c r="BV22" s="20">
        <v>3.8999999999999998E-3</v>
      </c>
      <c r="BW22" s="132">
        <v>3.2000000000000002E-3</v>
      </c>
      <c r="BX22" s="132">
        <v>1.4500000000000001E-2</v>
      </c>
      <c r="BY22" s="54">
        <v>0.247</v>
      </c>
      <c r="BZ22" s="54">
        <v>0.22850000000000001</v>
      </c>
      <c r="CA22" s="329">
        <v>7.6899999999999996E-2</v>
      </c>
      <c r="CD22" s="1" t="s">
        <v>43</v>
      </c>
      <c r="CE22" s="19">
        <v>1.6400000000000001E-2</v>
      </c>
      <c r="CF22" s="131">
        <v>4.5999999999999999E-3</v>
      </c>
      <c r="CG22" s="131">
        <v>0</v>
      </c>
      <c r="CH22" s="331">
        <v>0.22900000000000001</v>
      </c>
      <c r="CI22" s="331">
        <v>8.0600000000000005E-2</v>
      </c>
      <c r="CJ22" s="331">
        <v>8.7400000000000005E-2</v>
      </c>
      <c r="CM22" s="5" t="s">
        <v>43</v>
      </c>
      <c r="CN22" s="20">
        <v>1.6199999999999999E-2</v>
      </c>
      <c r="CO22" s="132">
        <v>5.1999999999999998E-3</v>
      </c>
      <c r="CP22" s="132">
        <v>2.0799999999999999E-2</v>
      </c>
      <c r="CQ22" s="54">
        <v>0.19420000000000001</v>
      </c>
      <c r="CR22" s="54">
        <v>9.3600000000000003E-2</v>
      </c>
      <c r="CS22" s="329">
        <v>7.6899999999999996E-2</v>
      </c>
      <c r="CV22" s="1" t="s">
        <v>43</v>
      </c>
      <c r="CW22" s="19">
        <v>4.8099999999999997E-2</v>
      </c>
      <c r="CX22" s="131">
        <v>8.3000000000000001E-3</v>
      </c>
      <c r="CY22" s="131">
        <v>2.3800000000000002E-2</v>
      </c>
      <c r="CZ22" s="331">
        <v>0.2437</v>
      </c>
      <c r="DA22" s="331">
        <v>0.18329999999999999</v>
      </c>
      <c r="DB22" s="331">
        <v>0.1</v>
      </c>
      <c r="DF22" s="1" t="s">
        <v>43</v>
      </c>
      <c r="DG22" s="18">
        <f>AVERAGE(B$22,K$22,T$22,AC$22,AL$22,AU$22,BD$22,BM$22,BV$22,CE$22,CN$22,CW$22)</f>
        <v>1.300537928519329E-2</v>
      </c>
      <c r="DH22" s="18">
        <f t="shared" ref="DH22:DL22" si="18">AVERAGE(C$22,L$22,U$22,AD$22,AM$22,AV$22,BE$22,BN$22,BW$22,CF$22,CO$22,CX$22)</f>
        <v>6.8913789560213733E-3</v>
      </c>
      <c r="DI22" s="18">
        <f t="shared" si="18"/>
        <v>8.4083333333333336E-3</v>
      </c>
      <c r="DJ22" s="55">
        <f t="shared" si="18"/>
        <v>0.30024323899371069</v>
      </c>
      <c r="DK22" s="55">
        <f t="shared" si="18"/>
        <v>0.43174721407624639</v>
      </c>
      <c r="DL22" s="55">
        <f t="shared" si="18"/>
        <v>0.18070672043010752</v>
      </c>
    </row>
    <row r="23" spans="1:116">
      <c r="CD23" s="321"/>
    </row>
  </sheetData>
  <mergeCells count="26">
    <mergeCell ref="A2:H2"/>
    <mergeCell ref="A14:G14"/>
    <mergeCell ref="J2:Q2"/>
    <mergeCell ref="J14:P14"/>
    <mergeCell ref="S2:Z2"/>
    <mergeCell ref="S14:Y14"/>
    <mergeCell ref="AB2:AI2"/>
    <mergeCell ref="AB14:AH14"/>
    <mergeCell ref="AK2:AR2"/>
    <mergeCell ref="AK14:AQ14"/>
    <mergeCell ref="AT2:BA2"/>
    <mergeCell ref="AT14:AZ14"/>
    <mergeCell ref="BC2:BJ2"/>
    <mergeCell ref="BC14:BI14"/>
    <mergeCell ref="BL2:BS2"/>
    <mergeCell ref="BL14:BR14"/>
    <mergeCell ref="BU2:CB2"/>
    <mergeCell ref="BU14:CA14"/>
    <mergeCell ref="DE2:DL2"/>
    <mergeCell ref="DF14:DL14"/>
    <mergeCell ref="CD2:CK2"/>
    <mergeCell ref="CD14:CJ14"/>
    <mergeCell ref="CM2:CT2"/>
    <mergeCell ref="CM14:CS14"/>
    <mergeCell ref="CV2:DC2"/>
    <mergeCell ref="CV14:DB14"/>
  </mergeCells>
  <pageMargins left="0.7" right="0.7" top="0.75" bottom="0.75" header="0.3" footer="0.3"/>
  <pageSetup orientation="portrait" r:id="rId1"/>
  <tableParts count="2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E970-7FA2-43AC-8519-0FD79E19708E}">
  <sheetPr codeName="Sheet6"/>
  <dimension ref="A1:AL370"/>
  <sheetViews>
    <sheetView zoomScale="80" zoomScaleNormal="80" workbookViewId="0">
      <pane xSplit="1" ySplit="1" topLeftCell="B332" activePane="bottomRight" state="frozen"/>
      <selection pane="topRight" activeCell="B1" sqref="B1"/>
      <selection pane="bottomLeft" activeCell="A2" sqref="A2"/>
      <selection pane="bottomRight" activeCell="A368" sqref="A368"/>
    </sheetView>
  </sheetViews>
  <sheetFormatPr defaultRowHeight="14.5"/>
  <cols>
    <col min="2" max="2" width="19.1796875" bestFit="1" customWidth="1"/>
    <col min="3" max="3" width="19" bestFit="1" customWidth="1"/>
    <col min="4" max="4" width="16.453125" bestFit="1" customWidth="1"/>
    <col min="5" max="5" width="10" customWidth="1"/>
    <col min="6" max="6" width="10.36328125" customWidth="1"/>
    <col min="7" max="7" width="27.54296875" bestFit="1" customWidth="1"/>
    <col min="8" max="8" width="24.1796875" bestFit="1" customWidth="1"/>
    <col min="9" max="9" width="21.81640625" bestFit="1" customWidth="1"/>
    <col min="10" max="10" width="18.36328125" bestFit="1" customWidth="1"/>
    <col min="11" max="11" width="21" bestFit="1" customWidth="1"/>
    <col min="12" max="12" width="17.6328125" bestFit="1" customWidth="1"/>
    <col min="16" max="16" width="8.90625" customWidth="1"/>
    <col min="21" max="21" width="45.81640625" style="280" bestFit="1" customWidth="1"/>
    <col min="22" max="22" width="42.26953125" style="280" bestFit="1" customWidth="1"/>
    <col min="23" max="23" width="30.90625" style="280" bestFit="1" customWidth="1"/>
    <col min="24" max="24" width="27.36328125" style="280" bestFit="1" customWidth="1"/>
    <col min="25" max="25" width="8.7265625" style="280"/>
    <col min="26" max="26" width="13.1796875" style="280" bestFit="1" customWidth="1"/>
    <col min="27" max="27" width="13.08984375" style="280" bestFit="1" customWidth="1"/>
    <col min="28" max="28" width="13.1796875" style="280" bestFit="1" customWidth="1"/>
    <col min="29" max="29" width="8.7265625" style="280"/>
    <col min="30" max="30" width="8.26953125" style="280" customWidth="1"/>
    <col min="31" max="31" width="11.453125" style="280" bestFit="1" customWidth="1"/>
    <col min="32" max="32" width="8.7265625" style="280"/>
    <col min="33" max="33" width="4.36328125" style="280" bestFit="1" customWidth="1"/>
    <col min="34" max="34" width="12.36328125" bestFit="1" customWidth="1"/>
    <col min="35" max="35" width="21.81640625" bestFit="1" customWidth="1"/>
    <col min="36" max="36" width="23.1796875" bestFit="1" customWidth="1"/>
    <col min="37" max="37" width="11.26953125" bestFit="1" customWidth="1"/>
    <col min="41" max="41" width="9.6328125" bestFit="1" customWidth="1"/>
  </cols>
  <sheetData>
    <row r="1" spans="1:38">
      <c r="A1" s="25" t="s">
        <v>36</v>
      </c>
      <c r="B1" s="25" t="s">
        <v>255</v>
      </c>
      <c r="C1" s="28" t="s">
        <v>55</v>
      </c>
      <c r="D1" s="28" t="s">
        <v>60</v>
      </c>
      <c r="E1" s="28" t="s">
        <v>59</v>
      </c>
      <c r="F1" s="28" t="s">
        <v>34</v>
      </c>
      <c r="G1" s="28" t="s">
        <v>234</v>
      </c>
      <c r="H1" s="28" t="s">
        <v>235</v>
      </c>
      <c r="I1" s="28" t="s">
        <v>56</v>
      </c>
      <c r="J1" s="28" t="s">
        <v>57</v>
      </c>
      <c r="K1" s="28" t="s">
        <v>100</v>
      </c>
      <c r="L1" s="28" t="s">
        <v>58</v>
      </c>
      <c r="M1" s="28" t="s">
        <v>32</v>
      </c>
      <c r="N1" s="28" t="s">
        <v>5</v>
      </c>
      <c r="O1" s="28" t="s">
        <v>4</v>
      </c>
      <c r="P1" s="28" t="s">
        <v>119</v>
      </c>
      <c r="Q1" s="29" t="s">
        <v>7</v>
      </c>
      <c r="R1" s="25" t="s">
        <v>79</v>
      </c>
      <c r="S1" s="25" t="s">
        <v>80</v>
      </c>
      <c r="T1" s="25" t="s">
        <v>77</v>
      </c>
      <c r="U1" s="358" t="s">
        <v>236</v>
      </c>
      <c r="V1" s="358" t="s">
        <v>237</v>
      </c>
      <c r="W1" s="358" t="s">
        <v>238</v>
      </c>
      <c r="X1" s="358" t="s">
        <v>239</v>
      </c>
      <c r="Y1" s="339"/>
      <c r="Z1" s="339"/>
      <c r="AA1" s="339"/>
      <c r="AB1" s="339"/>
      <c r="AC1" s="339"/>
      <c r="AD1" s="339"/>
      <c r="AE1" s="339"/>
      <c r="AF1" s="339"/>
    </row>
    <row r="2" spans="1:38" s="48" customFormat="1">
      <c r="A2" s="21">
        <v>45017</v>
      </c>
      <c r="B2" s="17">
        <f>IF(YEAR(Table7[[#This Row],[Date]]) = 2023, WEEKNUM(Table7[[#This Row],[Date]])-13, WEEKNUM(Table7[[#This Row],[Date]])+40)</f>
        <v>0</v>
      </c>
      <c r="C2" s="49" t="s">
        <v>54</v>
      </c>
      <c r="D2" s="49" t="s">
        <v>94</v>
      </c>
      <c r="E2" s="50">
        <v>384</v>
      </c>
      <c r="F2" s="50">
        <v>350</v>
      </c>
      <c r="G2" s="78">
        <v>0.12609970674486803</v>
      </c>
      <c r="H2" s="78">
        <v>7.6923076923076927E-2</v>
      </c>
      <c r="I2" s="50">
        <v>384</v>
      </c>
      <c r="J2" s="50">
        <v>350</v>
      </c>
      <c r="K2" s="50">
        <v>384</v>
      </c>
      <c r="L2" s="50">
        <v>350</v>
      </c>
      <c r="M2" s="51">
        <v>0.82</v>
      </c>
      <c r="N2" s="51">
        <v>0.09</v>
      </c>
      <c r="O2" s="51">
        <v>0.91</v>
      </c>
      <c r="P2" s="51">
        <v>0.46</v>
      </c>
      <c r="Q2" s="51">
        <v>0.88</v>
      </c>
      <c r="R2" s="304">
        <v>173</v>
      </c>
      <c r="S2" s="165">
        <v>1.5972222222222224E-2</v>
      </c>
      <c r="T2" s="355">
        <v>9</v>
      </c>
      <c r="U2" s="354" t="str">
        <f>IF(OR(G2&lt;$AA$5,G2&gt;$AB$5), "Outlier", "Normal")</f>
        <v>Normal</v>
      </c>
      <c r="V2" s="354" t="str">
        <f>IF(OR(H2&lt;$AA$6,H2&gt;$AB$6), "Outlier", "Normal")</f>
        <v>Normal</v>
      </c>
      <c r="W2" s="359">
        <f>IF(U2="Normal",$G2,IF($G2&lt;150%, $G2, $AA$9))</f>
        <v>0.12609970674486803</v>
      </c>
      <c r="X2" s="359">
        <f>IF(V2="Normal",$H2,IF($H2&lt;150%, $H2, $AE$9))</f>
        <v>7.6923076923076927E-2</v>
      </c>
      <c r="Y2" s="343"/>
      <c r="Z2" s="343"/>
      <c r="AA2" s="343"/>
      <c r="AB2" s="343"/>
      <c r="AC2" s="343"/>
      <c r="AD2" s="343"/>
      <c r="AE2" s="343"/>
      <c r="AF2" s="343"/>
      <c r="AG2" s="280"/>
    </row>
    <row r="3" spans="1:38">
      <c r="A3" s="21">
        <v>45018</v>
      </c>
      <c r="B3" s="17">
        <f>IF(YEAR(Table7[[#This Row],[Date]]) = 2023, WEEKNUM(Table7[[#This Row],[Date]])-13, WEEKNUM(Table7[[#This Row],[Date]])+40)</f>
        <v>1</v>
      </c>
      <c r="C3" s="34" t="s">
        <v>48</v>
      </c>
      <c r="D3" s="34" t="s">
        <v>94</v>
      </c>
      <c r="E3" s="1">
        <v>0</v>
      </c>
      <c r="F3" s="1">
        <v>0</v>
      </c>
      <c r="G3" s="64">
        <v>0</v>
      </c>
      <c r="H3" s="64">
        <v>0</v>
      </c>
      <c r="I3" s="1">
        <v>0</v>
      </c>
      <c r="J3" s="1">
        <v>0</v>
      </c>
      <c r="K3" s="1">
        <v>0</v>
      </c>
      <c r="L3" s="1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301">
        <v>0</v>
      </c>
      <c r="S3" s="143">
        <v>0</v>
      </c>
      <c r="T3" s="94">
        <v>0</v>
      </c>
      <c r="U3" s="354" t="str">
        <f t="shared" ref="U3:U66" si="0">IF(OR(G3&lt;$AA$5,G3&gt;$AB$5), "Outlier", "Normal")</f>
        <v>Normal</v>
      </c>
      <c r="V3" s="354" t="str">
        <f t="shared" ref="V3:V66" si="1">IF(OR(H3&lt;$AA$6,H3&gt;$AB$6), "Outlier", "Normal")</f>
        <v>Normal</v>
      </c>
      <c r="W3" s="359">
        <f t="shared" ref="W3:W66" si="2">IF(U3="Normal",$G3,IF($G3&lt;150%, $G3, $AA$9))</f>
        <v>0</v>
      </c>
      <c r="X3" s="359">
        <f t="shared" ref="X3:X66" si="3">IF(V3="Normal",$H3,IF($H3&lt;150%, $H3, $AE$9))</f>
        <v>0</v>
      </c>
      <c r="Y3" s="343"/>
      <c r="Z3" s="431" t="s">
        <v>240</v>
      </c>
      <c r="AA3" s="431"/>
      <c r="AB3" s="431"/>
      <c r="AC3"/>
      <c r="AD3" s="431" t="s">
        <v>241</v>
      </c>
      <c r="AE3" s="431"/>
      <c r="AF3"/>
      <c r="AG3" s="431" t="s">
        <v>242</v>
      </c>
      <c r="AH3" s="431"/>
    </row>
    <row r="4" spans="1:38">
      <c r="A4" s="21">
        <v>45019</v>
      </c>
      <c r="B4" s="17">
        <f>IF(YEAR(Table7[[#This Row],[Date]]) = 2023, WEEKNUM(Table7[[#This Row],[Date]])-13, WEEKNUM(Table7[[#This Row],[Date]])+40)</f>
        <v>1</v>
      </c>
      <c r="C4" s="34" t="s">
        <v>49</v>
      </c>
      <c r="D4" s="34" t="s">
        <v>94</v>
      </c>
      <c r="E4" s="1">
        <v>862</v>
      </c>
      <c r="F4" s="1">
        <v>775</v>
      </c>
      <c r="G4" s="64">
        <v>0.20223152022315202</v>
      </c>
      <c r="H4" s="64">
        <v>0.23407643312101911</v>
      </c>
      <c r="I4" s="1">
        <v>1246</v>
      </c>
      <c r="J4" s="1">
        <v>1125</v>
      </c>
      <c r="K4" s="1">
        <v>1246</v>
      </c>
      <c r="L4" s="1">
        <v>1125</v>
      </c>
      <c r="M4" s="18">
        <v>0.67</v>
      </c>
      <c r="N4" s="18">
        <v>0.1</v>
      </c>
      <c r="O4" s="18">
        <v>0.9</v>
      </c>
      <c r="P4" s="18">
        <v>0.68</v>
      </c>
      <c r="Q4" s="18">
        <v>0.78</v>
      </c>
      <c r="R4" s="301">
        <v>202</v>
      </c>
      <c r="S4" s="143">
        <v>2.4999999999999998E-2</v>
      </c>
      <c r="T4" s="94">
        <v>9</v>
      </c>
      <c r="U4" s="354" t="str">
        <f t="shared" si="0"/>
        <v>Normal</v>
      </c>
      <c r="V4" s="354" t="str">
        <f t="shared" si="1"/>
        <v>Normal</v>
      </c>
      <c r="W4" s="359">
        <f t="shared" si="2"/>
        <v>0.20223152022315202</v>
      </c>
      <c r="X4" s="359">
        <f t="shared" si="3"/>
        <v>0.23407643312101911</v>
      </c>
      <c r="Y4" s="343"/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-7.7601357702529988E-2</v>
      </c>
      <c r="AF4"/>
      <c r="AG4" s="1" t="s">
        <v>246</v>
      </c>
      <c r="AH4" s="346">
        <f>_xlfn.QUARTILE.INC(H:H, 1)</f>
        <v>-6.6411533504129344E-2</v>
      </c>
    </row>
    <row r="5" spans="1:38">
      <c r="A5" s="21">
        <v>45020</v>
      </c>
      <c r="B5" s="17">
        <f>IF(YEAR(Table7[[#This Row],[Date]]) = 2023, WEEKNUM(Table7[[#This Row],[Date]])-13, WEEKNUM(Table7[[#This Row],[Date]])+40)</f>
        <v>1</v>
      </c>
      <c r="C5" s="34" t="s">
        <v>50</v>
      </c>
      <c r="D5" s="34" t="s">
        <v>94</v>
      </c>
      <c r="E5" s="37">
        <v>734</v>
      </c>
      <c r="F5" s="37">
        <v>681</v>
      </c>
      <c r="G5" s="80">
        <v>8.9020771513353122E-2</v>
      </c>
      <c r="H5" s="80">
        <v>3.6529680365296802E-2</v>
      </c>
      <c r="I5" s="1">
        <v>1980</v>
      </c>
      <c r="J5" s="1">
        <v>1806</v>
      </c>
      <c r="K5" s="1">
        <v>1980</v>
      </c>
      <c r="L5" s="1">
        <v>1806</v>
      </c>
      <c r="M5" s="46">
        <v>0.68</v>
      </c>
      <c r="N5" s="46">
        <v>7.0000000000000007E-2</v>
      </c>
      <c r="O5" s="46">
        <v>0.93</v>
      </c>
      <c r="P5" s="46">
        <v>0.66</v>
      </c>
      <c r="Q5" s="46">
        <v>0.79</v>
      </c>
      <c r="R5" s="305">
        <v>206</v>
      </c>
      <c r="S5" s="166">
        <v>2.5694444444444447E-2</v>
      </c>
      <c r="T5" s="94">
        <v>9</v>
      </c>
      <c r="U5" s="354" t="str">
        <f t="shared" si="0"/>
        <v>Normal</v>
      </c>
      <c r="V5" s="354" t="str">
        <f t="shared" si="1"/>
        <v>Normal</v>
      </c>
      <c r="W5" s="359">
        <f t="shared" si="2"/>
        <v>8.9020771513353122E-2</v>
      </c>
      <c r="X5" s="359">
        <f t="shared" si="3"/>
        <v>3.6529680365296802E-2</v>
      </c>
      <c r="Y5" s="343"/>
      <c r="Z5" s="218" t="s">
        <v>247</v>
      </c>
      <c r="AA5" s="19">
        <f>AE4-1.5*AE6</f>
        <v>-0.30924706752117087</v>
      </c>
      <c r="AB5" s="19">
        <f>AE5+1.5*AE6</f>
        <v>0.30847482532853815</v>
      </c>
      <c r="AC5"/>
      <c r="AD5" s="1" t="s">
        <v>248</v>
      </c>
      <c r="AE5" s="346">
        <f>_xlfn.QUARTILE.INC(G:G, 3)</f>
        <v>7.6829115509897267E-2</v>
      </c>
      <c r="AF5"/>
      <c r="AG5" s="1" t="s">
        <v>248</v>
      </c>
      <c r="AH5" s="346">
        <f>_xlfn.QUARTILE.INC(H:H, 3)</f>
        <v>7.1143815201192256E-2</v>
      </c>
    </row>
    <row r="6" spans="1:38">
      <c r="A6" s="21">
        <v>45021</v>
      </c>
      <c r="B6" s="17">
        <f>IF(YEAR(Table7[[#This Row],[Date]]) = 2023, WEEKNUM(Table7[[#This Row],[Date]])-13, WEEKNUM(Table7[[#This Row],[Date]])+40)</f>
        <v>1</v>
      </c>
      <c r="C6" s="34" t="s">
        <v>51</v>
      </c>
      <c r="D6" s="34" t="s">
        <v>94</v>
      </c>
      <c r="E6" s="37">
        <v>671</v>
      </c>
      <c r="F6" s="37">
        <v>628</v>
      </c>
      <c r="G6" s="80">
        <v>-6.6759388038942977E-2</v>
      </c>
      <c r="H6" s="80">
        <v>-7.511045655375552E-2</v>
      </c>
      <c r="I6" s="1">
        <v>2651</v>
      </c>
      <c r="J6" s="1">
        <v>2434</v>
      </c>
      <c r="K6" s="1">
        <v>2651</v>
      </c>
      <c r="L6" s="1">
        <v>2434</v>
      </c>
      <c r="M6" s="46">
        <v>0.75</v>
      </c>
      <c r="N6" s="46">
        <v>0.06</v>
      </c>
      <c r="O6" s="46">
        <v>0.94</v>
      </c>
      <c r="P6" s="46">
        <v>0.56999999999999995</v>
      </c>
      <c r="Q6" s="46">
        <v>0.81</v>
      </c>
      <c r="R6" s="305">
        <v>205</v>
      </c>
      <c r="S6" s="166">
        <v>2.013888888888889E-2</v>
      </c>
      <c r="T6" s="94">
        <v>10</v>
      </c>
      <c r="U6" s="354" t="str">
        <f t="shared" si="0"/>
        <v>Normal</v>
      </c>
      <c r="V6" s="354" t="str">
        <f t="shared" si="1"/>
        <v>Normal</v>
      </c>
      <c r="W6" s="359">
        <f t="shared" si="2"/>
        <v>-6.6759388038942977E-2</v>
      </c>
      <c r="X6" s="359">
        <f t="shared" si="3"/>
        <v>-7.511045655375552E-2</v>
      </c>
      <c r="Y6" s="343"/>
      <c r="Z6" s="218" t="s">
        <v>34</v>
      </c>
      <c r="AA6" s="19">
        <f>AH4-1.5*AH6</f>
        <v>-0.27274455656211172</v>
      </c>
      <c r="AB6" s="19">
        <f>AH5+1.5*AH6</f>
        <v>0.27747683825917469</v>
      </c>
      <c r="AC6"/>
      <c r="AD6" s="65" t="s">
        <v>249</v>
      </c>
      <c r="AE6" s="347">
        <f>AE5-AE4</f>
        <v>0.15443047321242726</v>
      </c>
      <c r="AF6"/>
      <c r="AG6" s="65" t="s">
        <v>249</v>
      </c>
      <c r="AH6" s="347">
        <f>AH5-AH4</f>
        <v>0.1375553487053216</v>
      </c>
      <c r="AK6" t="s">
        <v>68</v>
      </c>
      <c r="AL6" s="16">
        <v>44654</v>
      </c>
    </row>
    <row r="7" spans="1:38">
      <c r="A7" s="21">
        <v>45022</v>
      </c>
      <c r="B7" s="17">
        <f>IF(YEAR(Table7[[#This Row],[Date]]) = 2023, WEEKNUM(Table7[[#This Row],[Date]])-13, WEEKNUM(Table7[[#This Row],[Date]])+40)</f>
        <v>1</v>
      </c>
      <c r="C7" s="34" t="s">
        <v>52</v>
      </c>
      <c r="D7" s="34" t="s">
        <v>94</v>
      </c>
      <c r="E7" s="37">
        <v>709</v>
      </c>
      <c r="F7" s="37">
        <v>638</v>
      </c>
      <c r="G7" s="80">
        <v>0</v>
      </c>
      <c r="H7" s="80">
        <v>0</v>
      </c>
      <c r="I7" s="1">
        <v>3360</v>
      </c>
      <c r="J7" s="1">
        <v>3072</v>
      </c>
      <c r="K7" s="1">
        <v>3360</v>
      </c>
      <c r="L7" s="1">
        <v>3072</v>
      </c>
      <c r="M7" s="46">
        <v>0.68</v>
      </c>
      <c r="N7" s="46">
        <v>0.1</v>
      </c>
      <c r="O7" s="46">
        <v>0.9</v>
      </c>
      <c r="P7" s="46">
        <v>0.54</v>
      </c>
      <c r="Q7" s="46">
        <v>0.8</v>
      </c>
      <c r="R7" s="305">
        <v>174</v>
      </c>
      <c r="S7" s="166">
        <v>2.9861111111111113E-2</v>
      </c>
      <c r="T7" s="94">
        <v>9</v>
      </c>
      <c r="U7" s="354" t="str">
        <f t="shared" si="0"/>
        <v>Normal</v>
      </c>
      <c r="V7" s="354" t="str">
        <f t="shared" si="1"/>
        <v>Normal</v>
      </c>
      <c r="W7" s="359">
        <f t="shared" si="2"/>
        <v>0</v>
      </c>
      <c r="X7" s="359">
        <f t="shared" si="3"/>
        <v>0</v>
      </c>
      <c r="Y7" s="343"/>
      <c r="Z7"/>
      <c r="AA7"/>
      <c r="AB7"/>
      <c r="AC7"/>
      <c r="AD7"/>
      <c r="AE7"/>
      <c r="AF7"/>
      <c r="AG7"/>
      <c r="AK7" t="s">
        <v>69</v>
      </c>
      <c r="AL7" s="16">
        <v>44675</v>
      </c>
    </row>
    <row r="8" spans="1:38">
      <c r="A8" s="21">
        <v>45023</v>
      </c>
      <c r="B8" s="17">
        <f>IF(YEAR(Table7[[#This Row],[Date]]) = 2023, WEEKNUM(Table7[[#This Row],[Date]])-13, WEEKNUM(Table7[[#This Row],[Date]])+40)</f>
        <v>1</v>
      </c>
      <c r="C8" s="34" t="s">
        <v>64</v>
      </c>
      <c r="D8" s="34" t="s">
        <v>94</v>
      </c>
      <c r="E8" s="37">
        <v>0</v>
      </c>
      <c r="F8" s="37">
        <v>0</v>
      </c>
      <c r="G8" s="80">
        <v>0</v>
      </c>
      <c r="H8" s="80">
        <v>0</v>
      </c>
      <c r="I8" s="37">
        <v>0</v>
      </c>
      <c r="J8" s="37">
        <v>0</v>
      </c>
      <c r="K8" s="37">
        <v>0</v>
      </c>
      <c r="L8" s="37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305">
        <v>0</v>
      </c>
      <c r="S8" s="166">
        <v>0</v>
      </c>
      <c r="T8" s="94">
        <v>0</v>
      </c>
      <c r="U8" s="354" t="str">
        <f t="shared" si="0"/>
        <v>Normal</v>
      </c>
      <c r="V8" s="354" t="str">
        <f t="shared" si="1"/>
        <v>Normal</v>
      </c>
      <c r="W8" s="359">
        <f t="shared" si="2"/>
        <v>0</v>
      </c>
      <c r="X8" s="359">
        <f t="shared" si="3"/>
        <v>0</v>
      </c>
      <c r="Y8" s="343"/>
      <c r="Z8" s="432" t="s">
        <v>250</v>
      </c>
      <c r="AA8" s="433"/>
      <c r="AB8"/>
      <c r="AC8"/>
      <c r="AD8" s="432" t="s">
        <v>251</v>
      </c>
      <c r="AE8" s="433"/>
      <c r="AF8"/>
      <c r="AG8"/>
    </row>
    <row r="9" spans="1:38">
      <c r="A9" s="21">
        <v>45024</v>
      </c>
      <c r="B9" s="17">
        <f>IF(YEAR(Table7[[#This Row],[Date]]) = 2023, WEEKNUM(Table7[[#This Row],[Date]])-13, WEEKNUM(Table7[[#This Row],[Date]])+40)</f>
        <v>1</v>
      </c>
      <c r="C9" s="34" t="s">
        <v>54</v>
      </c>
      <c r="D9" s="34" t="s">
        <v>94</v>
      </c>
      <c r="E9" s="37">
        <v>474</v>
      </c>
      <c r="F9" s="37">
        <v>430</v>
      </c>
      <c r="G9" s="80">
        <f>IFERROR((Table7[[#This Row],[Calls Off]]-E2)/E2,0%)</f>
        <v>0.234375</v>
      </c>
      <c r="H9" s="80">
        <f>IFERROR((Table7[[#This Row],[Calls Ans]]-F2)/F2,0%)</f>
        <v>0.22857142857142856</v>
      </c>
      <c r="I9" s="1">
        <v>3834</v>
      </c>
      <c r="J9" s="1">
        <v>3502</v>
      </c>
      <c r="K9" s="1">
        <v>3834</v>
      </c>
      <c r="L9" s="1">
        <v>3502</v>
      </c>
      <c r="M9" s="46">
        <v>0.74</v>
      </c>
      <c r="N9" s="46">
        <v>0.09</v>
      </c>
      <c r="O9" s="46">
        <v>0.91</v>
      </c>
      <c r="P9" s="46">
        <v>0.57999999999999996</v>
      </c>
      <c r="Q9" s="46">
        <v>0.87</v>
      </c>
      <c r="R9" s="305">
        <v>177</v>
      </c>
      <c r="S9" s="166">
        <v>2.7083333333333334E-2</v>
      </c>
      <c r="T9" s="94">
        <v>8</v>
      </c>
      <c r="U9" s="354" t="str">
        <f t="shared" si="0"/>
        <v>Normal</v>
      </c>
      <c r="V9" s="354" t="str">
        <f t="shared" si="1"/>
        <v>Normal</v>
      </c>
      <c r="W9" s="359">
        <f t="shared" si="2"/>
        <v>0.234375</v>
      </c>
      <c r="X9" s="359">
        <f t="shared" si="3"/>
        <v>0.22857142857142856</v>
      </c>
      <c r="Y9" s="343"/>
      <c r="Z9" s="1" t="s">
        <v>252</v>
      </c>
      <c r="AA9" s="64">
        <f>AVERAGE(G2:G367)</f>
        <v>6.2255569879478473E-2</v>
      </c>
      <c r="AB9"/>
      <c r="AC9"/>
      <c r="AD9" s="1" t="s">
        <v>252</v>
      </c>
      <c r="AE9" s="64">
        <f>AVERAGE(H2:H367)</f>
        <v>6.3318336160613942E-2</v>
      </c>
      <c r="AF9"/>
      <c r="AG9"/>
    </row>
    <row r="10" spans="1:38">
      <c r="A10" s="21">
        <v>45025</v>
      </c>
      <c r="B10" s="17">
        <f>IF(YEAR(Table7[[#This Row],[Date]]) = 2023, WEEKNUM(Table7[[#This Row],[Date]])-13, WEEKNUM(Table7[[#This Row],[Date]])+40)</f>
        <v>2</v>
      </c>
      <c r="C10" s="34" t="s">
        <v>48</v>
      </c>
      <c r="D10" s="34" t="s">
        <v>94</v>
      </c>
      <c r="E10" s="37">
        <v>0</v>
      </c>
      <c r="F10" s="37">
        <v>0</v>
      </c>
      <c r="G10" s="80">
        <f>IFERROR((Table7[[#This Row],[Calls Off]]-E3)/E3,0%)</f>
        <v>0</v>
      </c>
      <c r="H10" s="80">
        <f>IFERROR((Table7[[#This Row],[Calls Ans]]-F3)/F3,0%)</f>
        <v>0</v>
      </c>
      <c r="I10" s="37">
        <v>0</v>
      </c>
      <c r="J10" s="37">
        <v>0</v>
      </c>
      <c r="K10" s="37">
        <v>0</v>
      </c>
      <c r="L10" s="37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305">
        <v>0</v>
      </c>
      <c r="S10" s="166">
        <v>0</v>
      </c>
      <c r="T10" s="94">
        <v>0</v>
      </c>
      <c r="U10" s="354" t="str">
        <f t="shared" si="0"/>
        <v>Normal</v>
      </c>
      <c r="V10" s="354" t="str">
        <f t="shared" si="1"/>
        <v>Normal</v>
      </c>
      <c r="W10" s="359">
        <f t="shared" si="2"/>
        <v>0</v>
      </c>
      <c r="X10" s="359">
        <f t="shared" si="3"/>
        <v>0</v>
      </c>
      <c r="Y10" s="343"/>
      <c r="Z10" s="1" t="s">
        <v>253</v>
      </c>
      <c r="AA10" s="19">
        <f>MEDIAN(G2:G367)</f>
        <v>0</v>
      </c>
      <c r="AB10"/>
      <c r="AC10"/>
      <c r="AD10" s="1" t="s">
        <v>253</v>
      </c>
      <c r="AE10" s="19">
        <f>MEDIAN(H2:H367)</f>
        <v>0</v>
      </c>
      <c r="AF10"/>
      <c r="AG10"/>
    </row>
    <row r="11" spans="1:38">
      <c r="A11" s="21">
        <v>45026</v>
      </c>
      <c r="B11" s="17">
        <f>IF(YEAR(Table7[[#This Row],[Date]]) = 2023, WEEKNUM(Table7[[#This Row],[Date]])-13, WEEKNUM(Table7[[#This Row],[Date]])+40)</f>
        <v>2</v>
      </c>
      <c r="C11" s="34" t="s">
        <v>64</v>
      </c>
      <c r="D11" s="34" t="s">
        <v>94</v>
      </c>
      <c r="E11" s="37">
        <v>0</v>
      </c>
      <c r="F11" s="37">
        <v>0</v>
      </c>
      <c r="G11" s="80">
        <v>0</v>
      </c>
      <c r="H11" s="80">
        <v>0</v>
      </c>
      <c r="I11" s="37">
        <v>0</v>
      </c>
      <c r="J11" s="37">
        <v>0</v>
      </c>
      <c r="K11" s="37">
        <v>0</v>
      </c>
      <c r="L11" s="37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305">
        <v>0</v>
      </c>
      <c r="S11" s="166">
        <v>0</v>
      </c>
      <c r="T11" s="94">
        <v>0</v>
      </c>
      <c r="U11" s="354" t="str">
        <f t="shared" si="0"/>
        <v>Normal</v>
      </c>
      <c r="V11" s="354" t="str">
        <f t="shared" si="1"/>
        <v>Normal</v>
      </c>
      <c r="W11" s="359">
        <f t="shared" si="2"/>
        <v>0</v>
      </c>
      <c r="X11" s="359">
        <f t="shared" si="3"/>
        <v>0</v>
      </c>
      <c r="Y11" s="343"/>
      <c r="Z11" s="1" t="s">
        <v>254</v>
      </c>
      <c r="AA11" s="17">
        <f>_xlfn.MODE.SNGL(G2:G123)</f>
        <v>0</v>
      </c>
      <c r="AB11"/>
      <c r="AC11"/>
      <c r="AD11" s="1" t="s">
        <v>254</v>
      </c>
      <c r="AE11" s="1">
        <f>_xlfn.MODE.SNGL(J2:J123)</f>
        <v>0</v>
      </c>
      <c r="AF11"/>
      <c r="AG11"/>
    </row>
    <row r="12" spans="1:38">
      <c r="A12" s="21">
        <v>45027</v>
      </c>
      <c r="B12" s="17">
        <f>IF(YEAR(Table7[[#This Row],[Date]]) = 2023, WEEKNUM(Table7[[#This Row],[Date]])-13, WEEKNUM(Table7[[#This Row],[Date]])+40)</f>
        <v>2</v>
      </c>
      <c r="C12" s="34" t="s">
        <v>50</v>
      </c>
      <c r="D12" s="34" t="s">
        <v>94</v>
      </c>
      <c r="E12" s="1">
        <v>942</v>
      </c>
      <c r="F12" s="1">
        <v>723</v>
      </c>
      <c r="G12" s="80">
        <f>IFERROR((Table7[[#This Row],[Calls Off]]-E5)/E5,0%)</f>
        <v>0.28337874659400547</v>
      </c>
      <c r="H12" s="80">
        <f>IFERROR((Table7[[#This Row],[Calls Ans]]-F5)/F5,0%)</f>
        <v>6.1674008810572688E-2</v>
      </c>
      <c r="I12" s="1">
        <v>4776</v>
      </c>
      <c r="J12" s="1">
        <v>4225</v>
      </c>
      <c r="K12" s="37">
        <v>4776</v>
      </c>
      <c r="L12" s="37">
        <v>4225</v>
      </c>
      <c r="M12" s="18">
        <v>0.33</v>
      </c>
      <c r="N12" s="18">
        <v>0.22</v>
      </c>
      <c r="O12" s="18">
        <v>0.78</v>
      </c>
      <c r="P12" s="18">
        <v>0.76</v>
      </c>
      <c r="Q12" s="18">
        <v>0.82</v>
      </c>
      <c r="R12" s="301">
        <v>209</v>
      </c>
      <c r="S12" s="143">
        <v>8.6805555555555566E-2</v>
      </c>
      <c r="T12" s="94">
        <v>8</v>
      </c>
      <c r="U12" s="354" t="str">
        <f t="shared" si="0"/>
        <v>Normal</v>
      </c>
      <c r="V12" s="354" t="str">
        <f t="shared" si="1"/>
        <v>Normal</v>
      </c>
      <c r="W12" s="359">
        <f t="shared" si="2"/>
        <v>0.28337874659400547</v>
      </c>
      <c r="X12" s="359">
        <f t="shared" si="3"/>
        <v>6.1674008810572688E-2</v>
      </c>
      <c r="Y12" s="343"/>
      <c r="Z12" s="343"/>
      <c r="AA12" s="343"/>
      <c r="AB12" s="343"/>
      <c r="AC12" s="343"/>
      <c r="AD12" s="343"/>
      <c r="AE12" s="343"/>
      <c r="AF12" s="343"/>
    </row>
    <row r="13" spans="1:38">
      <c r="A13" s="21">
        <v>45028</v>
      </c>
      <c r="B13" s="17">
        <f>IF(YEAR(Table7[[#This Row],[Date]]) = 2023, WEEKNUM(Table7[[#This Row],[Date]])-13, WEEKNUM(Table7[[#This Row],[Date]])+40)</f>
        <v>2</v>
      </c>
      <c r="C13" s="34" t="s">
        <v>51</v>
      </c>
      <c r="D13" s="34" t="s">
        <v>94</v>
      </c>
      <c r="E13" s="1">
        <v>731</v>
      </c>
      <c r="F13" s="1">
        <v>662</v>
      </c>
      <c r="G13" s="80">
        <f>IFERROR((Table7[[#This Row],[Calls Off]]-E6)/E6,0%)</f>
        <v>8.9418777943368111E-2</v>
      </c>
      <c r="H13" s="80">
        <f>IFERROR((Table7[[#This Row],[Calls Ans]]-F6)/F6,0%)</f>
        <v>5.4140127388535034E-2</v>
      </c>
      <c r="I13" s="1">
        <v>5507</v>
      </c>
      <c r="J13" s="1">
        <v>4887</v>
      </c>
      <c r="K13" s="37">
        <v>5507</v>
      </c>
      <c r="L13" s="37">
        <v>4887</v>
      </c>
      <c r="M13" s="18">
        <v>0.64</v>
      </c>
      <c r="N13" s="18">
        <v>0.09</v>
      </c>
      <c r="O13" s="18">
        <v>0.91</v>
      </c>
      <c r="P13" s="18">
        <v>0.69</v>
      </c>
      <c r="Q13" s="18">
        <v>0.8</v>
      </c>
      <c r="R13" s="301">
        <v>203</v>
      </c>
      <c r="S13" s="143">
        <v>2.0833333333333332E-2</v>
      </c>
      <c r="T13" s="94">
        <v>8</v>
      </c>
      <c r="U13" s="354" t="str">
        <f t="shared" si="0"/>
        <v>Normal</v>
      </c>
      <c r="V13" s="354" t="str">
        <f t="shared" si="1"/>
        <v>Normal</v>
      </c>
      <c r="W13" s="359">
        <f t="shared" si="2"/>
        <v>8.9418777943368111E-2</v>
      </c>
      <c r="X13" s="359">
        <f t="shared" si="3"/>
        <v>5.4140127388535034E-2</v>
      </c>
      <c r="Y13" s="343"/>
      <c r="Z13" s="343"/>
      <c r="AA13" s="343"/>
      <c r="AB13" s="343"/>
      <c r="AC13" s="343"/>
      <c r="AD13" s="343"/>
      <c r="AE13" s="343"/>
      <c r="AF13" s="343"/>
      <c r="AH13" t="s">
        <v>65</v>
      </c>
      <c r="AI13" t="s">
        <v>66</v>
      </c>
      <c r="AJ13" t="s">
        <v>67</v>
      </c>
    </row>
    <row r="14" spans="1:38">
      <c r="A14" s="21">
        <v>45029</v>
      </c>
      <c r="B14" s="17">
        <f>IF(YEAR(Table7[[#This Row],[Date]]) = 2023, WEEKNUM(Table7[[#This Row],[Date]])-13, WEEKNUM(Table7[[#This Row],[Date]])+40)</f>
        <v>2</v>
      </c>
      <c r="C14" s="34" t="s">
        <v>52</v>
      </c>
      <c r="D14" s="34" t="s">
        <v>94</v>
      </c>
      <c r="E14" s="1">
        <v>643</v>
      </c>
      <c r="F14" s="1">
        <v>595</v>
      </c>
      <c r="G14" s="80">
        <f>IFERROR((Table7[[#This Row],[Calls Off]]-E7)/E7,0%)</f>
        <v>-9.3088857545839204E-2</v>
      </c>
      <c r="H14" s="80">
        <f>IFERROR((Table7[[#This Row],[Calls Ans]]-F7)/F7,0%)</f>
        <v>-6.7398119122257058E-2</v>
      </c>
      <c r="I14" s="1">
        <v>6150</v>
      </c>
      <c r="J14" s="1">
        <v>5482</v>
      </c>
      <c r="K14" s="37">
        <v>6150</v>
      </c>
      <c r="L14" s="37">
        <v>5482</v>
      </c>
      <c r="M14" s="18">
        <v>0.73</v>
      </c>
      <c r="N14" s="18">
        <v>7.0000000000000007E-2</v>
      </c>
      <c r="O14" s="18">
        <v>0.93</v>
      </c>
      <c r="P14" s="18">
        <v>0.61</v>
      </c>
      <c r="Q14" s="18">
        <v>0.77</v>
      </c>
      <c r="R14" s="301">
        <v>172</v>
      </c>
      <c r="S14" s="143">
        <v>1.3194444444444444E-2</v>
      </c>
      <c r="T14" s="94">
        <v>8</v>
      </c>
      <c r="U14" s="354" t="str">
        <f t="shared" si="0"/>
        <v>Normal</v>
      </c>
      <c r="V14" s="354" t="str">
        <f t="shared" si="1"/>
        <v>Normal</v>
      </c>
      <c r="W14" s="359">
        <f t="shared" si="2"/>
        <v>-9.3088857545839204E-2</v>
      </c>
      <c r="X14" s="359">
        <f t="shared" si="3"/>
        <v>-6.7398119122257058E-2</v>
      </c>
      <c r="Y14" s="343"/>
      <c r="Z14" s="343"/>
      <c r="AA14" s="343"/>
      <c r="AB14" s="343"/>
      <c r="AC14" s="343"/>
      <c r="AD14" s="343"/>
      <c r="AE14" s="343"/>
      <c r="AF14" s="343"/>
      <c r="AH14" s="21">
        <v>45020</v>
      </c>
      <c r="AI14" s="1">
        <v>2588</v>
      </c>
      <c r="AJ14" s="1">
        <v>2377</v>
      </c>
    </row>
    <row r="15" spans="1:38">
      <c r="A15" s="21">
        <v>45030</v>
      </c>
      <c r="B15" s="17">
        <f>IF(YEAR(Table7[[#This Row],[Date]]) = 2023, WEEKNUM(Table7[[#This Row],[Date]])-13, WEEKNUM(Table7[[#This Row],[Date]])+40)</f>
        <v>2</v>
      </c>
      <c r="C15" s="34" t="s">
        <v>53</v>
      </c>
      <c r="D15" s="34" t="s">
        <v>94</v>
      </c>
      <c r="E15" s="1">
        <v>696</v>
      </c>
      <c r="F15" s="1">
        <v>639</v>
      </c>
      <c r="G15" s="80">
        <f>IFERROR((Table7[[#This Row],[Calls Off]]-E8)/E8,0%)</f>
        <v>0</v>
      </c>
      <c r="H15" s="80">
        <f>IFERROR((Table7[[#This Row],[Calls Ans]]-F8)/F8,0%)</f>
        <v>0</v>
      </c>
      <c r="I15" s="1">
        <v>6846</v>
      </c>
      <c r="J15" s="1">
        <v>6121</v>
      </c>
      <c r="K15" s="37">
        <v>6846</v>
      </c>
      <c r="L15" s="37">
        <v>6121</v>
      </c>
      <c r="M15" s="18">
        <v>0.63</v>
      </c>
      <c r="N15" s="18">
        <v>0.08</v>
      </c>
      <c r="O15" s="18">
        <v>0.92</v>
      </c>
      <c r="P15" s="18">
        <v>0.51</v>
      </c>
      <c r="Q15" s="18">
        <v>0.76</v>
      </c>
      <c r="R15" s="301">
        <v>186</v>
      </c>
      <c r="S15" s="143">
        <v>2.4999999999999998E-2</v>
      </c>
      <c r="T15" s="94">
        <v>8</v>
      </c>
      <c r="U15" s="354" t="str">
        <f t="shared" si="0"/>
        <v>Normal</v>
      </c>
      <c r="V15" s="354" t="str">
        <f t="shared" si="1"/>
        <v>Normal</v>
      </c>
      <c r="W15" s="359">
        <f t="shared" si="2"/>
        <v>0</v>
      </c>
      <c r="X15" s="359">
        <f t="shared" si="3"/>
        <v>0</v>
      </c>
      <c r="Y15" s="343"/>
      <c r="Z15" s="343"/>
      <c r="AA15" s="343"/>
      <c r="AB15" s="343"/>
      <c r="AC15" s="343"/>
      <c r="AD15" s="343"/>
      <c r="AE15" s="343"/>
      <c r="AF15" s="343"/>
      <c r="AH15" s="21">
        <v>45027</v>
      </c>
      <c r="AI15" s="1">
        <v>4323</v>
      </c>
      <c r="AJ15" s="1">
        <v>3887</v>
      </c>
    </row>
    <row r="16" spans="1:38">
      <c r="A16" s="21">
        <v>45031</v>
      </c>
      <c r="B16" s="17">
        <f>IF(YEAR(Table7[[#This Row],[Date]]) = 2023, WEEKNUM(Table7[[#This Row],[Date]])-13, WEEKNUM(Table7[[#This Row],[Date]])+40)</f>
        <v>2</v>
      </c>
      <c r="C16" s="34" t="s">
        <v>54</v>
      </c>
      <c r="D16" s="34" t="s">
        <v>94</v>
      </c>
      <c r="E16" s="1">
        <v>471</v>
      </c>
      <c r="F16" s="1">
        <v>456</v>
      </c>
      <c r="G16" s="80">
        <f>IFERROR((Table7[[#This Row],[Calls Off]]-E9)/E9,0%)</f>
        <v>-6.3291139240506328E-3</v>
      </c>
      <c r="H16" s="80">
        <f>IFERROR((Table7[[#This Row],[Calls Ans]]-F9)/F9,0%)</f>
        <v>6.0465116279069767E-2</v>
      </c>
      <c r="I16" s="1">
        <v>7317</v>
      </c>
      <c r="J16" s="1">
        <v>6577</v>
      </c>
      <c r="K16" s="37">
        <v>7317</v>
      </c>
      <c r="L16" s="37">
        <v>6577</v>
      </c>
      <c r="M16" s="18">
        <v>0.93</v>
      </c>
      <c r="N16" s="18">
        <v>0.03</v>
      </c>
      <c r="O16" s="18">
        <v>0.97</v>
      </c>
      <c r="P16" s="18">
        <v>0.26</v>
      </c>
      <c r="Q16" s="18">
        <v>0.85</v>
      </c>
      <c r="R16" s="301">
        <v>84</v>
      </c>
      <c r="S16" s="143">
        <v>4.8611111111111112E-3</v>
      </c>
      <c r="T16" s="94">
        <v>7</v>
      </c>
      <c r="U16" s="354" t="str">
        <f t="shared" si="0"/>
        <v>Normal</v>
      </c>
      <c r="V16" s="354" t="str">
        <f t="shared" si="1"/>
        <v>Normal</v>
      </c>
      <c r="W16" s="359">
        <f t="shared" si="2"/>
        <v>-6.3291139240506328E-3</v>
      </c>
      <c r="X16" s="359">
        <f t="shared" si="3"/>
        <v>6.0465116279069767E-2</v>
      </c>
      <c r="Y16" s="343"/>
      <c r="Z16" s="343"/>
      <c r="AA16" s="343"/>
      <c r="AB16" s="343"/>
      <c r="AC16" s="343"/>
      <c r="AD16" s="343"/>
      <c r="AE16" s="343"/>
      <c r="AF16" s="343"/>
      <c r="AH16" s="21">
        <v>45034</v>
      </c>
      <c r="AI16" s="1">
        <v>3572</v>
      </c>
      <c r="AJ16" s="1">
        <v>3251</v>
      </c>
    </row>
    <row r="17" spans="1:36">
      <c r="A17" s="21">
        <v>45032</v>
      </c>
      <c r="B17" s="17">
        <f>IF(YEAR(Table7[[#This Row],[Date]]) = 2023, WEEKNUM(Table7[[#This Row],[Date]])-13, WEEKNUM(Table7[[#This Row],[Date]])+40)</f>
        <v>3</v>
      </c>
      <c r="C17" s="34" t="s">
        <v>48</v>
      </c>
      <c r="D17" s="34" t="s">
        <v>94</v>
      </c>
      <c r="E17" s="1">
        <v>0</v>
      </c>
      <c r="F17" s="1">
        <v>0</v>
      </c>
      <c r="G17" s="80">
        <f>IFERROR((Table7[[#This Row],[Calls Off]]-E10)/E10,0%)</f>
        <v>0</v>
      </c>
      <c r="H17" s="80">
        <f>IFERROR((Table7[[#This Row],[Calls Ans]]-F10)/F10,0%)</f>
        <v>0</v>
      </c>
      <c r="I17" s="1">
        <v>0</v>
      </c>
      <c r="J17" s="1">
        <v>0</v>
      </c>
      <c r="K17" s="37">
        <v>0</v>
      </c>
      <c r="L17" s="37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301">
        <v>0</v>
      </c>
      <c r="S17" s="143">
        <v>0</v>
      </c>
      <c r="T17" s="94">
        <v>0</v>
      </c>
      <c r="U17" s="354" t="str">
        <f t="shared" si="0"/>
        <v>Normal</v>
      </c>
      <c r="V17" s="354" t="str">
        <f t="shared" si="1"/>
        <v>Normal</v>
      </c>
      <c r="W17" s="359">
        <f t="shared" si="2"/>
        <v>0</v>
      </c>
      <c r="X17" s="359">
        <f t="shared" si="3"/>
        <v>0</v>
      </c>
      <c r="Y17" s="343"/>
      <c r="Z17" s="343"/>
      <c r="AA17" s="343"/>
      <c r="AB17" s="343"/>
      <c r="AC17" s="343"/>
      <c r="AD17" s="343"/>
      <c r="AE17" s="343"/>
      <c r="AF17" s="343"/>
      <c r="AH17" s="21">
        <v>45041</v>
      </c>
      <c r="AI17" s="1">
        <v>2701</v>
      </c>
      <c r="AJ17" s="1">
        <v>2560</v>
      </c>
    </row>
    <row r="18" spans="1:36">
      <c r="A18" s="21">
        <v>45033</v>
      </c>
      <c r="B18" s="17">
        <f>IF(YEAR(Table7[[#This Row],[Date]]) = 2023, WEEKNUM(Table7[[#This Row],[Date]])-13, WEEKNUM(Table7[[#This Row],[Date]])+40)</f>
        <v>3</v>
      </c>
      <c r="C18" s="34" t="s">
        <v>49</v>
      </c>
      <c r="D18" s="34" t="s">
        <v>94</v>
      </c>
      <c r="E18" s="1">
        <v>840</v>
      </c>
      <c r="F18" s="1">
        <v>812</v>
      </c>
      <c r="G18" s="80">
        <f>IFERROR((Table7[[#This Row],[Calls Off]]-E11)/E11,0%)</f>
        <v>0</v>
      </c>
      <c r="H18" s="80">
        <f>IFERROR((Table7[[#This Row],[Calls Ans]]-F11)/F11,0%)</f>
        <v>0</v>
      </c>
      <c r="I18" s="1">
        <v>8157</v>
      </c>
      <c r="J18" s="1">
        <v>7389</v>
      </c>
      <c r="K18" s="37">
        <v>8157</v>
      </c>
      <c r="L18" s="37">
        <v>7389</v>
      </c>
      <c r="M18" s="18">
        <v>0.85</v>
      </c>
      <c r="N18" s="18">
        <v>0.03</v>
      </c>
      <c r="O18" s="18">
        <v>0.97</v>
      </c>
      <c r="P18" s="18">
        <v>0.45</v>
      </c>
      <c r="Q18" s="18">
        <v>0.79</v>
      </c>
      <c r="R18" s="301">
        <v>151</v>
      </c>
      <c r="S18" s="143">
        <v>9.7222222222222224E-3</v>
      </c>
      <c r="T18" s="94">
        <v>11</v>
      </c>
      <c r="U18" s="354" t="str">
        <f t="shared" si="0"/>
        <v>Normal</v>
      </c>
      <c r="V18" s="354" t="str">
        <f t="shared" si="1"/>
        <v>Normal</v>
      </c>
      <c r="W18" s="359">
        <f t="shared" si="2"/>
        <v>0</v>
      </c>
      <c r="X18" s="359">
        <f t="shared" si="3"/>
        <v>0</v>
      </c>
      <c r="Y18" s="343"/>
      <c r="Z18" s="343"/>
      <c r="AA18" s="343"/>
      <c r="AB18" s="343"/>
      <c r="AC18" s="343"/>
      <c r="AD18" s="343"/>
      <c r="AE18" s="343"/>
      <c r="AF18" s="343"/>
      <c r="AH18" s="21">
        <v>45048</v>
      </c>
      <c r="AI18" s="1">
        <v>2886</v>
      </c>
      <c r="AJ18" s="1">
        <v>2746</v>
      </c>
    </row>
    <row r="19" spans="1:36">
      <c r="A19" s="21">
        <v>45034</v>
      </c>
      <c r="B19" s="17">
        <f>IF(YEAR(Table7[[#This Row],[Date]]) = 2023, WEEKNUM(Table7[[#This Row],[Date]])-13, WEEKNUM(Table7[[#This Row],[Date]])+40)</f>
        <v>3</v>
      </c>
      <c r="C19" s="34" t="s">
        <v>50</v>
      </c>
      <c r="D19" s="34" t="s">
        <v>94</v>
      </c>
      <c r="E19" s="1">
        <v>728</v>
      </c>
      <c r="F19" s="1">
        <v>643</v>
      </c>
      <c r="G19" s="80">
        <f>IFERROR((Table7[[#This Row],[Calls Off]]-E12)/E12,0%)</f>
        <v>-0.22717622080679406</v>
      </c>
      <c r="H19" s="80">
        <f>IFERROR((Table7[[#This Row],[Calls Ans]]-F12)/F12,0%)</f>
        <v>-0.11065006915629322</v>
      </c>
      <c r="I19" s="1">
        <v>8885</v>
      </c>
      <c r="J19" s="1">
        <v>8032</v>
      </c>
      <c r="K19" s="37">
        <v>8885</v>
      </c>
      <c r="L19" s="37">
        <v>8032</v>
      </c>
      <c r="M19" s="18">
        <v>0.88</v>
      </c>
      <c r="N19" s="18">
        <v>0.12</v>
      </c>
      <c r="O19" s="18">
        <v>0.88</v>
      </c>
      <c r="P19" s="18">
        <v>0.46</v>
      </c>
      <c r="Q19" s="18">
        <v>0.79</v>
      </c>
      <c r="R19" s="301">
        <v>173</v>
      </c>
      <c r="S19" s="143">
        <v>2.2916666666666669E-2</v>
      </c>
      <c r="T19" s="94">
        <v>11</v>
      </c>
      <c r="U19" s="354" t="str">
        <f t="shared" si="0"/>
        <v>Normal</v>
      </c>
      <c r="V19" s="354" t="str">
        <f t="shared" si="1"/>
        <v>Normal</v>
      </c>
      <c r="W19" s="359">
        <f t="shared" si="2"/>
        <v>-0.22717622080679406</v>
      </c>
      <c r="X19" s="359">
        <f t="shared" si="3"/>
        <v>-0.11065006915629322</v>
      </c>
      <c r="Y19" s="343"/>
      <c r="Z19" s="343"/>
      <c r="AA19" s="343"/>
      <c r="AB19" s="343"/>
      <c r="AC19" s="343"/>
      <c r="AD19" s="343"/>
      <c r="AE19" s="343"/>
      <c r="AF19" s="343"/>
      <c r="AH19" s="21">
        <v>45055</v>
      </c>
      <c r="AI19" s="1">
        <v>3351</v>
      </c>
      <c r="AJ19" s="1">
        <v>3081</v>
      </c>
    </row>
    <row r="20" spans="1:36">
      <c r="A20" s="21">
        <v>45035</v>
      </c>
      <c r="B20" s="17">
        <f>IF(YEAR(Table7[[#This Row],[Date]]) = 2023, WEEKNUM(Table7[[#This Row],[Date]])-13, WEEKNUM(Table7[[#This Row],[Date]])+40)</f>
        <v>3</v>
      </c>
      <c r="C20" s="34" t="s">
        <v>51</v>
      </c>
      <c r="D20" s="34" t="s">
        <v>94</v>
      </c>
      <c r="E20" s="1">
        <v>647</v>
      </c>
      <c r="F20" s="1">
        <v>621</v>
      </c>
      <c r="G20" s="80">
        <f>IFERROR((Table7[[#This Row],[Calls Off]]-E13)/E13,0%)</f>
        <v>-0.11491108071135431</v>
      </c>
      <c r="H20" s="80">
        <f>IFERROR((Table7[[#This Row],[Calls Ans]]-F13)/F13,0%)</f>
        <v>-6.1933534743202415E-2</v>
      </c>
      <c r="I20" s="1">
        <v>9532</v>
      </c>
      <c r="J20" s="1">
        <v>8653</v>
      </c>
      <c r="K20" s="37">
        <v>9532</v>
      </c>
      <c r="L20" s="37">
        <v>8653</v>
      </c>
      <c r="M20" s="18">
        <v>0.86</v>
      </c>
      <c r="N20" s="18">
        <v>0.04</v>
      </c>
      <c r="O20" s="18">
        <v>0.96</v>
      </c>
      <c r="P20" s="18">
        <v>0.5</v>
      </c>
      <c r="Q20" s="18">
        <v>0.78</v>
      </c>
      <c r="R20" s="301">
        <v>172</v>
      </c>
      <c r="S20" s="143">
        <v>6.2499999999999995E-3</v>
      </c>
      <c r="T20" s="94">
        <v>10</v>
      </c>
      <c r="U20" s="354" t="str">
        <f t="shared" si="0"/>
        <v>Normal</v>
      </c>
      <c r="V20" s="354" t="str">
        <f t="shared" si="1"/>
        <v>Normal</v>
      </c>
      <c r="W20" s="359">
        <f t="shared" si="2"/>
        <v>-0.11491108071135431</v>
      </c>
      <c r="X20" s="359">
        <f t="shared" si="3"/>
        <v>-6.1933534743202415E-2</v>
      </c>
      <c r="Y20" s="343"/>
      <c r="Z20" s="343"/>
      <c r="AA20" s="343"/>
      <c r="AB20" s="343"/>
      <c r="AC20" s="343"/>
      <c r="AD20" s="343"/>
      <c r="AE20" s="343"/>
      <c r="AF20" s="343"/>
      <c r="AH20" s="21">
        <v>45062</v>
      </c>
      <c r="AI20" s="1">
        <v>3385</v>
      </c>
      <c r="AJ20" s="1">
        <v>3104</v>
      </c>
    </row>
    <row r="21" spans="1:36">
      <c r="A21" s="21">
        <v>45036</v>
      </c>
      <c r="B21" s="17">
        <f>IF(YEAR(Table7[[#This Row],[Date]]) = 2023, WEEKNUM(Table7[[#This Row],[Date]])-13, WEEKNUM(Table7[[#This Row],[Date]])+40)</f>
        <v>3</v>
      </c>
      <c r="C21" s="34" t="s">
        <v>52</v>
      </c>
      <c r="D21" s="34" t="s">
        <v>94</v>
      </c>
      <c r="E21" s="1">
        <v>718</v>
      </c>
      <c r="F21" s="1">
        <v>688</v>
      </c>
      <c r="G21" s="80">
        <f>IFERROR((Table7[[#This Row],[Calls Off]]-E14)/E14,0%)</f>
        <v>0.1166407465007776</v>
      </c>
      <c r="H21" s="80">
        <f>IFERROR((Table7[[#This Row],[Calls Ans]]-F14)/F14,0%)</f>
        <v>0.15630252100840336</v>
      </c>
      <c r="I21" s="1">
        <v>10250</v>
      </c>
      <c r="J21" s="1">
        <v>9341</v>
      </c>
      <c r="K21" s="37">
        <v>10250</v>
      </c>
      <c r="L21" s="37">
        <v>9341</v>
      </c>
      <c r="M21" s="18">
        <v>0.9</v>
      </c>
      <c r="N21" s="18">
        <v>0.04</v>
      </c>
      <c r="O21" s="18">
        <v>0.96</v>
      </c>
      <c r="P21" s="18">
        <v>0.51</v>
      </c>
      <c r="Q21" s="18">
        <v>0.78</v>
      </c>
      <c r="R21" s="301">
        <v>170</v>
      </c>
      <c r="S21" s="143">
        <v>1.1111111111111112E-2</v>
      </c>
      <c r="T21" s="94">
        <v>11</v>
      </c>
      <c r="U21" s="354" t="str">
        <f t="shared" si="0"/>
        <v>Normal</v>
      </c>
      <c r="V21" s="354" t="str">
        <f t="shared" si="1"/>
        <v>Normal</v>
      </c>
      <c r="W21" s="359">
        <f t="shared" si="2"/>
        <v>0.1166407465007776</v>
      </c>
      <c r="X21" s="359">
        <f t="shared" si="3"/>
        <v>0.15630252100840336</v>
      </c>
      <c r="Y21" s="343"/>
      <c r="Z21" s="343"/>
      <c r="AA21" s="343"/>
      <c r="AB21" s="343"/>
      <c r="AC21" s="343"/>
      <c r="AD21" s="343"/>
      <c r="AE21" s="343"/>
      <c r="AF21" s="343"/>
      <c r="AH21" s="21">
        <v>45069</v>
      </c>
      <c r="AI21" s="1">
        <v>3624</v>
      </c>
      <c r="AJ21" s="1">
        <v>3308</v>
      </c>
    </row>
    <row r="22" spans="1:36">
      <c r="A22" s="21">
        <v>45037</v>
      </c>
      <c r="B22" s="17">
        <f>IF(YEAR(Table7[[#This Row],[Date]]) = 2023, WEEKNUM(Table7[[#This Row],[Date]])-13, WEEKNUM(Table7[[#This Row],[Date]])+40)</f>
        <v>3</v>
      </c>
      <c r="C22" s="34" t="s">
        <v>53</v>
      </c>
      <c r="D22" s="34" t="s">
        <v>94</v>
      </c>
      <c r="E22" s="1">
        <v>680</v>
      </c>
      <c r="F22" s="1">
        <v>661</v>
      </c>
      <c r="G22" s="80">
        <f>IFERROR((Table7[[#This Row],[Calls Off]]-E15)/E15,0%)</f>
        <v>-2.2988505747126436E-2</v>
      </c>
      <c r="H22" s="80">
        <f>IFERROR((Table7[[#This Row],[Calls Ans]]-F15)/F15,0%)</f>
        <v>3.4428794992175271E-2</v>
      </c>
      <c r="I22" s="1">
        <v>10930</v>
      </c>
      <c r="J22" s="1">
        <v>10002</v>
      </c>
      <c r="K22" s="37">
        <v>10930</v>
      </c>
      <c r="L22" s="37">
        <v>10002</v>
      </c>
      <c r="M22" s="18">
        <v>0.96</v>
      </c>
      <c r="N22" s="18">
        <v>0.03</v>
      </c>
      <c r="O22" s="18">
        <v>0.97</v>
      </c>
      <c r="P22" s="18">
        <v>0.37</v>
      </c>
      <c r="Q22" s="18">
        <v>0.78</v>
      </c>
      <c r="R22" s="301">
        <v>137</v>
      </c>
      <c r="S22" s="143">
        <v>4.1666666666666666E-3</v>
      </c>
      <c r="T22" s="94">
        <v>12</v>
      </c>
      <c r="U22" s="354" t="str">
        <f t="shared" si="0"/>
        <v>Normal</v>
      </c>
      <c r="V22" s="354" t="str">
        <f t="shared" si="1"/>
        <v>Normal</v>
      </c>
      <c r="W22" s="359">
        <f t="shared" si="2"/>
        <v>-2.2988505747126436E-2</v>
      </c>
      <c r="X22" s="359">
        <f t="shared" si="3"/>
        <v>3.4428794992175271E-2</v>
      </c>
      <c r="Y22" s="343"/>
      <c r="Z22" s="343"/>
      <c r="AA22" s="343"/>
      <c r="AB22" s="343"/>
      <c r="AC22" s="343"/>
      <c r="AD22" s="343"/>
      <c r="AE22" s="343"/>
      <c r="AF22" s="343"/>
      <c r="AH22" s="21">
        <v>45076</v>
      </c>
      <c r="AI22" s="1">
        <v>846</v>
      </c>
      <c r="AJ22" s="1">
        <v>690</v>
      </c>
    </row>
    <row r="23" spans="1:36">
      <c r="A23" s="21">
        <v>45038</v>
      </c>
      <c r="B23" s="17">
        <f>IF(YEAR(Table7[[#This Row],[Date]]) = 2023, WEEKNUM(Table7[[#This Row],[Date]])-13, WEEKNUM(Table7[[#This Row],[Date]])+40)</f>
        <v>3</v>
      </c>
      <c r="C23" s="34" t="s">
        <v>64</v>
      </c>
      <c r="D23" s="34" t="s">
        <v>94</v>
      </c>
      <c r="E23" s="1">
        <v>0</v>
      </c>
      <c r="F23" s="1">
        <v>0</v>
      </c>
      <c r="G23" s="80">
        <v>0</v>
      </c>
      <c r="H23" s="80">
        <v>0</v>
      </c>
      <c r="I23" s="1">
        <v>0</v>
      </c>
      <c r="J23" s="1">
        <v>0</v>
      </c>
      <c r="K23" s="37">
        <v>0</v>
      </c>
      <c r="L23" s="37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301">
        <v>0</v>
      </c>
      <c r="S23" s="143">
        <v>0</v>
      </c>
      <c r="T23" s="94">
        <v>0</v>
      </c>
      <c r="U23" s="354" t="str">
        <f t="shared" si="0"/>
        <v>Normal</v>
      </c>
      <c r="V23" s="354" t="str">
        <f t="shared" si="1"/>
        <v>Normal</v>
      </c>
      <c r="W23" s="359">
        <f t="shared" si="2"/>
        <v>0</v>
      </c>
      <c r="X23" s="359">
        <f t="shared" si="3"/>
        <v>0</v>
      </c>
      <c r="Y23" s="343"/>
      <c r="Z23" s="343"/>
      <c r="AA23" s="343"/>
      <c r="AB23" s="343"/>
      <c r="AC23" s="343"/>
      <c r="AD23" s="343"/>
      <c r="AE23" s="343"/>
      <c r="AF23" s="343"/>
      <c r="AH23" s="21">
        <v>45083</v>
      </c>
      <c r="AI23" s="1">
        <v>0</v>
      </c>
      <c r="AJ23" s="1">
        <v>0</v>
      </c>
    </row>
    <row r="24" spans="1:36">
      <c r="A24" s="21">
        <v>45039</v>
      </c>
      <c r="B24" s="17">
        <f>IF(YEAR(Table7[[#This Row],[Date]]) = 2023, WEEKNUM(Table7[[#This Row],[Date]])-13, WEEKNUM(Table7[[#This Row],[Date]])+40)</f>
        <v>4</v>
      </c>
      <c r="C24" s="34" t="s">
        <v>48</v>
      </c>
      <c r="D24" s="34" t="s">
        <v>94</v>
      </c>
      <c r="E24" s="1">
        <v>0</v>
      </c>
      <c r="F24" s="1">
        <v>0</v>
      </c>
      <c r="G24" s="80">
        <f>IFERROR((Table7[[#This Row],[Calls Off]]-E17)/E17,0%)</f>
        <v>0</v>
      </c>
      <c r="H24" s="80">
        <f>IFERROR((Table7[[#This Row],[Calls Ans]]-F17)/F17,0%)</f>
        <v>0</v>
      </c>
      <c r="I24" s="1">
        <v>0</v>
      </c>
      <c r="J24" s="1">
        <v>0</v>
      </c>
      <c r="K24" s="37">
        <v>0</v>
      </c>
      <c r="L24" s="37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301">
        <v>0</v>
      </c>
      <c r="S24" s="143">
        <v>0</v>
      </c>
      <c r="T24" s="94">
        <v>0</v>
      </c>
      <c r="U24" s="354" t="str">
        <f t="shared" si="0"/>
        <v>Normal</v>
      </c>
      <c r="V24" s="354" t="str">
        <f t="shared" si="1"/>
        <v>Normal</v>
      </c>
      <c r="W24" s="359">
        <f t="shared" si="2"/>
        <v>0</v>
      </c>
      <c r="X24" s="359">
        <f t="shared" si="3"/>
        <v>0</v>
      </c>
      <c r="Y24" s="343"/>
      <c r="Z24" s="343"/>
      <c r="AA24" s="343"/>
      <c r="AB24" s="343"/>
      <c r="AC24" s="343"/>
      <c r="AD24" s="343"/>
      <c r="AE24" s="343"/>
      <c r="AF24" s="343"/>
      <c r="AH24" s="21">
        <v>45090</v>
      </c>
      <c r="AI24" s="1">
        <v>0</v>
      </c>
      <c r="AJ24" s="1">
        <v>0</v>
      </c>
    </row>
    <row r="25" spans="1:36">
      <c r="A25" s="21">
        <v>45040</v>
      </c>
      <c r="B25" s="17">
        <f>IF(YEAR(Table7[[#This Row],[Date]]) = 2023, WEEKNUM(Table7[[#This Row],[Date]])-13, WEEKNUM(Table7[[#This Row],[Date]])+40)</f>
        <v>4</v>
      </c>
      <c r="C25" s="34" t="s">
        <v>49</v>
      </c>
      <c r="D25" s="34" t="s">
        <v>94</v>
      </c>
      <c r="E25" s="1">
        <v>799</v>
      </c>
      <c r="F25" s="1">
        <v>638</v>
      </c>
      <c r="G25" s="80">
        <f>IFERROR((Table7[[#This Row],[Calls Off]]-E18)/E18,0%)</f>
        <v>-4.880952380952381E-2</v>
      </c>
      <c r="H25" s="80">
        <f>IFERROR((Table7[[#This Row],[Calls Ans]]-F18)/F18,0%)</f>
        <v>-0.21428571428571427</v>
      </c>
      <c r="I25" s="1">
        <v>11729</v>
      </c>
      <c r="J25" s="1">
        <v>10640</v>
      </c>
      <c r="K25" s="37">
        <v>11729</v>
      </c>
      <c r="L25" s="37">
        <v>10640</v>
      </c>
      <c r="M25" s="18">
        <v>0.55000000000000004</v>
      </c>
      <c r="N25" s="18">
        <v>0.2</v>
      </c>
      <c r="O25" s="18">
        <v>0.8</v>
      </c>
      <c r="P25" s="18">
        <v>0.4</v>
      </c>
      <c r="Q25" s="18">
        <v>0.81</v>
      </c>
      <c r="R25" s="301">
        <v>193</v>
      </c>
      <c r="S25" s="143">
        <v>5.2777777777777778E-2</v>
      </c>
      <c r="T25" s="94">
        <v>12</v>
      </c>
      <c r="U25" s="354" t="str">
        <f t="shared" si="0"/>
        <v>Normal</v>
      </c>
      <c r="V25" s="354" t="str">
        <f t="shared" si="1"/>
        <v>Normal</v>
      </c>
      <c r="W25" s="359">
        <f t="shared" si="2"/>
        <v>-4.880952380952381E-2</v>
      </c>
      <c r="X25" s="359">
        <f t="shared" si="3"/>
        <v>-0.21428571428571427</v>
      </c>
      <c r="Y25" s="343"/>
      <c r="Z25" s="343"/>
      <c r="AA25" s="343"/>
      <c r="AB25" s="343"/>
      <c r="AC25" s="343"/>
      <c r="AD25" s="343"/>
      <c r="AE25" s="343"/>
      <c r="AF25" s="343"/>
      <c r="AH25" s="21">
        <v>45097</v>
      </c>
      <c r="AI25" s="1">
        <v>0</v>
      </c>
      <c r="AJ25" s="1">
        <v>0</v>
      </c>
    </row>
    <row r="26" spans="1:36">
      <c r="A26" s="21">
        <v>45041</v>
      </c>
      <c r="B26" s="17">
        <f>IF(YEAR(Table7[[#This Row],[Date]]) = 2023, WEEKNUM(Table7[[#This Row],[Date]])-13, WEEKNUM(Table7[[#This Row],[Date]])+40)</f>
        <v>4</v>
      </c>
      <c r="C26" s="34" t="s">
        <v>50</v>
      </c>
      <c r="D26" s="34" t="s">
        <v>94</v>
      </c>
      <c r="E26" s="1">
        <v>688</v>
      </c>
      <c r="F26" s="1">
        <v>652</v>
      </c>
      <c r="G26" s="80">
        <f>IFERROR((Table7[[#This Row],[Calls Off]]-E19)/E19,0%)</f>
        <v>-5.4945054945054944E-2</v>
      </c>
      <c r="H26" s="80">
        <f>IFERROR((Table7[[#This Row],[Calls Ans]]-F19)/F19,0%)</f>
        <v>1.3996889580093312E-2</v>
      </c>
      <c r="I26" s="1">
        <v>12417</v>
      </c>
      <c r="J26" s="1">
        <v>11292</v>
      </c>
      <c r="K26" s="37">
        <v>12417</v>
      </c>
      <c r="L26" s="37">
        <v>11292</v>
      </c>
      <c r="M26" s="18">
        <v>0.78</v>
      </c>
      <c r="N26" s="18">
        <v>0.05</v>
      </c>
      <c r="O26" s="18">
        <v>0.95</v>
      </c>
      <c r="P26" s="18">
        <v>0.53</v>
      </c>
      <c r="Q26" s="18">
        <v>0.78</v>
      </c>
      <c r="R26" s="301">
        <v>184</v>
      </c>
      <c r="S26" s="143">
        <v>1.5972222222222224E-2</v>
      </c>
      <c r="T26" s="94">
        <v>10</v>
      </c>
      <c r="U26" s="354" t="str">
        <f t="shared" si="0"/>
        <v>Normal</v>
      </c>
      <c r="V26" s="354" t="str">
        <f t="shared" si="1"/>
        <v>Normal</v>
      </c>
      <c r="W26" s="359">
        <f t="shared" si="2"/>
        <v>-5.4945054945054944E-2</v>
      </c>
      <c r="X26" s="359">
        <f t="shared" si="3"/>
        <v>1.3996889580093312E-2</v>
      </c>
      <c r="Y26" s="343"/>
      <c r="Z26" s="343"/>
      <c r="AA26" s="343"/>
      <c r="AB26" s="343"/>
      <c r="AC26" s="343"/>
      <c r="AD26" s="343"/>
      <c r="AE26" s="343"/>
      <c r="AF26" s="343"/>
      <c r="AH26" s="21">
        <v>45104</v>
      </c>
      <c r="AI26" s="1">
        <v>0</v>
      </c>
      <c r="AJ26" s="1">
        <v>0</v>
      </c>
    </row>
    <row r="27" spans="1:36">
      <c r="A27" s="21">
        <v>45042</v>
      </c>
      <c r="B27" s="17">
        <f>IF(YEAR(Table7[[#This Row],[Date]]) = 2023, WEEKNUM(Table7[[#This Row],[Date]])-13, WEEKNUM(Table7[[#This Row],[Date]])+40)</f>
        <v>4</v>
      </c>
      <c r="C27" s="34" t="s">
        <v>51</v>
      </c>
      <c r="D27" s="34" t="s">
        <v>94</v>
      </c>
      <c r="E27" s="1">
        <v>616</v>
      </c>
      <c r="F27" s="1">
        <v>602</v>
      </c>
      <c r="G27" s="80">
        <f>IFERROR((Table7[[#This Row],[Calls Off]]-E20)/E20,0%)</f>
        <v>-4.7913446676970631E-2</v>
      </c>
      <c r="H27" s="80">
        <f>IFERROR((Table7[[#This Row],[Calls Ans]]-F20)/F20,0%)</f>
        <v>-3.0595813204508857E-2</v>
      </c>
      <c r="I27" s="1">
        <v>13033</v>
      </c>
      <c r="J27" s="1">
        <v>11894</v>
      </c>
      <c r="K27" s="37">
        <v>13033</v>
      </c>
      <c r="L27" s="37">
        <v>11894</v>
      </c>
      <c r="M27" s="18">
        <v>0.97</v>
      </c>
      <c r="N27" s="18">
        <v>0.02</v>
      </c>
      <c r="O27" s="18">
        <v>0.98</v>
      </c>
      <c r="P27" s="18">
        <v>0.32</v>
      </c>
      <c r="Q27" s="18">
        <v>0.8</v>
      </c>
      <c r="R27" s="301">
        <v>151</v>
      </c>
      <c r="S27" s="143">
        <v>3.472222222222222E-3</v>
      </c>
      <c r="T27" s="94">
        <v>12</v>
      </c>
      <c r="U27" s="354" t="str">
        <f t="shared" si="0"/>
        <v>Normal</v>
      </c>
      <c r="V27" s="354" t="str">
        <f t="shared" si="1"/>
        <v>Normal</v>
      </c>
      <c r="W27" s="359">
        <f t="shared" si="2"/>
        <v>-4.7913446676970631E-2</v>
      </c>
      <c r="X27" s="359">
        <f t="shared" si="3"/>
        <v>-3.0595813204508857E-2</v>
      </c>
      <c r="Y27" s="343"/>
      <c r="Z27" s="343"/>
      <c r="AA27" s="343"/>
      <c r="AB27" s="343"/>
      <c r="AC27" s="343"/>
      <c r="AD27" s="343"/>
      <c r="AE27" s="343"/>
      <c r="AF27" s="343"/>
      <c r="AH27" s="21">
        <v>45111</v>
      </c>
      <c r="AI27" s="1">
        <v>0</v>
      </c>
      <c r="AJ27" s="1">
        <v>0</v>
      </c>
    </row>
    <row r="28" spans="1:36">
      <c r="A28" s="21">
        <v>45043</v>
      </c>
      <c r="B28" s="17">
        <f>IF(YEAR(Table7[[#This Row],[Date]]) = 2023, WEEKNUM(Table7[[#This Row],[Date]])-13, WEEKNUM(Table7[[#This Row],[Date]])+40)</f>
        <v>4</v>
      </c>
      <c r="C28" s="34" t="s">
        <v>52</v>
      </c>
      <c r="D28" s="34" t="s">
        <v>94</v>
      </c>
      <c r="E28" s="1">
        <v>774</v>
      </c>
      <c r="F28" s="1">
        <v>707</v>
      </c>
      <c r="G28" s="80">
        <f>IFERROR((Table7[[#This Row],[Calls Off]]-E21)/E21,0%)</f>
        <v>7.7994428969359333E-2</v>
      </c>
      <c r="H28" s="80">
        <f>IFERROR((Table7[[#This Row],[Calls Ans]]-F21)/F21,0%)</f>
        <v>2.7616279069767442E-2</v>
      </c>
      <c r="I28" s="1">
        <v>13807</v>
      </c>
      <c r="J28" s="1">
        <v>12601</v>
      </c>
      <c r="K28" s="37">
        <v>13807</v>
      </c>
      <c r="L28" s="37">
        <v>12601</v>
      </c>
      <c r="M28" s="18">
        <v>0.8</v>
      </c>
      <c r="N28" s="18">
        <v>0.09</v>
      </c>
      <c r="O28" s="18">
        <v>0.91</v>
      </c>
      <c r="P28" s="18">
        <v>0.44</v>
      </c>
      <c r="Q28" s="18">
        <v>0.81</v>
      </c>
      <c r="R28" s="301">
        <v>171</v>
      </c>
      <c r="S28" s="143">
        <v>1.9444444444444445E-2</v>
      </c>
      <c r="T28" s="94">
        <v>13</v>
      </c>
      <c r="U28" s="354" t="str">
        <f t="shared" si="0"/>
        <v>Normal</v>
      </c>
      <c r="V28" s="354" t="str">
        <f t="shared" si="1"/>
        <v>Normal</v>
      </c>
      <c r="W28" s="359">
        <f t="shared" si="2"/>
        <v>7.7994428969359333E-2</v>
      </c>
      <c r="X28" s="359">
        <f t="shared" si="3"/>
        <v>2.7616279069767442E-2</v>
      </c>
      <c r="Y28" s="343"/>
      <c r="Z28" s="343"/>
      <c r="AA28" s="343"/>
      <c r="AB28" s="343"/>
      <c r="AC28" s="343"/>
      <c r="AD28" s="343"/>
      <c r="AE28" s="343"/>
      <c r="AF28" s="343"/>
      <c r="AH28" s="21">
        <v>45118</v>
      </c>
      <c r="AI28" s="1">
        <v>0</v>
      </c>
      <c r="AJ28" s="1">
        <v>0</v>
      </c>
    </row>
    <row r="29" spans="1:36">
      <c r="A29" s="21">
        <v>45044</v>
      </c>
      <c r="B29" s="17">
        <f>IF(YEAR(Table7[[#This Row],[Date]]) = 2023, WEEKNUM(Table7[[#This Row],[Date]])-13, WEEKNUM(Table7[[#This Row],[Date]])+40)</f>
        <v>4</v>
      </c>
      <c r="C29" s="34" t="s">
        <v>53</v>
      </c>
      <c r="D29" s="34" t="s">
        <v>94</v>
      </c>
      <c r="E29" s="1">
        <v>623</v>
      </c>
      <c r="F29" s="1">
        <v>599</v>
      </c>
      <c r="G29" s="80">
        <f>IFERROR((Table7[[#This Row],[Calls Off]]-E22)/E22,0%)</f>
        <v>-8.38235294117647E-2</v>
      </c>
      <c r="H29" s="80">
        <f>IFERROR((Table7[[#This Row],[Calls Ans]]-F22)/F22,0%)</f>
        <v>-9.3797276853252648E-2</v>
      </c>
      <c r="I29" s="1">
        <v>14430</v>
      </c>
      <c r="J29" s="1">
        <v>13200</v>
      </c>
      <c r="K29" s="37">
        <v>14430</v>
      </c>
      <c r="L29" s="37">
        <v>13200</v>
      </c>
      <c r="M29" s="18">
        <v>0.88</v>
      </c>
      <c r="N29" s="18">
        <v>0.04</v>
      </c>
      <c r="O29" s="18">
        <v>0.96</v>
      </c>
      <c r="P29" s="18">
        <v>0.36</v>
      </c>
      <c r="Q29" s="18">
        <v>0.81</v>
      </c>
      <c r="R29" s="301">
        <v>181</v>
      </c>
      <c r="S29" s="143">
        <v>7.6388888888888886E-3</v>
      </c>
      <c r="T29" s="94">
        <v>12</v>
      </c>
      <c r="U29" s="354" t="str">
        <f t="shared" si="0"/>
        <v>Normal</v>
      </c>
      <c r="V29" s="354" t="str">
        <f t="shared" si="1"/>
        <v>Normal</v>
      </c>
      <c r="W29" s="359">
        <f t="shared" si="2"/>
        <v>-8.38235294117647E-2</v>
      </c>
      <c r="X29" s="359">
        <f t="shared" si="3"/>
        <v>-9.3797276853252648E-2</v>
      </c>
      <c r="Y29" s="343"/>
      <c r="Z29" s="343"/>
      <c r="AA29" s="343"/>
      <c r="AB29" s="343"/>
      <c r="AC29" s="343"/>
      <c r="AD29" s="343"/>
      <c r="AE29" s="343"/>
      <c r="AF29" s="343"/>
      <c r="AH29" s="21">
        <v>45125</v>
      </c>
      <c r="AI29" s="1">
        <v>0</v>
      </c>
      <c r="AJ29" s="1">
        <v>0</v>
      </c>
    </row>
    <row r="30" spans="1:36">
      <c r="A30" s="21">
        <v>45045</v>
      </c>
      <c r="B30" s="17">
        <f>IF(YEAR(Table7[[#This Row],[Date]]) = 2023, WEEKNUM(Table7[[#This Row],[Date]])-13, WEEKNUM(Table7[[#This Row],[Date]])+40)</f>
        <v>4</v>
      </c>
      <c r="C30" s="34" t="s">
        <v>54</v>
      </c>
      <c r="D30" s="34" t="s">
        <v>94</v>
      </c>
      <c r="E30" s="75">
        <v>0</v>
      </c>
      <c r="F30" s="75">
        <v>0</v>
      </c>
      <c r="G30" s="80">
        <f>IFERROR((Table7[[#This Row],[Calls Off]]-E23)/E23,0%)</f>
        <v>0</v>
      </c>
      <c r="H30" s="80">
        <f>IFERROR((Table7[[#This Row],[Calls Ans]]-F23)/F23,0%)</f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421">
        <v>0</v>
      </c>
      <c r="Q30" s="75">
        <v>0</v>
      </c>
      <c r="R30" s="302">
        <v>0</v>
      </c>
      <c r="S30" s="75">
        <v>0</v>
      </c>
      <c r="T30" s="356">
        <v>0</v>
      </c>
      <c r="U30" s="354" t="str">
        <f t="shared" si="0"/>
        <v>Normal</v>
      </c>
      <c r="V30" s="354" t="str">
        <f t="shared" si="1"/>
        <v>Normal</v>
      </c>
      <c r="W30" s="360">
        <f t="shared" si="2"/>
        <v>0</v>
      </c>
      <c r="X30" s="360">
        <f t="shared" si="3"/>
        <v>0</v>
      </c>
      <c r="Y30" s="352"/>
      <c r="Z30" s="352"/>
      <c r="AA30" s="352"/>
      <c r="AB30" s="352"/>
      <c r="AC30" s="352"/>
      <c r="AD30" s="352"/>
      <c r="AE30" s="352"/>
      <c r="AF30" s="352"/>
      <c r="AH30" s="21">
        <v>45132</v>
      </c>
      <c r="AI30" s="1">
        <v>0</v>
      </c>
      <c r="AJ30" s="1">
        <v>0</v>
      </c>
    </row>
    <row r="31" spans="1:36">
      <c r="A31" s="21">
        <v>45046</v>
      </c>
      <c r="B31" s="17">
        <f>IF(YEAR(Table7[[#This Row],[Date]]) = 2023, WEEKNUM(Table7[[#This Row],[Date]])-13, WEEKNUM(Table7[[#This Row],[Date]])+40)</f>
        <v>5</v>
      </c>
      <c r="C31" s="34" t="s">
        <v>48</v>
      </c>
      <c r="D31" s="34" t="s">
        <v>94</v>
      </c>
      <c r="E31" s="1">
        <v>0</v>
      </c>
      <c r="F31" s="1">
        <v>0</v>
      </c>
      <c r="G31" s="80">
        <f>IFERROR((Table7[[#This Row],[Calls Off]]-E24)/E24,0%)</f>
        <v>0</v>
      </c>
      <c r="H31" s="80">
        <f>IFERROR((Table7[[#This Row],[Calls Ans]]-F24)/F24,0%)</f>
        <v>0</v>
      </c>
      <c r="I31" s="1">
        <v>0</v>
      </c>
      <c r="J31" s="1">
        <v>0</v>
      </c>
      <c r="K31" s="1">
        <v>0</v>
      </c>
      <c r="L31" s="1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301">
        <v>0</v>
      </c>
      <c r="S31" s="143">
        <v>0</v>
      </c>
      <c r="T31" s="94">
        <v>0</v>
      </c>
      <c r="U31" s="354" t="str">
        <f t="shared" si="0"/>
        <v>Normal</v>
      </c>
      <c r="V31" s="354" t="str">
        <f t="shared" si="1"/>
        <v>Normal</v>
      </c>
      <c r="W31" s="359">
        <f t="shared" si="2"/>
        <v>0</v>
      </c>
      <c r="X31" s="359">
        <f t="shared" si="3"/>
        <v>0</v>
      </c>
      <c r="Y31" s="343"/>
      <c r="Z31" s="343"/>
      <c r="AA31" s="343"/>
      <c r="AB31" s="343"/>
      <c r="AC31" s="343"/>
      <c r="AD31" s="343"/>
      <c r="AE31" s="343"/>
      <c r="AF31" s="343"/>
      <c r="AH31" s="21">
        <v>45139</v>
      </c>
      <c r="AI31" s="1">
        <v>0</v>
      </c>
      <c r="AJ31" s="1">
        <v>0</v>
      </c>
    </row>
    <row r="32" spans="1:36">
      <c r="A32" s="21">
        <v>45047</v>
      </c>
      <c r="B32" s="17">
        <f>IF(YEAR(Table7[[#This Row],[Date]]) = 2023, WEEKNUM(Table7[[#This Row],[Date]])-13, WEEKNUM(Table7[[#This Row],[Date]])+40)</f>
        <v>5</v>
      </c>
      <c r="C32" s="34" t="s">
        <v>64</v>
      </c>
      <c r="D32" s="34" t="s">
        <v>94</v>
      </c>
      <c r="E32" s="1">
        <v>0</v>
      </c>
      <c r="F32" s="1">
        <v>0</v>
      </c>
      <c r="G32" s="80">
        <v>0</v>
      </c>
      <c r="H32" s="80">
        <v>0</v>
      </c>
      <c r="I32" s="1">
        <v>0</v>
      </c>
      <c r="J32" s="1">
        <v>0</v>
      </c>
      <c r="K32" s="1">
        <v>0</v>
      </c>
      <c r="L32" s="1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301">
        <v>0</v>
      </c>
      <c r="S32" s="143">
        <v>0</v>
      </c>
      <c r="T32" s="94">
        <v>0</v>
      </c>
      <c r="U32" s="354" t="str">
        <f t="shared" si="0"/>
        <v>Normal</v>
      </c>
      <c r="V32" s="354" t="str">
        <f t="shared" si="1"/>
        <v>Normal</v>
      </c>
      <c r="W32" s="359">
        <f t="shared" si="2"/>
        <v>0</v>
      </c>
      <c r="X32" s="359">
        <f t="shared" si="3"/>
        <v>0</v>
      </c>
      <c r="Y32" s="343"/>
      <c r="Z32" s="343"/>
      <c r="AA32" s="343"/>
      <c r="AB32" s="343"/>
      <c r="AC32" s="343"/>
      <c r="AD32" s="343"/>
      <c r="AE32" s="343"/>
      <c r="AF32" s="343"/>
      <c r="AH32" s="21">
        <v>45146</v>
      </c>
      <c r="AI32" s="1">
        <v>0</v>
      </c>
      <c r="AJ32" s="1">
        <v>0</v>
      </c>
    </row>
    <row r="33" spans="1:36">
      <c r="A33" s="21">
        <v>45048</v>
      </c>
      <c r="B33" s="17">
        <f>IF(YEAR(Table7[[#This Row],[Date]]) = 2023, WEEKNUM(Table7[[#This Row],[Date]])-13, WEEKNUM(Table7[[#This Row],[Date]])+40)</f>
        <v>5</v>
      </c>
      <c r="C33" s="34" t="s">
        <v>50</v>
      </c>
      <c r="D33" s="34" t="s">
        <v>94</v>
      </c>
      <c r="E33" s="1">
        <v>698</v>
      </c>
      <c r="F33" s="1">
        <v>668</v>
      </c>
      <c r="G33" s="80">
        <f>IFERROR((Table7[[#This Row],[Calls Off]]-E26)/E26,0%)</f>
        <v>1.4534883720930232E-2</v>
      </c>
      <c r="H33" s="80">
        <f>IFERROR((Table7[[#This Row],[Calls Ans]]-F26)/F26,0%)</f>
        <v>2.4539877300613498E-2</v>
      </c>
      <c r="I33" s="1">
        <v>698</v>
      </c>
      <c r="J33" s="1">
        <v>668</v>
      </c>
      <c r="K33" s="37">
        <v>15128</v>
      </c>
      <c r="L33" s="37">
        <v>13868</v>
      </c>
      <c r="M33" s="18">
        <v>0.83</v>
      </c>
      <c r="N33" s="18">
        <v>0.04</v>
      </c>
      <c r="O33" s="18">
        <v>0.96</v>
      </c>
      <c r="P33" s="18">
        <v>0.45</v>
      </c>
      <c r="Q33" s="18">
        <v>0.78</v>
      </c>
      <c r="R33" s="301">
        <v>181</v>
      </c>
      <c r="S33" s="143">
        <v>1.3194444444444444E-2</v>
      </c>
      <c r="T33" s="94">
        <v>12</v>
      </c>
      <c r="U33" s="354" t="str">
        <f t="shared" si="0"/>
        <v>Normal</v>
      </c>
      <c r="V33" s="354" t="str">
        <f t="shared" si="1"/>
        <v>Normal</v>
      </c>
      <c r="W33" s="359">
        <f t="shared" si="2"/>
        <v>1.4534883720930232E-2</v>
      </c>
      <c r="X33" s="359">
        <f t="shared" si="3"/>
        <v>2.4539877300613498E-2</v>
      </c>
      <c r="Y33" s="343"/>
      <c r="Z33" s="343"/>
      <c r="AA33" s="343"/>
      <c r="AB33" s="343"/>
      <c r="AC33" s="343"/>
      <c r="AD33" s="343"/>
      <c r="AE33" s="343"/>
      <c r="AF33" s="343"/>
      <c r="AH33" s="21">
        <v>45153</v>
      </c>
      <c r="AI33" s="1">
        <v>0</v>
      </c>
      <c r="AJ33" s="1">
        <v>0</v>
      </c>
    </row>
    <row r="34" spans="1:36">
      <c r="A34" s="21">
        <v>45049</v>
      </c>
      <c r="B34" s="17">
        <f>IF(YEAR(Table7[[#This Row],[Date]]) = 2023, WEEKNUM(Table7[[#This Row],[Date]])-13, WEEKNUM(Table7[[#This Row],[Date]])+40)</f>
        <v>5</v>
      </c>
      <c r="C34" s="34" t="s">
        <v>51</v>
      </c>
      <c r="D34" s="34" t="s">
        <v>94</v>
      </c>
      <c r="E34" s="1">
        <v>687</v>
      </c>
      <c r="F34" s="1">
        <v>662</v>
      </c>
      <c r="G34" s="80">
        <f>IFERROR((Table7[[#This Row],[Calls Off]]-E27)/E27,0%)</f>
        <v>0.11525974025974026</v>
      </c>
      <c r="H34" s="80">
        <f>IFERROR((Table7[[#This Row],[Calls Ans]]-F27)/F27,0%)</f>
        <v>9.9667774086378738E-2</v>
      </c>
      <c r="I34" s="1">
        <v>1385</v>
      </c>
      <c r="J34" s="1">
        <v>1330</v>
      </c>
      <c r="K34" s="37">
        <v>15815</v>
      </c>
      <c r="L34" s="37">
        <v>14530</v>
      </c>
      <c r="M34" s="18">
        <v>0.95</v>
      </c>
      <c r="N34" s="18">
        <v>0.04</v>
      </c>
      <c r="O34" s="18">
        <v>0.96</v>
      </c>
      <c r="P34" s="18">
        <v>0.4</v>
      </c>
      <c r="Q34" s="18">
        <v>0.78</v>
      </c>
      <c r="R34" s="301">
        <v>167</v>
      </c>
      <c r="S34" s="143">
        <v>5.5555555555555558E-3</v>
      </c>
      <c r="T34" s="94">
        <v>13</v>
      </c>
      <c r="U34" s="354" t="str">
        <f t="shared" si="0"/>
        <v>Normal</v>
      </c>
      <c r="V34" s="354" t="str">
        <f t="shared" si="1"/>
        <v>Normal</v>
      </c>
      <c r="W34" s="359">
        <f t="shared" si="2"/>
        <v>0.11525974025974026</v>
      </c>
      <c r="X34" s="359">
        <f t="shared" si="3"/>
        <v>9.9667774086378738E-2</v>
      </c>
      <c r="Y34" s="343"/>
      <c r="Z34" s="343"/>
      <c r="AA34" s="343"/>
      <c r="AB34" s="343"/>
      <c r="AC34" s="343"/>
      <c r="AD34" s="343"/>
      <c r="AE34" s="343"/>
      <c r="AF34" s="343"/>
      <c r="AH34" s="21">
        <v>45160</v>
      </c>
      <c r="AI34" s="1">
        <v>0</v>
      </c>
      <c r="AJ34" s="1">
        <v>0</v>
      </c>
    </row>
    <row r="35" spans="1:36">
      <c r="A35" s="21">
        <v>45050</v>
      </c>
      <c r="B35" s="17">
        <f>IF(YEAR(Table7[[#This Row],[Date]]) = 2023, WEEKNUM(Table7[[#This Row],[Date]])-13, WEEKNUM(Table7[[#This Row],[Date]])+40)</f>
        <v>5</v>
      </c>
      <c r="C35" s="34" t="s">
        <v>52</v>
      </c>
      <c r="D35" s="34" t="s">
        <v>94</v>
      </c>
      <c r="E35" s="1">
        <v>604</v>
      </c>
      <c r="F35" s="1">
        <v>591</v>
      </c>
      <c r="G35" s="80">
        <f>IFERROR((Table7[[#This Row],[Calls Off]]-E28)/E28,0%)</f>
        <v>-0.21963824289405684</v>
      </c>
      <c r="H35" s="80">
        <f>IFERROR((Table7[[#This Row],[Calls Ans]]-F28)/F28,0%)</f>
        <v>-0.16407355021216408</v>
      </c>
      <c r="I35" s="1">
        <v>1989</v>
      </c>
      <c r="J35" s="1">
        <v>1921</v>
      </c>
      <c r="K35" s="37">
        <v>16419</v>
      </c>
      <c r="L35" s="37">
        <v>15121</v>
      </c>
      <c r="M35" s="18">
        <v>0.96</v>
      </c>
      <c r="N35" s="18">
        <v>0.02</v>
      </c>
      <c r="O35" s="18">
        <v>0.98</v>
      </c>
      <c r="P35" s="18">
        <v>0.28999999999999998</v>
      </c>
      <c r="Q35" s="18">
        <v>0.8</v>
      </c>
      <c r="R35" s="301">
        <v>159</v>
      </c>
      <c r="S35" s="143">
        <v>4.1666666666666666E-3</v>
      </c>
      <c r="T35" s="94">
        <v>12</v>
      </c>
      <c r="U35" s="354" t="str">
        <f t="shared" si="0"/>
        <v>Normal</v>
      </c>
      <c r="V35" s="354" t="str">
        <f t="shared" si="1"/>
        <v>Normal</v>
      </c>
      <c r="W35" s="359">
        <f t="shared" si="2"/>
        <v>-0.21963824289405684</v>
      </c>
      <c r="X35" s="359">
        <f t="shared" si="3"/>
        <v>-0.16407355021216408</v>
      </c>
      <c r="Y35" s="343"/>
      <c r="Z35" s="343"/>
      <c r="AA35" s="343"/>
      <c r="AB35" s="343"/>
      <c r="AC35" s="343"/>
      <c r="AD35" s="343"/>
      <c r="AE35" s="343"/>
      <c r="AF35" s="343"/>
      <c r="AH35" s="21">
        <v>45167</v>
      </c>
      <c r="AI35" s="1">
        <v>0</v>
      </c>
      <c r="AJ35" s="1">
        <v>0</v>
      </c>
    </row>
    <row r="36" spans="1:36">
      <c r="A36" s="21">
        <v>45051</v>
      </c>
      <c r="B36" s="17">
        <f>IF(YEAR(Table7[[#This Row],[Date]]) = 2023, WEEKNUM(Table7[[#This Row],[Date]])-13, WEEKNUM(Table7[[#This Row],[Date]])+40)</f>
        <v>5</v>
      </c>
      <c r="C36" s="34" t="s">
        <v>53</v>
      </c>
      <c r="D36" s="34" t="s">
        <v>94</v>
      </c>
      <c r="E36" s="1">
        <v>592</v>
      </c>
      <c r="F36" s="1">
        <v>573</v>
      </c>
      <c r="G36" s="80">
        <f>IFERROR((Table7[[#This Row],[Calls Off]]-E29)/E29,0%)</f>
        <v>-4.9759229534510431E-2</v>
      </c>
      <c r="H36" s="80">
        <f>IFERROR((Table7[[#This Row],[Calls Ans]]-F29)/F29,0%)</f>
        <v>-4.340567612687813E-2</v>
      </c>
      <c r="I36" s="1">
        <v>2581</v>
      </c>
      <c r="J36" s="1">
        <v>2494</v>
      </c>
      <c r="K36" s="37">
        <v>17011</v>
      </c>
      <c r="L36" s="37">
        <v>15694</v>
      </c>
      <c r="M36" s="18">
        <v>0.9</v>
      </c>
      <c r="N36" s="18">
        <v>0.03</v>
      </c>
      <c r="O36" s="18">
        <v>0.97</v>
      </c>
      <c r="P36" s="18">
        <v>0.28999999999999998</v>
      </c>
      <c r="Q36" s="18">
        <v>0.79</v>
      </c>
      <c r="R36" s="301">
        <v>132</v>
      </c>
      <c r="S36" s="143">
        <v>5.5555555555555558E-3</v>
      </c>
      <c r="T36" s="94">
        <v>12</v>
      </c>
      <c r="U36" s="354" t="str">
        <f t="shared" si="0"/>
        <v>Normal</v>
      </c>
      <c r="V36" s="354" t="str">
        <f t="shared" si="1"/>
        <v>Normal</v>
      </c>
      <c r="W36" s="359">
        <f t="shared" si="2"/>
        <v>-4.9759229534510431E-2</v>
      </c>
      <c r="X36" s="359">
        <f t="shared" si="3"/>
        <v>-4.340567612687813E-2</v>
      </c>
      <c r="Y36" s="343"/>
      <c r="Z36" s="343"/>
      <c r="AA36" s="343"/>
      <c r="AB36" s="343"/>
      <c r="AC36" s="343"/>
      <c r="AD36" s="343"/>
      <c r="AE36" s="343"/>
      <c r="AF36" s="343"/>
      <c r="AH36" s="21">
        <v>45174</v>
      </c>
      <c r="AI36" s="1">
        <v>0</v>
      </c>
      <c r="AJ36" s="1">
        <v>0</v>
      </c>
    </row>
    <row r="37" spans="1:36">
      <c r="A37" s="21">
        <v>45052</v>
      </c>
      <c r="B37" s="17">
        <f>IF(YEAR(Table7[[#This Row],[Date]]) = 2023, WEEKNUM(Table7[[#This Row],[Date]])-13, WEEKNUM(Table7[[#This Row],[Date]])+40)</f>
        <v>5</v>
      </c>
      <c r="C37" s="34" t="s">
        <v>54</v>
      </c>
      <c r="D37" s="34" t="s">
        <v>94</v>
      </c>
      <c r="E37" s="1">
        <v>305</v>
      </c>
      <c r="F37" s="1">
        <v>252</v>
      </c>
      <c r="G37" s="80">
        <f>IFERROR((Table7[[#This Row],[Calls Off]]-E30)/E30,0%)</f>
        <v>0</v>
      </c>
      <c r="H37" s="80">
        <f>IFERROR((Table7[[#This Row],[Calls Ans]]-F30)/F30,0%)</f>
        <v>0</v>
      </c>
      <c r="I37" s="1">
        <v>2886</v>
      </c>
      <c r="J37" s="1">
        <v>2746</v>
      </c>
      <c r="K37" s="37">
        <v>17316</v>
      </c>
      <c r="L37" s="37">
        <v>15946</v>
      </c>
      <c r="M37" s="18">
        <v>0.46</v>
      </c>
      <c r="N37" s="18">
        <v>0.17</v>
      </c>
      <c r="O37" s="18">
        <v>0.83</v>
      </c>
      <c r="P37" s="18">
        <v>0.63</v>
      </c>
      <c r="Q37" s="18">
        <v>0.85</v>
      </c>
      <c r="R37" s="301">
        <v>182</v>
      </c>
      <c r="S37" s="143">
        <v>5.5555555555555552E-2</v>
      </c>
      <c r="T37" s="94">
        <v>6</v>
      </c>
      <c r="U37" s="354" t="str">
        <f t="shared" si="0"/>
        <v>Normal</v>
      </c>
      <c r="V37" s="354" t="str">
        <f t="shared" si="1"/>
        <v>Normal</v>
      </c>
      <c r="W37" s="359">
        <f t="shared" si="2"/>
        <v>0</v>
      </c>
      <c r="X37" s="359">
        <f t="shared" si="3"/>
        <v>0</v>
      </c>
      <c r="Y37" s="343"/>
      <c r="Z37" s="343"/>
      <c r="AA37" s="343"/>
      <c r="AB37" s="343"/>
      <c r="AC37" s="343"/>
      <c r="AD37" s="343"/>
      <c r="AE37" s="343"/>
      <c r="AF37" s="343"/>
      <c r="AH37" s="21">
        <v>45181</v>
      </c>
      <c r="AI37" s="1">
        <v>0</v>
      </c>
      <c r="AJ37" s="1">
        <v>0</v>
      </c>
    </row>
    <row r="38" spans="1:36">
      <c r="A38" s="21">
        <v>45053</v>
      </c>
      <c r="B38" s="17">
        <f>IF(YEAR(Table7[[#This Row],[Date]]) = 2023, WEEKNUM(Table7[[#This Row],[Date]])-13, WEEKNUM(Table7[[#This Row],[Date]])+40)</f>
        <v>6</v>
      </c>
      <c r="C38" s="34" t="s">
        <v>48</v>
      </c>
      <c r="D38" s="34" t="s">
        <v>94</v>
      </c>
      <c r="E38" s="1">
        <v>0</v>
      </c>
      <c r="F38" s="1">
        <v>0</v>
      </c>
      <c r="G38" s="80">
        <f>IFERROR((Table7[[#This Row],[Calls Off]]-E31)/E31,0%)</f>
        <v>0</v>
      </c>
      <c r="H38" s="80">
        <f>IFERROR((Table7[[#This Row],[Calls Ans]]-F31)/F31,0%)</f>
        <v>0</v>
      </c>
      <c r="I38" s="1">
        <v>0</v>
      </c>
      <c r="J38" s="1">
        <v>0</v>
      </c>
      <c r="K38" s="1">
        <v>0</v>
      </c>
      <c r="L38" s="1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301">
        <v>0</v>
      </c>
      <c r="S38" s="143">
        <v>0</v>
      </c>
      <c r="T38" s="94">
        <v>0</v>
      </c>
      <c r="U38" s="354" t="str">
        <f t="shared" si="0"/>
        <v>Normal</v>
      </c>
      <c r="V38" s="354" t="str">
        <f t="shared" si="1"/>
        <v>Normal</v>
      </c>
      <c r="W38" s="359">
        <f t="shared" si="2"/>
        <v>0</v>
      </c>
      <c r="X38" s="359">
        <f t="shared" si="3"/>
        <v>0</v>
      </c>
      <c r="Y38" s="343"/>
      <c r="Z38" s="343"/>
      <c r="AA38" s="343"/>
      <c r="AB38" s="343"/>
      <c r="AC38" s="343"/>
      <c r="AD38" s="343"/>
      <c r="AE38" s="343"/>
      <c r="AF38" s="343"/>
      <c r="AH38" s="21">
        <v>45188</v>
      </c>
      <c r="AI38" s="1">
        <v>0</v>
      </c>
      <c r="AJ38" s="1">
        <v>0</v>
      </c>
    </row>
    <row r="39" spans="1:36">
      <c r="A39" s="21">
        <v>45054</v>
      </c>
      <c r="B39" s="17">
        <f>IF(YEAR(Table7[[#This Row],[Date]]) = 2023, WEEKNUM(Table7[[#This Row],[Date]])-13, WEEKNUM(Table7[[#This Row],[Date]])+40)</f>
        <v>6</v>
      </c>
      <c r="C39" s="34" t="s">
        <v>49</v>
      </c>
      <c r="D39" s="34" t="s">
        <v>94</v>
      </c>
      <c r="E39" s="75">
        <v>0</v>
      </c>
      <c r="F39" s="75">
        <v>0</v>
      </c>
      <c r="G39" s="80">
        <f>IFERROR((Table7[[#This Row],[Calls Off]]-E32)/E32,0%)</f>
        <v>0</v>
      </c>
      <c r="H39" s="80">
        <f>IFERROR((Table7[[#This Row],[Calls Ans]]-F32)/F32,0%)</f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421">
        <v>0</v>
      </c>
      <c r="Q39" s="75">
        <v>0</v>
      </c>
      <c r="R39" s="302">
        <v>0</v>
      </c>
      <c r="S39" s="75">
        <v>0</v>
      </c>
      <c r="T39" s="357">
        <v>0</v>
      </c>
      <c r="U39" s="354" t="str">
        <f t="shared" si="0"/>
        <v>Normal</v>
      </c>
      <c r="V39" s="354" t="str">
        <f t="shared" si="1"/>
        <v>Normal</v>
      </c>
      <c r="W39" s="360">
        <f t="shared" si="2"/>
        <v>0</v>
      </c>
      <c r="X39" s="360">
        <f t="shared" si="3"/>
        <v>0</v>
      </c>
      <c r="Y39" s="353"/>
      <c r="Z39" s="353"/>
      <c r="AA39" s="353"/>
      <c r="AB39" s="353"/>
      <c r="AC39" s="353"/>
      <c r="AD39" s="353"/>
      <c r="AE39" s="353"/>
      <c r="AF39" s="353"/>
      <c r="AH39" s="21">
        <v>45195</v>
      </c>
      <c r="AI39" s="1">
        <v>834</v>
      </c>
      <c r="AJ39" s="1">
        <v>724</v>
      </c>
    </row>
    <row r="40" spans="1:36">
      <c r="A40" s="21">
        <v>45055</v>
      </c>
      <c r="B40" s="17">
        <f>IF(YEAR(Table7[[#This Row],[Date]]) = 2023, WEEKNUM(Table7[[#This Row],[Date]])-13, WEEKNUM(Table7[[#This Row],[Date]])+40)</f>
        <v>6</v>
      </c>
      <c r="C40" s="34" t="s">
        <v>50</v>
      </c>
      <c r="D40" s="34" t="s">
        <v>94</v>
      </c>
      <c r="E40" s="1">
        <v>720</v>
      </c>
      <c r="F40" s="1">
        <v>673</v>
      </c>
      <c r="G40" s="80">
        <f>IFERROR((Table7[[#This Row],[Calls Off]]-E33)/E33,0%)</f>
        <v>3.151862464183381E-2</v>
      </c>
      <c r="H40" s="80">
        <f>IFERROR((Table7[[#This Row],[Calls Ans]]-F33)/F33,0%)</f>
        <v>7.4850299401197605E-3</v>
      </c>
      <c r="I40" s="1">
        <v>3606</v>
      </c>
      <c r="J40" s="1">
        <v>3419</v>
      </c>
      <c r="K40" s="37">
        <v>18036</v>
      </c>
      <c r="L40" s="37">
        <v>16619</v>
      </c>
      <c r="M40" s="18">
        <v>0.82</v>
      </c>
      <c r="N40" s="18">
        <v>7.0000000000000007E-2</v>
      </c>
      <c r="O40" s="18">
        <v>0.93</v>
      </c>
      <c r="P40" s="18">
        <v>0.45</v>
      </c>
      <c r="Q40" s="18">
        <v>0.82</v>
      </c>
      <c r="R40" s="301">
        <v>185</v>
      </c>
      <c r="S40" s="143">
        <v>1.8749999999999999E-2</v>
      </c>
      <c r="T40" s="94">
        <v>11</v>
      </c>
      <c r="U40" s="354" t="str">
        <f t="shared" si="0"/>
        <v>Normal</v>
      </c>
      <c r="V40" s="354" t="str">
        <f t="shared" si="1"/>
        <v>Normal</v>
      </c>
      <c r="W40" s="359">
        <f t="shared" si="2"/>
        <v>3.151862464183381E-2</v>
      </c>
      <c r="X40" s="359">
        <f t="shared" si="3"/>
        <v>7.4850299401197605E-3</v>
      </c>
      <c r="Y40" s="343"/>
      <c r="Z40" s="343"/>
      <c r="AA40" s="343"/>
      <c r="AB40" s="343"/>
      <c r="AC40" s="343"/>
      <c r="AD40" s="343"/>
      <c r="AE40" s="343"/>
      <c r="AF40" s="343"/>
      <c r="AH40" s="21">
        <v>45202</v>
      </c>
      <c r="AI40" s="1">
        <v>4126</v>
      </c>
      <c r="AJ40" s="1">
        <v>3879</v>
      </c>
    </row>
    <row r="41" spans="1:36">
      <c r="A41" s="21">
        <v>45056</v>
      </c>
      <c r="B41" s="17">
        <f>IF(YEAR(Table7[[#This Row],[Date]]) = 2023, WEEKNUM(Table7[[#This Row],[Date]])-13, WEEKNUM(Table7[[#This Row],[Date]])+40)</f>
        <v>6</v>
      </c>
      <c r="C41" s="34" t="s">
        <v>51</v>
      </c>
      <c r="D41" s="34" t="s">
        <v>94</v>
      </c>
      <c r="E41" s="1">
        <v>567</v>
      </c>
      <c r="F41" s="1">
        <v>527</v>
      </c>
      <c r="G41" s="80">
        <f>IFERROR((Table7[[#This Row],[Calls Off]]-E34)/E34,0%)</f>
        <v>-0.17467248908296942</v>
      </c>
      <c r="H41" s="80">
        <f>IFERROR((Table7[[#This Row],[Calls Ans]]-F34)/F34,0%)</f>
        <v>-0.2039274924471299</v>
      </c>
      <c r="I41" s="1">
        <v>4173</v>
      </c>
      <c r="J41" s="1">
        <v>3946</v>
      </c>
      <c r="K41" s="37">
        <v>18603</v>
      </c>
      <c r="L41" s="37">
        <v>17146</v>
      </c>
      <c r="M41" s="18">
        <v>0.85</v>
      </c>
      <c r="N41" s="18">
        <v>7.0000000000000007E-2</v>
      </c>
      <c r="O41" s="18">
        <v>0.93</v>
      </c>
      <c r="P41" s="18">
        <v>0.34</v>
      </c>
      <c r="Q41" s="18">
        <v>0.82</v>
      </c>
      <c r="R41" s="301">
        <v>196</v>
      </c>
      <c r="S41" s="143">
        <v>1.4583333333333332E-2</v>
      </c>
      <c r="T41" s="94">
        <v>11</v>
      </c>
      <c r="U41" s="354" t="str">
        <f t="shared" si="0"/>
        <v>Normal</v>
      </c>
      <c r="V41" s="354" t="str">
        <f t="shared" si="1"/>
        <v>Normal</v>
      </c>
      <c r="W41" s="359">
        <f t="shared" si="2"/>
        <v>-0.17467248908296942</v>
      </c>
      <c r="X41" s="359">
        <f t="shared" si="3"/>
        <v>-0.2039274924471299</v>
      </c>
      <c r="Y41" s="343"/>
      <c r="Z41" s="343"/>
      <c r="AA41" s="343"/>
      <c r="AB41" s="343"/>
      <c r="AC41" s="343"/>
      <c r="AD41" s="343"/>
      <c r="AE41" s="343"/>
      <c r="AF41" s="343"/>
      <c r="AH41" s="21">
        <v>45209</v>
      </c>
      <c r="AI41" s="1">
        <v>3188</v>
      </c>
      <c r="AJ41" s="1">
        <v>3023</v>
      </c>
    </row>
    <row r="42" spans="1:36">
      <c r="A42" s="21">
        <v>45057</v>
      </c>
      <c r="B42" s="17">
        <f>IF(YEAR(Table7[[#This Row],[Date]]) = 2023, WEEKNUM(Table7[[#This Row],[Date]])-13, WEEKNUM(Table7[[#This Row],[Date]])+40)</f>
        <v>6</v>
      </c>
      <c r="C42" s="34" t="s">
        <v>52</v>
      </c>
      <c r="D42" s="34" t="s">
        <v>94</v>
      </c>
      <c r="E42" s="1">
        <v>577</v>
      </c>
      <c r="F42" s="1">
        <v>550</v>
      </c>
      <c r="G42" s="80">
        <f>IFERROR((Table7[[#This Row],[Calls Off]]-E35)/E35,0%)</f>
        <v>-4.4701986754966887E-2</v>
      </c>
      <c r="H42" s="80">
        <f>IFERROR((Table7[[#This Row],[Calls Ans]]-F35)/F35,0%)</f>
        <v>-6.9373942470389166E-2</v>
      </c>
      <c r="I42" s="1">
        <v>4750</v>
      </c>
      <c r="J42" s="1">
        <v>4496</v>
      </c>
      <c r="K42" s="37">
        <v>19180</v>
      </c>
      <c r="L42" s="37">
        <v>17696</v>
      </c>
      <c r="M42" s="18">
        <v>0.9</v>
      </c>
      <c r="N42" s="18">
        <v>0.05</v>
      </c>
      <c r="O42" s="18">
        <v>0.95</v>
      </c>
      <c r="P42" s="18">
        <v>0.44</v>
      </c>
      <c r="Q42" s="18">
        <v>0.83</v>
      </c>
      <c r="R42" s="301">
        <v>197</v>
      </c>
      <c r="S42" s="143">
        <v>6.2499999999999995E-3</v>
      </c>
      <c r="T42" s="94">
        <v>10</v>
      </c>
      <c r="U42" s="354" t="str">
        <f t="shared" si="0"/>
        <v>Normal</v>
      </c>
      <c r="V42" s="354" t="str">
        <f t="shared" si="1"/>
        <v>Normal</v>
      </c>
      <c r="W42" s="359">
        <f t="shared" si="2"/>
        <v>-4.4701986754966887E-2</v>
      </c>
      <c r="X42" s="359">
        <f t="shared" si="3"/>
        <v>-6.9373942470389166E-2</v>
      </c>
      <c r="Y42" s="343"/>
      <c r="Z42" s="343"/>
      <c r="AA42" s="343"/>
      <c r="AB42" s="343"/>
      <c r="AC42" s="343"/>
      <c r="AD42" s="343"/>
      <c r="AE42" s="343"/>
      <c r="AF42" s="343"/>
      <c r="AH42" s="21">
        <v>45216</v>
      </c>
      <c r="AI42" s="1">
        <v>3392</v>
      </c>
      <c r="AJ42" s="1">
        <v>3080</v>
      </c>
    </row>
    <row r="43" spans="1:36">
      <c r="A43" s="21">
        <v>45058</v>
      </c>
      <c r="B43" s="17">
        <f>IF(YEAR(Table7[[#This Row],[Date]]) = 2023, WEEKNUM(Table7[[#This Row],[Date]])-13, WEEKNUM(Table7[[#This Row],[Date]])+40)</f>
        <v>6</v>
      </c>
      <c r="C43" s="34" t="s">
        <v>53</v>
      </c>
      <c r="D43" s="34" t="s">
        <v>94</v>
      </c>
      <c r="E43" s="1">
        <v>477</v>
      </c>
      <c r="F43" s="1">
        <v>422</v>
      </c>
      <c r="G43" s="80">
        <f>IFERROR((Table7[[#This Row],[Calls Off]]-E36)/E36,0%)</f>
        <v>-0.19425675675675674</v>
      </c>
      <c r="H43" s="80">
        <f>IFERROR((Table7[[#This Row],[Calls Ans]]-F36)/F36,0%)</f>
        <v>-0.26352530541012215</v>
      </c>
      <c r="I43" s="1">
        <v>5227</v>
      </c>
      <c r="J43" s="1">
        <v>4918</v>
      </c>
      <c r="K43" s="37">
        <v>19657</v>
      </c>
      <c r="L43" s="37">
        <v>18118</v>
      </c>
      <c r="M43" s="18">
        <v>0.63</v>
      </c>
      <c r="N43" s="18">
        <v>0.12</v>
      </c>
      <c r="O43" s="18">
        <v>0.88</v>
      </c>
      <c r="P43" s="18">
        <v>0.37</v>
      </c>
      <c r="Q43" s="18">
        <v>0.75</v>
      </c>
      <c r="R43" s="301">
        <v>198</v>
      </c>
      <c r="S43" s="143">
        <v>3.4722222222222224E-2</v>
      </c>
      <c r="T43" s="94">
        <v>10</v>
      </c>
      <c r="U43" s="354" t="str">
        <f t="shared" si="0"/>
        <v>Normal</v>
      </c>
      <c r="V43" s="354" t="str">
        <f t="shared" si="1"/>
        <v>Normal</v>
      </c>
      <c r="W43" s="359">
        <f t="shared" si="2"/>
        <v>-0.19425675675675674</v>
      </c>
      <c r="X43" s="359">
        <f t="shared" si="3"/>
        <v>-0.26352530541012215</v>
      </c>
      <c r="Y43" s="343"/>
      <c r="Z43" s="343"/>
      <c r="AA43" s="343"/>
      <c r="AB43" s="343"/>
      <c r="AC43" s="343"/>
      <c r="AD43" s="343"/>
      <c r="AE43" s="343"/>
      <c r="AF43" s="343"/>
      <c r="AH43" s="21">
        <v>45223</v>
      </c>
      <c r="AI43" s="1">
        <v>5024</v>
      </c>
      <c r="AJ43" s="1">
        <v>4337</v>
      </c>
    </row>
    <row r="44" spans="1:36">
      <c r="A44" s="21">
        <v>45059</v>
      </c>
      <c r="B44" s="17">
        <f>IF(YEAR(Table7[[#This Row],[Date]]) = 2023, WEEKNUM(Table7[[#This Row],[Date]])-13, WEEKNUM(Table7[[#This Row],[Date]])+40)</f>
        <v>6</v>
      </c>
      <c r="C44" s="34" t="s">
        <v>54</v>
      </c>
      <c r="D44" s="34" t="s">
        <v>94</v>
      </c>
      <c r="E44" s="1">
        <v>355</v>
      </c>
      <c r="F44" s="1">
        <v>273</v>
      </c>
      <c r="G44" s="80">
        <f>IFERROR((Table7[[#This Row],[Calls Off]]-E37)/E37,0%)</f>
        <v>0.16393442622950818</v>
      </c>
      <c r="H44" s="80">
        <f>IFERROR((Table7[[#This Row],[Calls Ans]]-F37)/F37,0%)</f>
        <v>8.3333333333333329E-2</v>
      </c>
      <c r="I44" s="1">
        <v>5582</v>
      </c>
      <c r="J44" s="1">
        <v>5191</v>
      </c>
      <c r="K44" s="37">
        <v>20012</v>
      </c>
      <c r="L44" s="37">
        <v>18391</v>
      </c>
      <c r="M44" s="18">
        <v>0.49</v>
      </c>
      <c r="N44" s="18">
        <v>0.23</v>
      </c>
      <c r="O44" s="18">
        <v>0.77</v>
      </c>
      <c r="P44" s="18">
        <v>0.67</v>
      </c>
      <c r="Q44" s="18">
        <v>0.85</v>
      </c>
      <c r="R44" s="301">
        <v>249</v>
      </c>
      <c r="S44" s="143">
        <v>7.5694444444444439E-2</v>
      </c>
      <c r="T44" s="94">
        <v>5</v>
      </c>
      <c r="U44" s="354" t="str">
        <f t="shared" si="0"/>
        <v>Normal</v>
      </c>
      <c r="V44" s="354" t="str">
        <f t="shared" si="1"/>
        <v>Normal</v>
      </c>
      <c r="W44" s="359">
        <f t="shared" si="2"/>
        <v>0.16393442622950818</v>
      </c>
      <c r="X44" s="359">
        <f t="shared" si="3"/>
        <v>8.3333333333333329E-2</v>
      </c>
      <c r="Y44" s="343"/>
      <c r="Z44" s="343"/>
      <c r="AA44" s="343"/>
      <c r="AB44" s="343"/>
      <c r="AC44" s="343"/>
      <c r="AD44" s="343"/>
      <c r="AE44" s="343"/>
      <c r="AF44" s="343"/>
      <c r="AH44" s="21">
        <v>45230</v>
      </c>
      <c r="AI44" s="1">
        <v>791</v>
      </c>
      <c r="AJ44" s="1">
        <v>680</v>
      </c>
    </row>
    <row r="45" spans="1:36">
      <c r="A45" s="21">
        <v>45060</v>
      </c>
      <c r="B45" s="17">
        <f>IF(YEAR(Table7[[#This Row],[Date]]) = 2023, WEEKNUM(Table7[[#This Row],[Date]])-13, WEEKNUM(Table7[[#This Row],[Date]])+40)</f>
        <v>7</v>
      </c>
      <c r="C45" s="34" t="s">
        <v>48</v>
      </c>
      <c r="D45" s="34" t="s">
        <v>94</v>
      </c>
      <c r="E45" s="1">
        <v>0</v>
      </c>
      <c r="F45" s="1">
        <v>0</v>
      </c>
      <c r="G45" s="80">
        <f>IFERROR((Table7[[#This Row],[Calls Off]]-E38)/E38,0%)</f>
        <v>0</v>
      </c>
      <c r="H45" s="80">
        <f>IFERROR((Table7[[#This Row],[Calls Ans]]-F38)/F38,0%)</f>
        <v>0</v>
      </c>
      <c r="I45" s="1">
        <v>0</v>
      </c>
      <c r="J45" s="1">
        <v>0</v>
      </c>
      <c r="K45" s="1">
        <v>0</v>
      </c>
      <c r="L45" s="1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301">
        <v>0</v>
      </c>
      <c r="S45" s="143">
        <v>0</v>
      </c>
      <c r="T45" s="94">
        <v>0</v>
      </c>
      <c r="U45" s="354" t="str">
        <f t="shared" si="0"/>
        <v>Normal</v>
      </c>
      <c r="V45" s="354" t="str">
        <f t="shared" si="1"/>
        <v>Normal</v>
      </c>
      <c r="W45" s="359">
        <f t="shared" si="2"/>
        <v>0</v>
      </c>
      <c r="X45" s="359">
        <f t="shared" si="3"/>
        <v>0</v>
      </c>
      <c r="Y45" s="343"/>
      <c r="Z45" s="343"/>
      <c r="AA45" s="343"/>
      <c r="AB45" s="343"/>
      <c r="AC45" s="343"/>
      <c r="AD45" s="343"/>
      <c r="AE45" s="343"/>
      <c r="AF45" s="343"/>
      <c r="AH45" s="21">
        <v>45237</v>
      </c>
      <c r="AI45" s="1">
        <v>0</v>
      </c>
      <c r="AJ45" s="1">
        <v>0</v>
      </c>
    </row>
    <row r="46" spans="1:36">
      <c r="A46" s="21">
        <v>45061</v>
      </c>
      <c r="B46" s="17">
        <f>IF(YEAR(Table7[[#This Row],[Date]]) = 2023, WEEKNUM(Table7[[#This Row],[Date]])-13, WEEKNUM(Table7[[#This Row],[Date]])+40)</f>
        <v>7</v>
      </c>
      <c r="C46" s="34" t="s">
        <v>49</v>
      </c>
      <c r="D46" s="34" t="s">
        <v>94</v>
      </c>
      <c r="E46" s="1">
        <v>655</v>
      </c>
      <c r="F46" s="1">
        <v>636</v>
      </c>
      <c r="G46" s="80">
        <f>IFERROR((Table7[[#This Row],[Calls Off]]-E39)/E39,0%)</f>
        <v>0</v>
      </c>
      <c r="H46" s="80">
        <f>IFERROR((Table7[[#This Row],[Calls Ans]]-F39)/F39,0%)</f>
        <v>0</v>
      </c>
      <c r="I46" s="1">
        <v>6237</v>
      </c>
      <c r="J46" s="1">
        <v>5827</v>
      </c>
      <c r="K46" s="37">
        <v>20667</v>
      </c>
      <c r="L46" s="37">
        <v>19027</v>
      </c>
      <c r="M46" s="18">
        <v>0.95</v>
      </c>
      <c r="N46" s="18">
        <v>0.03</v>
      </c>
      <c r="O46" s="18">
        <v>0.97</v>
      </c>
      <c r="P46" s="18">
        <v>0.36</v>
      </c>
      <c r="Q46" s="18">
        <v>0.81</v>
      </c>
      <c r="R46" s="301">
        <v>183</v>
      </c>
      <c r="S46" s="143">
        <v>4.1666666666666666E-3</v>
      </c>
      <c r="T46" s="94">
        <v>10</v>
      </c>
      <c r="U46" s="354" t="str">
        <f t="shared" si="0"/>
        <v>Normal</v>
      </c>
      <c r="V46" s="354" t="str">
        <f t="shared" si="1"/>
        <v>Normal</v>
      </c>
      <c r="W46" s="359">
        <f t="shared" si="2"/>
        <v>0</v>
      </c>
      <c r="X46" s="359">
        <f t="shared" si="3"/>
        <v>0</v>
      </c>
      <c r="Y46" s="343"/>
      <c r="Z46" s="343"/>
      <c r="AA46" s="343"/>
      <c r="AB46" s="343"/>
      <c r="AC46" s="343"/>
      <c r="AD46" s="343"/>
      <c r="AE46" s="343"/>
      <c r="AF46" s="343"/>
      <c r="AH46" s="21">
        <v>45244</v>
      </c>
      <c r="AI46" s="1">
        <v>0</v>
      </c>
      <c r="AJ46" s="1">
        <v>0</v>
      </c>
    </row>
    <row r="47" spans="1:36">
      <c r="A47" s="21">
        <v>45062</v>
      </c>
      <c r="B47" s="17">
        <f>IF(YEAR(Table7[[#This Row],[Date]]) = 2023, WEEKNUM(Table7[[#This Row],[Date]])-13, WEEKNUM(Table7[[#This Row],[Date]])+40)</f>
        <v>7</v>
      </c>
      <c r="C47" s="34" t="s">
        <v>50</v>
      </c>
      <c r="D47" s="34" t="s">
        <v>94</v>
      </c>
      <c r="E47" s="1">
        <v>692</v>
      </c>
      <c r="F47" s="1">
        <v>553</v>
      </c>
      <c r="G47" s="80">
        <f>IFERROR((Table7[[#This Row],[Calls Off]]-E40)/E40,0%)</f>
        <v>-3.888888888888889E-2</v>
      </c>
      <c r="H47" s="80">
        <f>IFERROR((Table7[[#This Row],[Calls Ans]]-F40)/F40,0%)</f>
        <v>-0.17830609212481427</v>
      </c>
      <c r="I47" s="1">
        <v>6929</v>
      </c>
      <c r="J47" s="1">
        <v>6380</v>
      </c>
      <c r="K47" s="37">
        <v>21359</v>
      </c>
      <c r="L47" s="37">
        <v>19580</v>
      </c>
      <c r="M47" s="18">
        <v>0.49</v>
      </c>
      <c r="N47" s="18">
        <v>0.2</v>
      </c>
      <c r="O47" s="18">
        <v>0.8</v>
      </c>
      <c r="P47" s="18">
        <v>0.47</v>
      </c>
      <c r="Q47" s="18">
        <v>0.8</v>
      </c>
      <c r="R47" s="301">
        <v>195</v>
      </c>
      <c r="S47" s="143">
        <v>4.5833333333333337E-2</v>
      </c>
      <c r="T47" s="94">
        <v>8</v>
      </c>
      <c r="U47" s="354" t="str">
        <f t="shared" si="0"/>
        <v>Normal</v>
      </c>
      <c r="V47" s="354" t="str">
        <f t="shared" si="1"/>
        <v>Normal</v>
      </c>
      <c r="W47" s="359">
        <f t="shared" si="2"/>
        <v>-3.888888888888889E-2</v>
      </c>
      <c r="X47" s="359">
        <f t="shared" si="3"/>
        <v>-0.17830609212481427</v>
      </c>
      <c r="Y47" s="343"/>
      <c r="Z47" s="343"/>
      <c r="AA47" s="343"/>
      <c r="AB47" s="343"/>
      <c r="AC47" s="343"/>
      <c r="AD47" s="343"/>
      <c r="AE47" s="343"/>
      <c r="AF47" s="343"/>
      <c r="AH47" s="21">
        <v>45251</v>
      </c>
      <c r="AI47" s="1">
        <v>0</v>
      </c>
      <c r="AJ47" s="1">
        <v>0</v>
      </c>
    </row>
    <row r="48" spans="1:36">
      <c r="A48" s="21">
        <v>45063</v>
      </c>
      <c r="B48" s="17">
        <f>IF(YEAR(Table7[[#This Row],[Date]]) = 2023, WEEKNUM(Table7[[#This Row],[Date]])-13, WEEKNUM(Table7[[#This Row],[Date]])+40)</f>
        <v>7</v>
      </c>
      <c r="C48" s="34" t="s">
        <v>51</v>
      </c>
      <c r="D48" s="34" t="s">
        <v>94</v>
      </c>
      <c r="E48" s="1">
        <v>623</v>
      </c>
      <c r="F48" s="1">
        <v>583</v>
      </c>
      <c r="G48" s="80">
        <f>IFERROR((Table7[[#This Row],[Calls Off]]-E41)/E41,0%)</f>
        <v>9.8765432098765427E-2</v>
      </c>
      <c r="H48" s="80">
        <f>IFERROR((Table7[[#This Row],[Calls Ans]]-F41)/F41,0%)</f>
        <v>0.10626185958254269</v>
      </c>
      <c r="I48" s="1">
        <v>7552</v>
      </c>
      <c r="J48" s="1">
        <v>6963</v>
      </c>
      <c r="K48" s="37">
        <v>21982</v>
      </c>
      <c r="L48" s="37">
        <v>20163</v>
      </c>
      <c r="M48" s="18">
        <v>0.81</v>
      </c>
      <c r="N48" s="18">
        <v>0.06</v>
      </c>
      <c r="O48" s="18">
        <v>0.94</v>
      </c>
      <c r="P48" s="18">
        <v>0.38</v>
      </c>
      <c r="Q48" s="18">
        <v>0.82</v>
      </c>
      <c r="R48" s="301">
        <v>156</v>
      </c>
      <c r="S48" s="143">
        <v>1.4583333333333332E-2</v>
      </c>
      <c r="T48" s="94">
        <v>8</v>
      </c>
      <c r="U48" s="354" t="str">
        <f t="shared" si="0"/>
        <v>Normal</v>
      </c>
      <c r="V48" s="354" t="str">
        <f t="shared" si="1"/>
        <v>Normal</v>
      </c>
      <c r="W48" s="359">
        <f t="shared" si="2"/>
        <v>9.8765432098765427E-2</v>
      </c>
      <c r="X48" s="359">
        <f t="shared" si="3"/>
        <v>0.10626185958254269</v>
      </c>
      <c r="Y48" s="343"/>
      <c r="Z48" s="343"/>
      <c r="AA48" s="343"/>
      <c r="AB48" s="343"/>
      <c r="AC48" s="343"/>
      <c r="AD48" s="343"/>
      <c r="AE48" s="343"/>
      <c r="AF48" s="343"/>
      <c r="AH48" s="21">
        <v>45258</v>
      </c>
      <c r="AI48" s="1">
        <v>0</v>
      </c>
      <c r="AJ48" s="1">
        <v>0</v>
      </c>
    </row>
    <row r="49" spans="1:36">
      <c r="A49" s="21">
        <v>45064</v>
      </c>
      <c r="B49" s="17">
        <f>IF(YEAR(Table7[[#This Row],[Date]]) = 2023, WEEKNUM(Table7[[#This Row],[Date]])-13, WEEKNUM(Table7[[#This Row],[Date]])+40)</f>
        <v>7</v>
      </c>
      <c r="C49" s="34" t="s">
        <v>52</v>
      </c>
      <c r="D49" s="34" t="s">
        <v>94</v>
      </c>
      <c r="E49" s="1">
        <v>632</v>
      </c>
      <c r="F49" s="1">
        <v>617</v>
      </c>
      <c r="G49" s="80">
        <f>IFERROR((Table7[[#This Row],[Calls Off]]-E42)/E42,0%)</f>
        <v>9.5320623916811092E-2</v>
      </c>
      <c r="H49" s="80">
        <f>IFERROR((Table7[[#This Row],[Calls Ans]]-F42)/F42,0%)</f>
        <v>0.12181818181818181</v>
      </c>
      <c r="I49" s="1">
        <v>8184</v>
      </c>
      <c r="J49" s="1">
        <v>7580</v>
      </c>
      <c r="K49" s="37">
        <v>22614</v>
      </c>
      <c r="L49" s="37">
        <v>20780</v>
      </c>
      <c r="M49" s="18">
        <v>0.94</v>
      </c>
      <c r="N49" s="18">
        <v>0.02</v>
      </c>
      <c r="O49" s="18">
        <v>0.98</v>
      </c>
      <c r="P49" s="18">
        <v>0.42</v>
      </c>
      <c r="Q49" s="18">
        <v>0.8</v>
      </c>
      <c r="R49" s="301">
        <v>174</v>
      </c>
      <c r="S49" s="143">
        <v>4.8611111111111112E-3</v>
      </c>
      <c r="T49" s="94">
        <v>11</v>
      </c>
      <c r="U49" s="354" t="str">
        <f t="shared" si="0"/>
        <v>Normal</v>
      </c>
      <c r="V49" s="354" t="str">
        <f t="shared" si="1"/>
        <v>Normal</v>
      </c>
      <c r="W49" s="359">
        <f t="shared" si="2"/>
        <v>9.5320623916811092E-2</v>
      </c>
      <c r="X49" s="359">
        <f t="shared" si="3"/>
        <v>0.12181818181818181</v>
      </c>
      <c r="Y49" s="343"/>
      <c r="Z49" s="343"/>
      <c r="AA49" s="343"/>
      <c r="AB49" s="343"/>
      <c r="AC49" s="343"/>
      <c r="AD49" s="343"/>
      <c r="AE49" s="343"/>
      <c r="AF49" s="343"/>
      <c r="AH49" s="21">
        <v>45265</v>
      </c>
      <c r="AI49" s="1">
        <v>0</v>
      </c>
      <c r="AJ49" s="1">
        <v>0</v>
      </c>
    </row>
    <row r="50" spans="1:36">
      <c r="A50" s="21">
        <v>45065</v>
      </c>
      <c r="B50" s="17">
        <f>IF(YEAR(Table7[[#This Row],[Date]]) = 2023, WEEKNUM(Table7[[#This Row],[Date]])-13, WEEKNUM(Table7[[#This Row],[Date]])+40)</f>
        <v>7</v>
      </c>
      <c r="C50" s="34" t="s">
        <v>53</v>
      </c>
      <c r="D50" s="34" t="s">
        <v>94</v>
      </c>
      <c r="E50" s="1">
        <v>615</v>
      </c>
      <c r="F50" s="1">
        <v>602</v>
      </c>
      <c r="G50" s="80">
        <f>IFERROR((Table7[[#This Row],[Calls Off]]-E43)/E43,0%)</f>
        <v>0.28930817610062892</v>
      </c>
      <c r="H50" s="80">
        <f>IFERROR((Table7[[#This Row],[Calls Ans]]-F43)/F43,0%)</f>
        <v>0.42654028436018959</v>
      </c>
      <c r="I50" s="1">
        <v>8799</v>
      </c>
      <c r="J50" s="1">
        <v>8182</v>
      </c>
      <c r="K50" s="37">
        <v>23229</v>
      </c>
      <c r="L50" s="37">
        <v>21382</v>
      </c>
      <c r="M50" s="18">
        <v>0.89</v>
      </c>
      <c r="N50" s="18">
        <v>0.02</v>
      </c>
      <c r="O50" s="18">
        <v>0.98</v>
      </c>
      <c r="P50" s="18">
        <v>0.78</v>
      </c>
      <c r="Q50" s="18">
        <v>0.41</v>
      </c>
      <c r="R50" s="301">
        <v>150</v>
      </c>
      <c r="S50" s="143">
        <v>5.5555555555555558E-3</v>
      </c>
      <c r="T50" s="94">
        <v>9</v>
      </c>
      <c r="U50" s="354" t="str">
        <f t="shared" si="0"/>
        <v>Normal</v>
      </c>
      <c r="V50" s="354" t="str">
        <f t="shared" si="1"/>
        <v>Outlier</v>
      </c>
      <c r="W50" s="359">
        <f t="shared" si="2"/>
        <v>0.28930817610062892</v>
      </c>
      <c r="X50" s="359">
        <f t="shared" si="3"/>
        <v>0.42654028436018959</v>
      </c>
      <c r="Y50" s="343"/>
      <c r="Z50" s="343"/>
      <c r="AA50" s="343"/>
      <c r="AB50" s="343"/>
      <c r="AC50" s="343"/>
      <c r="AD50" s="343"/>
      <c r="AE50" s="343"/>
      <c r="AF50" s="343"/>
      <c r="AH50" s="21">
        <v>45272</v>
      </c>
      <c r="AI50" s="1">
        <v>0</v>
      </c>
      <c r="AJ50" s="1">
        <v>0</v>
      </c>
    </row>
    <row r="51" spans="1:36">
      <c r="A51" s="21">
        <v>45066</v>
      </c>
      <c r="B51" s="17">
        <f>IF(YEAR(Table7[[#This Row],[Date]]) = 2023, WEEKNUM(Table7[[#This Row],[Date]])-13, WEEKNUM(Table7[[#This Row],[Date]])+40)</f>
        <v>7</v>
      </c>
      <c r="C51" s="34" t="s">
        <v>54</v>
      </c>
      <c r="D51" s="34" t="s">
        <v>94</v>
      </c>
      <c r="E51" s="1">
        <v>182</v>
      </c>
      <c r="F51" s="1">
        <v>144</v>
      </c>
      <c r="G51" s="80">
        <f>IFERROR((Table7[[#This Row],[Calls Off]]-E44)/E44,0%)</f>
        <v>-0.48732394366197185</v>
      </c>
      <c r="H51" s="80">
        <f>IFERROR((Table7[[#This Row],[Calls Ans]]-F44)/F44,0%)</f>
        <v>-0.47252747252747251</v>
      </c>
      <c r="I51" s="1">
        <v>8981</v>
      </c>
      <c r="J51" s="1">
        <v>8326</v>
      </c>
      <c r="K51" s="37">
        <v>23411</v>
      </c>
      <c r="L51" s="37">
        <v>21526</v>
      </c>
      <c r="M51" s="18">
        <v>0.36</v>
      </c>
      <c r="N51" s="18">
        <v>0.21</v>
      </c>
      <c r="O51" s="18">
        <v>0.79</v>
      </c>
      <c r="P51" s="18">
        <v>0.39</v>
      </c>
      <c r="Q51" s="18">
        <v>0.81</v>
      </c>
      <c r="R51" s="301">
        <v>169</v>
      </c>
      <c r="S51" s="143">
        <v>5.9722222222222225E-2</v>
      </c>
      <c r="T51" s="94">
        <v>5</v>
      </c>
      <c r="U51" s="354" t="str">
        <f t="shared" si="0"/>
        <v>Outlier</v>
      </c>
      <c r="V51" s="354" t="str">
        <f t="shared" si="1"/>
        <v>Outlier</v>
      </c>
      <c r="W51" s="359">
        <f t="shared" si="2"/>
        <v>-0.48732394366197185</v>
      </c>
      <c r="X51" s="359">
        <f t="shared" si="3"/>
        <v>-0.47252747252747251</v>
      </c>
      <c r="Y51" s="343"/>
      <c r="Z51" s="343"/>
      <c r="AA51" s="343"/>
      <c r="AB51" s="343"/>
      <c r="AC51" s="343"/>
      <c r="AD51" s="343"/>
      <c r="AE51" s="343"/>
      <c r="AF51" s="343"/>
      <c r="AH51" s="21">
        <v>45279</v>
      </c>
      <c r="AI51" s="1">
        <v>0</v>
      </c>
      <c r="AJ51" s="1">
        <v>0</v>
      </c>
    </row>
    <row r="52" spans="1:36">
      <c r="A52" s="21">
        <v>45067</v>
      </c>
      <c r="B52" s="17">
        <f>IF(YEAR(Table7[[#This Row],[Date]]) = 2023, WEEKNUM(Table7[[#This Row],[Date]])-13, WEEKNUM(Table7[[#This Row],[Date]])+40)</f>
        <v>8</v>
      </c>
      <c r="C52" s="34" t="s">
        <v>48</v>
      </c>
      <c r="D52" s="34" t="s">
        <v>94</v>
      </c>
      <c r="E52" s="1">
        <v>0</v>
      </c>
      <c r="F52" s="1">
        <v>0</v>
      </c>
      <c r="G52" s="80">
        <f>IFERROR((Table7[[#This Row],[Calls Off]]-E45)/E45,0%)</f>
        <v>0</v>
      </c>
      <c r="H52" s="80">
        <f>IFERROR((Table7[[#This Row],[Calls Ans]]-F45)/F45,0%)</f>
        <v>0</v>
      </c>
      <c r="I52" s="1">
        <v>0</v>
      </c>
      <c r="J52" s="1">
        <v>0</v>
      </c>
      <c r="K52" s="1">
        <v>0</v>
      </c>
      <c r="L52" s="1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301">
        <v>0</v>
      </c>
      <c r="S52" s="143">
        <v>0</v>
      </c>
      <c r="T52" s="94">
        <v>0</v>
      </c>
      <c r="U52" s="354" t="str">
        <f t="shared" si="0"/>
        <v>Normal</v>
      </c>
      <c r="V52" s="354" t="str">
        <f t="shared" si="1"/>
        <v>Normal</v>
      </c>
      <c r="W52" s="359">
        <f t="shared" si="2"/>
        <v>0</v>
      </c>
      <c r="X52" s="359">
        <f t="shared" si="3"/>
        <v>0</v>
      </c>
      <c r="Y52" s="343"/>
      <c r="Z52" s="343"/>
      <c r="AA52" s="343"/>
      <c r="AB52" s="343"/>
      <c r="AC52" s="343"/>
      <c r="AD52" s="343"/>
      <c r="AE52" s="343"/>
      <c r="AF52" s="343"/>
      <c r="AH52" s="21">
        <v>45286</v>
      </c>
      <c r="AI52" s="1">
        <v>0</v>
      </c>
      <c r="AJ52" s="1">
        <v>0</v>
      </c>
    </row>
    <row r="53" spans="1:36">
      <c r="A53" s="21">
        <v>45068</v>
      </c>
      <c r="B53" s="17">
        <f>IF(YEAR(Table7[[#This Row],[Date]]) = 2023, WEEKNUM(Table7[[#This Row],[Date]])-13, WEEKNUM(Table7[[#This Row],[Date]])+40)</f>
        <v>8</v>
      </c>
      <c r="C53" s="34" t="s">
        <v>49</v>
      </c>
      <c r="D53" s="34" t="s">
        <v>94</v>
      </c>
      <c r="E53" s="1">
        <v>641</v>
      </c>
      <c r="F53" s="1">
        <v>605</v>
      </c>
      <c r="G53" s="80">
        <f>IFERROR((Table7[[#This Row],[Calls Off]]-E46)/E46,0%)</f>
        <v>-2.1374045801526718E-2</v>
      </c>
      <c r="H53" s="80">
        <f>IFERROR((Table7[[#This Row],[Calls Ans]]-F46)/F46,0%)</f>
        <v>-4.8742138364779877E-2</v>
      </c>
      <c r="I53" s="1">
        <v>9622</v>
      </c>
      <c r="J53" s="1">
        <v>8931</v>
      </c>
      <c r="K53" s="37">
        <v>24052</v>
      </c>
      <c r="L53" s="37">
        <v>22131</v>
      </c>
      <c r="M53" s="18">
        <v>0.85</v>
      </c>
      <c r="N53" s="18">
        <v>0.06</v>
      </c>
      <c r="O53" s="18">
        <v>0.94</v>
      </c>
      <c r="P53" s="18">
        <v>0.48</v>
      </c>
      <c r="Q53" s="18">
        <v>0.76</v>
      </c>
      <c r="R53" s="301">
        <v>183</v>
      </c>
      <c r="S53" s="143">
        <v>1.1805555555555555E-2</v>
      </c>
      <c r="T53" s="94">
        <v>9</v>
      </c>
      <c r="U53" s="354" t="str">
        <f t="shared" si="0"/>
        <v>Normal</v>
      </c>
      <c r="V53" s="354" t="str">
        <f t="shared" si="1"/>
        <v>Normal</v>
      </c>
      <c r="W53" s="359">
        <f t="shared" si="2"/>
        <v>-2.1374045801526718E-2</v>
      </c>
      <c r="X53" s="359">
        <f t="shared" si="3"/>
        <v>-4.8742138364779877E-2</v>
      </c>
      <c r="Y53" s="343"/>
      <c r="Z53" s="343"/>
      <c r="AA53" s="343"/>
      <c r="AB53" s="343"/>
      <c r="AC53" s="343"/>
      <c r="AD53" s="343"/>
      <c r="AE53" s="343"/>
      <c r="AF53" s="343"/>
      <c r="AH53" s="21">
        <v>45293</v>
      </c>
      <c r="AI53" s="1">
        <v>0</v>
      </c>
      <c r="AJ53" s="1">
        <v>0</v>
      </c>
    </row>
    <row r="54" spans="1:36">
      <c r="A54" s="21">
        <v>45069</v>
      </c>
      <c r="B54" s="17">
        <f>IF(YEAR(Table7[[#This Row],[Date]]) = 2023, WEEKNUM(Table7[[#This Row],[Date]])-13, WEEKNUM(Table7[[#This Row],[Date]])+40)</f>
        <v>8</v>
      </c>
      <c r="C54" s="34" t="s">
        <v>50</v>
      </c>
      <c r="D54" s="34" t="s">
        <v>94</v>
      </c>
      <c r="E54" s="1">
        <v>595</v>
      </c>
      <c r="F54" s="1">
        <v>584</v>
      </c>
      <c r="G54" s="80">
        <f>IFERROR((Table7[[#This Row],[Calls Off]]-E47)/E47,0%)</f>
        <v>-0.14017341040462428</v>
      </c>
      <c r="H54" s="80">
        <f>IFERROR((Table7[[#This Row],[Calls Ans]]-F47)/F47,0%)</f>
        <v>5.6057866184448461E-2</v>
      </c>
      <c r="I54" s="1">
        <v>10217</v>
      </c>
      <c r="J54" s="1">
        <v>9515</v>
      </c>
      <c r="K54" s="37">
        <v>24647</v>
      </c>
      <c r="L54" s="37">
        <v>22715</v>
      </c>
      <c r="M54" s="18">
        <v>0.96</v>
      </c>
      <c r="N54" s="18">
        <v>0.02</v>
      </c>
      <c r="O54" s="18">
        <v>0.98</v>
      </c>
      <c r="P54" s="18">
        <v>0.34</v>
      </c>
      <c r="Q54" s="18">
        <v>0.8</v>
      </c>
      <c r="R54" s="301">
        <v>174</v>
      </c>
      <c r="S54" s="143">
        <v>4.1666666666666666E-3</v>
      </c>
      <c r="T54" s="94">
        <v>10</v>
      </c>
      <c r="U54" s="354" t="str">
        <f t="shared" si="0"/>
        <v>Normal</v>
      </c>
      <c r="V54" s="354" t="str">
        <f t="shared" si="1"/>
        <v>Normal</v>
      </c>
      <c r="W54" s="359">
        <f t="shared" si="2"/>
        <v>-0.14017341040462428</v>
      </c>
      <c r="X54" s="359">
        <f t="shared" si="3"/>
        <v>5.6057866184448461E-2</v>
      </c>
      <c r="Y54" s="343"/>
      <c r="Z54" s="343"/>
      <c r="AA54" s="343"/>
      <c r="AB54" s="343"/>
      <c r="AC54" s="343"/>
      <c r="AD54" s="343"/>
      <c r="AE54" s="343"/>
      <c r="AF54" s="343"/>
      <c r="AH54" s="21">
        <v>45300</v>
      </c>
      <c r="AI54" s="1">
        <v>0</v>
      </c>
      <c r="AJ54" s="1">
        <v>0</v>
      </c>
    </row>
    <row r="55" spans="1:36">
      <c r="A55" s="21">
        <v>45070</v>
      </c>
      <c r="B55" s="17">
        <f>IF(YEAR(Table7[[#This Row],[Date]]) = 2023, WEEKNUM(Table7[[#This Row],[Date]])-13, WEEKNUM(Table7[[#This Row],[Date]])+40)</f>
        <v>8</v>
      </c>
      <c r="C55" s="34" t="s">
        <v>51</v>
      </c>
      <c r="D55" s="34" t="s">
        <v>94</v>
      </c>
      <c r="E55" s="1">
        <v>642</v>
      </c>
      <c r="F55" s="1">
        <v>599</v>
      </c>
      <c r="G55" s="80">
        <f>IFERROR((Table7[[#This Row],[Calls Off]]-E48)/E48,0%)</f>
        <v>3.0497592295345103E-2</v>
      </c>
      <c r="H55" s="80">
        <f>IFERROR((Table7[[#This Row],[Calls Ans]]-F48)/F48,0%)</f>
        <v>2.7444253859348199E-2</v>
      </c>
      <c r="I55" s="1">
        <v>10859</v>
      </c>
      <c r="J55" s="1">
        <v>10114</v>
      </c>
      <c r="K55" s="37">
        <v>25289</v>
      </c>
      <c r="L55" s="37">
        <v>23314</v>
      </c>
      <c r="M55" s="18">
        <v>0.88</v>
      </c>
      <c r="N55" s="18">
        <v>7.0000000000000007E-2</v>
      </c>
      <c r="O55" s="18">
        <v>0.93</v>
      </c>
      <c r="P55" s="18">
        <v>0.36</v>
      </c>
      <c r="Q55" s="18">
        <v>0.82</v>
      </c>
      <c r="R55" s="301">
        <v>165</v>
      </c>
      <c r="S55" s="143">
        <v>9.7222222222222224E-3</v>
      </c>
      <c r="T55" s="94">
        <v>10</v>
      </c>
      <c r="U55" s="354" t="str">
        <f t="shared" si="0"/>
        <v>Normal</v>
      </c>
      <c r="V55" s="354" t="str">
        <f t="shared" si="1"/>
        <v>Normal</v>
      </c>
      <c r="W55" s="359">
        <f t="shared" si="2"/>
        <v>3.0497592295345103E-2</v>
      </c>
      <c r="X55" s="359">
        <f t="shared" si="3"/>
        <v>2.7444253859348199E-2</v>
      </c>
      <c r="Y55" s="343"/>
      <c r="Z55" s="343"/>
      <c r="AA55" s="343"/>
      <c r="AB55" s="343"/>
      <c r="AC55" s="343"/>
      <c r="AD55" s="343"/>
      <c r="AE55" s="343"/>
      <c r="AF55" s="343"/>
      <c r="AH55" s="21">
        <v>45307</v>
      </c>
      <c r="AI55" s="1">
        <v>0</v>
      </c>
      <c r="AJ55" s="1">
        <v>0</v>
      </c>
    </row>
    <row r="56" spans="1:36">
      <c r="A56" s="21">
        <v>45071</v>
      </c>
      <c r="B56" s="17">
        <f>IF(YEAR(Table7[[#This Row],[Date]]) = 2023, WEEKNUM(Table7[[#This Row],[Date]])-13, WEEKNUM(Table7[[#This Row],[Date]])+40)</f>
        <v>8</v>
      </c>
      <c r="C56" s="34" t="s">
        <v>52</v>
      </c>
      <c r="D56" s="34" t="s">
        <v>94</v>
      </c>
      <c r="E56" s="1">
        <v>648</v>
      </c>
      <c r="F56" s="1">
        <v>586</v>
      </c>
      <c r="G56" s="80">
        <f>IFERROR((Table7[[#This Row],[Calls Off]]-E49)/E49,0%)</f>
        <v>2.5316455696202531E-2</v>
      </c>
      <c r="H56" s="80">
        <f>IFERROR((Table7[[#This Row],[Calls Ans]]-F49)/F49,0%)</f>
        <v>-5.0243111831442464E-2</v>
      </c>
      <c r="I56" s="1">
        <v>11507</v>
      </c>
      <c r="J56" s="1">
        <v>10700</v>
      </c>
      <c r="K56" s="37">
        <v>25937</v>
      </c>
      <c r="L56" s="37">
        <v>23900</v>
      </c>
      <c r="M56" s="18">
        <v>0.79</v>
      </c>
      <c r="N56" s="18">
        <v>0.1</v>
      </c>
      <c r="O56" s="18">
        <v>0.9</v>
      </c>
      <c r="P56" s="18">
        <v>0.39</v>
      </c>
      <c r="Q56" s="18">
        <v>0.79</v>
      </c>
      <c r="R56" s="301">
        <v>167</v>
      </c>
      <c r="S56" s="143">
        <v>1.4583333333333332E-2</v>
      </c>
      <c r="T56" s="94">
        <v>9</v>
      </c>
      <c r="U56" s="354" t="str">
        <f t="shared" si="0"/>
        <v>Normal</v>
      </c>
      <c r="V56" s="354" t="str">
        <f t="shared" si="1"/>
        <v>Normal</v>
      </c>
      <c r="W56" s="359">
        <f t="shared" si="2"/>
        <v>2.5316455696202531E-2</v>
      </c>
      <c r="X56" s="359">
        <f t="shared" si="3"/>
        <v>-5.0243111831442464E-2</v>
      </c>
      <c r="Y56" s="343"/>
      <c r="Z56" s="343"/>
      <c r="AA56" s="343"/>
      <c r="AB56" s="343"/>
      <c r="AC56" s="343"/>
      <c r="AD56" s="343"/>
      <c r="AE56" s="343"/>
      <c r="AF56" s="343"/>
      <c r="AH56" s="21">
        <v>45314</v>
      </c>
      <c r="AI56" s="1">
        <v>0</v>
      </c>
      <c r="AJ56" s="1">
        <v>0</v>
      </c>
    </row>
    <row r="57" spans="1:36">
      <c r="A57" s="21">
        <v>45072</v>
      </c>
      <c r="B57" s="17">
        <f>IF(YEAR(Table7[[#This Row],[Date]]) = 2023, WEEKNUM(Table7[[#This Row],[Date]])-13, WEEKNUM(Table7[[#This Row],[Date]])+40)</f>
        <v>8</v>
      </c>
      <c r="C57" s="34" t="s">
        <v>53</v>
      </c>
      <c r="D57" s="34" t="s">
        <v>94</v>
      </c>
      <c r="E57" s="1">
        <v>652</v>
      </c>
      <c r="F57" s="1">
        <v>618</v>
      </c>
      <c r="G57" s="80">
        <f>IFERROR((Table7[[#This Row],[Calls Off]]-E50)/E50,0%)</f>
        <v>6.0162601626016263E-2</v>
      </c>
      <c r="H57" s="80">
        <f>IFERROR((Table7[[#This Row],[Calls Ans]]-F50)/F50,0%)</f>
        <v>2.6578073089700997E-2</v>
      </c>
      <c r="I57" s="1">
        <v>12159</v>
      </c>
      <c r="J57" s="1">
        <v>11318</v>
      </c>
      <c r="K57" s="37">
        <v>26589</v>
      </c>
      <c r="L57" s="37">
        <v>24518</v>
      </c>
      <c r="M57" s="18">
        <v>0.79</v>
      </c>
      <c r="N57" s="18">
        <v>0.05</v>
      </c>
      <c r="O57" s="18">
        <v>0.95</v>
      </c>
      <c r="P57" s="18">
        <v>0.45</v>
      </c>
      <c r="Q57" s="18">
        <v>0.81</v>
      </c>
      <c r="R57" s="301">
        <v>146</v>
      </c>
      <c r="S57" s="143">
        <v>1.3194444444444444E-2</v>
      </c>
      <c r="T57" s="94">
        <v>8</v>
      </c>
      <c r="U57" s="354" t="str">
        <f t="shared" si="0"/>
        <v>Normal</v>
      </c>
      <c r="V57" s="354" t="str">
        <f t="shared" si="1"/>
        <v>Normal</v>
      </c>
      <c r="W57" s="359">
        <f t="shared" si="2"/>
        <v>6.0162601626016263E-2</v>
      </c>
      <c r="X57" s="359">
        <f t="shared" si="3"/>
        <v>2.6578073089700997E-2</v>
      </c>
      <c r="Y57" s="343"/>
      <c r="Z57" s="343"/>
      <c r="AA57" s="343"/>
      <c r="AB57" s="343"/>
      <c r="AC57" s="343"/>
      <c r="AD57" s="343"/>
      <c r="AE57" s="343"/>
      <c r="AF57" s="343"/>
      <c r="AH57" s="21">
        <v>45321</v>
      </c>
      <c r="AI57" s="1">
        <v>0</v>
      </c>
      <c r="AJ57" s="1">
        <v>0</v>
      </c>
    </row>
    <row r="58" spans="1:36">
      <c r="A58" s="21">
        <v>45073</v>
      </c>
      <c r="B58" s="17">
        <f>IF(YEAR(Table7[[#This Row],[Date]]) = 2023, WEEKNUM(Table7[[#This Row],[Date]])-13, WEEKNUM(Table7[[#This Row],[Date]])+40)</f>
        <v>8</v>
      </c>
      <c r="C58" s="34" t="s">
        <v>54</v>
      </c>
      <c r="D58" s="34" t="s">
        <v>94</v>
      </c>
      <c r="E58" s="1">
        <v>344</v>
      </c>
      <c r="F58" s="1">
        <v>271</v>
      </c>
      <c r="G58" s="80">
        <f>IFERROR((Table7[[#This Row],[Calls Off]]-E51)/E51,0%)</f>
        <v>0.89010989010989006</v>
      </c>
      <c r="H58" s="80">
        <f>IFERROR((Table7[[#This Row],[Calls Ans]]-F51)/F51,0%)</f>
        <v>0.88194444444444442</v>
      </c>
      <c r="I58" s="1">
        <v>12503</v>
      </c>
      <c r="J58" s="1">
        <v>11589</v>
      </c>
      <c r="K58" s="37">
        <v>26933</v>
      </c>
      <c r="L58" s="37">
        <v>24789</v>
      </c>
      <c r="M58" s="18">
        <v>0.55000000000000004</v>
      </c>
      <c r="N58" s="18">
        <v>0.21</v>
      </c>
      <c r="O58" s="18">
        <v>0.79</v>
      </c>
      <c r="P58" s="18">
        <v>0.62</v>
      </c>
      <c r="Q58" s="18">
        <v>0.87</v>
      </c>
      <c r="R58" s="301">
        <v>173</v>
      </c>
      <c r="S58" s="143">
        <v>3.5416666666666666E-2</v>
      </c>
      <c r="T58" s="94">
        <v>5</v>
      </c>
      <c r="U58" s="354" t="str">
        <f t="shared" si="0"/>
        <v>Outlier</v>
      </c>
      <c r="V58" s="354" t="str">
        <f t="shared" si="1"/>
        <v>Outlier</v>
      </c>
      <c r="W58" s="359">
        <f t="shared" si="2"/>
        <v>0.89010989010989006</v>
      </c>
      <c r="X58" s="359">
        <f t="shared" si="3"/>
        <v>0.88194444444444442</v>
      </c>
      <c r="Y58" s="343"/>
      <c r="Z58" s="343"/>
      <c r="AA58" s="343"/>
      <c r="AB58" s="343"/>
      <c r="AC58" s="343"/>
      <c r="AD58" s="343"/>
      <c r="AE58" s="343"/>
      <c r="AF58" s="343"/>
      <c r="AH58" s="21">
        <v>45328</v>
      </c>
      <c r="AI58" s="1">
        <v>0</v>
      </c>
      <c r="AJ58" s="1">
        <v>0</v>
      </c>
    </row>
    <row r="59" spans="1:36">
      <c r="A59" s="21">
        <v>45074</v>
      </c>
      <c r="B59" s="17">
        <f>IF(YEAR(Table7[[#This Row],[Date]]) = 2023, WEEKNUM(Table7[[#This Row],[Date]])-13, WEEKNUM(Table7[[#This Row],[Date]])+40)</f>
        <v>9</v>
      </c>
      <c r="C59" s="34" t="s">
        <v>48</v>
      </c>
      <c r="D59" s="34" t="s">
        <v>94</v>
      </c>
      <c r="E59" s="1">
        <v>0</v>
      </c>
      <c r="F59" s="1">
        <v>0</v>
      </c>
      <c r="G59" s="80">
        <f>IFERROR((Table7[[#This Row],[Calls Off]]-E52)/E52,0%)</f>
        <v>0</v>
      </c>
      <c r="H59" s="80">
        <f>IFERROR((Table7[[#This Row],[Calls Ans]]-F52)/F52,0%)</f>
        <v>0</v>
      </c>
      <c r="I59" s="1">
        <v>12503</v>
      </c>
      <c r="J59" s="1">
        <v>11589</v>
      </c>
      <c r="K59" s="37">
        <v>26933</v>
      </c>
      <c r="L59" s="37">
        <v>24789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301">
        <v>0</v>
      </c>
      <c r="S59" s="143">
        <v>0</v>
      </c>
      <c r="T59" s="94">
        <v>0</v>
      </c>
      <c r="U59" s="354" t="str">
        <f t="shared" si="0"/>
        <v>Normal</v>
      </c>
      <c r="V59" s="354" t="str">
        <f t="shared" si="1"/>
        <v>Normal</v>
      </c>
      <c r="W59" s="359">
        <f t="shared" si="2"/>
        <v>0</v>
      </c>
      <c r="X59" s="359">
        <f t="shared" si="3"/>
        <v>0</v>
      </c>
      <c r="Y59" s="343"/>
      <c r="Z59" s="343"/>
      <c r="AA59" s="343"/>
      <c r="AB59" s="343"/>
      <c r="AC59" s="343"/>
      <c r="AD59" s="343"/>
      <c r="AE59" s="343"/>
      <c r="AF59" s="343"/>
      <c r="AH59" s="21">
        <v>45335</v>
      </c>
      <c r="AI59" s="1">
        <v>0</v>
      </c>
      <c r="AJ59" s="1">
        <v>0</v>
      </c>
    </row>
    <row r="60" spans="1:36">
      <c r="A60" s="21">
        <v>45075</v>
      </c>
      <c r="B60" s="17">
        <f>IF(YEAR(Table7[[#This Row],[Date]]) = 2023, WEEKNUM(Table7[[#This Row],[Date]])-13, WEEKNUM(Table7[[#This Row],[Date]])+40)</f>
        <v>9</v>
      </c>
      <c r="C60" s="34" t="s">
        <v>49</v>
      </c>
      <c r="D60" s="34" t="s">
        <v>94</v>
      </c>
      <c r="E60" s="1">
        <v>743</v>
      </c>
      <c r="F60" s="1">
        <v>650</v>
      </c>
      <c r="G60" s="80">
        <f>IFERROR((Table7[[#This Row],[Calls Off]]-E53)/E53,0%)</f>
        <v>0.15912636505460218</v>
      </c>
      <c r="H60" s="80">
        <f>IFERROR((Table7[[#This Row],[Calls Ans]]-F53)/F53,0%)</f>
        <v>7.43801652892562E-2</v>
      </c>
      <c r="I60" s="1">
        <v>13246</v>
      </c>
      <c r="J60" s="1">
        <v>12239</v>
      </c>
      <c r="K60" s="37">
        <v>27676</v>
      </c>
      <c r="L60" s="37">
        <v>25439</v>
      </c>
      <c r="M60" s="18">
        <v>0.66</v>
      </c>
      <c r="N60" s="18">
        <v>0.13</v>
      </c>
      <c r="O60" s="18">
        <v>0.87</v>
      </c>
      <c r="P60" s="18">
        <v>0.57999999999999996</v>
      </c>
      <c r="Q60" s="18">
        <v>0.83</v>
      </c>
      <c r="R60" s="301">
        <v>169</v>
      </c>
      <c r="S60" s="143">
        <v>2.2916666666666669E-2</v>
      </c>
      <c r="T60" s="94">
        <v>9</v>
      </c>
      <c r="U60" s="354" t="str">
        <f t="shared" si="0"/>
        <v>Normal</v>
      </c>
      <c r="V60" s="354" t="str">
        <f t="shared" si="1"/>
        <v>Normal</v>
      </c>
      <c r="W60" s="359">
        <f t="shared" si="2"/>
        <v>0.15912636505460218</v>
      </c>
      <c r="X60" s="359">
        <f t="shared" si="3"/>
        <v>7.43801652892562E-2</v>
      </c>
      <c r="Y60" s="343"/>
      <c r="Z60" s="343"/>
      <c r="AA60" s="343"/>
      <c r="AB60" s="343"/>
      <c r="AC60" s="343"/>
      <c r="AD60" s="343"/>
      <c r="AE60" s="343"/>
      <c r="AF60" s="343"/>
      <c r="AH60" s="21">
        <v>45342</v>
      </c>
      <c r="AI60" s="1">
        <v>0</v>
      </c>
      <c r="AJ60" s="1">
        <v>0</v>
      </c>
    </row>
    <row r="61" spans="1:36">
      <c r="A61" s="21">
        <v>45076</v>
      </c>
      <c r="B61" s="17">
        <f>IF(YEAR(Table7[[#This Row],[Date]]) = 2023, WEEKNUM(Table7[[#This Row],[Date]])-13, WEEKNUM(Table7[[#This Row],[Date]])+40)</f>
        <v>9</v>
      </c>
      <c r="C61" s="34" t="s">
        <v>64</v>
      </c>
      <c r="D61" s="34" t="s">
        <v>94</v>
      </c>
      <c r="E61" s="1">
        <v>0</v>
      </c>
      <c r="F61" s="1">
        <v>0</v>
      </c>
      <c r="G61" s="80">
        <v>0</v>
      </c>
      <c r="H61" s="80">
        <v>0</v>
      </c>
      <c r="I61" s="1">
        <v>0</v>
      </c>
      <c r="J61" s="1">
        <v>0</v>
      </c>
      <c r="K61" s="37">
        <v>0</v>
      </c>
      <c r="L61" s="37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301">
        <v>0</v>
      </c>
      <c r="S61" s="143">
        <v>0</v>
      </c>
      <c r="T61" s="94">
        <v>0</v>
      </c>
      <c r="U61" s="354" t="str">
        <f t="shared" si="0"/>
        <v>Normal</v>
      </c>
      <c r="V61" s="354" t="str">
        <f t="shared" si="1"/>
        <v>Normal</v>
      </c>
      <c r="W61" s="359">
        <f t="shared" si="2"/>
        <v>0</v>
      </c>
      <c r="X61" s="359">
        <f t="shared" si="3"/>
        <v>0</v>
      </c>
      <c r="Y61" s="343"/>
      <c r="Z61" s="343"/>
      <c r="AA61" s="343"/>
      <c r="AB61" s="343"/>
      <c r="AC61" s="343"/>
      <c r="AD61" s="343"/>
      <c r="AE61" s="343"/>
      <c r="AF61" s="343"/>
      <c r="AH61" s="21">
        <v>45349</v>
      </c>
      <c r="AI61" s="1">
        <v>0</v>
      </c>
      <c r="AJ61" s="1">
        <v>0</v>
      </c>
    </row>
    <row r="62" spans="1:36">
      <c r="A62" s="21">
        <v>45077</v>
      </c>
      <c r="B62" s="17">
        <f>IF(YEAR(Table7[[#This Row],[Date]]) = 2023, WEEKNUM(Table7[[#This Row],[Date]])-13, WEEKNUM(Table7[[#This Row],[Date]])+40)</f>
        <v>9</v>
      </c>
      <c r="C62" s="89" t="s">
        <v>51</v>
      </c>
      <c r="D62" s="34" t="s">
        <v>94</v>
      </c>
      <c r="E62" s="1">
        <v>846</v>
      </c>
      <c r="F62" s="1">
        <v>690</v>
      </c>
      <c r="G62" s="80">
        <f>IFERROR((Table7[[#This Row],[Calls Off]]-E55)/E55,0%)</f>
        <v>0.31775700934579437</v>
      </c>
      <c r="H62" s="80">
        <f>IFERROR((Table7[[#This Row],[Calls Ans]]-F55)/F55,0%)</f>
        <v>0.15191986644407346</v>
      </c>
      <c r="I62" s="1">
        <v>14092</v>
      </c>
      <c r="J62" s="1">
        <v>12929</v>
      </c>
      <c r="K62" s="37">
        <v>28522</v>
      </c>
      <c r="L62" s="37">
        <v>26129</v>
      </c>
      <c r="M62" s="18">
        <v>0.52</v>
      </c>
      <c r="N62" s="18">
        <v>0.18</v>
      </c>
      <c r="O62" s="18">
        <v>0.82</v>
      </c>
      <c r="P62" s="18">
        <v>0.65</v>
      </c>
      <c r="Q62" s="18">
        <v>0.8</v>
      </c>
      <c r="R62" s="301">
        <v>220</v>
      </c>
      <c r="S62" s="143">
        <v>0.10347222222222223</v>
      </c>
      <c r="T62" s="94">
        <v>8</v>
      </c>
      <c r="U62" s="354" t="str">
        <f t="shared" si="0"/>
        <v>Outlier</v>
      </c>
      <c r="V62" s="354" t="str">
        <f t="shared" si="1"/>
        <v>Normal</v>
      </c>
      <c r="W62" s="359">
        <f t="shared" si="2"/>
        <v>0.31775700934579437</v>
      </c>
      <c r="X62" s="359">
        <f t="shared" si="3"/>
        <v>0.15191986644407346</v>
      </c>
      <c r="Y62" s="343"/>
      <c r="Z62" s="343"/>
      <c r="AA62" s="343"/>
      <c r="AB62" s="343"/>
      <c r="AC62" s="343"/>
      <c r="AD62" s="343"/>
      <c r="AE62" s="343"/>
      <c r="AF62" s="343"/>
      <c r="AH62" s="21">
        <v>45356</v>
      </c>
      <c r="AI62" s="1">
        <v>0</v>
      </c>
      <c r="AJ62" s="1">
        <v>0</v>
      </c>
    </row>
    <row r="63" spans="1:36">
      <c r="A63" s="21">
        <v>45078</v>
      </c>
      <c r="B63" s="17">
        <f>IF(YEAR(Table7[[#This Row],[Date]]) = 2023, WEEKNUM(Table7[[#This Row],[Date]])-13, WEEKNUM(Table7[[#This Row],[Date]])+40)</f>
        <v>9</v>
      </c>
      <c r="C63" s="34" t="s">
        <v>52</v>
      </c>
      <c r="D63" s="34" t="s">
        <v>94</v>
      </c>
      <c r="E63" s="1">
        <v>650</v>
      </c>
      <c r="F63" s="1">
        <v>589</v>
      </c>
      <c r="G63" s="80">
        <f>IFERROR((Table7[[#This Row],[Calls Off]]-E56)/E56,0%)</f>
        <v>3.0864197530864196E-3</v>
      </c>
      <c r="H63" s="80">
        <f>IFERROR((Table7[[#This Row],[Calls Ans]]-F56)/F56,0%)</f>
        <v>5.1194539249146756E-3</v>
      </c>
      <c r="I63" s="1"/>
      <c r="J63" s="1"/>
      <c r="K63" s="1"/>
      <c r="L63" s="1"/>
      <c r="M63" s="18">
        <v>0.74</v>
      </c>
      <c r="N63" s="18">
        <v>0.09</v>
      </c>
      <c r="O63" s="18">
        <v>0.91</v>
      </c>
      <c r="P63" s="18">
        <v>0.41</v>
      </c>
      <c r="Q63" s="18">
        <v>0.82</v>
      </c>
      <c r="R63" s="301">
        <v>163</v>
      </c>
      <c r="S63" s="143">
        <v>1.6666666666666666E-2</v>
      </c>
      <c r="T63" s="94">
        <v>9</v>
      </c>
      <c r="U63" s="354" t="str">
        <f t="shared" si="0"/>
        <v>Normal</v>
      </c>
      <c r="V63" s="354" t="str">
        <f t="shared" si="1"/>
        <v>Normal</v>
      </c>
      <c r="W63" s="359">
        <f t="shared" si="2"/>
        <v>3.0864197530864196E-3</v>
      </c>
      <c r="X63" s="359">
        <f t="shared" si="3"/>
        <v>5.1194539249146756E-3</v>
      </c>
      <c r="Y63" s="343"/>
      <c r="Z63" s="343"/>
      <c r="AA63" s="343"/>
      <c r="AB63" s="343"/>
      <c r="AC63" s="343"/>
      <c r="AD63" s="343"/>
      <c r="AE63" s="343"/>
      <c r="AF63" s="343"/>
      <c r="AH63" s="21">
        <v>45363</v>
      </c>
      <c r="AI63" s="1">
        <v>0</v>
      </c>
      <c r="AJ63" s="1">
        <v>0</v>
      </c>
    </row>
    <row r="64" spans="1:36">
      <c r="A64" s="21">
        <v>45079</v>
      </c>
      <c r="B64" s="17">
        <f>IF(YEAR(Table7[[#This Row],[Date]]) = 2023, WEEKNUM(Table7[[#This Row],[Date]])-13, WEEKNUM(Table7[[#This Row],[Date]])+40)</f>
        <v>9</v>
      </c>
      <c r="C64" s="89" t="s">
        <v>53</v>
      </c>
      <c r="D64" s="34" t="s">
        <v>94</v>
      </c>
      <c r="E64" s="1">
        <v>622</v>
      </c>
      <c r="F64" s="1">
        <v>583</v>
      </c>
      <c r="G64" s="80">
        <f>IFERROR((Table7[[#This Row],[Calls Off]]-E57)/E57,0%)</f>
        <v>-4.6012269938650305E-2</v>
      </c>
      <c r="H64" s="80">
        <f>IFERROR((Table7[[#This Row],[Calls Ans]]-F57)/F57,0%)</f>
        <v>-5.6634304207119741E-2</v>
      </c>
      <c r="I64" s="1"/>
      <c r="J64" s="1"/>
      <c r="K64" s="1"/>
      <c r="L64" s="1"/>
      <c r="M64" s="18">
        <v>0.79</v>
      </c>
      <c r="N64" s="18">
        <v>0.06</v>
      </c>
      <c r="O64" s="18">
        <v>0.94</v>
      </c>
      <c r="P64" s="18">
        <v>0.43</v>
      </c>
      <c r="Q64" s="18">
        <v>0.82</v>
      </c>
      <c r="R64" s="301">
        <v>155</v>
      </c>
      <c r="S64" s="143">
        <v>1.1805555555555555E-2</v>
      </c>
      <c r="T64" s="94">
        <v>10</v>
      </c>
      <c r="U64" s="354" t="str">
        <f t="shared" si="0"/>
        <v>Normal</v>
      </c>
      <c r="V64" s="354" t="str">
        <f t="shared" si="1"/>
        <v>Normal</v>
      </c>
      <c r="W64" s="359">
        <f t="shared" si="2"/>
        <v>-4.6012269938650305E-2</v>
      </c>
      <c r="X64" s="359">
        <f t="shared" si="3"/>
        <v>-5.6634304207119741E-2</v>
      </c>
      <c r="Y64" s="343"/>
      <c r="Z64" s="343"/>
      <c r="AA64" s="343"/>
      <c r="AB64" s="343"/>
      <c r="AC64" s="343"/>
      <c r="AD64" s="343"/>
      <c r="AE64" s="343"/>
      <c r="AF64" s="343"/>
      <c r="AH64" s="21">
        <v>45370</v>
      </c>
      <c r="AI64" s="1">
        <v>0</v>
      </c>
      <c r="AJ64" s="1">
        <v>0</v>
      </c>
    </row>
    <row r="65" spans="1:36">
      <c r="A65" s="21">
        <v>45080</v>
      </c>
      <c r="B65" s="17">
        <f>IF(YEAR(Table7[[#This Row],[Date]]) = 2023, WEEKNUM(Table7[[#This Row],[Date]])-13, WEEKNUM(Table7[[#This Row],[Date]])+40)</f>
        <v>9</v>
      </c>
      <c r="C65" s="34" t="s">
        <v>54</v>
      </c>
      <c r="D65" s="34" t="s">
        <v>94</v>
      </c>
      <c r="E65" s="1">
        <v>421</v>
      </c>
      <c r="F65" s="1">
        <v>287</v>
      </c>
      <c r="G65" s="80">
        <f>IFERROR((Table7[[#This Row],[Calls Off]]-E58)/E58,0%)</f>
        <v>0.22383720930232559</v>
      </c>
      <c r="H65" s="80">
        <f>IFERROR((Table7[[#This Row],[Calls Ans]]-F58)/F58,0%)</f>
        <v>5.9040590405904057E-2</v>
      </c>
      <c r="I65" s="1"/>
      <c r="J65" s="1"/>
      <c r="K65" s="1"/>
      <c r="L65" s="1"/>
      <c r="M65" s="18">
        <v>0.3</v>
      </c>
      <c r="N65" s="18">
        <v>0.32</v>
      </c>
      <c r="O65" s="18">
        <v>0.68</v>
      </c>
      <c r="P65" s="18">
        <v>0.67</v>
      </c>
      <c r="Q65" s="18">
        <v>0.85</v>
      </c>
      <c r="R65" s="301">
        <v>166</v>
      </c>
      <c r="S65" s="143">
        <v>8.1250000000000003E-2</v>
      </c>
      <c r="T65" s="94">
        <v>5</v>
      </c>
      <c r="U65" s="354" t="str">
        <f t="shared" si="0"/>
        <v>Normal</v>
      </c>
      <c r="V65" s="354" t="str">
        <f t="shared" si="1"/>
        <v>Normal</v>
      </c>
      <c r="W65" s="359">
        <f t="shared" si="2"/>
        <v>0.22383720930232559</v>
      </c>
      <c r="X65" s="359">
        <f t="shared" si="3"/>
        <v>5.9040590405904057E-2</v>
      </c>
      <c r="Y65" s="343"/>
      <c r="Z65" s="343"/>
      <c r="AA65" s="343"/>
      <c r="AB65" s="343"/>
      <c r="AC65" s="343"/>
      <c r="AD65" s="343"/>
      <c r="AE65" s="343"/>
      <c r="AF65" s="343"/>
      <c r="AH65" s="21">
        <v>45377</v>
      </c>
      <c r="AI65" s="1">
        <v>0</v>
      </c>
      <c r="AJ65" s="1">
        <v>0</v>
      </c>
    </row>
    <row r="66" spans="1:36">
      <c r="A66" s="21">
        <v>45081</v>
      </c>
      <c r="B66" s="17">
        <f>IF(YEAR(Table7[[#This Row],[Date]]) = 2023, WEEKNUM(Table7[[#This Row],[Date]])-13, WEEKNUM(Table7[[#This Row],[Date]])+40)</f>
        <v>10</v>
      </c>
      <c r="C66" s="89" t="s">
        <v>48</v>
      </c>
      <c r="D66" s="34" t="s">
        <v>94</v>
      </c>
      <c r="E66" s="1">
        <v>0</v>
      </c>
      <c r="F66" s="1">
        <v>0</v>
      </c>
      <c r="G66" s="80">
        <f>IFERROR((Table7[[#This Row],[Calls Off]]-E59)/E59,0%)</f>
        <v>0</v>
      </c>
      <c r="H66" s="80">
        <f>IFERROR((Table7[[#This Row],[Calls Ans]]-F59)/F59,0%)</f>
        <v>0</v>
      </c>
      <c r="I66" s="1">
        <v>0</v>
      </c>
      <c r="J66" s="1">
        <v>0</v>
      </c>
      <c r="K66" s="1">
        <v>0</v>
      </c>
      <c r="L66" s="1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301">
        <v>0</v>
      </c>
      <c r="S66" s="143">
        <v>0</v>
      </c>
      <c r="T66" s="94">
        <v>0</v>
      </c>
      <c r="U66" s="354" t="str">
        <f t="shared" si="0"/>
        <v>Normal</v>
      </c>
      <c r="V66" s="354" t="str">
        <f t="shared" si="1"/>
        <v>Normal</v>
      </c>
      <c r="W66" s="359">
        <f t="shared" si="2"/>
        <v>0</v>
      </c>
      <c r="X66" s="359">
        <f t="shared" si="3"/>
        <v>0</v>
      </c>
      <c r="Y66" s="343"/>
      <c r="Z66" s="343"/>
      <c r="AA66" s="343"/>
      <c r="AB66" s="343"/>
      <c r="AC66" s="343"/>
      <c r="AD66" s="343"/>
      <c r="AE66" s="343"/>
      <c r="AF66" s="343"/>
      <c r="AH66" s="23">
        <v>45017</v>
      </c>
      <c r="AI66" s="37">
        <v>0</v>
      </c>
      <c r="AJ66" s="37">
        <v>0</v>
      </c>
    </row>
    <row r="67" spans="1:36">
      <c r="A67" s="21">
        <v>45082</v>
      </c>
      <c r="B67" s="17">
        <f>IF(YEAR(Table7[[#This Row],[Date]]) = 2023, WEEKNUM(Table7[[#This Row],[Date]])-13, WEEKNUM(Table7[[#This Row],[Date]])+40)</f>
        <v>10</v>
      </c>
      <c r="C67" s="34" t="s">
        <v>49</v>
      </c>
      <c r="D67" s="34" t="s">
        <v>94</v>
      </c>
      <c r="E67" s="1">
        <v>836</v>
      </c>
      <c r="F67" s="1">
        <v>678</v>
      </c>
      <c r="G67" s="80">
        <f>IFERROR((Table7[[#This Row],[Calls Off]]-E60)/E60,0%)</f>
        <v>0.12516823687752354</v>
      </c>
      <c r="H67" s="80">
        <f>IFERROR((Table7[[#This Row],[Calls Ans]]-F60)/F60,0%)</f>
        <v>4.3076923076923075E-2</v>
      </c>
      <c r="I67" s="1"/>
      <c r="J67" s="1"/>
      <c r="K67" s="1"/>
      <c r="L67" s="1"/>
      <c r="M67" s="18">
        <v>0.43</v>
      </c>
      <c r="N67" s="18">
        <v>0.19</v>
      </c>
      <c r="O67" s="18">
        <v>0.81</v>
      </c>
      <c r="P67" s="18">
        <v>0.66</v>
      </c>
      <c r="Q67" s="18">
        <v>0.8</v>
      </c>
      <c r="R67" s="301">
        <v>179</v>
      </c>
      <c r="S67" s="143">
        <v>4.5138888888888888E-2</v>
      </c>
      <c r="T67" s="94">
        <v>9</v>
      </c>
      <c r="U67" s="354" t="str">
        <f t="shared" ref="U67:U130" si="4">IF(OR(G67&lt;$AA$5,G67&gt;$AB$5), "Outlier", "Normal")</f>
        <v>Normal</v>
      </c>
      <c r="V67" s="354" t="str">
        <f t="shared" ref="V67:V130" si="5">IF(OR(H67&lt;$AA$6,H67&gt;$AB$6), "Outlier", "Normal")</f>
        <v>Normal</v>
      </c>
      <c r="W67" s="359">
        <f t="shared" ref="W67:W130" si="6">IF(U67="Normal",$G67,IF($G67&lt;150%, $G67, $AA$9))</f>
        <v>0.12516823687752354</v>
      </c>
      <c r="X67" s="359">
        <f t="shared" ref="X67:X130" si="7">IF(V67="Normal",$H67,IF($H67&lt;150%, $H67, $AE$9))</f>
        <v>4.3076923076923075E-2</v>
      </c>
      <c r="Y67" s="343"/>
      <c r="Z67" s="343"/>
      <c r="AA67" s="343"/>
      <c r="AB67" s="343"/>
      <c r="AC67" s="343"/>
      <c r="AD67" s="343"/>
      <c r="AE67" s="343"/>
      <c r="AF67" s="343"/>
    </row>
    <row r="68" spans="1:36">
      <c r="A68" s="21">
        <v>45083</v>
      </c>
      <c r="B68" s="17">
        <f>IF(YEAR(Table7[[#This Row],[Date]]) = 2023, WEEKNUM(Table7[[#This Row],[Date]])-13, WEEKNUM(Table7[[#This Row],[Date]])+40)</f>
        <v>10</v>
      </c>
      <c r="C68" s="89" t="s">
        <v>50</v>
      </c>
      <c r="D68" s="34" t="s">
        <v>94</v>
      </c>
      <c r="E68" s="1">
        <v>764</v>
      </c>
      <c r="F68" s="1">
        <v>594</v>
      </c>
      <c r="G68" s="80">
        <f>IFERROR((Table7[[#This Row],[Calls Off]]-E61)/E61,0%)</f>
        <v>0</v>
      </c>
      <c r="H68" s="80">
        <f>IFERROR((Table7[[#This Row],[Calls Ans]]-F61)/F61,0%)</f>
        <v>0</v>
      </c>
      <c r="I68" s="1"/>
      <c r="J68" s="1"/>
      <c r="K68" s="1"/>
      <c r="L68" s="1"/>
      <c r="M68" s="18">
        <v>0.53</v>
      </c>
      <c r="N68" s="18">
        <v>0.22</v>
      </c>
      <c r="O68" s="18">
        <v>0.78</v>
      </c>
      <c r="P68" s="18">
        <v>0.5</v>
      </c>
      <c r="Q68" s="18">
        <v>0.81</v>
      </c>
      <c r="R68" s="301">
        <v>187</v>
      </c>
      <c r="S68" s="143">
        <v>4.9305555555555554E-2</v>
      </c>
      <c r="T68" s="94">
        <v>7</v>
      </c>
      <c r="U68" s="354" t="str">
        <f t="shared" si="4"/>
        <v>Normal</v>
      </c>
      <c r="V68" s="354" t="str">
        <f t="shared" si="5"/>
        <v>Normal</v>
      </c>
      <c r="W68" s="359">
        <f t="shared" si="6"/>
        <v>0</v>
      </c>
      <c r="X68" s="359">
        <f t="shared" si="7"/>
        <v>0</v>
      </c>
      <c r="Y68" s="343"/>
      <c r="Z68" s="343"/>
      <c r="AA68" s="343"/>
      <c r="AB68" s="343"/>
      <c r="AC68" s="343"/>
      <c r="AD68" s="343"/>
      <c r="AE68" s="343"/>
      <c r="AF68" s="343"/>
    </row>
    <row r="69" spans="1:36">
      <c r="A69" s="21">
        <v>45084</v>
      </c>
      <c r="B69" s="17">
        <f>IF(YEAR(Table7[[#This Row],[Date]]) = 2023, WEEKNUM(Table7[[#This Row],[Date]])-13, WEEKNUM(Table7[[#This Row],[Date]])+40)</f>
        <v>10</v>
      </c>
      <c r="C69" s="34" t="s">
        <v>51</v>
      </c>
      <c r="D69" s="34" t="s">
        <v>94</v>
      </c>
      <c r="E69" s="1">
        <v>733</v>
      </c>
      <c r="F69" s="1">
        <v>615</v>
      </c>
      <c r="G69" s="80">
        <f>IFERROR((Table7[[#This Row],[Calls Off]]-E62)/E62,0%)</f>
        <v>-0.13356973995271867</v>
      </c>
      <c r="H69" s="80">
        <f>IFERROR((Table7[[#This Row],[Calls Ans]]-F62)/F62,0%)</f>
        <v>-0.10869565217391304</v>
      </c>
      <c r="I69" s="1"/>
      <c r="J69" s="1"/>
      <c r="K69" s="1"/>
      <c r="L69" s="1"/>
      <c r="M69" s="18">
        <v>0.67</v>
      </c>
      <c r="N69" s="18">
        <v>0.16</v>
      </c>
      <c r="O69" s="18">
        <v>0.84</v>
      </c>
      <c r="P69" s="18">
        <v>0.56000000000000005</v>
      </c>
      <c r="Q69" s="18">
        <v>0.81</v>
      </c>
      <c r="R69" s="301">
        <v>203</v>
      </c>
      <c r="S69" s="143">
        <v>3.6111111111111115E-2</v>
      </c>
      <c r="T69" s="94">
        <v>8</v>
      </c>
      <c r="U69" s="354" t="str">
        <f t="shared" si="4"/>
        <v>Normal</v>
      </c>
      <c r="V69" s="354" t="str">
        <f t="shared" si="5"/>
        <v>Normal</v>
      </c>
      <c r="W69" s="359">
        <f t="shared" si="6"/>
        <v>-0.13356973995271867</v>
      </c>
      <c r="X69" s="359">
        <f t="shared" si="7"/>
        <v>-0.10869565217391304</v>
      </c>
      <c r="Y69" s="343"/>
      <c r="Z69" s="343"/>
      <c r="AA69" s="343"/>
      <c r="AB69" s="343"/>
      <c r="AC69" s="343"/>
      <c r="AD69" s="343"/>
      <c r="AE69" s="343"/>
      <c r="AF69" s="343"/>
    </row>
    <row r="70" spans="1:36">
      <c r="A70" s="21">
        <v>45085</v>
      </c>
      <c r="B70" s="17">
        <f>IF(YEAR(Table7[[#This Row],[Date]]) = 2023, WEEKNUM(Table7[[#This Row],[Date]])-13, WEEKNUM(Table7[[#This Row],[Date]])+40)</f>
        <v>10</v>
      </c>
      <c r="C70" s="89" t="s">
        <v>52</v>
      </c>
      <c r="D70" s="34" t="s">
        <v>94</v>
      </c>
      <c r="E70" s="1">
        <v>0</v>
      </c>
      <c r="F70" s="1">
        <v>0</v>
      </c>
      <c r="G70" s="80">
        <v>0</v>
      </c>
      <c r="H70" s="80">
        <v>0</v>
      </c>
      <c r="I70" s="1">
        <v>0</v>
      </c>
      <c r="J70" s="1">
        <v>0</v>
      </c>
      <c r="K70" s="1">
        <v>0</v>
      </c>
      <c r="L70" s="1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301">
        <v>0</v>
      </c>
      <c r="S70" s="143">
        <v>0</v>
      </c>
      <c r="T70" s="94">
        <v>0</v>
      </c>
      <c r="U70" s="354" t="str">
        <f t="shared" si="4"/>
        <v>Normal</v>
      </c>
      <c r="V70" s="354" t="str">
        <f t="shared" si="5"/>
        <v>Normal</v>
      </c>
      <c r="W70" s="359">
        <f t="shared" si="6"/>
        <v>0</v>
      </c>
      <c r="X70" s="359">
        <f t="shared" si="7"/>
        <v>0</v>
      </c>
      <c r="Y70" s="343"/>
      <c r="Z70" s="343"/>
      <c r="AA70" s="343"/>
      <c r="AB70" s="343"/>
      <c r="AC70" s="343"/>
      <c r="AD70" s="343"/>
      <c r="AE70" s="343"/>
      <c r="AF70" s="343"/>
    </row>
    <row r="71" spans="1:36">
      <c r="A71" s="21">
        <v>45086</v>
      </c>
      <c r="B71" s="17">
        <f>IF(YEAR(Table7[[#This Row],[Date]]) = 2023, WEEKNUM(Table7[[#This Row],[Date]])-13, WEEKNUM(Table7[[#This Row],[Date]])+40)</f>
        <v>10</v>
      </c>
      <c r="C71" s="34" t="s">
        <v>53</v>
      </c>
      <c r="D71" s="34" t="s">
        <v>94</v>
      </c>
      <c r="E71" s="1">
        <v>855</v>
      </c>
      <c r="F71" s="1">
        <v>463</v>
      </c>
      <c r="G71" s="80">
        <f>IFERROR((Table7[[#This Row],[Calls Off]]-E64)/E64,0%)</f>
        <v>0.37459807073954982</v>
      </c>
      <c r="H71" s="80">
        <f>IFERROR((Table7[[#This Row],[Calls Ans]]-F64)/F64,0%)</f>
        <v>-0.2058319039451115</v>
      </c>
      <c r="I71" s="1"/>
      <c r="J71" s="1"/>
      <c r="K71" s="1"/>
      <c r="L71" s="1"/>
      <c r="M71" s="18">
        <v>0.2</v>
      </c>
      <c r="N71" s="18">
        <v>0.46</v>
      </c>
      <c r="O71" s="18">
        <v>0.54</v>
      </c>
      <c r="P71" s="18">
        <v>0.66</v>
      </c>
      <c r="Q71" s="18">
        <v>0.82</v>
      </c>
      <c r="R71" s="301">
        <v>184</v>
      </c>
      <c r="S71" s="143">
        <v>0.17222222222222225</v>
      </c>
      <c r="T71" s="94">
        <v>7</v>
      </c>
      <c r="U71" s="354" t="str">
        <f t="shared" si="4"/>
        <v>Outlier</v>
      </c>
      <c r="V71" s="354" t="str">
        <f t="shared" si="5"/>
        <v>Normal</v>
      </c>
      <c r="W71" s="359">
        <f t="shared" si="6"/>
        <v>0.37459807073954982</v>
      </c>
      <c r="X71" s="359">
        <f t="shared" si="7"/>
        <v>-0.2058319039451115</v>
      </c>
      <c r="Y71" s="343"/>
      <c r="Z71" s="343"/>
      <c r="AA71" s="343"/>
      <c r="AB71" s="343"/>
      <c r="AC71" s="343"/>
      <c r="AD71" s="343"/>
      <c r="AE71" s="343"/>
      <c r="AF71" s="343"/>
    </row>
    <row r="72" spans="1:36">
      <c r="A72" s="21">
        <v>45087</v>
      </c>
      <c r="B72" s="17">
        <f>IF(YEAR(Table7[[#This Row],[Date]]) = 2023, WEEKNUM(Table7[[#This Row],[Date]])-13, WEEKNUM(Table7[[#This Row],[Date]])+40)</f>
        <v>10</v>
      </c>
      <c r="C72" s="89" t="s">
        <v>54</v>
      </c>
      <c r="D72" s="34" t="s">
        <v>94</v>
      </c>
      <c r="E72" s="1">
        <v>377</v>
      </c>
      <c r="F72" s="1">
        <v>306</v>
      </c>
      <c r="G72" s="80">
        <f>IFERROR((Table7[[#This Row],[Calls Off]]-E65)/E65,0%)</f>
        <v>-0.10451306413301663</v>
      </c>
      <c r="H72" s="80">
        <f>IFERROR((Table7[[#This Row],[Calls Ans]]-F65)/F65,0%)</f>
        <v>6.6202090592334492E-2</v>
      </c>
      <c r="I72" s="1"/>
      <c r="J72" s="1"/>
      <c r="K72" s="1"/>
      <c r="L72" s="1"/>
      <c r="M72" s="18">
        <v>0.41</v>
      </c>
      <c r="N72" s="18">
        <v>0.19</v>
      </c>
      <c r="O72" s="18">
        <v>0.81</v>
      </c>
      <c r="P72" s="18">
        <v>0.73</v>
      </c>
      <c r="Q72" s="18">
        <v>0.87</v>
      </c>
      <c r="R72" s="301">
        <v>175</v>
      </c>
      <c r="S72" s="143">
        <v>3.9583333333333331E-2</v>
      </c>
      <c r="T72" s="94">
        <v>5</v>
      </c>
      <c r="U72" s="354" t="str">
        <f t="shared" si="4"/>
        <v>Normal</v>
      </c>
      <c r="V72" s="354" t="str">
        <f t="shared" si="5"/>
        <v>Normal</v>
      </c>
      <c r="W72" s="359">
        <f t="shared" si="6"/>
        <v>-0.10451306413301663</v>
      </c>
      <c r="X72" s="359">
        <f t="shared" si="7"/>
        <v>6.6202090592334492E-2</v>
      </c>
      <c r="Y72" s="343"/>
      <c r="Z72" s="343"/>
      <c r="AA72" s="343"/>
      <c r="AB72" s="343"/>
      <c r="AC72" s="343"/>
      <c r="AD72" s="343"/>
      <c r="AE72" s="343"/>
      <c r="AF72" s="343"/>
    </row>
    <row r="73" spans="1:36">
      <c r="A73" s="21">
        <v>45088</v>
      </c>
      <c r="B73" s="17">
        <f>IF(YEAR(Table7[[#This Row],[Date]]) = 2023, WEEKNUM(Table7[[#This Row],[Date]])-13, WEEKNUM(Table7[[#This Row],[Date]])+40)</f>
        <v>11</v>
      </c>
      <c r="C73" s="34" t="s">
        <v>48</v>
      </c>
      <c r="D73" s="34" t="s">
        <v>94</v>
      </c>
      <c r="E73" s="1">
        <v>0</v>
      </c>
      <c r="F73" s="1">
        <v>0</v>
      </c>
      <c r="G73" s="80">
        <f>IFERROR((Table7[[#This Row],[Calls Off]]-E66)/E66,0%)</f>
        <v>0</v>
      </c>
      <c r="H73" s="80">
        <f>IFERROR((Table7[[#This Row],[Calls Ans]]-F66)/F66,0%)</f>
        <v>0</v>
      </c>
      <c r="I73" s="1">
        <v>0</v>
      </c>
      <c r="J73" s="1">
        <v>0</v>
      </c>
      <c r="K73" s="1">
        <v>0</v>
      </c>
      <c r="L73" s="1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301">
        <v>0</v>
      </c>
      <c r="S73" s="143">
        <v>0</v>
      </c>
      <c r="T73" s="94">
        <v>0</v>
      </c>
      <c r="U73" s="354" t="str">
        <f t="shared" si="4"/>
        <v>Normal</v>
      </c>
      <c r="V73" s="354" t="str">
        <f t="shared" si="5"/>
        <v>Normal</v>
      </c>
      <c r="W73" s="359">
        <f t="shared" si="6"/>
        <v>0</v>
      </c>
      <c r="X73" s="359">
        <f t="shared" si="7"/>
        <v>0</v>
      </c>
      <c r="Y73" s="343"/>
      <c r="Z73" s="343"/>
      <c r="AA73" s="343"/>
      <c r="AB73" s="343"/>
      <c r="AC73" s="343"/>
      <c r="AD73" s="343"/>
      <c r="AE73" s="343"/>
      <c r="AF73" s="343"/>
    </row>
    <row r="74" spans="1:36">
      <c r="A74" s="21">
        <v>45089</v>
      </c>
      <c r="B74" s="17">
        <f>IF(YEAR(Table7[[#This Row],[Date]]) = 2023, WEEKNUM(Table7[[#This Row],[Date]])-13, WEEKNUM(Table7[[#This Row],[Date]])+40)</f>
        <v>11</v>
      </c>
      <c r="C74" s="89" t="s">
        <v>49</v>
      </c>
      <c r="D74" s="34" t="s">
        <v>94</v>
      </c>
      <c r="E74" s="1">
        <v>934</v>
      </c>
      <c r="F74" s="1">
        <v>347</v>
      </c>
      <c r="G74" s="80">
        <f>IFERROR((Table7[[#This Row],[Calls Off]]-E67)/E67,0%)</f>
        <v>0.11722488038277512</v>
      </c>
      <c r="H74" s="80">
        <f>IFERROR((Table7[[#This Row],[Calls Ans]]-F67)/F67,0%)</f>
        <v>-0.48820058997050148</v>
      </c>
      <c r="I74" s="1"/>
      <c r="J74" s="1"/>
      <c r="K74" s="1"/>
      <c r="L74" s="1"/>
      <c r="M74" s="18">
        <v>0.15</v>
      </c>
      <c r="N74" s="18">
        <v>0.63</v>
      </c>
      <c r="O74" s="18">
        <v>0.37</v>
      </c>
      <c r="P74" s="18">
        <v>0.68</v>
      </c>
      <c r="Q74" s="18">
        <v>0.8</v>
      </c>
      <c r="R74" s="301">
        <v>321</v>
      </c>
      <c r="S74" s="143">
        <v>0.52986111111111112</v>
      </c>
      <c r="T74" s="94">
        <v>6</v>
      </c>
      <c r="U74" s="354" t="str">
        <f t="shared" si="4"/>
        <v>Normal</v>
      </c>
      <c r="V74" s="354" t="str">
        <f t="shared" si="5"/>
        <v>Outlier</v>
      </c>
      <c r="W74" s="359">
        <f t="shared" si="6"/>
        <v>0.11722488038277512</v>
      </c>
      <c r="X74" s="359">
        <f t="shared" si="7"/>
        <v>-0.48820058997050148</v>
      </c>
      <c r="Y74" s="343"/>
      <c r="Z74" s="343"/>
      <c r="AA74" s="343"/>
      <c r="AB74" s="343"/>
      <c r="AC74" s="343"/>
      <c r="AD74" s="343"/>
      <c r="AE74" s="343"/>
      <c r="AF74" s="343"/>
    </row>
    <row r="75" spans="1:36">
      <c r="A75" s="21">
        <v>45090</v>
      </c>
      <c r="B75" s="17">
        <f>IF(YEAR(Table7[[#This Row],[Date]]) = 2023, WEEKNUM(Table7[[#This Row],[Date]])-13, WEEKNUM(Table7[[#This Row],[Date]])+40)</f>
        <v>11</v>
      </c>
      <c r="C75" s="34" t="s">
        <v>50</v>
      </c>
      <c r="D75" s="34" t="s">
        <v>94</v>
      </c>
      <c r="E75" s="1">
        <v>880</v>
      </c>
      <c r="F75" s="1">
        <v>390</v>
      </c>
      <c r="G75" s="80">
        <f>IFERROR((Table7[[#This Row],[Calls Off]]-E68)/E68,0%)</f>
        <v>0.15183246073298429</v>
      </c>
      <c r="H75" s="80">
        <f>IFERROR((Table7[[#This Row],[Calls Ans]]-F68)/F68,0%)</f>
        <v>-0.34343434343434343</v>
      </c>
      <c r="I75" s="1"/>
      <c r="J75" s="1"/>
      <c r="K75" s="1"/>
      <c r="L75" s="1"/>
      <c r="M75" s="18">
        <v>0.24</v>
      </c>
      <c r="N75" s="18">
        <v>0.56000000000000005</v>
      </c>
      <c r="O75" s="18">
        <v>0.44</v>
      </c>
      <c r="P75" s="18">
        <v>0.56999999999999995</v>
      </c>
      <c r="Q75" s="18">
        <v>0.77</v>
      </c>
      <c r="R75" s="301">
        <v>262</v>
      </c>
      <c r="S75" s="143">
        <v>0.33333333333333331</v>
      </c>
      <c r="T75" s="94">
        <v>7</v>
      </c>
      <c r="U75" s="354" t="str">
        <f t="shared" si="4"/>
        <v>Normal</v>
      </c>
      <c r="V75" s="354" t="str">
        <f t="shared" si="5"/>
        <v>Outlier</v>
      </c>
      <c r="W75" s="359">
        <f t="shared" si="6"/>
        <v>0.15183246073298429</v>
      </c>
      <c r="X75" s="359">
        <f t="shared" si="7"/>
        <v>-0.34343434343434343</v>
      </c>
      <c r="Y75" s="343"/>
      <c r="Z75" s="343"/>
      <c r="AA75" s="343"/>
      <c r="AB75" s="343"/>
      <c r="AC75" s="343"/>
      <c r="AD75" s="343"/>
      <c r="AE75" s="343"/>
      <c r="AF75" s="343"/>
    </row>
    <row r="76" spans="1:36">
      <c r="A76" s="21">
        <v>45091</v>
      </c>
      <c r="B76" s="17">
        <f>IF(YEAR(Table7[[#This Row],[Date]]) = 2023, WEEKNUM(Table7[[#This Row],[Date]])-13, WEEKNUM(Table7[[#This Row],[Date]])+40)</f>
        <v>11</v>
      </c>
      <c r="C76" s="89" t="s">
        <v>51</v>
      </c>
      <c r="D76" s="34" t="s">
        <v>94</v>
      </c>
      <c r="E76" s="1">
        <v>668</v>
      </c>
      <c r="F76" s="1">
        <v>571</v>
      </c>
      <c r="G76" s="80">
        <f>IFERROR((Table7[[#This Row],[Calls Off]]-E69)/E69,0%)</f>
        <v>-8.8676671214188263E-2</v>
      </c>
      <c r="H76" s="80">
        <f>IFERROR((Table7[[#This Row],[Calls Ans]]-F69)/F69,0%)</f>
        <v>-7.1544715447154475E-2</v>
      </c>
      <c r="I76" s="1"/>
      <c r="J76" s="1"/>
      <c r="K76" s="1"/>
      <c r="L76" s="1"/>
      <c r="M76" s="18">
        <v>0.66</v>
      </c>
      <c r="N76" s="18">
        <v>0.15</v>
      </c>
      <c r="O76" s="18">
        <v>0.85</v>
      </c>
      <c r="P76" s="18">
        <v>0.5</v>
      </c>
      <c r="Q76" s="18">
        <v>0.79</v>
      </c>
      <c r="R76" s="301">
        <v>176</v>
      </c>
      <c r="S76" s="143">
        <v>3.125E-2</v>
      </c>
      <c r="T76" s="94">
        <v>9</v>
      </c>
      <c r="U76" s="354" t="str">
        <f t="shared" si="4"/>
        <v>Normal</v>
      </c>
      <c r="V76" s="354" t="str">
        <f t="shared" si="5"/>
        <v>Normal</v>
      </c>
      <c r="W76" s="359">
        <f t="shared" si="6"/>
        <v>-8.8676671214188263E-2</v>
      </c>
      <c r="X76" s="359">
        <f t="shared" si="7"/>
        <v>-7.1544715447154475E-2</v>
      </c>
      <c r="Y76" s="343"/>
      <c r="Z76" s="343"/>
      <c r="AA76" s="343"/>
      <c r="AB76" s="343"/>
      <c r="AC76" s="343"/>
      <c r="AD76" s="343"/>
      <c r="AE76" s="343"/>
      <c r="AF76" s="343"/>
    </row>
    <row r="77" spans="1:36">
      <c r="A77" s="21">
        <v>45092</v>
      </c>
      <c r="B77" s="17">
        <f>IF(YEAR(Table7[[#This Row],[Date]]) = 2023, WEEKNUM(Table7[[#This Row],[Date]])-13, WEEKNUM(Table7[[#This Row],[Date]])+40)</f>
        <v>11</v>
      </c>
      <c r="C77" s="34" t="s">
        <v>52</v>
      </c>
      <c r="D77" s="34" t="s">
        <v>94</v>
      </c>
      <c r="E77" s="1">
        <v>683</v>
      </c>
      <c r="F77" s="1">
        <v>602</v>
      </c>
      <c r="G77" s="80">
        <f>IFERROR((Table7[[#This Row],[Calls Off]]-E70)/E70,0%)</f>
        <v>0</v>
      </c>
      <c r="H77" s="80">
        <f>IFERROR((Table7[[#This Row],[Calls Ans]]-F70)/F70,0%)</f>
        <v>0</v>
      </c>
      <c r="I77" s="1"/>
      <c r="J77" s="1"/>
      <c r="K77" s="1"/>
      <c r="L77" s="1"/>
      <c r="M77" s="18">
        <v>0.63</v>
      </c>
      <c r="N77" s="18">
        <v>0.12</v>
      </c>
      <c r="O77" s="18">
        <v>0.88</v>
      </c>
      <c r="P77" s="18">
        <v>0.51</v>
      </c>
      <c r="Q77" s="18">
        <v>0.81</v>
      </c>
      <c r="R77" s="301">
        <v>191</v>
      </c>
      <c r="S77" s="143">
        <v>1.5</v>
      </c>
      <c r="T77" s="94">
        <v>9</v>
      </c>
      <c r="U77" s="354" t="str">
        <f t="shared" si="4"/>
        <v>Normal</v>
      </c>
      <c r="V77" s="354" t="str">
        <f t="shared" si="5"/>
        <v>Normal</v>
      </c>
      <c r="W77" s="359">
        <f t="shared" si="6"/>
        <v>0</v>
      </c>
      <c r="X77" s="359">
        <f t="shared" si="7"/>
        <v>0</v>
      </c>
      <c r="Y77" s="343"/>
      <c r="Z77" s="343"/>
      <c r="AA77" s="343"/>
      <c r="AB77" s="343"/>
      <c r="AC77" s="343"/>
      <c r="AD77" s="343"/>
      <c r="AE77" s="343"/>
      <c r="AF77" s="343"/>
    </row>
    <row r="78" spans="1:36">
      <c r="A78" s="21">
        <v>45093</v>
      </c>
      <c r="B78" s="17">
        <f>IF(YEAR(Table7[[#This Row],[Date]]) = 2023, WEEKNUM(Table7[[#This Row],[Date]])-13, WEEKNUM(Table7[[#This Row],[Date]])+40)</f>
        <v>11</v>
      </c>
      <c r="C78" s="89" t="s">
        <v>53</v>
      </c>
      <c r="D78" s="34" t="s">
        <v>94</v>
      </c>
      <c r="E78" s="1">
        <v>679</v>
      </c>
      <c r="F78" s="1">
        <v>583</v>
      </c>
      <c r="G78" s="80">
        <f>IFERROR((Table7[[#This Row],[Calls Off]]-E71)/E71,0%)</f>
        <v>-0.20584795321637428</v>
      </c>
      <c r="H78" s="80">
        <f>IFERROR((Table7[[#This Row],[Calls Ans]]-F71)/F71,0%)</f>
        <v>0.25917926565874733</v>
      </c>
      <c r="I78" s="1"/>
      <c r="J78" s="1"/>
      <c r="K78" s="1"/>
      <c r="L78" s="1"/>
      <c r="M78" s="18">
        <v>0.59</v>
      </c>
      <c r="N78" s="18">
        <v>0.14000000000000001</v>
      </c>
      <c r="O78" s="18">
        <v>0.86</v>
      </c>
      <c r="P78" s="18">
        <v>0.54</v>
      </c>
      <c r="Q78" s="18">
        <v>0.79</v>
      </c>
      <c r="R78" s="301">
        <v>160</v>
      </c>
      <c r="S78" s="143">
        <v>3.4722222222222224E-2</v>
      </c>
      <c r="T78" s="94">
        <v>9</v>
      </c>
      <c r="U78" s="354" t="str">
        <f t="shared" si="4"/>
        <v>Normal</v>
      </c>
      <c r="V78" s="354" t="str">
        <f t="shared" si="5"/>
        <v>Normal</v>
      </c>
      <c r="W78" s="359">
        <f t="shared" si="6"/>
        <v>-0.20584795321637428</v>
      </c>
      <c r="X78" s="359">
        <f t="shared" si="7"/>
        <v>0.25917926565874733</v>
      </c>
      <c r="Y78" s="343"/>
      <c r="Z78" s="343"/>
      <c r="AA78" s="343"/>
      <c r="AB78" s="343"/>
      <c r="AC78" s="343"/>
      <c r="AD78" s="343"/>
      <c r="AE78" s="343"/>
      <c r="AF78" s="343"/>
    </row>
    <row r="79" spans="1:36">
      <c r="A79" s="21">
        <v>45094</v>
      </c>
      <c r="B79" s="17">
        <f>IF(YEAR(Table7[[#This Row],[Date]]) = 2023, WEEKNUM(Table7[[#This Row],[Date]])-13, WEEKNUM(Table7[[#This Row],[Date]])+40)</f>
        <v>11</v>
      </c>
      <c r="C79" s="34" t="s">
        <v>54</v>
      </c>
      <c r="D79" s="34" t="s">
        <v>94</v>
      </c>
      <c r="E79" s="1">
        <v>395</v>
      </c>
      <c r="F79" s="1">
        <v>310</v>
      </c>
      <c r="G79" s="80">
        <f>IFERROR((Table7[[#This Row],[Calls Off]]-E72)/E72,0%)</f>
        <v>4.7745358090185673E-2</v>
      </c>
      <c r="H79" s="80">
        <f>IFERROR((Table7[[#This Row],[Calls Ans]]-F72)/F72,0%)</f>
        <v>1.3071895424836602E-2</v>
      </c>
      <c r="I79" s="1"/>
      <c r="J79" s="1"/>
      <c r="K79" s="1"/>
      <c r="L79" s="1"/>
      <c r="M79" s="18">
        <v>0.36</v>
      </c>
      <c r="N79" s="18">
        <v>0.22</v>
      </c>
      <c r="O79" s="18">
        <v>0.78</v>
      </c>
      <c r="P79" s="18">
        <v>0.63</v>
      </c>
      <c r="Q79" s="18">
        <v>0.92</v>
      </c>
      <c r="R79" s="301">
        <v>172</v>
      </c>
      <c r="S79" s="143">
        <v>9.7222222222222224E-2</v>
      </c>
      <c r="T79" s="94">
        <v>5</v>
      </c>
      <c r="U79" s="354" t="str">
        <f t="shared" si="4"/>
        <v>Normal</v>
      </c>
      <c r="V79" s="354" t="str">
        <f t="shared" si="5"/>
        <v>Normal</v>
      </c>
      <c r="W79" s="359">
        <f t="shared" si="6"/>
        <v>4.7745358090185673E-2</v>
      </c>
      <c r="X79" s="359">
        <f t="shared" si="7"/>
        <v>1.3071895424836602E-2</v>
      </c>
      <c r="Y79" s="343"/>
      <c r="Z79" s="343"/>
      <c r="AA79" s="343"/>
      <c r="AB79" s="343"/>
      <c r="AC79" s="343"/>
      <c r="AD79" s="343"/>
      <c r="AE79" s="343"/>
      <c r="AF79" s="343"/>
    </row>
    <row r="80" spans="1:36">
      <c r="A80" s="21">
        <v>45095</v>
      </c>
      <c r="B80" s="17">
        <f>IF(YEAR(Table7[[#This Row],[Date]]) = 2023, WEEKNUM(Table7[[#This Row],[Date]])-13, WEEKNUM(Table7[[#This Row],[Date]])+40)</f>
        <v>12</v>
      </c>
      <c r="C80" s="89" t="s">
        <v>48</v>
      </c>
      <c r="D80" s="34" t="s">
        <v>94</v>
      </c>
      <c r="E80" s="1">
        <v>0</v>
      </c>
      <c r="F80" s="1">
        <v>0</v>
      </c>
      <c r="G80" s="80">
        <f>IFERROR((Table7[[#This Row],[Calls Off]]-E73)/E73,0%)</f>
        <v>0</v>
      </c>
      <c r="H80" s="80">
        <f>IFERROR((Table7[[#This Row],[Calls Ans]]-F73)/F73,0%)</f>
        <v>0</v>
      </c>
      <c r="I80" s="1">
        <v>0</v>
      </c>
      <c r="J80" s="1">
        <v>0</v>
      </c>
      <c r="K80" s="1">
        <v>0</v>
      </c>
      <c r="L80" s="1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301">
        <v>0</v>
      </c>
      <c r="S80" s="143">
        <v>0</v>
      </c>
      <c r="T80" s="94">
        <v>0</v>
      </c>
      <c r="U80" s="354" t="str">
        <f t="shared" si="4"/>
        <v>Normal</v>
      </c>
      <c r="V80" s="354" t="str">
        <f t="shared" si="5"/>
        <v>Normal</v>
      </c>
      <c r="W80" s="359">
        <f t="shared" si="6"/>
        <v>0</v>
      </c>
      <c r="X80" s="359">
        <f t="shared" si="7"/>
        <v>0</v>
      </c>
      <c r="Y80" s="343"/>
      <c r="Z80" s="343"/>
      <c r="AA80" s="343"/>
      <c r="AB80" s="343"/>
      <c r="AC80" s="343"/>
      <c r="AD80" s="343"/>
      <c r="AE80" s="343"/>
      <c r="AF80" s="343"/>
    </row>
    <row r="81" spans="1:36">
      <c r="A81" s="21">
        <v>45096</v>
      </c>
      <c r="B81" s="17">
        <f>IF(YEAR(Table7[[#This Row],[Date]]) = 2023, WEEKNUM(Table7[[#This Row],[Date]])-13, WEEKNUM(Table7[[#This Row],[Date]])+40)</f>
        <v>12</v>
      </c>
      <c r="C81" s="34" t="s">
        <v>49</v>
      </c>
      <c r="D81" s="34" t="s">
        <v>94</v>
      </c>
      <c r="E81" s="1">
        <v>0</v>
      </c>
      <c r="F81" s="1">
        <v>0</v>
      </c>
      <c r="G81" s="80">
        <v>0</v>
      </c>
      <c r="H81" s="80">
        <v>0</v>
      </c>
      <c r="I81" s="1">
        <v>0</v>
      </c>
      <c r="J81" s="1">
        <v>0</v>
      </c>
      <c r="K81" s="1">
        <v>0</v>
      </c>
      <c r="L81" s="1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301">
        <v>0</v>
      </c>
      <c r="S81" s="143">
        <v>0</v>
      </c>
      <c r="T81" s="94">
        <v>0</v>
      </c>
      <c r="U81" s="354" t="str">
        <f t="shared" si="4"/>
        <v>Normal</v>
      </c>
      <c r="V81" s="354" t="str">
        <f t="shared" si="5"/>
        <v>Normal</v>
      </c>
      <c r="W81" s="359">
        <f t="shared" si="6"/>
        <v>0</v>
      </c>
      <c r="X81" s="359">
        <f t="shared" si="7"/>
        <v>0</v>
      </c>
      <c r="Y81" s="343"/>
      <c r="Z81" s="343"/>
      <c r="AA81" s="343"/>
      <c r="AB81" s="343"/>
      <c r="AC81" s="343"/>
      <c r="AD81" s="343"/>
      <c r="AE81" s="343"/>
      <c r="AF81" s="343"/>
    </row>
    <row r="82" spans="1:36">
      <c r="A82" s="21">
        <v>45097</v>
      </c>
      <c r="B82" s="17">
        <f>IF(YEAR(Table7[[#This Row],[Date]]) = 2023, WEEKNUM(Table7[[#This Row],[Date]])-13, WEEKNUM(Table7[[#This Row],[Date]])+40)</f>
        <v>12</v>
      </c>
      <c r="C82" s="89" t="s">
        <v>50</v>
      </c>
      <c r="D82" s="34" t="s">
        <v>94</v>
      </c>
      <c r="E82" s="1">
        <v>787</v>
      </c>
      <c r="F82" s="1">
        <v>703</v>
      </c>
      <c r="G82" s="80">
        <f>IFERROR((Table7[[#This Row],[Calls Off]]-E75)/E75,0%)</f>
        <v>-0.10568181818181818</v>
      </c>
      <c r="H82" s="80">
        <f>IFERROR((Table7[[#This Row],[Calls Ans]]-F75)/F75,0%)</f>
        <v>0.8025641025641026</v>
      </c>
      <c r="I82" s="1"/>
      <c r="J82" s="1"/>
      <c r="K82" s="1"/>
      <c r="L82" s="1"/>
      <c r="M82" s="18">
        <v>0.67</v>
      </c>
      <c r="N82" s="18">
        <v>0.1</v>
      </c>
      <c r="O82" s="18">
        <v>0.9</v>
      </c>
      <c r="P82" s="18">
        <v>0.59</v>
      </c>
      <c r="Q82" s="18">
        <v>0.79</v>
      </c>
      <c r="R82" s="301">
        <v>271</v>
      </c>
      <c r="S82" s="143">
        <v>2.4305555555555556E-2</v>
      </c>
      <c r="T82" s="94">
        <v>9</v>
      </c>
      <c r="U82" s="354" t="str">
        <f t="shared" si="4"/>
        <v>Normal</v>
      </c>
      <c r="V82" s="354" t="str">
        <f t="shared" si="5"/>
        <v>Outlier</v>
      </c>
      <c r="W82" s="359">
        <f t="shared" si="6"/>
        <v>-0.10568181818181818</v>
      </c>
      <c r="X82" s="359">
        <f t="shared" si="7"/>
        <v>0.8025641025641026</v>
      </c>
      <c r="Y82" s="343"/>
      <c r="Z82" s="343"/>
      <c r="AA82" s="343"/>
      <c r="AB82" s="343"/>
      <c r="AC82" s="343"/>
      <c r="AD82" s="343"/>
      <c r="AE82" s="343"/>
      <c r="AF82" s="343"/>
    </row>
    <row r="83" spans="1:36">
      <c r="A83" s="21">
        <v>45098</v>
      </c>
      <c r="B83" s="17">
        <f>IF(YEAR(Table7[[#This Row],[Date]]) = 2023, WEEKNUM(Table7[[#This Row],[Date]])-13, WEEKNUM(Table7[[#This Row],[Date]])+40)</f>
        <v>12</v>
      </c>
      <c r="C83" s="34" t="s">
        <v>51</v>
      </c>
      <c r="D83" s="34" t="s">
        <v>94</v>
      </c>
      <c r="E83" s="1">
        <v>662</v>
      </c>
      <c r="F83" s="1">
        <v>620</v>
      </c>
      <c r="G83" s="80">
        <f>IFERROR((Table7[[#This Row],[Calls Off]]-E76)/E76,0%)</f>
        <v>-8.9820359281437123E-3</v>
      </c>
      <c r="H83" s="80">
        <f>IFERROR((Table7[[#This Row],[Calls Ans]]-F76)/F76,0%)</f>
        <v>8.5814360770577927E-2</v>
      </c>
      <c r="I83" s="1"/>
      <c r="J83" s="1"/>
      <c r="K83" s="1"/>
      <c r="L83" s="1"/>
      <c r="M83" s="18">
        <v>0.85</v>
      </c>
      <c r="N83" s="18">
        <v>0.06</v>
      </c>
      <c r="O83" s="18">
        <v>0.94</v>
      </c>
      <c r="P83" s="18">
        <v>0.6</v>
      </c>
      <c r="Q83" s="18">
        <v>0.85</v>
      </c>
      <c r="R83" s="301">
        <v>184</v>
      </c>
      <c r="S83" s="143">
        <v>1.0416666666666666E-2</v>
      </c>
      <c r="T83" s="94">
        <v>10</v>
      </c>
      <c r="U83" s="354" t="str">
        <f t="shared" si="4"/>
        <v>Normal</v>
      </c>
      <c r="V83" s="354" t="str">
        <f t="shared" si="5"/>
        <v>Normal</v>
      </c>
      <c r="W83" s="359">
        <f t="shared" si="6"/>
        <v>-8.9820359281437123E-3</v>
      </c>
      <c r="X83" s="359">
        <f t="shared" si="7"/>
        <v>8.5814360770577927E-2</v>
      </c>
      <c r="Y83" s="343"/>
      <c r="Z83" s="343"/>
      <c r="AA83" s="343"/>
      <c r="AB83" s="343"/>
      <c r="AC83" s="343"/>
      <c r="AD83" s="343"/>
      <c r="AE83" s="343"/>
      <c r="AF83" s="343"/>
    </row>
    <row r="84" spans="1:36">
      <c r="A84" s="21">
        <v>45099</v>
      </c>
      <c r="B84" s="17">
        <f>IF(YEAR(Table7[[#This Row],[Date]]) = 2023, WEEKNUM(Table7[[#This Row],[Date]])-13, WEEKNUM(Table7[[#This Row],[Date]])+40)</f>
        <v>12</v>
      </c>
      <c r="C84" s="89" t="s">
        <v>52</v>
      </c>
      <c r="D84" s="34" t="s">
        <v>94</v>
      </c>
      <c r="E84" s="1">
        <v>712</v>
      </c>
      <c r="F84" s="1">
        <v>559</v>
      </c>
      <c r="G84" s="80">
        <f>IFERROR((Table7[[#This Row],[Calls Off]]-E77)/E77,0%)</f>
        <v>4.24597364568082E-2</v>
      </c>
      <c r="H84" s="80">
        <f>IFERROR((Table7[[#This Row],[Calls Ans]]-F77)/F77,0%)</f>
        <v>-7.1428571428571425E-2</v>
      </c>
      <c r="I84" s="1"/>
      <c r="J84" s="1"/>
      <c r="K84" s="1"/>
      <c r="L84" s="1"/>
      <c r="M84" s="18">
        <v>0.52</v>
      </c>
      <c r="N84" s="18">
        <v>0.11</v>
      </c>
      <c r="O84" s="18">
        <v>0.89</v>
      </c>
      <c r="P84" s="18">
        <v>0.51</v>
      </c>
      <c r="Q84" s="18">
        <v>0.78</v>
      </c>
      <c r="R84" s="301">
        <v>220</v>
      </c>
      <c r="S84" s="143">
        <v>4.2361111111111106E-2</v>
      </c>
      <c r="T84" s="94">
        <v>10</v>
      </c>
      <c r="U84" s="354" t="str">
        <f t="shared" si="4"/>
        <v>Normal</v>
      </c>
      <c r="V84" s="354" t="str">
        <f t="shared" si="5"/>
        <v>Normal</v>
      </c>
      <c r="W84" s="359">
        <f t="shared" si="6"/>
        <v>4.24597364568082E-2</v>
      </c>
      <c r="X84" s="359">
        <f t="shared" si="7"/>
        <v>-7.1428571428571425E-2</v>
      </c>
      <c r="Y84" s="343"/>
      <c r="Z84" s="343"/>
      <c r="AA84" s="343"/>
      <c r="AB84" s="343"/>
      <c r="AC84" s="343"/>
      <c r="AD84" s="343"/>
      <c r="AE84" s="343"/>
      <c r="AF84" s="343"/>
    </row>
    <row r="85" spans="1:36">
      <c r="A85" s="21">
        <v>45100</v>
      </c>
      <c r="B85" s="17">
        <f>IF(YEAR(Table7[[#This Row],[Date]]) = 2023, WEEKNUM(Table7[[#This Row],[Date]])-13, WEEKNUM(Table7[[#This Row],[Date]])+40)</f>
        <v>12</v>
      </c>
      <c r="C85" s="34" t="s">
        <v>53</v>
      </c>
      <c r="D85" s="34" t="s">
        <v>94</v>
      </c>
      <c r="E85" s="1">
        <v>688</v>
      </c>
      <c r="F85" s="1">
        <v>579</v>
      </c>
      <c r="G85" s="80">
        <f>IFERROR((Table7[[#This Row],[Calls Off]]-E78)/E78,0%)</f>
        <v>1.3254786450662739E-2</v>
      </c>
      <c r="H85" s="80">
        <f>IFERROR((Table7[[#This Row],[Calls Ans]]-F78)/F78,0%)</f>
        <v>-6.8610634648370496E-3</v>
      </c>
      <c r="I85" s="1"/>
      <c r="J85" s="1"/>
      <c r="K85" s="1"/>
      <c r="L85" s="1"/>
      <c r="M85" s="18">
        <v>0.71</v>
      </c>
      <c r="N85" s="18">
        <v>0.16</v>
      </c>
      <c r="O85" s="18">
        <v>0.84</v>
      </c>
      <c r="P85" s="18">
        <v>0.46</v>
      </c>
      <c r="Q85" s="18">
        <v>0.85</v>
      </c>
      <c r="R85" s="301">
        <v>176</v>
      </c>
      <c r="S85" s="143">
        <v>2.9166666666666664E-2</v>
      </c>
      <c r="T85" s="94">
        <v>9</v>
      </c>
      <c r="U85" s="354" t="str">
        <f t="shared" si="4"/>
        <v>Normal</v>
      </c>
      <c r="V85" s="354" t="str">
        <f t="shared" si="5"/>
        <v>Normal</v>
      </c>
      <c r="W85" s="359">
        <f t="shared" si="6"/>
        <v>1.3254786450662739E-2</v>
      </c>
      <c r="X85" s="359">
        <f t="shared" si="7"/>
        <v>-6.8610634648370496E-3</v>
      </c>
      <c r="Y85" s="343"/>
      <c r="Z85" s="343"/>
      <c r="AA85" s="343"/>
      <c r="AB85" s="343"/>
      <c r="AC85" s="343"/>
      <c r="AD85" s="343"/>
      <c r="AE85" s="343"/>
      <c r="AF85" s="343"/>
    </row>
    <row r="86" spans="1:36">
      <c r="A86" s="21">
        <v>45101</v>
      </c>
      <c r="B86" s="17">
        <f>IF(YEAR(Table7[[#This Row],[Date]]) = 2023, WEEKNUM(Table7[[#This Row],[Date]])-13, WEEKNUM(Table7[[#This Row],[Date]])+40)</f>
        <v>12</v>
      </c>
      <c r="C86" s="89" t="s">
        <v>54</v>
      </c>
      <c r="D86" s="34" t="s">
        <v>94</v>
      </c>
      <c r="E86" s="1">
        <v>514</v>
      </c>
      <c r="F86" s="1">
        <v>217</v>
      </c>
      <c r="G86" s="80">
        <f>IFERROR((Table7[[#This Row],[Calls Off]]-E79)/E79,0%)</f>
        <v>0.30126582278481012</v>
      </c>
      <c r="H86" s="80">
        <f>IFERROR((Table7[[#This Row],[Calls Ans]]-F79)/F79,0%)</f>
        <v>-0.3</v>
      </c>
      <c r="I86" s="1"/>
      <c r="J86" s="1"/>
      <c r="K86" s="1"/>
      <c r="L86" s="1"/>
      <c r="M86" s="18">
        <v>0.13</v>
      </c>
      <c r="N86" s="18">
        <v>0.57999999999999996</v>
      </c>
      <c r="O86" s="18">
        <v>0.42</v>
      </c>
      <c r="P86" s="18">
        <v>0.84</v>
      </c>
      <c r="Q86" s="18">
        <v>0.94</v>
      </c>
      <c r="R86" s="301">
        <v>172</v>
      </c>
      <c r="S86" s="143">
        <v>0.30763888888888891</v>
      </c>
      <c r="T86" s="94">
        <v>3</v>
      </c>
      <c r="U86" s="354" t="str">
        <f t="shared" si="4"/>
        <v>Normal</v>
      </c>
      <c r="V86" s="354" t="str">
        <f t="shared" si="5"/>
        <v>Outlier</v>
      </c>
      <c r="W86" s="359">
        <f t="shared" si="6"/>
        <v>0.30126582278481012</v>
      </c>
      <c r="X86" s="359">
        <f t="shared" si="7"/>
        <v>-0.3</v>
      </c>
      <c r="Y86" s="343"/>
      <c r="Z86" s="343"/>
      <c r="AA86" s="343"/>
      <c r="AB86" s="343"/>
      <c r="AC86" s="343"/>
      <c r="AD86" s="343"/>
      <c r="AE86" s="343"/>
      <c r="AF86" s="343"/>
    </row>
    <row r="87" spans="1:36">
      <c r="A87" s="21">
        <v>45102</v>
      </c>
      <c r="B87" s="17">
        <f>IF(YEAR(Table7[[#This Row],[Date]]) = 2023, WEEKNUM(Table7[[#This Row],[Date]])-13, WEEKNUM(Table7[[#This Row],[Date]])+40)</f>
        <v>13</v>
      </c>
      <c r="C87" s="34" t="s">
        <v>48</v>
      </c>
      <c r="D87" s="34" t="s">
        <v>94</v>
      </c>
      <c r="E87" s="1">
        <v>0</v>
      </c>
      <c r="F87" s="1">
        <v>0</v>
      </c>
      <c r="G87" s="80">
        <f>IFERROR((Table7[[#This Row],[Calls Off]]-E80)/E80,0%)</f>
        <v>0</v>
      </c>
      <c r="H87" s="80">
        <f>IFERROR((Table7[[#This Row],[Calls Ans]]-F80)/F80,0%)</f>
        <v>0</v>
      </c>
      <c r="I87" s="1">
        <v>0</v>
      </c>
      <c r="J87" s="1">
        <v>0</v>
      </c>
      <c r="K87" s="1">
        <v>0</v>
      </c>
      <c r="L87" s="1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301">
        <v>0</v>
      </c>
      <c r="S87" s="143">
        <v>0</v>
      </c>
      <c r="T87" s="94">
        <v>0</v>
      </c>
      <c r="U87" s="354" t="str">
        <f t="shared" si="4"/>
        <v>Normal</v>
      </c>
      <c r="V87" s="354" t="str">
        <f t="shared" si="5"/>
        <v>Normal</v>
      </c>
      <c r="W87" s="359">
        <f t="shared" si="6"/>
        <v>0</v>
      </c>
      <c r="X87" s="359">
        <f t="shared" si="7"/>
        <v>0</v>
      </c>
      <c r="Y87" s="343"/>
      <c r="Z87" s="343"/>
      <c r="AA87" s="343"/>
      <c r="AB87" s="343"/>
      <c r="AC87" s="343"/>
      <c r="AD87" s="343"/>
      <c r="AE87" s="343"/>
      <c r="AF87" s="343"/>
    </row>
    <row r="88" spans="1:36">
      <c r="A88" s="21">
        <v>45103</v>
      </c>
      <c r="B88" s="17">
        <f>IF(YEAR(Table7[[#This Row],[Date]]) = 2023, WEEKNUM(Table7[[#This Row],[Date]])-13, WEEKNUM(Table7[[#This Row],[Date]])+40)</f>
        <v>13</v>
      </c>
      <c r="C88" s="89" t="s">
        <v>49</v>
      </c>
      <c r="D88" s="34" t="s">
        <v>94</v>
      </c>
      <c r="E88" s="1">
        <v>798</v>
      </c>
      <c r="F88" s="1">
        <v>693</v>
      </c>
      <c r="G88" s="80">
        <f>IFERROR((Table7[[#This Row],[Calls Off]]-E81)/E81,0%)</f>
        <v>0</v>
      </c>
      <c r="H88" s="80">
        <f>IFERROR((Table7[[#This Row],[Calls Ans]]-F81)/F81,0%)</f>
        <v>0</v>
      </c>
      <c r="I88" s="1"/>
      <c r="J88" s="1"/>
      <c r="K88" s="1"/>
      <c r="L88" s="1"/>
      <c r="M88" s="18">
        <v>0.61</v>
      </c>
      <c r="N88" s="18">
        <v>0.13</v>
      </c>
      <c r="O88" s="18">
        <v>0.87</v>
      </c>
      <c r="P88" s="18">
        <v>0.56999999999999995</v>
      </c>
      <c r="Q88" s="18">
        <v>0.86</v>
      </c>
      <c r="R88" s="301">
        <v>164</v>
      </c>
      <c r="S88" s="143">
        <v>2.9166666666666664E-2</v>
      </c>
      <c r="T88" s="94">
        <v>11</v>
      </c>
      <c r="U88" s="354" t="str">
        <f t="shared" si="4"/>
        <v>Normal</v>
      </c>
      <c r="V88" s="354" t="str">
        <f t="shared" si="5"/>
        <v>Normal</v>
      </c>
      <c r="W88" s="359">
        <f t="shared" si="6"/>
        <v>0</v>
      </c>
      <c r="X88" s="359">
        <f t="shared" si="7"/>
        <v>0</v>
      </c>
      <c r="Y88" s="343"/>
      <c r="Z88" s="343"/>
      <c r="AA88" s="343"/>
      <c r="AB88" s="343"/>
      <c r="AC88" s="343"/>
      <c r="AD88" s="343"/>
      <c r="AE88" s="343"/>
      <c r="AF88" s="343"/>
    </row>
    <row r="89" spans="1:36">
      <c r="A89" s="21">
        <v>45104</v>
      </c>
      <c r="B89" s="17">
        <f>IF(YEAR(Table7[[#This Row],[Date]]) = 2023, WEEKNUM(Table7[[#This Row],[Date]])-13, WEEKNUM(Table7[[#This Row],[Date]])+40)</f>
        <v>13</v>
      </c>
      <c r="C89" s="34" t="s">
        <v>50</v>
      </c>
      <c r="D89" s="34" t="s">
        <v>94</v>
      </c>
      <c r="E89" s="1">
        <v>646</v>
      </c>
      <c r="F89" s="1">
        <v>612</v>
      </c>
      <c r="G89" s="80">
        <f>IFERROR((Table7[[#This Row],[Calls Off]]-E82)/E82,0%)</f>
        <v>-0.17916137229987295</v>
      </c>
      <c r="H89" s="80">
        <f>IFERROR((Table7[[#This Row],[Calls Ans]]-F82)/F82,0%)</f>
        <v>-0.12944523470839261</v>
      </c>
      <c r="I89" s="1"/>
      <c r="J89" s="1"/>
      <c r="K89" s="1"/>
      <c r="L89" s="1"/>
      <c r="M89" s="18">
        <v>0.8</v>
      </c>
      <c r="N89" s="18">
        <v>0.05</v>
      </c>
      <c r="O89" s="18">
        <v>0.95</v>
      </c>
      <c r="P89" s="18">
        <v>0.46</v>
      </c>
      <c r="Q89" s="18">
        <v>0.83</v>
      </c>
      <c r="R89" s="301">
        <v>183</v>
      </c>
      <c r="S89" s="143">
        <v>1.1805555555555555E-2</v>
      </c>
      <c r="T89" s="94">
        <v>11</v>
      </c>
      <c r="U89" s="354" t="str">
        <f t="shared" si="4"/>
        <v>Normal</v>
      </c>
      <c r="V89" s="354" t="str">
        <f t="shared" si="5"/>
        <v>Normal</v>
      </c>
      <c r="W89" s="359">
        <f t="shared" si="6"/>
        <v>-0.17916137229987295</v>
      </c>
      <c r="X89" s="359">
        <f t="shared" si="7"/>
        <v>-0.12944523470839261</v>
      </c>
      <c r="Y89" s="343"/>
      <c r="Z89" s="343"/>
      <c r="AA89" s="343"/>
      <c r="AB89" s="343"/>
      <c r="AC89" s="343"/>
      <c r="AD89" s="343"/>
      <c r="AE89" s="343"/>
      <c r="AF89" s="343"/>
    </row>
    <row r="90" spans="1:36">
      <c r="A90" s="21">
        <v>45105</v>
      </c>
      <c r="B90" s="17">
        <f>IF(YEAR(Table7[[#This Row],[Date]]) = 2023, WEEKNUM(Table7[[#This Row],[Date]])-13, WEEKNUM(Table7[[#This Row],[Date]])+40)</f>
        <v>13</v>
      </c>
      <c r="C90" s="89" t="s">
        <v>51</v>
      </c>
      <c r="D90" s="34" t="s">
        <v>94</v>
      </c>
      <c r="E90" s="1">
        <v>698</v>
      </c>
      <c r="F90" s="1">
        <v>627</v>
      </c>
      <c r="G90" s="80">
        <f>IFERROR((Table7[[#This Row],[Calls Off]]-E83)/E83,0%)</f>
        <v>5.4380664652567974E-2</v>
      </c>
      <c r="H90" s="80">
        <f>IFERROR((Table7[[#This Row],[Calls Ans]]-F83)/F83,0%)</f>
        <v>1.1290322580645161E-2</v>
      </c>
      <c r="I90" s="1"/>
      <c r="J90" s="1"/>
      <c r="K90" s="1"/>
      <c r="L90" s="1"/>
      <c r="M90" s="18">
        <v>0.7</v>
      </c>
      <c r="N90" s="18">
        <v>0.1</v>
      </c>
      <c r="O90" s="18">
        <v>0.9</v>
      </c>
      <c r="P90" s="18">
        <v>0.46</v>
      </c>
      <c r="Q90" s="18">
        <v>0.81</v>
      </c>
      <c r="R90" s="301">
        <v>166</v>
      </c>
      <c r="S90" s="143">
        <v>2.2916666666666669E-2</v>
      </c>
      <c r="T90" s="94">
        <v>11</v>
      </c>
      <c r="U90" s="354" t="str">
        <f t="shared" si="4"/>
        <v>Normal</v>
      </c>
      <c r="V90" s="354" t="str">
        <f t="shared" si="5"/>
        <v>Normal</v>
      </c>
      <c r="W90" s="359">
        <f t="shared" si="6"/>
        <v>5.4380664652567974E-2</v>
      </c>
      <c r="X90" s="359">
        <f t="shared" si="7"/>
        <v>1.1290322580645161E-2</v>
      </c>
      <c r="Y90" s="343"/>
      <c r="Z90" s="343"/>
      <c r="AA90" s="343"/>
      <c r="AB90" s="343"/>
      <c r="AC90" s="343"/>
      <c r="AD90" s="343"/>
      <c r="AE90" s="343"/>
      <c r="AF90" s="343"/>
    </row>
    <row r="91" spans="1:36">
      <c r="A91" s="21">
        <v>45106</v>
      </c>
      <c r="B91" s="17">
        <f>IF(YEAR(Table7[[#This Row],[Date]]) = 2023, WEEKNUM(Table7[[#This Row],[Date]])-13, WEEKNUM(Table7[[#This Row],[Date]])+40)</f>
        <v>13</v>
      </c>
      <c r="C91" s="34" t="s">
        <v>52</v>
      </c>
      <c r="D91" s="34" t="s">
        <v>94</v>
      </c>
      <c r="E91" s="1">
        <v>787</v>
      </c>
      <c r="F91" s="1">
        <v>666</v>
      </c>
      <c r="G91" s="80">
        <f>IFERROR((Table7[[#This Row],[Calls Off]]-E84)/E84,0%)</f>
        <v>0.10533707865168539</v>
      </c>
      <c r="H91" s="80">
        <f>IFERROR((Table7[[#This Row],[Calls Ans]]-F84)/F84,0%)</f>
        <v>0.19141323792486584</v>
      </c>
      <c r="I91" s="1"/>
      <c r="J91" s="1"/>
      <c r="K91" s="1"/>
      <c r="L91" s="1"/>
      <c r="M91" s="18">
        <v>0.67</v>
      </c>
      <c r="N91" s="18">
        <v>0.15</v>
      </c>
      <c r="O91" s="18">
        <v>0.85</v>
      </c>
      <c r="P91" s="18">
        <v>0.5</v>
      </c>
      <c r="Q91" s="18">
        <v>0.85</v>
      </c>
      <c r="R91" s="301">
        <v>179</v>
      </c>
      <c r="S91" s="143">
        <v>3.888888888888889E-2</v>
      </c>
      <c r="T91" s="94">
        <v>10</v>
      </c>
      <c r="U91" s="354" t="str">
        <f t="shared" si="4"/>
        <v>Normal</v>
      </c>
      <c r="V91" s="354" t="str">
        <f t="shared" si="5"/>
        <v>Normal</v>
      </c>
      <c r="W91" s="359">
        <f t="shared" si="6"/>
        <v>0.10533707865168539</v>
      </c>
      <c r="X91" s="359">
        <f t="shared" si="7"/>
        <v>0.19141323792486584</v>
      </c>
      <c r="Y91" s="343"/>
      <c r="Z91" s="343"/>
      <c r="AA91" s="343"/>
      <c r="AB91" s="343"/>
      <c r="AC91" s="343"/>
      <c r="AD91" s="343"/>
      <c r="AE91" s="343"/>
      <c r="AF91" s="343"/>
    </row>
    <row r="92" spans="1:36" s="48" customFormat="1">
      <c r="A92" s="21">
        <v>45107</v>
      </c>
      <c r="B92" s="17">
        <f>IF(YEAR(Table7[[#This Row],[Date]]) = 2023, WEEKNUM(Table7[[#This Row],[Date]])-13, WEEKNUM(Table7[[#This Row],[Date]])+40)</f>
        <v>13</v>
      </c>
      <c r="C92" s="89" t="s">
        <v>53</v>
      </c>
      <c r="D92" s="34" t="s">
        <v>94</v>
      </c>
      <c r="E92" s="1">
        <v>733</v>
      </c>
      <c r="F92" s="1">
        <v>643</v>
      </c>
      <c r="G92" s="80">
        <f>IFERROR((Table7[[#This Row],[Calls Off]]-E85)/E85,0%)</f>
        <v>6.5406976744186052E-2</v>
      </c>
      <c r="H92" s="80">
        <f>IFERROR((Table7[[#This Row],[Calls Ans]]-F85)/F85,0%)</f>
        <v>0.11053540587219343</v>
      </c>
      <c r="I92" s="1"/>
      <c r="J92" s="1"/>
      <c r="K92" s="1"/>
      <c r="L92" s="1"/>
      <c r="M92" s="18">
        <v>0.65</v>
      </c>
      <c r="N92" s="18">
        <v>0.12</v>
      </c>
      <c r="O92" s="18">
        <v>0.88</v>
      </c>
      <c r="P92" s="18">
        <v>0.52</v>
      </c>
      <c r="Q92" s="18">
        <v>0.81</v>
      </c>
      <c r="R92" s="301">
        <v>184</v>
      </c>
      <c r="S92" s="143">
        <v>3.7499999999999999E-2</v>
      </c>
      <c r="T92" s="94">
        <v>10</v>
      </c>
      <c r="U92" s="354" t="str">
        <f t="shared" si="4"/>
        <v>Normal</v>
      </c>
      <c r="V92" s="354" t="str">
        <f t="shared" si="5"/>
        <v>Normal</v>
      </c>
      <c r="W92" s="359">
        <f t="shared" si="6"/>
        <v>6.5406976744186052E-2</v>
      </c>
      <c r="X92" s="359">
        <f t="shared" si="7"/>
        <v>0.11053540587219343</v>
      </c>
      <c r="Y92" s="343"/>
      <c r="Z92" s="343"/>
      <c r="AA92" s="343"/>
      <c r="AB92" s="343"/>
      <c r="AC92" s="343"/>
      <c r="AD92" s="343"/>
      <c r="AE92" s="343"/>
      <c r="AF92" s="343"/>
      <c r="AG92" s="280"/>
      <c r="AH92"/>
      <c r="AI92"/>
      <c r="AJ92"/>
    </row>
    <row r="93" spans="1:36">
      <c r="A93" s="21">
        <v>45108</v>
      </c>
      <c r="B93" s="17">
        <f>IF(YEAR(Table7[[#This Row],[Date]]) = 2023, WEEKNUM(Table7[[#This Row],[Date]])-13, WEEKNUM(Table7[[#This Row],[Date]])+40)</f>
        <v>13</v>
      </c>
      <c r="C93" s="34" t="s">
        <v>54</v>
      </c>
      <c r="D93" s="34" t="s">
        <v>94</v>
      </c>
      <c r="E93" s="1">
        <v>440</v>
      </c>
      <c r="F93" s="1">
        <v>217</v>
      </c>
      <c r="G93" s="80">
        <f>IFERROR((Table7[[#This Row],[Calls Off]]-E86)/E86,0%)</f>
        <v>-0.14396887159533073</v>
      </c>
      <c r="H93" s="80">
        <f>IFERROR((Table7[[#This Row],[Calls Ans]]-F86)/F86,0%)</f>
        <v>0</v>
      </c>
      <c r="I93" s="1"/>
      <c r="J93" s="1"/>
      <c r="K93" s="1"/>
      <c r="L93" s="1"/>
      <c r="M93" s="18">
        <v>0.13</v>
      </c>
      <c r="N93" s="18">
        <v>0.51</v>
      </c>
      <c r="O93" s="18">
        <v>0.49</v>
      </c>
      <c r="P93" s="18">
        <v>0.62</v>
      </c>
      <c r="Q93" s="18">
        <v>0.89</v>
      </c>
      <c r="R93" s="301">
        <v>214</v>
      </c>
      <c r="S93" s="143">
        <v>3.7384259259259263E-3</v>
      </c>
      <c r="T93" s="1">
        <v>4</v>
      </c>
      <c r="U93" s="354" t="str">
        <f t="shared" si="4"/>
        <v>Normal</v>
      </c>
      <c r="V93" s="354" t="str">
        <f t="shared" si="5"/>
        <v>Normal</v>
      </c>
      <c r="W93" s="359">
        <f t="shared" si="6"/>
        <v>-0.14396887159533073</v>
      </c>
      <c r="X93" s="359">
        <f t="shared" si="7"/>
        <v>0</v>
      </c>
      <c r="Y93" s="343"/>
      <c r="Z93" s="343"/>
      <c r="AA93" s="343"/>
      <c r="AB93" s="343"/>
      <c r="AC93" s="343"/>
      <c r="AD93" s="343"/>
      <c r="AE93" s="343"/>
      <c r="AF93" s="343"/>
    </row>
    <row r="94" spans="1:36">
      <c r="A94" s="21">
        <v>45109</v>
      </c>
      <c r="B94" s="17">
        <f>IF(YEAR(Table7[[#This Row],[Date]]) = 2023, WEEKNUM(Table7[[#This Row],[Date]])-13, WEEKNUM(Table7[[#This Row],[Date]])+40)</f>
        <v>14</v>
      </c>
      <c r="C94" s="89" t="s">
        <v>48</v>
      </c>
      <c r="D94" s="34" t="s">
        <v>94</v>
      </c>
      <c r="E94" s="1">
        <v>0</v>
      </c>
      <c r="F94" s="1">
        <v>0</v>
      </c>
      <c r="G94" s="80">
        <f>IFERROR((Table7[[#This Row],[Calls Off]]-E87)/E87,0%)</f>
        <v>0</v>
      </c>
      <c r="H94" s="80">
        <f>IFERROR((Table7[[#This Row],[Calls Ans]]-F87)/F87,0%)</f>
        <v>0</v>
      </c>
      <c r="I94" s="1">
        <v>0</v>
      </c>
      <c r="J94" s="1">
        <v>0</v>
      </c>
      <c r="K94" s="1">
        <v>0</v>
      </c>
      <c r="L94" s="1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301">
        <v>0</v>
      </c>
      <c r="S94" s="143">
        <v>0</v>
      </c>
      <c r="T94" s="1">
        <v>0</v>
      </c>
      <c r="U94" s="354" t="str">
        <f t="shared" si="4"/>
        <v>Normal</v>
      </c>
      <c r="V94" s="354" t="str">
        <f t="shared" si="5"/>
        <v>Normal</v>
      </c>
      <c r="W94" s="359">
        <f t="shared" si="6"/>
        <v>0</v>
      </c>
      <c r="X94" s="359">
        <f t="shared" si="7"/>
        <v>0</v>
      </c>
      <c r="Y94" s="343"/>
      <c r="Z94" s="343"/>
      <c r="AA94" s="343"/>
      <c r="AB94" s="343"/>
      <c r="AC94" s="343"/>
      <c r="AD94" s="343"/>
      <c r="AE94" s="343"/>
      <c r="AF94" s="343"/>
    </row>
    <row r="95" spans="1:36">
      <c r="A95" s="21">
        <v>45110</v>
      </c>
      <c r="B95" s="17">
        <f>IF(YEAR(Table7[[#This Row],[Date]]) = 2023, WEEKNUM(Table7[[#This Row],[Date]])-13, WEEKNUM(Table7[[#This Row],[Date]])+40)</f>
        <v>14</v>
      </c>
      <c r="C95" s="34" t="s">
        <v>49</v>
      </c>
      <c r="D95" s="34" t="s">
        <v>94</v>
      </c>
      <c r="E95" s="1">
        <v>818</v>
      </c>
      <c r="F95" s="1">
        <v>680</v>
      </c>
      <c r="G95" s="80">
        <f>IFERROR((Table7[[#This Row],[Calls Off]]-E88)/E88,0%)</f>
        <v>2.5062656641604009E-2</v>
      </c>
      <c r="H95" s="80">
        <f>IFERROR((Table7[[#This Row],[Calls Ans]]-F88)/F88,0%)</f>
        <v>-1.875901875901876E-2</v>
      </c>
      <c r="I95" s="1"/>
      <c r="J95" s="1"/>
      <c r="K95" s="1"/>
      <c r="L95" s="1"/>
      <c r="M95" s="18">
        <v>0.47</v>
      </c>
      <c r="N95" s="18">
        <v>0.17</v>
      </c>
      <c r="O95" s="18">
        <v>0.83</v>
      </c>
      <c r="P95" s="18">
        <v>0.64</v>
      </c>
      <c r="Q95" s="18">
        <v>0.81</v>
      </c>
      <c r="R95" s="301">
        <v>171</v>
      </c>
      <c r="S95" s="143">
        <v>5.1388888888888894E-2</v>
      </c>
      <c r="T95" s="1">
        <v>9</v>
      </c>
      <c r="U95" s="354" t="str">
        <f t="shared" si="4"/>
        <v>Normal</v>
      </c>
      <c r="V95" s="354" t="str">
        <f t="shared" si="5"/>
        <v>Normal</v>
      </c>
      <c r="W95" s="359">
        <f t="shared" si="6"/>
        <v>2.5062656641604009E-2</v>
      </c>
      <c r="X95" s="359">
        <f t="shared" si="7"/>
        <v>-1.875901875901876E-2</v>
      </c>
      <c r="Y95" s="343"/>
      <c r="Z95" s="343"/>
      <c r="AA95" s="343"/>
      <c r="AB95" s="343"/>
      <c r="AC95" s="343"/>
      <c r="AD95" s="343"/>
      <c r="AE95" s="343"/>
      <c r="AF95" s="343"/>
    </row>
    <row r="96" spans="1:36">
      <c r="A96" s="21">
        <v>45111</v>
      </c>
      <c r="B96" s="17">
        <f>IF(YEAR(Table7[[#This Row],[Date]]) = 2023, WEEKNUM(Table7[[#This Row],[Date]])-13, WEEKNUM(Table7[[#This Row],[Date]])+40)</f>
        <v>14</v>
      </c>
      <c r="C96" s="89" t="s">
        <v>50</v>
      </c>
      <c r="D96" s="34" t="s">
        <v>94</v>
      </c>
      <c r="E96" s="1">
        <v>652</v>
      </c>
      <c r="F96" s="1">
        <v>591</v>
      </c>
      <c r="G96" s="80">
        <f>IFERROR((Table7[[#This Row],[Calls Off]]-E89)/E89,0%)</f>
        <v>9.2879256965944269E-3</v>
      </c>
      <c r="H96" s="80">
        <f>IFERROR((Table7[[#This Row],[Calls Ans]]-F89)/F89,0%)</f>
        <v>-3.4313725490196081E-2</v>
      </c>
      <c r="I96" s="1"/>
      <c r="J96" s="1"/>
      <c r="K96" s="1"/>
      <c r="L96" s="1"/>
      <c r="M96" s="18">
        <v>0.74</v>
      </c>
      <c r="N96" s="18">
        <v>0.09</v>
      </c>
      <c r="O96" s="18">
        <v>0.91</v>
      </c>
      <c r="P96" s="18">
        <v>0.51</v>
      </c>
      <c r="Q96" s="18">
        <v>0.83</v>
      </c>
      <c r="R96" s="301">
        <v>177</v>
      </c>
      <c r="S96" s="143">
        <v>2.9166666666666664E-2</v>
      </c>
      <c r="T96" s="1">
        <v>9</v>
      </c>
      <c r="U96" s="354" t="str">
        <f t="shared" si="4"/>
        <v>Normal</v>
      </c>
      <c r="V96" s="354" t="str">
        <f t="shared" si="5"/>
        <v>Normal</v>
      </c>
      <c r="W96" s="359">
        <f t="shared" si="6"/>
        <v>9.2879256965944269E-3</v>
      </c>
      <c r="X96" s="359">
        <f t="shared" si="7"/>
        <v>-3.4313725490196081E-2</v>
      </c>
      <c r="Y96" s="343"/>
      <c r="Z96" s="343"/>
      <c r="AA96" s="343"/>
      <c r="AB96" s="343"/>
      <c r="AC96" s="343"/>
      <c r="AD96" s="343"/>
      <c r="AE96" s="343"/>
      <c r="AF96" s="343"/>
    </row>
    <row r="97" spans="1:32">
      <c r="A97" s="21">
        <v>45112</v>
      </c>
      <c r="B97" s="17">
        <f>IF(YEAR(Table7[[#This Row],[Date]]) = 2023, WEEKNUM(Table7[[#This Row],[Date]])-13, WEEKNUM(Table7[[#This Row],[Date]])+40)</f>
        <v>14</v>
      </c>
      <c r="C97" s="34" t="s">
        <v>51</v>
      </c>
      <c r="D97" s="34" t="s">
        <v>94</v>
      </c>
      <c r="E97" s="1">
        <v>626</v>
      </c>
      <c r="F97" s="1">
        <v>579</v>
      </c>
      <c r="G97" s="80">
        <f>IFERROR((Table7[[#This Row],[Calls Off]]-E90)/E90,0%)</f>
        <v>-0.10315186246418338</v>
      </c>
      <c r="H97" s="80">
        <f>IFERROR((Table7[[#This Row],[Calls Ans]]-F90)/F90,0%)</f>
        <v>-7.6555023923444973E-2</v>
      </c>
      <c r="I97" s="1"/>
      <c r="J97" s="1"/>
      <c r="K97" s="1"/>
      <c r="L97" s="1"/>
      <c r="M97" s="18">
        <v>0.84</v>
      </c>
      <c r="N97" s="18">
        <v>0.08</v>
      </c>
      <c r="O97" s="18">
        <v>0.92</v>
      </c>
      <c r="P97" s="18">
        <v>0.42</v>
      </c>
      <c r="Q97" s="18">
        <v>0.84</v>
      </c>
      <c r="R97" s="301">
        <v>188</v>
      </c>
      <c r="S97" s="143">
        <v>1.8055555555555557E-2</v>
      </c>
      <c r="T97" s="1">
        <v>11</v>
      </c>
      <c r="U97" s="354" t="str">
        <f t="shared" si="4"/>
        <v>Normal</v>
      </c>
      <c r="V97" s="354" t="str">
        <f t="shared" si="5"/>
        <v>Normal</v>
      </c>
      <c r="W97" s="359">
        <f t="shared" si="6"/>
        <v>-0.10315186246418338</v>
      </c>
      <c r="X97" s="359">
        <f t="shared" si="7"/>
        <v>-7.6555023923444973E-2</v>
      </c>
      <c r="Y97" s="343"/>
      <c r="Z97" s="343"/>
      <c r="AA97" s="343"/>
      <c r="AB97" s="343"/>
      <c r="AC97" s="343"/>
      <c r="AD97" s="343"/>
      <c r="AE97" s="343"/>
      <c r="AF97" s="343"/>
    </row>
    <row r="98" spans="1:32">
      <c r="A98" s="21">
        <v>45113</v>
      </c>
      <c r="B98" s="17">
        <f>IF(YEAR(Table7[[#This Row],[Date]]) = 2023, WEEKNUM(Table7[[#This Row],[Date]])-13, WEEKNUM(Table7[[#This Row],[Date]])+40)</f>
        <v>14</v>
      </c>
      <c r="C98" s="34" t="s">
        <v>52</v>
      </c>
      <c r="D98" s="34" t="s">
        <v>94</v>
      </c>
      <c r="E98" s="1">
        <v>671</v>
      </c>
      <c r="F98" s="1">
        <v>626</v>
      </c>
      <c r="G98" s="80">
        <f>IFERROR((Table7[[#This Row],[Calls Off]]-E91)/E91,0%)</f>
        <v>-0.1473951715374841</v>
      </c>
      <c r="H98" s="80">
        <f>IFERROR((Table7[[#This Row],[Calls Ans]]-F91)/F91,0%)</f>
        <v>-6.006006006006006E-2</v>
      </c>
      <c r="I98" s="1"/>
      <c r="J98" s="1"/>
      <c r="K98" s="1"/>
      <c r="L98" s="1"/>
      <c r="M98" s="18">
        <v>0.81</v>
      </c>
      <c r="N98" s="18">
        <v>7.0000000000000007E-2</v>
      </c>
      <c r="O98" s="18">
        <v>0.93</v>
      </c>
      <c r="P98" s="18">
        <v>0.45</v>
      </c>
      <c r="Q98" s="18">
        <v>0.86</v>
      </c>
      <c r="R98" s="301">
        <v>191</v>
      </c>
      <c r="S98" s="143">
        <v>1.8749999999999999E-2</v>
      </c>
      <c r="T98" s="1">
        <v>10</v>
      </c>
      <c r="U98" s="354" t="str">
        <f t="shared" si="4"/>
        <v>Normal</v>
      </c>
      <c r="V98" s="354" t="str">
        <f t="shared" si="5"/>
        <v>Normal</v>
      </c>
      <c r="W98" s="359">
        <f t="shared" si="6"/>
        <v>-0.1473951715374841</v>
      </c>
      <c r="X98" s="359">
        <f t="shared" si="7"/>
        <v>-6.006006006006006E-2</v>
      </c>
      <c r="Y98" s="343"/>
      <c r="Z98" s="343"/>
      <c r="AA98" s="343"/>
      <c r="AB98" s="343"/>
      <c r="AC98" s="343"/>
      <c r="AD98" s="343"/>
      <c r="AE98" s="343"/>
      <c r="AF98" s="343"/>
    </row>
    <row r="99" spans="1:32">
      <c r="A99" s="21">
        <v>45114</v>
      </c>
      <c r="B99" s="17">
        <f>IF(YEAR(Table7[[#This Row],[Date]]) = 2023, WEEKNUM(Table7[[#This Row],[Date]])-13, WEEKNUM(Table7[[#This Row],[Date]])+40)</f>
        <v>14</v>
      </c>
      <c r="C99" s="34" t="s">
        <v>53</v>
      </c>
      <c r="D99" s="34" t="s">
        <v>94</v>
      </c>
      <c r="E99" s="1">
        <v>676</v>
      </c>
      <c r="F99" s="1">
        <v>574</v>
      </c>
      <c r="G99" s="80">
        <f>IFERROR((Table7[[#This Row],[Calls Off]]-E92)/E92,0%)</f>
        <v>-7.7762619372442013E-2</v>
      </c>
      <c r="H99" s="80">
        <f>IFERROR((Table7[[#This Row],[Calls Ans]]-F92)/F92,0%)</f>
        <v>-0.10730948678071539</v>
      </c>
      <c r="I99" s="1"/>
      <c r="J99" s="1"/>
      <c r="K99" s="1"/>
      <c r="L99" s="1"/>
      <c r="M99" s="18">
        <v>0.55000000000000004</v>
      </c>
      <c r="N99" s="18">
        <v>0.15</v>
      </c>
      <c r="O99" s="18">
        <v>0.85</v>
      </c>
      <c r="P99" s="18">
        <v>0.62</v>
      </c>
      <c r="Q99" s="18">
        <v>0.86</v>
      </c>
      <c r="R99" s="301">
        <v>169</v>
      </c>
      <c r="S99" s="143">
        <v>5.4166666666666669E-2</v>
      </c>
      <c r="T99" s="1">
        <v>8</v>
      </c>
      <c r="U99" s="354" t="str">
        <f t="shared" si="4"/>
        <v>Normal</v>
      </c>
      <c r="V99" s="354" t="str">
        <f t="shared" si="5"/>
        <v>Normal</v>
      </c>
      <c r="W99" s="359">
        <f t="shared" si="6"/>
        <v>-7.7762619372442013E-2</v>
      </c>
      <c r="X99" s="359">
        <f t="shared" si="7"/>
        <v>-0.10730948678071539</v>
      </c>
      <c r="Y99" s="343"/>
      <c r="Z99" s="343"/>
      <c r="AA99" s="343"/>
      <c r="AB99" s="343"/>
      <c r="AC99" s="343"/>
      <c r="AD99" s="343"/>
      <c r="AE99" s="343"/>
      <c r="AF99" s="343"/>
    </row>
    <row r="100" spans="1:32">
      <c r="A100" s="21">
        <v>45115</v>
      </c>
      <c r="B100" s="17">
        <f>IF(YEAR(Table7[[#This Row],[Date]]) = 2023, WEEKNUM(Table7[[#This Row],[Date]])-13, WEEKNUM(Table7[[#This Row],[Date]])+40)</f>
        <v>14</v>
      </c>
      <c r="C100" s="34" t="s">
        <v>54</v>
      </c>
      <c r="D100" s="34" t="s">
        <v>94</v>
      </c>
      <c r="E100" s="1">
        <v>338</v>
      </c>
      <c r="F100" s="1">
        <v>263</v>
      </c>
      <c r="G100" s="80">
        <f>IFERROR((Table7[[#This Row],[Calls Off]]-E93)/E93,0%)</f>
        <v>-0.23181818181818181</v>
      </c>
      <c r="H100" s="80">
        <f>IFERROR((Table7[[#This Row],[Calls Ans]]-F93)/F93,0%)</f>
        <v>0.2119815668202765</v>
      </c>
      <c r="I100" s="1"/>
      <c r="J100" s="1"/>
      <c r="K100" s="1"/>
      <c r="L100" s="1"/>
      <c r="M100" s="18">
        <v>0.32</v>
      </c>
      <c r="N100" s="18">
        <v>0.22</v>
      </c>
      <c r="O100" s="18">
        <v>0.78</v>
      </c>
      <c r="P100" s="18">
        <v>0.42</v>
      </c>
      <c r="Q100" s="18">
        <v>0.88</v>
      </c>
      <c r="R100" s="301">
        <v>136</v>
      </c>
      <c r="S100" s="143">
        <v>3.7499999999999999E-2</v>
      </c>
      <c r="T100" s="1">
        <v>4</v>
      </c>
      <c r="U100" s="354" t="str">
        <f t="shared" si="4"/>
        <v>Normal</v>
      </c>
      <c r="V100" s="354" t="str">
        <f t="shared" si="5"/>
        <v>Normal</v>
      </c>
      <c r="W100" s="359">
        <f t="shared" si="6"/>
        <v>-0.23181818181818181</v>
      </c>
      <c r="X100" s="359">
        <f t="shared" si="7"/>
        <v>0.2119815668202765</v>
      </c>
      <c r="Y100" s="343"/>
      <c r="Z100" s="343"/>
      <c r="AA100" s="343"/>
      <c r="AB100" s="343"/>
      <c r="AC100" s="343"/>
      <c r="AD100" s="343"/>
      <c r="AE100" s="343"/>
      <c r="AF100" s="343"/>
    </row>
    <row r="101" spans="1:32">
      <c r="A101" s="21">
        <v>45116</v>
      </c>
      <c r="B101" s="17">
        <f>IF(YEAR(Table7[[#This Row],[Date]]) = 2023, WEEKNUM(Table7[[#This Row],[Date]])-13, WEEKNUM(Table7[[#This Row],[Date]])+40)</f>
        <v>15</v>
      </c>
      <c r="C101" s="34" t="s">
        <v>48</v>
      </c>
      <c r="D101" s="34" t="s">
        <v>94</v>
      </c>
      <c r="E101" s="1">
        <v>0</v>
      </c>
      <c r="F101" s="1">
        <v>0</v>
      </c>
      <c r="G101" s="80">
        <f>IFERROR((Table7[[#This Row],[Calls Off]]-E94)/E94,0%)</f>
        <v>0</v>
      </c>
      <c r="H101" s="80">
        <f>IFERROR((Table7[[#This Row],[Calls Ans]]-F94)/F94,0%)</f>
        <v>0</v>
      </c>
      <c r="I101" s="1">
        <v>0</v>
      </c>
      <c r="J101" s="1">
        <v>0</v>
      </c>
      <c r="K101" s="1">
        <v>0</v>
      </c>
      <c r="L101" s="1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301">
        <v>0</v>
      </c>
      <c r="S101" s="143">
        <v>0</v>
      </c>
      <c r="T101" s="1">
        <v>0</v>
      </c>
      <c r="U101" s="354" t="str">
        <f t="shared" si="4"/>
        <v>Normal</v>
      </c>
      <c r="V101" s="354" t="str">
        <f t="shared" si="5"/>
        <v>Normal</v>
      </c>
      <c r="W101" s="359">
        <f t="shared" si="6"/>
        <v>0</v>
      </c>
      <c r="X101" s="359">
        <f t="shared" si="7"/>
        <v>0</v>
      </c>
      <c r="Y101" s="343"/>
      <c r="Z101" s="343"/>
      <c r="AA101" s="343"/>
      <c r="AB101" s="343"/>
      <c r="AC101" s="343"/>
      <c r="AD101" s="343"/>
      <c r="AE101" s="343"/>
      <c r="AF101" s="343"/>
    </row>
    <row r="102" spans="1:32">
      <c r="A102" s="21">
        <v>45117</v>
      </c>
      <c r="B102" s="17">
        <f>IF(YEAR(Table7[[#This Row],[Date]]) = 2023, WEEKNUM(Table7[[#This Row],[Date]])-13, WEEKNUM(Table7[[#This Row],[Date]])+40)</f>
        <v>15</v>
      </c>
      <c r="C102" s="34" t="s">
        <v>49</v>
      </c>
      <c r="D102" s="34" t="s">
        <v>94</v>
      </c>
      <c r="E102" s="1">
        <v>831</v>
      </c>
      <c r="F102" s="1">
        <v>658</v>
      </c>
      <c r="G102" s="80">
        <f>IFERROR((Table7[[#This Row],[Calls Off]]-E95)/E95,0%)</f>
        <v>1.5892420537897311E-2</v>
      </c>
      <c r="H102" s="80">
        <f>IFERROR((Table7[[#This Row],[Calls Ans]]-F95)/F95,0%)</f>
        <v>-3.2352941176470591E-2</v>
      </c>
      <c r="I102" s="1"/>
      <c r="J102" s="1"/>
      <c r="K102" s="1"/>
      <c r="L102" s="1"/>
      <c r="M102" s="18">
        <v>0.38</v>
      </c>
      <c r="N102" s="18">
        <v>0.21</v>
      </c>
      <c r="O102" s="18">
        <v>0.79</v>
      </c>
      <c r="P102" s="18">
        <v>0.65</v>
      </c>
      <c r="Q102" s="18">
        <v>0.84</v>
      </c>
      <c r="R102" s="301">
        <v>188</v>
      </c>
      <c r="S102" s="143">
        <v>8.4027777777777771E-2</v>
      </c>
      <c r="T102" s="1">
        <v>8</v>
      </c>
      <c r="U102" s="354" t="str">
        <f t="shared" si="4"/>
        <v>Normal</v>
      </c>
      <c r="V102" s="354" t="str">
        <f t="shared" si="5"/>
        <v>Normal</v>
      </c>
      <c r="W102" s="359">
        <f t="shared" si="6"/>
        <v>1.5892420537897311E-2</v>
      </c>
      <c r="X102" s="359">
        <f t="shared" si="7"/>
        <v>-3.2352941176470591E-2</v>
      </c>
      <c r="Y102" s="343"/>
      <c r="Z102" s="343"/>
      <c r="AA102" s="343"/>
      <c r="AB102" s="343"/>
      <c r="AC102" s="343"/>
      <c r="AD102" s="343"/>
      <c r="AE102" s="343"/>
      <c r="AF102" s="343"/>
    </row>
    <row r="103" spans="1:32">
      <c r="A103" s="21">
        <v>45118</v>
      </c>
      <c r="B103" s="17">
        <f>IF(YEAR(Table7[[#This Row],[Date]]) = 2023, WEEKNUM(Table7[[#This Row],[Date]])-13, WEEKNUM(Table7[[#This Row],[Date]])+40)</f>
        <v>15</v>
      </c>
      <c r="C103" s="34" t="s">
        <v>50</v>
      </c>
      <c r="D103" s="34" t="s">
        <v>94</v>
      </c>
      <c r="E103" s="1">
        <v>709</v>
      </c>
      <c r="F103" s="1">
        <v>657</v>
      </c>
      <c r="G103" s="80">
        <f>IFERROR((Table7[[#This Row],[Calls Off]]-E96)/E96,0%)</f>
        <v>8.7423312883435578E-2</v>
      </c>
      <c r="H103" s="80">
        <f>IFERROR((Table7[[#This Row],[Calls Ans]]-F96)/F96,0%)</f>
        <v>0.1116751269035533</v>
      </c>
      <c r="I103" s="1"/>
      <c r="J103" s="1"/>
      <c r="K103" s="1"/>
      <c r="L103" s="1"/>
      <c r="M103" s="18">
        <v>0.75</v>
      </c>
      <c r="N103" s="18">
        <v>7.0000000000000007E-2</v>
      </c>
      <c r="O103" s="18">
        <v>0.93</v>
      </c>
      <c r="P103" s="18">
        <v>0.56999999999999995</v>
      </c>
      <c r="Q103" s="18">
        <v>0.85</v>
      </c>
      <c r="R103" s="301">
        <v>187</v>
      </c>
      <c r="S103" s="143">
        <v>1.4583333333333332E-2</v>
      </c>
      <c r="T103" s="1">
        <v>10</v>
      </c>
      <c r="U103" s="354" t="str">
        <f t="shared" si="4"/>
        <v>Normal</v>
      </c>
      <c r="V103" s="354" t="str">
        <f t="shared" si="5"/>
        <v>Normal</v>
      </c>
      <c r="W103" s="359">
        <f t="shared" si="6"/>
        <v>8.7423312883435578E-2</v>
      </c>
      <c r="X103" s="359">
        <f t="shared" si="7"/>
        <v>0.1116751269035533</v>
      </c>
      <c r="Y103" s="343"/>
      <c r="Z103" s="343"/>
      <c r="AA103" s="343"/>
      <c r="AB103" s="343"/>
      <c r="AC103" s="343"/>
      <c r="AD103" s="343"/>
      <c r="AE103" s="343"/>
      <c r="AF103" s="343"/>
    </row>
    <row r="104" spans="1:32">
      <c r="A104" s="21">
        <v>45119</v>
      </c>
      <c r="B104" s="17">
        <f>IF(YEAR(Table7[[#This Row],[Date]]) = 2023, WEEKNUM(Table7[[#This Row],[Date]])-13, WEEKNUM(Table7[[#This Row],[Date]])+40)</f>
        <v>15</v>
      </c>
      <c r="C104" s="34" t="s">
        <v>51</v>
      </c>
      <c r="D104" s="34" t="s">
        <v>94</v>
      </c>
      <c r="E104" s="1">
        <v>655</v>
      </c>
      <c r="F104" s="1">
        <v>618</v>
      </c>
      <c r="G104" s="80">
        <f>IFERROR((Table7[[#This Row],[Calls Off]]-E97)/E97,0%)</f>
        <v>4.6325878594249199E-2</v>
      </c>
      <c r="H104" s="80">
        <f>IFERROR((Table7[[#This Row],[Calls Ans]]-F97)/F97,0%)</f>
        <v>6.7357512953367879E-2</v>
      </c>
      <c r="I104" s="1"/>
      <c r="J104" s="1"/>
      <c r="K104" s="1"/>
      <c r="L104" s="1"/>
      <c r="M104" s="18">
        <v>0.87</v>
      </c>
      <c r="N104" s="18">
        <v>0.06</v>
      </c>
      <c r="O104" s="18">
        <v>0.94</v>
      </c>
      <c r="P104" s="18">
        <v>0.44</v>
      </c>
      <c r="Q104" s="18">
        <v>0.85</v>
      </c>
      <c r="R104" s="301">
        <v>130</v>
      </c>
      <c r="S104" s="143">
        <v>1.0416666666666666E-2</v>
      </c>
      <c r="T104" s="1">
        <v>10</v>
      </c>
      <c r="U104" s="354" t="str">
        <f t="shared" si="4"/>
        <v>Normal</v>
      </c>
      <c r="V104" s="354" t="str">
        <f t="shared" si="5"/>
        <v>Normal</v>
      </c>
      <c r="W104" s="359">
        <f t="shared" si="6"/>
        <v>4.6325878594249199E-2</v>
      </c>
      <c r="X104" s="359">
        <f t="shared" si="7"/>
        <v>6.7357512953367879E-2</v>
      </c>
      <c r="Y104" s="343"/>
      <c r="Z104" s="343"/>
      <c r="AA104" s="343"/>
      <c r="AB104" s="343"/>
      <c r="AC104" s="343"/>
      <c r="AD104" s="343"/>
      <c r="AE104" s="343"/>
      <c r="AF104" s="343"/>
    </row>
    <row r="105" spans="1:32">
      <c r="A105" s="21">
        <v>45120</v>
      </c>
      <c r="B105" s="17">
        <f>IF(YEAR(Table7[[#This Row],[Date]]) = 2023, WEEKNUM(Table7[[#This Row],[Date]])-13, WEEKNUM(Table7[[#This Row],[Date]])+40)</f>
        <v>15</v>
      </c>
      <c r="C105" s="34" t="s">
        <v>52</v>
      </c>
      <c r="D105" s="34" t="s">
        <v>94</v>
      </c>
      <c r="E105" s="1">
        <v>541</v>
      </c>
      <c r="F105" s="1">
        <v>399</v>
      </c>
      <c r="G105" s="80">
        <f>IFERROR((Table7[[#This Row],[Calls Off]]-E98)/E98,0%)</f>
        <v>-0.19374068554396423</v>
      </c>
      <c r="H105" s="80">
        <f>IFERROR((Table7[[#This Row],[Calls Ans]]-F98)/F98,0%)</f>
        <v>-0.36261980830670926</v>
      </c>
      <c r="I105" s="1"/>
      <c r="J105" s="1"/>
      <c r="K105" s="1"/>
      <c r="L105" s="1"/>
      <c r="M105" s="18">
        <v>0.65</v>
      </c>
      <c r="N105" s="18">
        <v>0.26</v>
      </c>
      <c r="O105" s="18">
        <v>0.74</v>
      </c>
      <c r="P105" s="18">
        <v>0.44</v>
      </c>
      <c r="Q105" s="18">
        <v>0.86</v>
      </c>
      <c r="R105" s="301">
        <v>142</v>
      </c>
      <c r="S105" s="143">
        <v>1.3888888888888888E-2</v>
      </c>
      <c r="T105" s="1">
        <v>10</v>
      </c>
      <c r="U105" s="354" t="str">
        <f t="shared" si="4"/>
        <v>Normal</v>
      </c>
      <c r="V105" s="354" t="str">
        <f t="shared" si="5"/>
        <v>Outlier</v>
      </c>
      <c r="W105" s="359">
        <f t="shared" si="6"/>
        <v>-0.19374068554396423</v>
      </c>
      <c r="X105" s="359">
        <f t="shared" si="7"/>
        <v>-0.36261980830670926</v>
      </c>
      <c r="Y105" s="343"/>
      <c r="Z105" s="343"/>
      <c r="AA105" s="343"/>
      <c r="AB105" s="343"/>
      <c r="AC105" s="343"/>
      <c r="AD105" s="343"/>
      <c r="AE105" s="343"/>
      <c r="AF105" s="343"/>
    </row>
    <row r="106" spans="1:32">
      <c r="A106" s="21">
        <v>45121</v>
      </c>
      <c r="B106" s="17">
        <f>IF(YEAR(Table7[[#This Row],[Date]]) = 2023, WEEKNUM(Table7[[#This Row],[Date]])-13, WEEKNUM(Table7[[#This Row],[Date]])+40)</f>
        <v>15</v>
      </c>
      <c r="C106" s="34" t="s">
        <v>53</v>
      </c>
      <c r="D106" s="34" t="s">
        <v>94</v>
      </c>
      <c r="E106" s="1">
        <v>708</v>
      </c>
      <c r="F106" s="1">
        <v>662</v>
      </c>
      <c r="G106" s="80">
        <f>IFERROR((Table7[[#This Row],[Calls Off]]-E99)/E99,0%)</f>
        <v>4.7337278106508875E-2</v>
      </c>
      <c r="H106" s="80">
        <f>IFERROR((Table7[[#This Row],[Calls Ans]]-F99)/F99,0%)</f>
        <v>0.15331010452961671</v>
      </c>
      <c r="I106" s="1"/>
      <c r="J106" s="1"/>
      <c r="K106" s="1"/>
      <c r="L106" s="1"/>
      <c r="M106" s="18">
        <v>0.76</v>
      </c>
      <c r="N106" s="18">
        <v>0.06</v>
      </c>
      <c r="O106" s="18">
        <v>0.94</v>
      </c>
      <c r="P106" s="18">
        <v>0.47</v>
      </c>
      <c r="Q106" s="18">
        <v>0.85</v>
      </c>
      <c r="R106" s="301">
        <v>136</v>
      </c>
      <c r="S106" s="143">
        <v>2.0833333333333332E-2</v>
      </c>
      <c r="T106" s="1">
        <v>8</v>
      </c>
      <c r="U106" s="354" t="str">
        <f t="shared" si="4"/>
        <v>Normal</v>
      </c>
      <c r="V106" s="354" t="str">
        <f t="shared" si="5"/>
        <v>Normal</v>
      </c>
      <c r="W106" s="359">
        <f t="shared" si="6"/>
        <v>4.7337278106508875E-2</v>
      </c>
      <c r="X106" s="359">
        <f t="shared" si="7"/>
        <v>0.15331010452961671</v>
      </c>
      <c r="Y106" s="343"/>
      <c r="Z106" s="343"/>
      <c r="AA106" s="343"/>
      <c r="AB106" s="343"/>
      <c r="AC106" s="343"/>
      <c r="AD106" s="343"/>
      <c r="AE106" s="343"/>
      <c r="AF106" s="343"/>
    </row>
    <row r="107" spans="1:32">
      <c r="A107" s="21">
        <v>45122</v>
      </c>
      <c r="B107" s="17">
        <f>IF(YEAR(Table7[[#This Row],[Date]]) = 2023, WEEKNUM(Table7[[#This Row],[Date]])-13, WEEKNUM(Table7[[#This Row],[Date]])+40)</f>
        <v>15</v>
      </c>
      <c r="C107" s="34" t="s">
        <v>54</v>
      </c>
      <c r="D107" s="34" t="s">
        <v>94</v>
      </c>
      <c r="E107" s="1">
        <v>394</v>
      </c>
      <c r="F107" s="1">
        <v>238</v>
      </c>
      <c r="G107" s="80">
        <f>IFERROR((Table7[[#This Row],[Calls Off]]-E100)/E100,0%)</f>
        <v>0.16568047337278108</v>
      </c>
      <c r="H107" s="80">
        <f>IFERROR((Table7[[#This Row],[Calls Ans]]-F100)/F100,0%)</f>
        <v>-9.5057034220532313E-2</v>
      </c>
      <c r="I107" s="1"/>
      <c r="J107" s="1"/>
      <c r="K107" s="1"/>
      <c r="L107" s="1"/>
      <c r="M107" s="18">
        <v>0.22</v>
      </c>
      <c r="N107" s="18">
        <v>0.4</v>
      </c>
      <c r="O107" s="18">
        <v>0.6</v>
      </c>
      <c r="P107" s="18">
        <v>0.56999999999999995</v>
      </c>
      <c r="Q107" s="18">
        <v>0.88</v>
      </c>
      <c r="R107" s="301">
        <v>160</v>
      </c>
      <c r="S107" s="143">
        <v>0.13472222222222222</v>
      </c>
      <c r="T107" s="1">
        <v>4</v>
      </c>
      <c r="U107" s="354" t="str">
        <f t="shared" si="4"/>
        <v>Normal</v>
      </c>
      <c r="V107" s="354" t="str">
        <f t="shared" si="5"/>
        <v>Normal</v>
      </c>
      <c r="W107" s="359">
        <f t="shared" si="6"/>
        <v>0.16568047337278108</v>
      </c>
      <c r="X107" s="359">
        <f t="shared" si="7"/>
        <v>-9.5057034220532313E-2</v>
      </c>
      <c r="Y107" s="343"/>
      <c r="Z107" s="343"/>
      <c r="AA107" s="343"/>
      <c r="AB107" s="343"/>
      <c r="AC107" s="343"/>
      <c r="AD107" s="343"/>
      <c r="AE107" s="343"/>
      <c r="AF107" s="343"/>
    </row>
    <row r="108" spans="1:32">
      <c r="A108" s="21">
        <v>45123</v>
      </c>
      <c r="B108" s="17">
        <f>IF(YEAR(Table7[[#This Row],[Date]]) = 2023, WEEKNUM(Table7[[#This Row],[Date]])-13, WEEKNUM(Table7[[#This Row],[Date]])+40)</f>
        <v>16</v>
      </c>
      <c r="C108" s="34" t="s">
        <v>48</v>
      </c>
      <c r="D108" s="34" t="s">
        <v>94</v>
      </c>
      <c r="E108" s="1">
        <v>0</v>
      </c>
      <c r="F108" s="1">
        <v>0</v>
      </c>
      <c r="G108" s="80">
        <f>IFERROR((Table7[[#This Row],[Calls Off]]-E101)/E101,0%)</f>
        <v>0</v>
      </c>
      <c r="H108" s="80">
        <f>IFERROR((Table7[[#This Row],[Calls Ans]]-F101)/F101,0%)</f>
        <v>0</v>
      </c>
      <c r="I108" s="1">
        <v>0</v>
      </c>
      <c r="J108" s="1">
        <v>0</v>
      </c>
      <c r="K108" s="1">
        <v>0</v>
      </c>
      <c r="L108" s="1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301">
        <v>0</v>
      </c>
      <c r="S108" s="143">
        <v>0</v>
      </c>
      <c r="T108" s="1">
        <v>0</v>
      </c>
      <c r="U108" s="354" t="str">
        <f t="shared" si="4"/>
        <v>Normal</v>
      </c>
      <c r="V108" s="354" t="str">
        <f t="shared" si="5"/>
        <v>Normal</v>
      </c>
      <c r="W108" s="359">
        <f t="shared" si="6"/>
        <v>0</v>
      </c>
      <c r="X108" s="359">
        <f t="shared" si="7"/>
        <v>0</v>
      </c>
      <c r="Y108" s="343"/>
      <c r="Z108" s="343"/>
      <c r="AA108" s="343"/>
      <c r="AB108" s="343"/>
      <c r="AC108" s="343"/>
      <c r="AD108" s="343"/>
      <c r="AE108" s="343"/>
      <c r="AF108" s="343"/>
    </row>
    <row r="109" spans="1:32">
      <c r="A109" s="21">
        <v>45124</v>
      </c>
      <c r="B109" s="17">
        <f>IF(YEAR(Table7[[#This Row],[Date]]) = 2023, WEEKNUM(Table7[[#This Row],[Date]])-13, WEEKNUM(Table7[[#This Row],[Date]])+40)</f>
        <v>16</v>
      </c>
      <c r="C109" s="34" t="s">
        <v>49</v>
      </c>
      <c r="D109" s="34" t="s">
        <v>94</v>
      </c>
      <c r="E109" s="1">
        <v>761</v>
      </c>
      <c r="F109" s="1">
        <v>633</v>
      </c>
      <c r="G109" s="80">
        <f>IFERROR((Table7[[#This Row],[Calls Off]]-E102)/E102,0%)</f>
        <v>-8.4235860409145602E-2</v>
      </c>
      <c r="H109" s="80">
        <f>IFERROR((Table7[[#This Row],[Calls Ans]]-F102)/F102,0%)</f>
        <v>-3.7993920972644375E-2</v>
      </c>
      <c r="I109" s="1"/>
      <c r="J109" s="1"/>
      <c r="K109" s="1"/>
      <c r="L109" s="1"/>
      <c r="M109" s="18">
        <v>0.66</v>
      </c>
      <c r="N109" s="18">
        <v>0.17</v>
      </c>
      <c r="O109" s="18">
        <v>0.83</v>
      </c>
      <c r="P109" s="18">
        <v>0.45</v>
      </c>
      <c r="Q109" s="18">
        <v>0.85</v>
      </c>
      <c r="R109" s="301">
        <v>129</v>
      </c>
      <c r="S109" s="143">
        <v>4.0972222222222222E-2</v>
      </c>
      <c r="T109" s="1">
        <v>8</v>
      </c>
      <c r="U109" s="354" t="str">
        <f t="shared" si="4"/>
        <v>Normal</v>
      </c>
      <c r="V109" s="354" t="str">
        <f t="shared" si="5"/>
        <v>Normal</v>
      </c>
      <c r="W109" s="359">
        <f t="shared" si="6"/>
        <v>-8.4235860409145602E-2</v>
      </c>
      <c r="X109" s="359">
        <f t="shared" si="7"/>
        <v>-3.7993920972644375E-2</v>
      </c>
      <c r="Y109" s="343"/>
      <c r="Z109" s="343"/>
      <c r="AA109" s="343"/>
      <c r="AB109" s="343"/>
      <c r="AC109" s="343"/>
      <c r="AD109" s="343"/>
      <c r="AE109" s="343"/>
      <c r="AF109" s="343"/>
    </row>
    <row r="110" spans="1:32">
      <c r="A110" s="21">
        <v>45125</v>
      </c>
      <c r="B110" s="17">
        <f>IF(YEAR(Table7[[#This Row],[Date]]) = 2023, WEEKNUM(Table7[[#This Row],[Date]])-13, WEEKNUM(Table7[[#This Row],[Date]])+40)</f>
        <v>16</v>
      </c>
      <c r="C110" s="34" t="s">
        <v>50</v>
      </c>
      <c r="D110" s="34" t="s">
        <v>94</v>
      </c>
      <c r="E110" s="1">
        <v>636</v>
      </c>
      <c r="F110" s="1">
        <v>580</v>
      </c>
      <c r="G110" s="80">
        <f>IFERROR((Table7[[#This Row],[Calls Off]]-E103)/E103,0%)</f>
        <v>-0.10296191819464035</v>
      </c>
      <c r="H110" s="80">
        <f>IFERROR((Table7[[#This Row],[Calls Ans]]-F103)/F103,0%)</f>
        <v>-0.11719939117199391</v>
      </c>
      <c r="I110" s="1"/>
      <c r="J110" s="1"/>
      <c r="K110" s="1"/>
      <c r="L110" s="1"/>
      <c r="M110" s="18">
        <v>0.81</v>
      </c>
      <c r="N110" s="18">
        <v>0.09</v>
      </c>
      <c r="O110" s="18">
        <v>0.91</v>
      </c>
      <c r="P110" s="18">
        <v>0.43</v>
      </c>
      <c r="Q110" s="18">
        <v>0.84</v>
      </c>
      <c r="R110" s="301">
        <v>142</v>
      </c>
      <c r="S110" s="143">
        <v>1.8749999999999999E-2</v>
      </c>
      <c r="T110" s="1">
        <v>9</v>
      </c>
      <c r="U110" s="354" t="str">
        <f t="shared" si="4"/>
        <v>Normal</v>
      </c>
      <c r="V110" s="354" t="str">
        <f t="shared" si="5"/>
        <v>Normal</v>
      </c>
      <c r="W110" s="359">
        <f t="shared" si="6"/>
        <v>-0.10296191819464035</v>
      </c>
      <c r="X110" s="359">
        <f t="shared" si="7"/>
        <v>-0.11719939117199391</v>
      </c>
      <c r="Y110" s="343"/>
      <c r="Z110" s="343"/>
      <c r="AA110" s="343"/>
      <c r="AB110" s="343"/>
      <c r="AC110" s="343"/>
      <c r="AD110" s="343"/>
      <c r="AE110" s="343"/>
      <c r="AF110" s="343"/>
    </row>
    <row r="111" spans="1:32">
      <c r="A111" s="21">
        <v>45126</v>
      </c>
      <c r="B111" s="17">
        <f>IF(YEAR(Table7[[#This Row],[Date]]) = 2023, WEEKNUM(Table7[[#This Row],[Date]])-13, WEEKNUM(Table7[[#This Row],[Date]])+40)</f>
        <v>16</v>
      </c>
      <c r="C111" s="34" t="s">
        <v>51</v>
      </c>
      <c r="D111" s="34" t="s">
        <v>94</v>
      </c>
      <c r="E111" s="1">
        <v>572</v>
      </c>
      <c r="F111" s="1">
        <v>529</v>
      </c>
      <c r="G111" s="80">
        <f>IFERROR((Table7[[#This Row],[Calls Off]]-E104)/E104,0%)</f>
        <v>-0.12671755725190839</v>
      </c>
      <c r="H111" s="80">
        <f>IFERROR((Table7[[#This Row],[Calls Ans]]-F104)/F104,0%)</f>
        <v>-0.14401294498381878</v>
      </c>
      <c r="I111" s="1"/>
      <c r="J111" s="1"/>
      <c r="K111" s="1"/>
      <c r="L111" s="1"/>
      <c r="M111" s="18">
        <v>0.74</v>
      </c>
      <c r="N111" s="18">
        <v>0.08</v>
      </c>
      <c r="O111" s="18">
        <v>0.92</v>
      </c>
      <c r="P111" s="18">
        <v>0.44</v>
      </c>
      <c r="Q111" s="18">
        <v>0.83</v>
      </c>
      <c r="R111" s="301">
        <v>155</v>
      </c>
      <c r="S111" s="143">
        <v>1.6666666666666666E-2</v>
      </c>
      <c r="T111" s="1">
        <v>7</v>
      </c>
      <c r="U111" s="354" t="str">
        <f t="shared" si="4"/>
        <v>Normal</v>
      </c>
      <c r="V111" s="354" t="str">
        <f t="shared" si="5"/>
        <v>Normal</v>
      </c>
      <c r="W111" s="359">
        <f t="shared" si="6"/>
        <v>-0.12671755725190839</v>
      </c>
      <c r="X111" s="359">
        <f t="shared" si="7"/>
        <v>-0.14401294498381878</v>
      </c>
      <c r="Y111" s="343"/>
      <c r="Z111" s="343"/>
      <c r="AA111" s="343"/>
      <c r="AB111" s="343"/>
      <c r="AC111" s="343"/>
      <c r="AD111" s="343"/>
      <c r="AE111" s="343"/>
      <c r="AF111" s="343"/>
    </row>
    <row r="112" spans="1:32">
      <c r="A112" s="21">
        <v>45127</v>
      </c>
      <c r="B112" s="17">
        <f>IF(YEAR(Table7[[#This Row],[Date]]) = 2023, WEEKNUM(Table7[[#This Row],[Date]])-13, WEEKNUM(Table7[[#This Row],[Date]])+40)</f>
        <v>16</v>
      </c>
      <c r="C112" s="34" t="s">
        <v>52</v>
      </c>
      <c r="D112" s="34" t="s">
        <v>94</v>
      </c>
      <c r="E112" s="1">
        <v>678</v>
      </c>
      <c r="F112" s="1">
        <v>565</v>
      </c>
      <c r="G112" s="80">
        <f>IFERROR((Table7[[#This Row],[Calls Off]]-E105)/E105,0%)</f>
        <v>0.25323475046210719</v>
      </c>
      <c r="H112" s="80">
        <f>IFERROR((Table7[[#This Row],[Calls Ans]]-F105)/F105,0%)</f>
        <v>0.41604010025062654</v>
      </c>
      <c r="I112" s="1"/>
      <c r="J112" s="1"/>
      <c r="K112" s="1"/>
      <c r="L112" s="1"/>
      <c r="M112" s="18">
        <v>0.61</v>
      </c>
      <c r="N112" s="18">
        <v>0.17</v>
      </c>
      <c r="O112" s="18">
        <v>0.83</v>
      </c>
      <c r="P112" s="18">
        <v>0.56000000000000005</v>
      </c>
      <c r="Q112" s="18">
        <v>0.84</v>
      </c>
      <c r="R112" s="301">
        <v>157</v>
      </c>
      <c r="S112" s="143">
        <v>3.6805555555555557E-2</v>
      </c>
      <c r="T112" s="1">
        <v>8</v>
      </c>
      <c r="U112" s="354" t="str">
        <f t="shared" si="4"/>
        <v>Normal</v>
      </c>
      <c r="V112" s="354" t="str">
        <f t="shared" si="5"/>
        <v>Outlier</v>
      </c>
      <c r="W112" s="359">
        <f t="shared" si="6"/>
        <v>0.25323475046210719</v>
      </c>
      <c r="X112" s="359">
        <f t="shared" si="7"/>
        <v>0.41604010025062654</v>
      </c>
      <c r="Y112" s="343"/>
      <c r="Z112" s="343"/>
      <c r="AA112" s="343"/>
      <c r="AB112" s="343"/>
      <c r="AC112" s="343"/>
      <c r="AD112" s="343"/>
      <c r="AE112" s="343"/>
      <c r="AF112" s="343"/>
    </row>
    <row r="113" spans="1:36">
      <c r="A113" s="21">
        <v>45128</v>
      </c>
      <c r="B113" s="17">
        <f>IF(YEAR(Table7[[#This Row],[Date]]) = 2023, WEEKNUM(Table7[[#This Row],[Date]])-13, WEEKNUM(Table7[[#This Row],[Date]])+40)</f>
        <v>16</v>
      </c>
      <c r="C113" s="34" t="s">
        <v>53</v>
      </c>
      <c r="D113" s="34" t="s">
        <v>94</v>
      </c>
      <c r="E113" s="1">
        <v>619</v>
      </c>
      <c r="F113" s="1">
        <v>572</v>
      </c>
      <c r="G113" s="80">
        <f>IFERROR((Table7[[#This Row],[Calls Off]]-E106)/E106,0%)</f>
        <v>-0.12570621468926554</v>
      </c>
      <c r="H113" s="80">
        <f>IFERROR((Table7[[#This Row],[Calls Ans]]-F106)/F106,0%)</f>
        <v>-0.13595166163141995</v>
      </c>
      <c r="I113" s="1"/>
      <c r="J113" s="1"/>
      <c r="K113" s="1"/>
      <c r="L113" s="1"/>
      <c r="M113" s="18">
        <v>0.82</v>
      </c>
      <c r="N113" s="18">
        <v>0.08</v>
      </c>
      <c r="O113" s="18">
        <v>0.92</v>
      </c>
      <c r="P113" s="18">
        <v>0.43</v>
      </c>
      <c r="Q113" s="18">
        <v>0.86</v>
      </c>
      <c r="R113" s="301">
        <v>170</v>
      </c>
      <c r="S113" s="143">
        <v>1.8055555555555557E-2</v>
      </c>
      <c r="T113" s="1">
        <v>9</v>
      </c>
      <c r="U113" s="354" t="str">
        <f t="shared" si="4"/>
        <v>Normal</v>
      </c>
      <c r="V113" s="354" t="str">
        <f t="shared" si="5"/>
        <v>Normal</v>
      </c>
      <c r="W113" s="359">
        <f t="shared" si="6"/>
        <v>-0.12570621468926554</v>
      </c>
      <c r="X113" s="359">
        <f t="shared" si="7"/>
        <v>-0.13595166163141995</v>
      </c>
      <c r="Y113" s="343"/>
      <c r="Z113" s="343"/>
      <c r="AA113" s="343"/>
      <c r="AB113" s="343"/>
      <c r="AC113" s="343"/>
      <c r="AD113" s="343"/>
      <c r="AE113" s="343"/>
      <c r="AF113" s="343"/>
    </row>
    <row r="114" spans="1:36">
      <c r="A114" s="21">
        <v>45129</v>
      </c>
      <c r="B114" s="17">
        <f>IF(YEAR(Table7[[#This Row],[Date]]) = 2023, WEEKNUM(Table7[[#This Row],[Date]])-13, WEEKNUM(Table7[[#This Row],[Date]])+40)</f>
        <v>16</v>
      </c>
      <c r="C114" s="34" t="s">
        <v>54</v>
      </c>
      <c r="D114" s="34" t="s">
        <v>94</v>
      </c>
      <c r="E114" s="1">
        <v>335</v>
      </c>
      <c r="F114" s="1">
        <v>323</v>
      </c>
      <c r="G114" s="80">
        <f>IFERROR((Table7[[#This Row],[Calls Off]]-E107)/E107,0%)</f>
        <v>-0.14974619289340102</v>
      </c>
      <c r="H114" s="80">
        <f>IFERROR((Table7[[#This Row],[Calls Ans]]-F107)/F107,0%)</f>
        <v>0.35714285714285715</v>
      </c>
      <c r="I114" s="1"/>
      <c r="J114" s="1"/>
      <c r="K114" s="1"/>
      <c r="L114" s="1"/>
      <c r="M114" s="18">
        <v>0.9</v>
      </c>
      <c r="N114" s="18">
        <v>0.04</v>
      </c>
      <c r="O114" s="18">
        <v>0.96</v>
      </c>
      <c r="P114" s="18">
        <v>0.31</v>
      </c>
      <c r="Q114" s="18">
        <v>0.91</v>
      </c>
      <c r="R114" s="301">
        <v>121</v>
      </c>
      <c r="S114" s="143">
        <v>5.5555555555555558E-3</v>
      </c>
      <c r="T114" s="1">
        <v>6</v>
      </c>
      <c r="U114" s="354" t="str">
        <f t="shared" si="4"/>
        <v>Normal</v>
      </c>
      <c r="V114" s="354" t="str">
        <f t="shared" si="5"/>
        <v>Outlier</v>
      </c>
      <c r="W114" s="359">
        <f t="shared" si="6"/>
        <v>-0.14974619289340102</v>
      </c>
      <c r="X114" s="359">
        <f t="shared" si="7"/>
        <v>0.35714285714285715</v>
      </c>
      <c r="Y114" s="343"/>
      <c r="Z114" s="343"/>
      <c r="AA114" s="343"/>
      <c r="AB114" s="343"/>
      <c r="AC114" s="343"/>
      <c r="AD114" s="343"/>
      <c r="AE114" s="343"/>
      <c r="AF114" s="343"/>
    </row>
    <row r="115" spans="1:36">
      <c r="A115" s="21">
        <v>45130</v>
      </c>
      <c r="B115" s="17">
        <f>IF(YEAR(Table7[[#This Row],[Date]]) = 2023, WEEKNUM(Table7[[#This Row],[Date]])-13, WEEKNUM(Table7[[#This Row],[Date]])+40)</f>
        <v>17</v>
      </c>
      <c r="C115" s="34" t="s">
        <v>48</v>
      </c>
      <c r="D115" s="34" t="s">
        <v>94</v>
      </c>
      <c r="E115" s="1">
        <v>0</v>
      </c>
      <c r="F115" s="1">
        <v>0</v>
      </c>
      <c r="G115" s="80">
        <f>IFERROR((Table7[[#This Row],[Calls Off]]-E108)/E108,0%)</f>
        <v>0</v>
      </c>
      <c r="H115" s="80">
        <f>IFERROR((Table7[[#This Row],[Calls Ans]]-F108)/F108,0%)</f>
        <v>0</v>
      </c>
      <c r="I115" s="1">
        <v>0</v>
      </c>
      <c r="J115" s="1">
        <v>0</v>
      </c>
      <c r="K115" s="1">
        <v>0</v>
      </c>
      <c r="L115" s="1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301">
        <v>0</v>
      </c>
      <c r="S115" s="143">
        <v>0</v>
      </c>
      <c r="T115" s="1">
        <v>0</v>
      </c>
      <c r="U115" s="354" t="str">
        <f t="shared" si="4"/>
        <v>Normal</v>
      </c>
      <c r="V115" s="354" t="str">
        <f t="shared" si="5"/>
        <v>Normal</v>
      </c>
      <c r="W115" s="359">
        <f t="shared" si="6"/>
        <v>0</v>
      </c>
      <c r="X115" s="359">
        <f t="shared" si="7"/>
        <v>0</v>
      </c>
      <c r="Y115" s="343"/>
      <c r="Z115" s="343"/>
      <c r="AA115" s="343"/>
      <c r="AB115" s="343"/>
      <c r="AC115" s="343"/>
      <c r="AD115" s="343"/>
      <c r="AE115" s="343"/>
      <c r="AF115" s="343"/>
    </row>
    <row r="116" spans="1:36">
      <c r="A116" s="21">
        <v>45131</v>
      </c>
      <c r="B116" s="17">
        <f>IF(YEAR(Table7[[#This Row],[Date]]) = 2023, WEEKNUM(Table7[[#This Row],[Date]])-13, WEEKNUM(Table7[[#This Row],[Date]])+40)</f>
        <v>17</v>
      </c>
      <c r="C116" s="34" t="s">
        <v>49</v>
      </c>
      <c r="D116" s="34" t="s">
        <v>94</v>
      </c>
      <c r="E116" s="1">
        <v>563</v>
      </c>
      <c r="F116" s="1">
        <v>533</v>
      </c>
      <c r="G116" s="80">
        <f>IFERROR((Table7[[#This Row],[Calls Off]]-E109)/E109,0%)</f>
        <v>-0.26018396846254926</v>
      </c>
      <c r="H116" s="80">
        <f>IFERROR((Table7[[#This Row],[Calls Ans]]-F109)/F109,0%)</f>
        <v>-0.15797788309636651</v>
      </c>
      <c r="I116" s="1"/>
      <c r="J116" s="1"/>
      <c r="K116" s="1"/>
      <c r="L116" s="1"/>
      <c r="M116" s="18">
        <v>0.88</v>
      </c>
      <c r="N116" s="18">
        <v>0.05</v>
      </c>
      <c r="O116" s="18">
        <v>0.95</v>
      </c>
      <c r="P116" s="18">
        <v>0.32</v>
      </c>
      <c r="Q116" s="18">
        <v>0.88</v>
      </c>
      <c r="R116" s="301">
        <v>151</v>
      </c>
      <c r="S116" s="143">
        <v>1.1805555555555555E-2</v>
      </c>
      <c r="T116" s="1">
        <v>10</v>
      </c>
      <c r="U116" s="354" t="str">
        <f t="shared" si="4"/>
        <v>Normal</v>
      </c>
      <c r="V116" s="354" t="str">
        <f t="shared" si="5"/>
        <v>Normal</v>
      </c>
      <c r="W116" s="359">
        <f t="shared" si="6"/>
        <v>-0.26018396846254926</v>
      </c>
      <c r="X116" s="359">
        <f t="shared" si="7"/>
        <v>-0.15797788309636651</v>
      </c>
      <c r="Y116" s="343"/>
      <c r="Z116" s="343"/>
      <c r="AA116" s="343"/>
      <c r="AB116" s="343"/>
      <c r="AC116" s="343"/>
      <c r="AD116" s="343"/>
      <c r="AE116" s="343"/>
      <c r="AF116" s="343"/>
    </row>
    <row r="117" spans="1:36">
      <c r="A117" s="21">
        <v>45132</v>
      </c>
      <c r="B117" s="17">
        <f>IF(YEAR(Table7[[#This Row],[Date]]) = 2023, WEEKNUM(Table7[[#This Row],[Date]])-13, WEEKNUM(Table7[[#This Row],[Date]])+40)</f>
        <v>17</v>
      </c>
      <c r="C117" s="34" t="s">
        <v>50</v>
      </c>
      <c r="D117" s="34" t="s">
        <v>94</v>
      </c>
      <c r="E117" s="1">
        <v>720</v>
      </c>
      <c r="F117" s="1">
        <v>676</v>
      </c>
      <c r="G117" s="80">
        <f>IFERROR((Table7[[#This Row],[Calls Off]]-E110)/E110,0%)</f>
        <v>0.13207547169811321</v>
      </c>
      <c r="H117" s="80">
        <f>IFERROR((Table7[[#This Row],[Calls Ans]]-F110)/F110,0%)</f>
        <v>0.16551724137931034</v>
      </c>
      <c r="I117" s="1"/>
      <c r="J117" s="1"/>
      <c r="K117" s="1"/>
      <c r="L117" s="1"/>
      <c r="M117" s="18">
        <v>0.8</v>
      </c>
      <c r="N117" s="18">
        <v>0.06</v>
      </c>
      <c r="O117" s="18">
        <v>0.94</v>
      </c>
      <c r="P117" s="18">
        <v>0.41</v>
      </c>
      <c r="Q117" s="18">
        <v>0.88</v>
      </c>
      <c r="R117" s="301">
        <v>139</v>
      </c>
      <c r="S117" s="143">
        <v>3.1944444444444449E-2</v>
      </c>
      <c r="T117" s="1">
        <v>10</v>
      </c>
      <c r="U117" s="354" t="str">
        <f t="shared" si="4"/>
        <v>Normal</v>
      </c>
      <c r="V117" s="354" t="str">
        <f t="shared" si="5"/>
        <v>Normal</v>
      </c>
      <c r="W117" s="359">
        <f t="shared" si="6"/>
        <v>0.13207547169811321</v>
      </c>
      <c r="X117" s="359">
        <f t="shared" si="7"/>
        <v>0.16551724137931034</v>
      </c>
      <c r="Y117" s="343"/>
      <c r="Z117" s="343"/>
      <c r="AA117" s="343"/>
      <c r="AB117" s="343"/>
      <c r="AC117" s="343"/>
      <c r="AD117" s="343"/>
      <c r="AE117" s="343"/>
      <c r="AF117" s="343"/>
    </row>
    <row r="118" spans="1:36">
      <c r="A118" s="21">
        <v>45133</v>
      </c>
      <c r="B118" s="17">
        <f>IF(YEAR(Table7[[#This Row],[Date]]) = 2023, WEEKNUM(Table7[[#This Row],[Date]])-13, WEEKNUM(Table7[[#This Row],[Date]])+40)</f>
        <v>17</v>
      </c>
      <c r="C118" s="34" t="s">
        <v>51</v>
      </c>
      <c r="D118" s="34" t="s">
        <v>94</v>
      </c>
      <c r="E118" s="1">
        <v>1126</v>
      </c>
      <c r="F118" s="1">
        <v>1090</v>
      </c>
      <c r="G118" s="80">
        <f>IFERROR((Table7[[#This Row],[Calls Off]]-E111)/E111,0%)</f>
        <v>0.96853146853146854</v>
      </c>
      <c r="H118" s="80">
        <f>IFERROR((Table7[[#This Row],[Calls Ans]]-F111)/F111,0%)</f>
        <v>1.0604914933837428</v>
      </c>
      <c r="I118" s="1"/>
      <c r="J118" s="1"/>
      <c r="K118" s="1"/>
      <c r="L118" s="1"/>
      <c r="M118" s="18">
        <v>0.84</v>
      </c>
      <c r="N118" s="18">
        <v>0.03</v>
      </c>
      <c r="O118" s="18">
        <v>0.97</v>
      </c>
      <c r="P118" s="18">
        <v>0.41</v>
      </c>
      <c r="Q118" s="18">
        <v>0.89</v>
      </c>
      <c r="R118" s="301">
        <v>114</v>
      </c>
      <c r="S118" s="143">
        <v>9.7222222222222224E-3</v>
      </c>
      <c r="T118" s="1">
        <v>10</v>
      </c>
      <c r="U118" s="354" t="str">
        <f t="shared" si="4"/>
        <v>Outlier</v>
      </c>
      <c r="V118" s="354" t="str">
        <f t="shared" si="5"/>
        <v>Outlier</v>
      </c>
      <c r="W118" s="359">
        <f t="shared" si="6"/>
        <v>0.96853146853146854</v>
      </c>
      <c r="X118" s="359">
        <f t="shared" si="7"/>
        <v>1.0604914933837428</v>
      </c>
      <c r="Y118" s="343"/>
      <c r="Z118" s="343"/>
      <c r="AA118" s="343"/>
      <c r="AB118" s="343"/>
      <c r="AC118" s="343"/>
      <c r="AD118" s="343"/>
      <c r="AE118" s="343"/>
      <c r="AF118" s="343"/>
    </row>
    <row r="119" spans="1:36">
      <c r="A119" s="21">
        <v>45134</v>
      </c>
      <c r="B119" s="17">
        <f>IF(YEAR(Table7[[#This Row],[Date]]) = 2023, WEEKNUM(Table7[[#This Row],[Date]])-13, WEEKNUM(Table7[[#This Row],[Date]])+40)</f>
        <v>17</v>
      </c>
      <c r="C119" s="34" t="s">
        <v>52</v>
      </c>
      <c r="D119" s="34" t="s">
        <v>94</v>
      </c>
      <c r="E119" s="1">
        <v>833</v>
      </c>
      <c r="F119" s="1">
        <v>722</v>
      </c>
      <c r="G119" s="80">
        <f>IFERROR((Table7[[#This Row],[Calls Off]]-E112)/E112,0%)</f>
        <v>0.22861356932153393</v>
      </c>
      <c r="H119" s="80">
        <f>IFERROR((Table7[[#This Row],[Calls Ans]]-F112)/F112,0%)</f>
        <v>0.27787610619469028</v>
      </c>
      <c r="I119" s="1"/>
      <c r="J119" s="1"/>
      <c r="K119" s="1"/>
      <c r="L119" s="1"/>
      <c r="M119" s="18">
        <v>0.52</v>
      </c>
      <c r="N119" s="18">
        <v>0.13</v>
      </c>
      <c r="O119" s="18">
        <v>0.87</v>
      </c>
      <c r="P119" s="18">
        <v>0.61</v>
      </c>
      <c r="Q119" s="18">
        <v>0.85</v>
      </c>
      <c r="R119" s="301">
        <v>152</v>
      </c>
      <c r="S119" s="143">
        <v>2.9166666666666664E-2</v>
      </c>
      <c r="T119" s="1">
        <v>8</v>
      </c>
      <c r="U119" s="354" t="str">
        <f t="shared" si="4"/>
        <v>Normal</v>
      </c>
      <c r="V119" s="354" t="str">
        <f t="shared" si="5"/>
        <v>Outlier</v>
      </c>
      <c r="W119" s="359">
        <f t="shared" si="6"/>
        <v>0.22861356932153393</v>
      </c>
      <c r="X119" s="359">
        <f t="shared" si="7"/>
        <v>0.27787610619469028</v>
      </c>
      <c r="Y119" s="343"/>
      <c r="Z119" s="343"/>
      <c r="AA119" s="343"/>
      <c r="AB119" s="343"/>
      <c r="AC119" s="343"/>
      <c r="AD119" s="343"/>
      <c r="AE119" s="343"/>
      <c r="AF119" s="343"/>
    </row>
    <row r="120" spans="1:36">
      <c r="A120" s="21">
        <v>45135</v>
      </c>
      <c r="B120" s="17">
        <f>IF(YEAR(Table7[[#This Row],[Date]]) = 2023, WEEKNUM(Table7[[#This Row],[Date]])-13, WEEKNUM(Table7[[#This Row],[Date]])+40)</f>
        <v>17</v>
      </c>
      <c r="C120" s="34" t="s">
        <v>53</v>
      </c>
      <c r="D120" s="34" t="s">
        <v>94</v>
      </c>
      <c r="E120" s="1">
        <v>663</v>
      </c>
      <c r="F120" s="1">
        <v>530</v>
      </c>
      <c r="G120" s="80">
        <f>IFERROR((Table7[[#This Row],[Calls Off]]-E113)/E113,0%)</f>
        <v>7.1082390953150248E-2</v>
      </c>
      <c r="H120" s="80">
        <f>IFERROR((Table7[[#This Row],[Calls Ans]]-F113)/F113,0%)</f>
        <v>-7.3426573426573424E-2</v>
      </c>
      <c r="I120" s="1"/>
      <c r="J120" s="1"/>
      <c r="K120" s="1"/>
      <c r="L120" s="1"/>
      <c r="M120" s="18">
        <v>0.46</v>
      </c>
      <c r="N120" s="18">
        <v>0.2</v>
      </c>
      <c r="O120" s="18">
        <v>0.8</v>
      </c>
      <c r="P120" s="18">
        <v>0.43</v>
      </c>
      <c r="Q120" s="18">
        <v>0.88</v>
      </c>
      <c r="R120" s="301">
        <v>124</v>
      </c>
      <c r="S120" s="143">
        <v>9.1666666666666674E-2</v>
      </c>
      <c r="T120" s="1">
        <v>6</v>
      </c>
      <c r="U120" s="354" t="str">
        <f t="shared" si="4"/>
        <v>Normal</v>
      </c>
      <c r="V120" s="354" t="str">
        <f t="shared" si="5"/>
        <v>Normal</v>
      </c>
      <c r="W120" s="359">
        <f t="shared" si="6"/>
        <v>7.1082390953150248E-2</v>
      </c>
      <c r="X120" s="359">
        <f t="shared" si="7"/>
        <v>-7.3426573426573424E-2</v>
      </c>
      <c r="Y120" s="343"/>
      <c r="Z120" s="343"/>
      <c r="AA120" s="343"/>
      <c r="AB120" s="343"/>
      <c r="AC120" s="343"/>
      <c r="AD120" s="343"/>
      <c r="AE120" s="343"/>
      <c r="AF120" s="343"/>
      <c r="AH120" t="s">
        <v>62</v>
      </c>
      <c r="AI120" s="16">
        <v>44682</v>
      </c>
    </row>
    <row r="121" spans="1:36">
      <c r="A121" s="21">
        <v>45136</v>
      </c>
      <c r="B121" s="17">
        <f>IF(YEAR(Table7[[#This Row],[Date]]) = 2023, WEEKNUM(Table7[[#This Row],[Date]])-13, WEEKNUM(Table7[[#This Row],[Date]])+40)</f>
        <v>17</v>
      </c>
      <c r="C121" s="34" t="s">
        <v>54</v>
      </c>
      <c r="D121" s="34" t="s">
        <v>94</v>
      </c>
      <c r="E121" s="1">
        <v>440</v>
      </c>
      <c r="F121" s="1">
        <v>152</v>
      </c>
      <c r="G121" s="80">
        <f>IFERROR((Table7[[#This Row],[Calls Off]]-E114)/E114,0%)</f>
        <v>0.31343283582089554</v>
      </c>
      <c r="H121" s="80">
        <f>IFERROR((Table7[[#This Row],[Calls Ans]]-F114)/F114,0%)</f>
        <v>-0.52941176470588236</v>
      </c>
      <c r="I121" s="1"/>
      <c r="J121" s="1"/>
      <c r="K121" s="1"/>
      <c r="L121" s="1"/>
      <c r="M121" s="18">
        <v>0.09</v>
      </c>
      <c r="N121" s="18">
        <v>0.65</v>
      </c>
      <c r="O121" s="18">
        <v>0.35</v>
      </c>
      <c r="P121" s="18">
        <v>0.71</v>
      </c>
      <c r="Q121" s="18">
        <v>0.89</v>
      </c>
      <c r="R121" s="301">
        <v>126</v>
      </c>
      <c r="S121" s="143">
        <v>0.3444444444444445</v>
      </c>
      <c r="T121" s="1">
        <v>3</v>
      </c>
      <c r="U121" s="354" t="str">
        <f t="shared" si="4"/>
        <v>Outlier</v>
      </c>
      <c r="V121" s="354" t="str">
        <f t="shared" si="5"/>
        <v>Outlier</v>
      </c>
      <c r="W121" s="359">
        <f t="shared" si="6"/>
        <v>0.31343283582089554</v>
      </c>
      <c r="X121" s="359">
        <f t="shared" si="7"/>
        <v>-0.52941176470588236</v>
      </c>
      <c r="Y121" s="343"/>
      <c r="Z121" s="343"/>
      <c r="AA121" s="343"/>
      <c r="AB121" s="343"/>
      <c r="AC121" s="343"/>
      <c r="AD121" s="343"/>
      <c r="AE121" s="343"/>
      <c r="AF121" s="343"/>
      <c r="AH121" t="s">
        <v>63</v>
      </c>
      <c r="AI121" s="16">
        <v>44704</v>
      </c>
    </row>
    <row r="122" spans="1:36">
      <c r="A122" s="21">
        <v>45137</v>
      </c>
      <c r="B122" s="17">
        <f>IF(YEAR(Table7[[#This Row],[Date]]) = 2023, WEEKNUM(Table7[[#This Row],[Date]])-13, WEEKNUM(Table7[[#This Row],[Date]])+40)</f>
        <v>18</v>
      </c>
      <c r="C122" s="34" t="s">
        <v>48</v>
      </c>
      <c r="D122" s="34" t="s">
        <v>94</v>
      </c>
      <c r="E122" s="1">
        <v>0</v>
      </c>
      <c r="F122" s="1">
        <v>0</v>
      </c>
      <c r="G122" s="80">
        <f>IFERROR((Table7[[#This Row],[Calls Off]]-E115)/E115,0%)</f>
        <v>0</v>
      </c>
      <c r="H122" s="80">
        <f>IFERROR((Table7[[#This Row],[Calls Ans]]-F115)/F115,0%)</f>
        <v>0</v>
      </c>
      <c r="I122" s="1">
        <v>0</v>
      </c>
      <c r="J122" s="1">
        <v>0</v>
      </c>
      <c r="K122" s="1">
        <v>0</v>
      </c>
      <c r="L122" s="1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301">
        <v>0</v>
      </c>
      <c r="S122" s="143">
        <v>0</v>
      </c>
      <c r="T122" s="1">
        <v>0</v>
      </c>
      <c r="U122" s="354" t="str">
        <f t="shared" si="4"/>
        <v>Normal</v>
      </c>
      <c r="V122" s="354" t="str">
        <f t="shared" si="5"/>
        <v>Normal</v>
      </c>
      <c r="W122" s="359">
        <f t="shared" si="6"/>
        <v>0</v>
      </c>
      <c r="X122" s="359">
        <f t="shared" si="7"/>
        <v>0</v>
      </c>
      <c r="Y122" s="343"/>
      <c r="Z122" s="343"/>
      <c r="AA122" s="343"/>
      <c r="AB122" s="343"/>
      <c r="AC122" s="343"/>
      <c r="AD122" s="343"/>
      <c r="AE122" s="343"/>
      <c r="AF122" s="343"/>
    </row>
    <row r="123" spans="1:36">
      <c r="A123" s="21">
        <v>45138</v>
      </c>
      <c r="B123" s="17">
        <f>IF(YEAR(Table7[[#This Row],[Date]]) = 2023, WEEKNUM(Table7[[#This Row],[Date]])-13, WEEKNUM(Table7[[#This Row],[Date]])+40)</f>
        <v>18</v>
      </c>
      <c r="C123" s="34" t="s">
        <v>49</v>
      </c>
      <c r="D123" s="34" t="s">
        <v>94</v>
      </c>
      <c r="E123" s="1">
        <v>983</v>
      </c>
      <c r="F123" s="1">
        <v>655</v>
      </c>
      <c r="G123" s="80">
        <f>IFERROR((Table7[[#This Row],[Calls Off]]-E116)/E116,0%)</f>
        <v>0.74600355239786853</v>
      </c>
      <c r="H123" s="80">
        <f>IFERROR((Table7[[#This Row],[Calls Ans]]-F116)/F116,0%)</f>
        <v>0.22889305816135083</v>
      </c>
      <c r="I123" s="1"/>
      <c r="J123" s="1"/>
      <c r="K123" s="1"/>
      <c r="L123" s="1"/>
      <c r="M123" s="18">
        <v>0.27</v>
      </c>
      <c r="N123" s="18">
        <v>0.33</v>
      </c>
      <c r="O123" s="18">
        <v>0.67</v>
      </c>
      <c r="P123" s="18">
        <v>0.66</v>
      </c>
      <c r="Q123" s="18">
        <v>0.87</v>
      </c>
      <c r="R123" s="301">
        <v>159</v>
      </c>
      <c r="S123" s="143">
        <v>0.12708333333333333</v>
      </c>
      <c r="T123" s="1">
        <v>3</v>
      </c>
      <c r="U123" s="354" t="str">
        <f t="shared" si="4"/>
        <v>Outlier</v>
      </c>
      <c r="V123" s="354" t="str">
        <f t="shared" si="5"/>
        <v>Normal</v>
      </c>
      <c r="W123" s="359">
        <f t="shared" si="6"/>
        <v>0.74600355239786853</v>
      </c>
      <c r="X123" s="359">
        <f t="shared" si="7"/>
        <v>0.22889305816135083</v>
      </c>
      <c r="Y123" s="343"/>
      <c r="Z123" s="343"/>
      <c r="AA123" s="343"/>
      <c r="AB123" s="343"/>
      <c r="AC123" s="343"/>
      <c r="AD123" s="343"/>
      <c r="AE123" s="343"/>
      <c r="AF123" s="343"/>
    </row>
    <row r="124" spans="1:36">
      <c r="A124" s="21">
        <v>45139</v>
      </c>
      <c r="B124" s="17">
        <f>IF(YEAR(Table7[[#This Row],[Date]]) = 2023, WEEKNUM(Table7[[#This Row],[Date]])-13, WEEKNUM(Table7[[#This Row],[Date]])+40)</f>
        <v>18</v>
      </c>
      <c r="C124" s="97" t="s">
        <v>64</v>
      </c>
      <c r="D124" s="34" t="s">
        <v>94</v>
      </c>
      <c r="E124" s="1">
        <v>0</v>
      </c>
      <c r="F124" s="1">
        <v>0</v>
      </c>
      <c r="G124" s="80">
        <v>0</v>
      </c>
      <c r="H124" s="80">
        <v>0</v>
      </c>
      <c r="I124" s="1">
        <v>0</v>
      </c>
      <c r="J124" s="1">
        <v>0</v>
      </c>
      <c r="K124" s="1">
        <v>0</v>
      </c>
      <c r="L124" s="1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301">
        <v>0</v>
      </c>
      <c r="S124" s="143">
        <v>0</v>
      </c>
      <c r="T124" s="1">
        <v>0</v>
      </c>
      <c r="U124" s="354" t="str">
        <f t="shared" si="4"/>
        <v>Normal</v>
      </c>
      <c r="V124" s="354" t="str">
        <f t="shared" si="5"/>
        <v>Normal</v>
      </c>
      <c r="W124" s="359">
        <f t="shared" si="6"/>
        <v>0</v>
      </c>
      <c r="X124" s="359">
        <f t="shared" si="7"/>
        <v>0</v>
      </c>
      <c r="Y124" s="343"/>
      <c r="Z124" s="343"/>
      <c r="AA124" s="343"/>
      <c r="AB124" s="343"/>
      <c r="AC124" s="343"/>
      <c r="AD124" s="343"/>
      <c r="AE124" s="343"/>
      <c r="AF124" s="343"/>
    </row>
    <row r="125" spans="1:36">
      <c r="A125" s="21">
        <v>45140</v>
      </c>
      <c r="B125" s="17">
        <f>IF(YEAR(Table7[[#This Row],[Date]]) = 2023, WEEKNUM(Table7[[#This Row],[Date]])-13, WEEKNUM(Table7[[#This Row],[Date]])+40)</f>
        <v>18</v>
      </c>
      <c r="C125" s="34" t="s">
        <v>51</v>
      </c>
      <c r="D125" s="34" t="s">
        <v>94</v>
      </c>
      <c r="E125" s="1">
        <v>882</v>
      </c>
      <c r="F125" s="1">
        <v>699</v>
      </c>
      <c r="G125" s="80">
        <f>IFERROR((Table7[[#This Row],[Calls Off]]-E118)/E118,0%)</f>
        <v>-0.21669626998223801</v>
      </c>
      <c r="H125" s="80">
        <f>IFERROR((Table7[[#This Row],[Calls Ans]]-F118)/F118,0%)</f>
        <v>-0.35871559633027522</v>
      </c>
      <c r="I125" s="1"/>
      <c r="J125" s="1"/>
      <c r="K125" s="1"/>
      <c r="L125" s="1"/>
      <c r="M125" s="18">
        <v>0.44</v>
      </c>
      <c r="N125" s="18">
        <v>0.21</v>
      </c>
      <c r="O125" s="18">
        <v>0.78</v>
      </c>
      <c r="P125" s="18">
        <v>0.56000000000000005</v>
      </c>
      <c r="Q125" s="18">
        <v>0.84</v>
      </c>
      <c r="R125" s="301">
        <v>162</v>
      </c>
      <c r="S125" s="143">
        <v>0.11180555555555556</v>
      </c>
      <c r="T125" s="1">
        <v>8</v>
      </c>
      <c r="U125" s="354" t="str">
        <f t="shared" si="4"/>
        <v>Normal</v>
      </c>
      <c r="V125" s="354" t="str">
        <f t="shared" si="5"/>
        <v>Outlier</v>
      </c>
      <c r="W125" s="359">
        <f t="shared" si="6"/>
        <v>-0.21669626998223801</v>
      </c>
      <c r="X125" s="359">
        <f t="shared" si="7"/>
        <v>-0.35871559633027522</v>
      </c>
      <c r="Y125" s="343"/>
      <c r="Z125" s="343"/>
      <c r="AA125" s="343"/>
      <c r="AB125" s="343"/>
      <c r="AC125" s="343"/>
      <c r="AD125" s="343"/>
      <c r="AE125" s="343"/>
      <c r="AF125" s="343"/>
    </row>
    <row r="126" spans="1:36">
      <c r="A126" s="21">
        <v>45141</v>
      </c>
      <c r="B126" s="17">
        <f>IF(YEAR(Table7[[#This Row],[Date]]) = 2023, WEEKNUM(Table7[[#This Row],[Date]])-13, WEEKNUM(Table7[[#This Row],[Date]])+40)</f>
        <v>18</v>
      </c>
      <c r="C126" s="34" t="s">
        <v>52</v>
      </c>
      <c r="D126" s="34" t="s">
        <v>94</v>
      </c>
      <c r="E126" s="1">
        <v>806</v>
      </c>
      <c r="F126" s="1">
        <v>640</v>
      </c>
      <c r="G126" s="80">
        <f>IFERROR((Table7[[#This Row],[Calls Off]]-E119)/E119,0%)</f>
        <v>-3.2412965186074429E-2</v>
      </c>
      <c r="H126" s="80">
        <f>IFERROR((Table7[[#This Row],[Calls Ans]]-F119)/F119,0%)</f>
        <v>-0.11357340720221606</v>
      </c>
      <c r="I126" s="1"/>
      <c r="J126" s="1"/>
      <c r="K126" s="1"/>
      <c r="L126" s="1"/>
      <c r="M126" s="18">
        <v>0.44</v>
      </c>
      <c r="N126" s="18">
        <v>0.21</v>
      </c>
      <c r="O126" s="18">
        <v>0.79</v>
      </c>
      <c r="P126" s="18">
        <v>0.56999999999999995</v>
      </c>
      <c r="Q126" s="18">
        <v>0.84</v>
      </c>
      <c r="R126" s="301">
        <v>161</v>
      </c>
      <c r="S126" s="143">
        <v>6.1111111111111116E-2</v>
      </c>
      <c r="T126" s="1">
        <v>7</v>
      </c>
      <c r="U126" s="354" t="str">
        <f t="shared" si="4"/>
        <v>Normal</v>
      </c>
      <c r="V126" s="354" t="str">
        <f t="shared" si="5"/>
        <v>Normal</v>
      </c>
      <c r="W126" s="359">
        <f t="shared" si="6"/>
        <v>-3.2412965186074429E-2</v>
      </c>
      <c r="X126" s="359">
        <f t="shared" si="7"/>
        <v>-0.11357340720221606</v>
      </c>
      <c r="Y126" s="343"/>
      <c r="Z126" s="343"/>
      <c r="AA126" s="343"/>
      <c r="AB126" s="343"/>
      <c r="AC126" s="343"/>
      <c r="AD126" s="343"/>
      <c r="AE126" s="343"/>
      <c r="AF126" s="343"/>
    </row>
    <row r="127" spans="1:36">
      <c r="A127" s="21">
        <v>45142</v>
      </c>
      <c r="B127" s="17">
        <f>IF(YEAR(Table7[[#This Row],[Date]]) = 2023, WEEKNUM(Table7[[#This Row],[Date]])-13, WEEKNUM(Table7[[#This Row],[Date]])+40)</f>
        <v>18</v>
      </c>
      <c r="C127" s="34" t="s">
        <v>53</v>
      </c>
      <c r="D127" s="34" t="s">
        <v>94</v>
      </c>
      <c r="E127" s="1">
        <v>714</v>
      </c>
      <c r="F127" s="1">
        <v>560</v>
      </c>
      <c r="G127" s="80">
        <f>IFERROR((Table7[[#This Row],[Calls Off]]-E120)/E120,0%)</f>
        <v>7.6923076923076927E-2</v>
      </c>
      <c r="H127" s="80">
        <f>IFERROR((Table7[[#This Row],[Calls Ans]]-F120)/F120,0%)</f>
        <v>5.6603773584905662E-2</v>
      </c>
      <c r="I127" s="1"/>
      <c r="J127" s="1"/>
      <c r="K127" s="1"/>
      <c r="L127" s="1"/>
      <c r="M127" s="18">
        <v>0.47</v>
      </c>
      <c r="N127" s="18">
        <v>0.22</v>
      </c>
      <c r="O127" s="18">
        <v>0.78</v>
      </c>
      <c r="P127" s="18">
        <v>0.56000000000000005</v>
      </c>
      <c r="Q127" s="18">
        <v>0.83</v>
      </c>
      <c r="R127" s="301">
        <v>148</v>
      </c>
      <c r="S127" s="143">
        <v>5.9027777777777783E-2</v>
      </c>
      <c r="T127" s="1">
        <v>6</v>
      </c>
      <c r="U127" s="354" t="str">
        <f t="shared" si="4"/>
        <v>Normal</v>
      </c>
      <c r="V127" s="354" t="str">
        <f t="shared" si="5"/>
        <v>Normal</v>
      </c>
      <c r="W127" s="359">
        <f t="shared" si="6"/>
        <v>7.6923076923076927E-2</v>
      </c>
      <c r="X127" s="359">
        <f t="shared" si="7"/>
        <v>5.6603773584905662E-2</v>
      </c>
      <c r="Y127" s="343"/>
      <c r="Z127" s="343"/>
      <c r="AA127" s="343"/>
      <c r="AB127" s="343"/>
      <c r="AC127" s="343"/>
      <c r="AD127" s="343"/>
      <c r="AE127" s="343"/>
      <c r="AF127" s="343"/>
    </row>
    <row r="128" spans="1:36">
      <c r="A128" s="21">
        <v>45143</v>
      </c>
      <c r="B128" s="17">
        <f>IF(YEAR(Table7[[#This Row],[Date]]) = 2023, WEEKNUM(Table7[[#This Row],[Date]])-13, WEEKNUM(Table7[[#This Row],[Date]])+40)</f>
        <v>18</v>
      </c>
      <c r="C128" s="34" t="s">
        <v>54</v>
      </c>
      <c r="D128" s="34" t="s">
        <v>94</v>
      </c>
      <c r="E128" s="1">
        <v>467</v>
      </c>
      <c r="F128" s="1">
        <v>222</v>
      </c>
      <c r="G128" s="80">
        <f>IFERROR((Table7[[#This Row],[Calls Off]]-E121)/E121,0%)</f>
        <v>6.1363636363636363E-2</v>
      </c>
      <c r="H128" s="80">
        <f>IFERROR((Table7[[#This Row],[Calls Ans]]-F121)/F121,0%)</f>
        <v>0.46052631578947367</v>
      </c>
      <c r="I128" s="1"/>
      <c r="J128" s="1"/>
      <c r="K128" s="1"/>
      <c r="L128" s="1"/>
      <c r="M128" s="18">
        <v>0.11</v>
      </c>
      <c r="N128" s="18">
        <v>0.52</v>
      </c>
      <c r="O128" s="18">
        <v>0.48</v>
      </c>
      <c r="P128" s="18">
        <v>0.66</v>
      </c>
      <c r="Q128" s="18">
        <v>0.88</v>
      </c>
      <c r="R128" s="301">
        <v>316</v>
      </c>
      <c r="S128" s="143">
        <v>9.5138888888888884E-2</v>
      </c>
      <c r="T128" s="1">
        <v>3</v>
      </c>
      <c r="U128" s="354" t="str">
        <f t="shared" si="4"/>
        <v>Normal</v>
      </c>
      <c r="V128" s="354" t="str">
        <f t="shared" si="5"/>
        <v>Outlier</v>
      </c>
      <c r="W128" s="359">
        <f t="shared" si="6"/>
        <v>6.1363636363636363E-2</v>
      </c>
      <c r="X128" s="359">
        <f t="shared" si="7"/>
        <v>0.46052631578947367</v>
      </c>
      <c r="Y128" s="343"/>
      <c r="Z128" s="343"/>
      <c r="AA128" s="343"/>
      <c r="AB128" s="343"/>
      <c r="AC128" s="343"/>
      <c r="AD128" s="343"/>
      <c r="AE128" s="343"/>
      <c r="AF128" s="343"/>
      <c r="AH128" s="48"/>
      <c r="AI128" s="48"/>
      <c r="AJ128" s="48"/>
    </row>
    <row r="129" spans="1:36">
      <c r="A129" s="21">
        <v>45144</v>
      </c>
      <c r="B129" s="17">
        <f>IF(YEAR(Table7[[#This Row],[Date]]) = 2023, WEEKNUM(Table7[[#This Row],[Date]])-13, WEEKNUM(Table7[[#This Row],[Date]])+40)</f>
        <v>19</v>
      </c>
      <c r="C129" s="34" t="s">
        <v>48</v>
      </c>
      <c r="D129" s="34" t="s">
        <v>94</v>
      </c>
      <c r="E129" s="1">
        <v>0</v>
      </c>
      <c r="F129" s="1">
        <v>0</v>
      </c>
      <c r="G129" s="80">
        <f>IFERROR((Table7[[#This Row],[Calls Off]]-E122)/E122,0%)</f>
        <v>0</v>
      </c>
      <c r="H129" s="80">
        <f>IFERROR((Table7[[#This Row],[Calls Ans]]-F122)/F122,0%)</f>
        <v>0</v>
      </c>
      <c r="I129" s="1">
        <v>0</v>
      </c>
      <c r="J129" s="1">
        <v>0</v>
      </c>
      <c r="K129" s="1">
        <v>0</v>
      </c>
      <c r="L129" s="1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301">
        <v>0</v>
      </c>
      <c r="S129" s="143">
        <v>0</v>
      </c>
      <c r="T129" s="1">
        <v>0</v>
      </c>
      <c r="U129" s="354" t="str">
        <f t="shared" si="4"/>
        <v>Normal</v>
      </c>
      <c r="V129" s="354" t="str">
        <f t="shared" si="5"/>
        <v>Normal</v>
      </c>
      <c r="W129" s="359">
        <f t="shared" si="6"/>
        <v>0</v>
      </c>
      <c r="X129" s="359">
        <f t="shared" si="7"/>
        <v>0</v>
      </c>
      <c r="Y129" s="343"/>
      <c r="Z129" s="343"/>
      <c r="AA129" s="343"/>
      <c r="AB129" s="343"/>
      <c r="AC129" s="343"/>
      <c r="AD129" s="343"/>
      <c r="AE129" s="343"/>
      <c r="AF129" s="343"/>
    </row>
    <row r="130" spans="1:36">
      <c r="A130" s="21">
        <v>45145</v>
      </c>
      <c r="B130" s="17">
        <f>IF(YEAR(Table7[[#This Row],[Date]]) = 2023, WEEKNUM(Table7[[#This Row],[Date]])-13, WEEKNUM(Table7[[#This Row],[Date]])+40)</f>
        <v>19</v>
      </c>
      <c r="C130" s="34" t="s">
        <v>49</v>
      </c>
      <c r="D130" s="34" t="s">
        <v>94</v>
      </c>
      <c r="E130" s="1">
        <v>968</v>
      </c>
      <c r="F130" s="1">
        <v>855</v>
      </c>
      <c r="G130" s="80">
        <f>IFERROR((Table7[[#This Row],[Calls Off]]-E123)/E123,0%)</f>
        <v>-1.5259409969481181E-2</v>
      </c>
      <c r="H130" s="80">
        <f>IFERROR((Table7[[#This Row],[Calls Ans]]-F123)/F123,0%)</f>
        <v>0.30534351145038169</v>
      </c>
      <c r="I130" s="1"/>
      <c r="J130" s="1"/>
      <c r="K130" s="1"/>
      <c r="L130" s="1"/>
      <c r="M130" s="18">
        <v>0.5</v>
      </c>
      <c r="N130" s="18">
        <v>0.12</v>
      </c>
      <c r="O130" s="18">
        <v>0.88</v>
      </c>
      <c r="P130" s="18">
        <v>0.55000000000000004</v>
      </c>
      <c r="Q130" s="18">
        <v>0.79</v>
      </c>
      <c r="R130" s="301">
        <v>169</v>
      </c>
      <c r="S130" s="143">
        <v>4.2361111111111106E-2</v>
      </c>
      <c r="T130" s="1">
        <v>9</v>
      </c>
      <c r="U130" s="354" t="str">
        <f t="shared" si="4"/>
        <v>Normal</v>
      </c>
      <c r="V130" s="354" t="str">
        <f t="shared" si="5"/>
        <v>Outlier</v>
      </c>
      <c r="W130" s="359">
        <f t="shared" si="6"/>
        <v>-1.5259409969481181E-2</v>
      </c>
      <c r="X130" s="359">
        <f t="shared" si="7"/>
        <v>0.30534351145038169</v>
      </c>
      <c r="Y130" s="343"/>
      <c r="Z130" s="343"/>
      <c r="AA130" s="343"/>
      <c r="AB130" s="343"/>
      <c r="AC130" s="343"/>
      <c r="AD130" s="343"/>
      <c r="AE130" s="343"/>
      <c r="AF130" s="343"/>
    </row>
    <row r="131" spans="1:36">
      <c r="A131" s="21">
        <v>45146</v>
      </c>
      <c r="B131" s="17">
        <f>IF(YEAR(Table7[[#This Row],[Date]]) = 2023, WEEKNUM(Table7[[#This Row],[Date]])-13, WEEKNUM(Table7[[#This Row],[Date]])+40)</f>
        <v>19</v>
      </c>
      <c r="C131" s="34" t="s">
        <v>50</v>
      </c>
      <c r="D131" s="34" t="s">
        <v>94</v>
      </c>
      <c r="E131" s="1">
        <v>709</v>
      </c>
      <c r="F131" s="1">
        <v>679</v>
      </c>
      <c r="G131" s="80">
        <f>IFERROR((Table7[[#This Row],[Calls Off]]-E124)/E124,0%)</f>
        <v>0</v>
      </c>
      <c r="H131" s="80">
        <f>IFERROR((Table7[[#This Row],[Calls Ans]]-F124)/F124,0%)</f>
        <v>0</v>
      </c>
      <c r="I131" s="1"/>
      <c r="J131" s="1"/>
      <c r="K131" s="1"/>
      <c r="L131" s="1"/>
      <c r="M131" s="18">
        <v>0.87</v>
      </c>
      <c r="N131" s="18">
        <v>0.04</v>
      </c>
      <c r="O131" s="18">
        <v>0.96</v>
      </c>
      <c r="P131" s="18">
        <v>0.43</v>
      </c>
      <c r="Q131" s="18">
        <v>0.82</v>
      </c>
      <c r="R131" s="301">
        <v>147</v>
      </c>
      <c r="S131" s="143">
        <v>9.0277777777777787E-3</v>
      </c>
      <c r="T131" s="1">
        <v>11</v>
      </c>
      <c r="U131" s="354" t="str">
        <f t="shared" ref="U131:U194" si="8">IF(OR(G131&lt;$AA$5,G131&gt;$AB$5), "Outlier", "Normal")</f>
        <v>Normal</v>
      </c>
      <c r="V131" s="354" t="str">
        <f t="shared" ref="V131:V194" si="9">IF(OR(H131&lt;$AA$6,H131&gt;$AB$6), "Outlier", "Normal")</f>
        <v>Normal</v>
      </c>
      <c r="W131" s="359">
        <f t="shared" ref="W131:W194" si="10">IF(U131="Normal",$G131,IF($G131&lt;150%, $G131, $AA$9))</f>
        <v>0</v>
      </c>
      <c r="X131" s="359">
        <f t="shared" ref="X131:X194" si="11">IF(V131="Normal",$H131,IF($H131&lt;150%, $H131, $AE$9))</f>
        <v>0</v>
      </c>
      <c r="Y131" s="343"/>
      <c r="Z131" s="343"/>
      <c r="AA131" s="343"/>
      <c r="AB131" s="343"/>
      <c r="AC131" s="343"/>
      <c r="AD131" s="343"/>
      <c r="AE131" s="343"/>
      <c r="AF131" s="343"/>
    </row>
    <row r="132" spans="1:36">
      <c r="A132" s="21">
        <v>45147</v>
      </c>
      <c r="B132" s="17">
        <f>IF(YEAR(Table7[[#This Row],[Date]]) = 2023, WEEKNUM(Table7[[#This Row],[Date]])-13, WEEKNUM(Table7[[#This Row],[Date]])+40)</f>
        <v>19</v>
      </c>
      <c r="C132" s="33" t="s">
        <v>51</v>
      </c>
      <c r="D132" s="34" t="s">
        <v>94</v>
      </c>
      <c r="E132" s="1">
        <v>156</v>
      </c>
      <c r="F132" s="1">
        <v>152</v>
      </c>
      <c r="G132" s="80">
        <f>IFERROR((Table7[[#This Row],[Calls Off]]-E125)/E125,0%)</f>
        <v>-0.8231292517006803</v>
      </c>
      <c r="H132" s="80">
        <f>IFERROR((Table7[[#This Row],[Calls Ans]]-F125)/F125,0%)</f>
        <v>-0.7825464949928469</v>
      </c>
      <c r="I132" s="1"/>
      <c r="J132" s="1"/>
      <c r="K132" s="1"/>
      <c r="L132" s="1"/>
      <c r="M132" s="18">
        <v>0.93</v>
      </c>
      <c r="N132" s="18">
        <v>0.03</v>
      </c>
      <c r="O132" s="18">
        <v>0.97</v>
      </c>
      <c r="P132" s="18">
        <v>0.09</v>
      </c>
      <c r="Q132" s="18">
        <v>0.85</v>
      </c>
      <c r="R132" s="301">
        <v>166</v>
      </c>
      <c r="S132" s="143">
        <v>1.3194444444444444E-2</v>
      </c>
      <c r="T132" s="1">
        <v>11</v>
      </c>
      <c r="U132" s="354" t="str">
        <f t="shared" si="8"/>
        <v>Outlier</v>
      </c>
      <c r="V132" s="354" t="str">
        <f t="shared" si="9"/>
        <v>Outlier</v>
      </c>
      <c r="W132" s="359">
        <f t="shared" si="10"/>
        <v>-0.8231292517006803</v>
      </c>
      <c r="X132" s="359">
        <f t="shared" si="11"/>
        <v>-0.7825464949928469</v>
      </c>
      <c r="Y132" s="343"/>
      <c r="Z132" s="343"/>
      <c r="AA132" s="343"/>
      <c r="AB132" s="343"/>
      <c r="AC132" s="343"/>
      <c r="AD132" s="343"/>
      <c r="AE132" s="343"/>
      <c r="AF132" s="343"/>
    </row>
    <row r="133" spans="1:36">
      <c r="A133" s="21">
        <v>45148</v>
      </c>
      <c r="B133" s="17">
        <f>IF(YEAR(Table7[[#This Row],[Date]]) = 2023, WEEKNUM(Table7[[#This Row],[Date]])-13, WEEKNUM(Table7[[#This Row],[Date]])+40)</f>
        <v>19</v>
      </c>
      <c r="C133" s="34" t="s">
        <v>52</v>
      </c>
      <c r="D133" s="34" t="s">
        <v>94</v>
      </c>
      <c r="E133" s="1">
        <v>812</v>
      </c>
      <c r="F133" s="1">
        <v>665</v>
      </c>
      <c r="G133" s="80">
        <f>IFERROR((Table7[[#This Row],[Calls Off]]-E126)/E126,0%)</f>
        <v>7.4441687344913151E-3</v>
      </c>
      <c r="H133" s="80">
        <f>IFERROR((Table7[[#This Row],[Calls Ans]]-F126)/F126,0%)</f>
        <v>3.90625E-2</v>
      </c>
      <c r="I133" s="1"/>
      <c r="J133" s="1"/>
      <c r="K133" s="1"/>
      <c r="L133" s="1"/>
      <c r="M133" s="18">
        <v>0.6</v>
      </c>
      <c r="N133" s="18">
        <v>0.18</v>
      </c>
      <c r="O133" s="18">
        <v>0.82</v>
      </c>
      <c r="P133" s="18">
        <v>0.56999999999999995</v>
      </c>
      <c r="Q133" s="18">
        <v>0.79</v>
      </c>
      <c r="R133" s="301">
        <v>132</v>
      </c>
      <c r="S133" s="143">
        <v>3.8194444444444441E-2</v>
      </c>
      <c r="T133" s="1">
        <v>9</v>
      </c>
      <c r="U133" s="354" t="str">
        <f t="shared" si="8"/>
        <v>Normal</v>
      </c>
      <c r="V133" s="354" t="str">
        <f t="shared" si="9"/>
        <v>Normal</v>
      </c>
      <c r="W133" s="359">
        <f t="shared" si="10"/>
        <v>7.4441687344913151E-3</v>
      </c>
      <c r="X133" s="359">
        <f t="shared" si="11"/>
        <v>3.90625E-2</v>
      </c>
      <c r="Y133" s="343"/>
      <c r="Z133" s="343"/>
      <c r="AA133" s="343"/>
      <c r="AB133" s="343"/>
      <c r="AC133" s="343"/>
      <c r="AD133" s="343"/>
      <c r="AE133" s="343"/>
      <c r="AF133" s="343"/>
    </row>
    <row r="134" spans="1:36">
      <c r="A134" s="21">
        <v>45149</v>
      </c>
      <c r="B134" s="17">
        <f>IF(YEAR(Table7[[#This Row],[Date]]) = 2023, WEEKNUM(Table7[[#This Row],[Date]])-13, WEEKNUM(Table7[[#This Row],[Date]])+40)</f>
        <v>19</v>
      </c>
      <c r="C134" s="34" t="s">
        <v>53</v>
      </c>
      <c r="D134" s="34" t="s">
        <v>94</v>
      </c>
      <c r="E134" s="1">
        <v>753</v>
      </c>
      <c r="F134" s="1">
        <v>710</v>
      </c>
      <c r="G134" s="80">
        <f>IFERROR((Table7[[#This Row],[Calls Off]]-E127)/E127,0%)</f>
        <v>5.4621848739495799E-2</v>
      </c>
      <c r="H134" s="80">
        <f>IFERROR((Table7[[#This Row],[Calls Ans]]-F127)/F127,0%)</f>
        <v>0.26785714285714285</v>
      </c>
      <c r="I134" s="1"/>
      <c r="J134" s="1"/>
      <c r="K134" s="1"/>
      <c r="L134" s="1"/>
      <c r="M134" s="18">
        <v>0.82</v>
      </c>
      <c r="N134" s="18">
        <v>0.06</v>
      </c>
      <c r="O134" s="18">
        <v>0.94</v>
      </c>
      <c r="P134" s="18">
        <v>0.45</v>
      </c>
      <c r="Q134" s="18">
        <v>0.8</v>
      </c>
      <c r="R134" s="301">
        <v>139</v>
      </c>
      <c r="S134" s="143">
        <v>1.7361111111111112E-2</v>
      </c>
      <c r="T134" s="1">
        <v>10</v>
      </c>
      <c r="U134" s="354" t="str">
        <f t="shared" si="8"/>
        <v>Normal</v>
      </c>
      <c r="V134" s="354" t="str">
        <f t="shared" si="9"/>
        <v>Normal</v>
      </c>
      <c r="W134" s="359">
        <f t="shared" si="10"/>
        <v>5.4621848739495799E-2</v>
      </c>
      <c r="X134" s="359">
        <f t="shared" si="11"/>
        <v>0.26785714285714285</v>
      </c>
      <c r="Y134" s="343"/>
      <c r="Z134" s="343"/>
      <c r="AA134" s="343"/>
      <c r="AB134" s="343"/>
      <c r="AC134" s="343"/>
      <c r="AD134" s="343"/>
      <c r="AE134" s="343"/>
      <c r="AF134" s="343"/>
    </row>
    <row r="135" spans="1:36">
      <c r="A135" s="21">
        <v>45150</v>
      </c>
      <c r="B135" s="17">
        <f>IF(YEAR(Table7[[#This Row],[Date]]) = 2023, WEEKNUM(Table7[[#This Row],[Date]])-13, WEEKNUM(Table7[[#This Row],[Date]])+40)</f>
        <v>19</v>
      </c>
      <c r="C135" s="34" t="s">
        <v>54</v>
      </c>
      <c r="D135" s="34" t="s">
        <v>94</v>
      </c>
      <c r="E135" s="1">
        <v>335</v>
      </c>
      <c r="F135" s="1">
        <v>189</v>
      </c>
      <c r="G135" s="80">
        <f>IFERROR((Table7[[#This Row],[Calls Off]]-E128)/E128,0%)</f>
        <v>-0.28265524625267668</v>
      </c>
      <c r="H135" s="80">
        <f>IFERROR((Table7[[#This Row],[Calls Ans]]-F128)/F128,0%)</f>
        <v>-0.14864864864864866</v>
      </c>
      <c r="I135" s="1"/>
      <c r="J135" s="1"/>
      <c r="K135" s="1"/>
      <c r="L135" s="1"/>
      <c r="M135" s="18">
        <v>0.24</v>
      </c>
      <c r="N135" s="18">
        <v>0.44</v>
      </c>
      <c r="O135" s="18">
        <v>0.56000000000000005</v>
      </c>
      <c r="P135" s="18">
        <v>0.37</v>
      </c>
      <c r="Q135" s="18">
        <v>0.79</v>
      </c>
      <c r="R135" s="301">
        <v>186</v>
      </c>
      <c r="S135" s="143">
        <v>0.11875000000000001</v>
      </c>
      <c r="T135" s="1">
        <v>4</v>
      </c>
      <c r="U135" s="354" t="str">
        <f t="shared" si="8"/>
        <v>Normal</v>
      </c>
      <c r="V135" s="354" t="str">
        <f t="shared" si="9"/>
        <v>Normal</v>
      </c>
      <c r="W135" s="359">
        <f t="shared" si="10"/>
        <v>-0.28265524625267668</v>
      </c>
      <c r="X135" s="359">
        <f t="shared" si="11"/>
        <v>-0.14864864864864866</v>
      </c>
      <c r="Y135" s="343"/>
      <c r="Z135" s="343"/>
      <c r="AA135" s="343"/>
      <c r="AB135" s="343"/>
      <c r="AC135" s="343"/>
      <c r="AD135" s="343"/>
      <c r="AE135" s="343"/>
      <c r="AF135" s="343"/>
    </row>
    <row r="136" spans="1:36">
      <c r="A136" s="21">
        <v>45151</v>
      </c>
      <c r="B136" s="17">
        <f>IF(YEAR(Table7[[#This Row],[Date]]) = 2023, WEEKNUM(Table7[[#This Row],[Date]])-13, WEEKNUM(Table7[[#This Row],[Date]])+40)</f>
        <v>20</v>
      </c>
      <c r="C136" s="34" t="s">
        <v>48</v>
      </c>
      <c r="D136" s="34" t="s">
        <v>94</v>
      </c>
      <c r="E136" s="1">
        <v>0</v>
      </c>
      <c r="F136" s="1">
        <v>0</v>
      </c>
      <c r="G136" s="80">
        <f>IFERROR((Table7[[#This Row],[Calls Off]]-E129)/E129,0%)</f>
        <v>0</v>
      </c>
      <c r="H136" s="80">
        <f>IFERROR((Table7[[#This Row],[Calls Ans]]-F129)/F129,0%)</f>
        <v>0</v>
      </c>
      <c r="I136" s="1">
        <v>0</v>
      </c>
      <c r="J136" s="1">
        <v>0</v>
      </c>
      <c r="K136" s="1">
        <v>0</v>
      </c>
      <c r="L136" s="1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301">
        <v>0</v>
      </c>
      <c r="S136" s="143">
        <v>0</v>
      </c>
      <c r="T136" s="1">
        <v>0</v>
      </c>
      <c r="U136" s="354" t="str">
        <f t="shared" si="8"/>
        <v>Normal</v>
      </c>
      <c r="V136" s="354" t="str">
        <f t="shared" si="9"/>
        <v>Normal</v>
      </c>
      <c r="W136" s="359">
        <f t="shared" si="10"/>
        <v>0</v>
      </c>
      <c r="X136" s="359">
        <f t="shared" si="11"/>
        <v>0</v>
      </c>
      <c r="Y136" s="343"/>
      <c r="Z136" s="343"/>
      <c r="AA136" s="343"/>
      <c r="AB136" s="343"/>
      <c r="AC136" s="343"/>
      <c r="AD136" s="343"/>
      <c r="AE136" s="343"/>
      <c r="AF136" s="343"/>
    </row>
    <row r="137" spans="1:36">
      <c r="A137" s="21">
        <v>45152</v>
      </c>
      <c r="B137" s="17">
        <f>IF(YEAR(Table7[[#This Row],[Date]]) = 2023, WEEKNUM(Table7[[#This Row],[Date]])-13, WEEKNUM(Table7[[#This Row],[Date]])+40)</f>
        <v>20</v>
      </c>
      <c r="C137" s="34" t="s">
        <v>49</v>
      </c>
      <c r="D137" s="34" t="s">
        <v>94</v>
      </c>
      <c r="E137" s="1">
        <v>503</v>
      </c>
      <c r="F137" s="1">
        <v>422</v>
      </c>
      <c r="G137" s="80">
        <f>IFERROR((Table7[[#This Row],[Calls Off]]-E130)/E130,0%)</f>
        <v>-0.48037190082644626</v>
      </c>
      <c r="H137" s="80">
        <f>IFERROR((Table7[[#This Row],[Calls Ans]]-F130)/F130,0%)</f>
        <v>-0.50643274853801168</v>
      </c>
      <c r="I137" s="1"/>
      <c r="J137" s="1"/>
      <c r="K137" s="1"/>
      <c r="L137" s="1"/>
      <c r="M137" s="18">
        <v>0.68</v>
      </c>
      <c r="N137" s="18">
        <v>0.16</v>
      </c>
      <c r="O137" s="18">
        <v>0.84</v>
      </c>
      <c r="P137" s="18">
        <v>0.45</v>
      </c>
      <c r="Q137" s="18">
        <v>0.83</v>
      </c>
      <c r="R137" s="301">
        <v>173</v>
      </c>
      <c r="S137" s="143">
        <v>4.027777777777778E-2</v>
      </c>
      <c r="T137" s="1">
        <v>9</v>
      </c>
      <c r="U137" s="354" t="str">
        <f t="shared" si="8"/>
        <v>Outlier</v>
      </c>
      <c r="V137" s="354" t="str">
        <f t="shared" si="9"/>
        <v>Outlier</v>
      </c>
      <c r="W137" s="359">
        <f t="shared" si="10"/>
        <v>-0.48037190082644626</v>
      </c>
      <c r="X137" s="359">
        <f t="shared" si="11"/>
        <v>-0.50643274853801168</v>
      </c>
      <c r="Y137" s="343"/>
      <c r="Z137" s="343"/>
      <c r="AA137" s="343"/>
      <c r="AB137" s="343"/>
      <c r="AC137" s="343"/>
      <c r="AD137" s="343"/>
      <c r="AE137" s="343"/>
      <c r="AF137" s="343"/>
    </row>
    <row r="138" spans="1:36">
      <c r="A138" s="21">
        <v>45153</v>
      </c>
      <c r="B138" s="17">
        <f>IF(YEAR(Table7[[#This Row],[Date]]) = 2023, WEEKNUM(Table7[[#This Row],[Date]])-13, WEEKNUM(Table7[[#This Row],[Date]])+40)</f>
        <v>20</v>
      </c>
      <c r="C138" s="34" t="s">
        <v>50</v>
      </c>
      <c r="D138" s="34" t="s">
        <v>94</v>
      </c>
      <c r="E138" s="1">
        <v>1034</v>
      </c>
      <c r="F138" s="1">
        <v>976</v>
      </c>
      <c r="G138" s="80">
        <f>IFERROR((Table7[[#This Row],[Calls Off]]-E131)/E131,0%)</f>
        <v>0.45839210155148097</v>
      </c>
      <c r="H138" s="80">
        <f>IFERROR((Table7[[#This Row],[Calls Ans]]-F131)/F131,0%)</f>
        <v>0.4374079528718704</v>
      </c>
      <c r="I138" s="1"/>
      <c r="J138" s="1"/>
      <c r="K138" s="1"/>
      <c r="L138" s="1"/>
      <c r="M138" s="18">
        <v>0.8</v>
      </c>
      <c r="N138" s="18">
        <v>0.06</v>
      </c>
      <c r="O138" s="18">
        <v>0.94</v>
      </c>
      <c r="P138" s="18">
        <v>0.51</v>
      </c>
      <c r="Q138" s="18">
        <v>0.84</v>
      </c>
      <c r="R138" s="301">
        <v>156</v>
      </c>
      <c r="S138" s="143">
        <v>1.7361111111111112E-2</v>
      </c>
      <c r="T138" s="1">
        <v>10</v>
      </c>
      <c r="U138" s="354" t="str">
        <f t="shared" si="8"/>
        <v>Outlier</v>
      </c>
      <c r="V138" s="354" t="str">
        <f t="shared" si="9"/>
        <v>Outlier</v>
      </c>
      <c r="W138" s="359">
        <f t="shared" si="10"/>
        <v>0.45839210155148097</v>
      </c>
      <c r="X138" s="359">
        <f t="shared" si="11"/>
        <v>0.4374079528718704</v>
      </c>
      <c r="Y138" s="343"/>
      <c r="Z138" s="343"/>
      <c r="AA138" s="343"/>
      <c r="AB138" s="343"/>
      <c r="AC138" s="343"/>
      <c r="AD138" s="343"/>
      <c r="AE138" s="343"/>
      <c r="AF138" s="343"/>
    </row>
    <row r="139" spans="1:36">
      <c r="A139" s="21">
        <v>45154</v>
      </c>
      <c r="B139" s="17">
        <f>IF(YEAR(Table7[[#This Row],[Date]]) = 2023, WEEKNUM(Table7[[#This Row],[Date]])-13, WEEKNUM(Table7[[#This Row],[Date]])+40)</f>
        <v>20</v>
      </c>
      <c r="C139" s="34" t="s">
        <v>51</v>
      </c>
      <c r="D139" s="34" t="s">
        <v>94</v>
      </c>
      <c r="E139" s="1">
        <v>895</v>
      </c>
      <c r="F139" s="1">
        <v>593</v>
      </c>
      <c r="G139" s="80">
        <f>IFERROR((Table7[[#This Row],[Calls Off]]-E132)/E132,0%)</f>
        <v>4.7371794871794872</v>
      </c>
      <c r="H139" s="80">
        <f>IFERROR((Table7[[#This Row],[Calls Ans]]-F132)/F132,0%)</f>
        <v>2.9013157894736841</v>
      </c>
      <c r="I139" s="1"/>
      <c r="J139" s="1"/>
      <c r="K139" s="1"/>
      <c r="L139" s="1"/>
      <c r="M139" s="18">
        <v>0.36</v>
      </c>
      <c r="N139" s="18">
        <v>0.34</v>
      </c>
      <c r="O139" s="18">
        <v>0.66</v>
      </c>
      <c r="P139" s="18">
        <v>0.56000000000000005</v>
      </c>
      <c r="Q139" s="18">
        <v>0.77</v>
      </c>
      <c r="R139" s="301">
        <v>173</v>
      </c>
      <c r="S139" s="143">
        <v>9.4444444444444442E-2</v>
      </c>
      <c r="T139" s="1">
        <v>7</v>
      </c>
      <c r="U139" s="354" t="str">
        <f t="shared" si="8"/>
        <v>Outlier</v>
      </c>
      <c r="V139" s="354" t="str">
        <f t="shared" si="9"/>
        <v>Outlier</v>
      </c>
      <c r="W139" s="359">
        <f t="shared" si="10"/>
        <v>6.2255569879478473E-2</v>
      </c>
      <c r="X139" s="359">
        <f t="shared" si="11"/>
        <v>6.3318336160613942E-2</v>
      </c>
      <c r="Y139" s="343"/>
      <c r="Z139" s="343"/>
      <c r="AA139" s="343"/>
      <c r="AB139" s="343"/>
      <c r="AC139" s="343"/>
      <c r="AD139" s="343"/>
      <c r="AE139" s="343"/>
      <c r="AF139" s="343"/>
    </row>
    <row r="140" spans="1:36">
      <c r="A140" s="21">
        <v>45155</v>
      </c>
      <c r="B140" s="17">
        <f>IF(YEAR(Table7[[#This Row],[Date]]) = 2023, WEEKNUM(Table7[[#This Row],[Date]])-13, WEEKNUM(Table7[[#This Row],[Date]])+40)</f>
        <v>20</v>
      </c>
      <c r="C140" s="34" t="s">
        <v>52</v>
      </c>
      <c r="D140" s="34" t="s">
        <v>94</v>
      </c>
      <c r="E140" s="1">
        <v>815</v>
      </c>
      <c r="F140" s="1">
        <v>618</v>
      </c>
      <c r="G140" s="80">
        <f>IFERROR((Table7[[#This Row],[Calls Off]]-E133)/E133,0%)</f>
        <v>3.6945812807881772E-3</v>
      </c>
      <c r="H140" s="80">
        <f>IFERROR((Table7[[#This Row],[Calls Ans]]-F133)/F133,0%)</f>
        <v>-7.067669172932331E-2</v>
      </c>
      <c r="I140" s="1"/>
      <c r="J140" s="1"/>
      <c r="K140" s="1"/>
      <c r="L140" s="1"/>
      <c r="M140" s="18">
        <v>0.57999999999999996</v>
      </c>
      <c r="N140" s="18">
        <v>0.24</v>
      </c>
      <c r="O140" s="18">
        <v>0.76</v>
      </c>
      <c r="P140" s="18">
        <v>0.46</v>
      </c>
      <c r="Q140" s="18">
        <v>0.81</v>
      </c>
      <c r="R140" s="301">
        <v>154</v>
      </c>
      <c r="S140" s="143">
        <v>5.2083333333333336E-2</v>
      </c>
      <c r="T140" s="1">
        <v>8</v>
      </c>
      <c r="U140" s="354" t="str">
        <f t="shared" si="8"/>
        <v>Normal</v>
      </c>
      <c r="V140" s="354" t="str">
        <f t="shared" si="9"/>
        <v>Normal</v>
      </c>
      <c r="W140" s="359">
        <f t="shared" si="10"/>
        <v>3.6945812807881772E-3</v>
      </c>
      <c r="X140" s="359">
        <f t="shared" si="11"/>
        <v>-7.067669172932331E-2</v>
      </c>
      <c r="Y140" s="343"/>
      <c r="Z140" s="343"/>
      <c r="AA140" s="343"/>
      <c r="AB140" s="343"/>
      <c r="AC140" s="343"/>
      <c r="AD140" s="343"/>
      <c r="AE140" s="343"/>
      <c r="AF140" s="343"/>
    </row>
    <row r="141" spans="1:36">
      <c r="A141" s="21">
        <v>45156</v>
      </c>
      <c r="B141" s="17">
        <f>IF(YEAR(Table7[[#This Row],[Date]]) = 2023, WEEKNUM(Table7[[#This Row],[Date]])-13, WEEKNUM(Table7[[#This Row],[Date]])+40)</f>
        <v>20</v>
      </c>
      <c r="C141" s="34" t="s">
        <v>53</v>
      </c>
      <c r="D141" s="34" t="s">
        <v>94</v>
      </c>
      <c r="E141" s="1">
        <v>705</v>
      </c>
      <c r="F141" s="1">
        <v>598</v>
      </c>
      <c r="G141" s="80">
        <f>IFERROR((Table7[[#This Row],[Calls Off]]-E134)/E134,0%)</f>
        <v>-6.3745019920318724E-2</v>
      </c>
      <c r="H141" s="80">
        <f>IFERROR((Table7[[#This Row],[Calls Ans]]-F134)/F134,0%)</f>
        <v>-0.15774647887323945</v>
      </c>
      <c r="I141" s="1"/>
      <c r="J141" s="1"/>
      <c r="K141" s="1"/>
      <c r="L141" s="1"/>
      <c r="M141" s="18">
        <v>0.59</v>
      </c>
      <c r="N141" s="18">
        <v>0.15</v>
      </c>
      <c r="O141" s="18">
        <v>0.85</v>
      </c>
      <c r="P141" s="18">
        <v>0.59</v>
      </c>
      <c r="Q141" s="18">
        <v>0.85</v>
      </c>
      <c r="R141" s="301">
        <v>165</v>
      </c>
      <c r="S141" s="143">
        <v>3.2638888888888891E-2</v>
      </c>
      <c r="T141" s="1">
        <v>6</v>
      </c>
      <c r="U141" s="354" t="str">
        <f t="shared" si="8"/>
        <v>Normal</v>
      </c>
      <c r="V141" s="354" t="str">
        <f t="shared" si="9"/>
        <v>Normal</v>
      </c>
      <c r="W141" s="359">
        <f t="shared" si="10"/>
        <v>-6.3745019920318724E-2</v>
      </c>
      <c r="X141" s="359">
        <f t="shared" si="11"/>
        <v>-0.15774647887323945</v>
      </c>
      <c r="Y141" s="343"/>
      <c r="Z141" s="343"/>
      <c r="AA141" s="343"/>
      <c r="AB141" s="343"/>
      <c r="AC141" s="343"/>
      <c r="AD141" s="343"/>
      <c r="AE141" s="343"/>
      <c r="AF141" s="343"/>
      <c r="AI141" s="430" t="s">
        <v>83</v>
      </c>
      <c r="AJ141" s="430"/>
    </row>
    <row r="142" spans="1:36">
      <c r="A142" s="21">
        <v>45157</v>
      </c>
      <c r="B142" s="17">
        <f>IF(YEAR(Table7[[#This Row],[Date]]) = 2023, WEEKNUM(Table7[[#This Row],[Date]])-13, WEEKNUM(Table7[[#This Row],[Date]])+40)</f>
        <v>20</v>
      </c>
      <c r="C142" s="34" t="s">
        <v>54</v>
      </c>
      <c r="D142" s="34" t="s">
        <v>94</v>
      </c>
      <c r="E142" s="1">
        <v>388</v>
      </c>
      <c r="F142" s="1">
        <v>280</v>
      </c>
      <c r="G142" s="80">
        <f>IFERROR((Table7[[#This Row],[Calls Off]]-E135)/E135,0%)</f>
        <v>0.15820895522388059</v>
      </c>
      <c r="H142" s="80">
        <f>IFERROR((Table7[[#This Row],[Calls Ans]]-F135)/F135,0%)</f>
        <v>0.48148148148148145</v>
      </c>
      <c r="I142" s="1"/>
      <c r="J142" s="1"/>
      <c r="K142" s="1"/>
      <c r="L142" s="1"/>
      <c r="M142" s="18">
        <v>0.28999999999999998</v>
      </c>
      <c r="N142" s="18">
        <v>0.28000000000000003</v>
      </c>
      <c r="O142" s="18">
        <v>0.72</v>
      </c>
      <c r="P142" s="18">
        <v>0.51</v>
      </c>
      <c r="Q142" s="18">
        <v>0.89</v>
      </c>
      <c r="R142" s="301">
        <v>167</v>
      </c>
      <c r="S142" s="143">
        <v>8.3333333333333329E-2</v>
      </c>
      <c r="T142" s="1">
        <v>4</v>
      </c>
      <c r="U142" s="354" t="str">
        <f t="shared" si="8"/>
        <v>Normal</v>
      </c>
      <c r="V142" s="354" t="str">
        <f t="shared" si="9"/>
        <v>Outlier</v>
      </c>
      <c r="W142" s="359">
        <f t="shared" si="10"/>
        <v>0.15820895522388059</v>
      </c>
      <c r="X142" s="359">
        <f t="shared" si="11"/>
        <v>0.48148148148148145</v>
      </c>
      <c r="Y142" s="343"/>
      <c r="Z142" s="343"/>
      <c r="AA142" s="343"/>
      <c r="AB142" s="343"/>
      <c r="AC142" s="343"/>
      <c r="AD142" s="343"/>
      <c r="AE142" s="343"/>
      <c r="AF142" s="343"/>
      <c r="AI142" t="s">
        <v>84</v>
      </c>
      <c r="AJ142" t="s">
        <v>85</v>
      </c>
    </row>
    <row r="143" spans="1:36">
      <c r="A143" s="21">
        <v>45158</v>
      </c>
      <c r="B143" s="17">
        <f>IF(YEAR(Table7[[#This Row],[Date]]) = 2023, WEEKNUM(Table7[[#This Row],[Date]])-13, WEEKNUM(Table7[[#This Row],[Date]])+40)</f>
        <v>21</v>
      </c>
      <c r="C143" s="34" t="s">
        <v>48</v>
      </c>
      <c r="D143" s="34" t="s">
        <v>94</v>
      </c>
      <c r="E143" s="1">
        <v>0</v>
      </c>
      <c r="F143" s="1">
        <v>0</v>
      </c>
      <c r="G143" s="80">
        <f>IFERROR((Table7[[#This Row],[Calls Off]]-E136)/E136,0%)</f>
        <v>0</v>
      </c>
      <c r="H143" s="80">
        <f>IFERROR((Table7[[#This Row],[Calls Ans]]-F136)/F136,0%)</f>
        <v>0</v>
      </c>
      <c r="I143" s="1">
        <v>0</v>
      </c>
      <c r="J143" s="1">
        <v>0</v>
      </c>
      <c r="K143" s="1">
        <v>0</v>
      </c>
      <c r="L143" s="1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301">
        <v>0</v>
      </c>
      <c r="S143" s="143">
        <v>0</v>
      </c>
      <c r="T143" s="1">
        <v>0</v>
      </c>
      <c r="U143" s="354" t="str">
        <f t="shared" si="8"/>
        <v>Normal</v>
      </c>
      <c r="V143" s="354" t="str">
        <f t="shared" si="9"/>
        <v>Normal</v>
      </c>
      <c r="W143" s="359">
        <f t="shared" si="10"/>
        <v>0</v>
      </c>
      <c r="X143" s="359">
        <f t="shared" si="11"/>
        <v>0</v>
      </c>
      <c r="Y143" s="343"/>
      <c r="Z143" s="343"/>
      <c r="AA143" s="343"/>
      <c r="AB143" s="343"/>
      <c r="AC143" s="343"/>
      <c r="AD143" s="343"/>
      <c r="AE143" s="343"/>
      <c r="AF143" s="343"/>
      <c r="AI143" t="s">
        <v>86</v>
      </c>
      <c r="AJ143" s="147">
        <v>0</v>
      </c>
    </row>
    <row r="144" spans="1:36">
      <c r="A144" s="21">
        <v>45159</v>
      </c>
      <c r="B144" s="17">
        <f>IF(YEAR(Table7[[#This Row],[Date]]) = 2023, WEEKNUM(Table7[[#This Row],[Date]])-13, WEEKNUM(Table7[[#This Row],[Date]])+40)</f>
        <v>21</v>
      </c>
      <c r="C144" s="34" t="s">
        <v>49</v>
      </c>
      <c r="D144" s="34" t="s">
        <v>94</v>
      </c>
      <c r="E144" s="1">
        <v>785</v>
      </c>
      <c r="F144" s="1">
        <v>697</v>
      </c>
      <c r="G144" s="80">
        <f>IFERROR((Table7[[#This Row],[Calls Off]]-E137)/E137,0%)</f>
        <v>0.56063618290258455</v>
      </c>
      <c r="H144" s="80">
        <f>IFERROR((Table7[[#This Row],[Calls Ans]]-F137)/F137,0%)</f>
        <v>0.65165876777251186</v>
      </c>
      <c r="I144" s="1"/>
      <c r="J144" s="1"/>
      <c r="K144" s="1"/>
      <c r="L144" s="1"/>
      <c r="M144" s="18">
        <v>0.74</v>
      </c>
      <c r="N144" s="18">
        <v>0.11</v>
      </c>
      <c r="O144" s="18">
        <v>0.89</v>
      </c>
      <c r="P144" s="18">
        <v>0.47</v>
      </c>
      <c r="Q144" s="18">
        <v>0.84</v>
      </c>
      <c r="R144" s="301">
        <v>153</v>
      </c>
      <c r="S144" s="143">
        <v>1.6666666666666666E-2</v>
      </c>
      <c r="T144" s="1">
        <v>9</v>
      </c>
      <c r="U144" s="354" t="str">
        <f t="shared" si="8"/>
        <v>Outlier</v>
      </c>
      <c r="V144" s="354" t="str">
        <f t="shared" si="9"/>
        <v>Outlier</v>
      </c>
      <c r="W144" s="359">
        <f t="shared" si="10"/>
        <v>0.56063618290258455</v>
      </c>
      <c r="X144" s="359">
        <f t="shared" si="11"/>
        <v>0.65165876777251186</v>
      </c>
      <c r="Y144" s="343"/>
      <c r="Z144" s="343"/>
      <c r="AA144" s="343"/>
      <c r="AB144" s="343"/>
      <c r="AC144" s="343"/>
      <c r="AD144" s="343"/>
      <c r="AE144" s="343"/>
      <c r="AF144" s="343"/>
      <c r="AI144" t="s">
        <v>87</v>
      </c>
      <c r="AJ144" s="147">
        <v>0.10416666666666667</v>
      </c>
    </row>
    <row r="145" spans="1:36">
      <c r="A145" s="21">
        <v>45160</v>
      </c>
      <c r="B145" s="17">
        <f>IF(YEAR(Table7[[#This Row],[Date]]) = 2023, WEEKNUM(Table7[[#This Row],[Date]])-13, WEEKNUM(Table7[[#This Row],[Date]])+40)</f>
        <v>21</v>
      </c>
      <c r="C145" s="34" t="s">
        <v>50</v>
      </c>
      <c r="D145" s="34" t="s">
        <v>94</v>
      </c>
      <c r="E145" s="1">
        <v>658</v>
      </c>
      <c r="F145" s="1">
        <v>599</v>
      </c>
      <c r="G145" s="80">
        <f>IFERROR((Table7[[#This Row],[Calls Off]]-E138)/E138,0%)</f>
        <v>-0.36363636363636365</v>
      </c>
      <c r="H145" s="80">
        <f>IFERROR((Table7[[#This Row],[Calls Ans]]-F138)/F138,0%)</f>
        <v>-0.38627049180327871</v>
      </c>
      <c r="I145" s="1"/>
      <c r="J145" s="1"/>
      <c r="K145" s="1"/>
      <c r="L145" s="1"/>
      <c r="M145" s="18">
        <v>0.81</v>
      </c>
      <c r="N145" s="18">
        <v>0.09</v>
      </c>
      <c r="O145" s="18">
        <v>0.91</v>
      </c>
      <c r="P145" s="18">
        <v>0.39</v>
      </c>
      <c r="Q145" s="18">
        <v>0.86</v>
      </c>
      <c r="R145" s="301">
        <v>140</v>
      </c>
      <c r="S145" s="143">
        <v>1.2499999999999999E-2</v>
      </c>
      <c r="T145" s="1">
        <v>9</v>
      </c>
      <c r="U145" s="354" t="str">
        <f t="shared" si="8"/>
        <v>Outlier</v>
      </c>
      <c r="V145" s="354" t="str">
        <f t="shared" si="9"/>
        <v>Outlier</v>
      </c>
      <c r="W145" s="359">
        <f t="shared" si="10"/>
        <v>-0.36363636363636365</v>
      </c>
      <c r="X145" s="359">
        <f t="shared" si="11"/>
        <v>-0.38627049180327871</v>
      </c>
      <c r="Y145" s="343"/>
      <c r="Z145" s="343"/>
      <c r="AA145" s="343"/>
      <c r="AB145" s="343"/>
      <c r="AC145" s="343"/>
      <c r="AD145" s="343"/>
      <c r="AE145" s="343"/>
      <c r="AF145" s="343"/>
      <c r="AI145" t="s">
        <v>88</v>
      </c>
      <c r="AJ145" s="147">
        <v>0.10416666666666667</v>
      </c>
    </row>
    <row r="146" spans="1:36">
      <c r="A146" s="21">
        <v>45161</v>
      </c>
      <c r="B146" s="17">
        <f>IF(YEAR(Table7[[#This Row],[Date]]) = 2023, WEEKNUM(Table7[[#This Row],[Date]])-13, WEEKNUM(Table7[[#This Row],[Date]])+40)</f>
        <v>21</v>
      </c>
      <c r="C146" s="34" t="s">
        <v>51</v>
      </c>
      <c r="D146" s="34" t="s">
        <v>94</v>
      </c>
      <c r="E146" s="1">
        <v>551</v>
      </c>
      <c r="F146" s="1">
        <v>422</v>
      </c>
      <c r="G146" s="80">
        <f>IFERROR((Table7[[#This Row],[Calls Off]]-E139)/E139,0%)</f>
        <v>-0.38435754189944132</v>
      </c>
      <c r="H146" s="80">
        <f>IFERROR((Table7[[#This Row],[Calls Ans]]-F139)/F139,0%)</f>
        <v>-0.28836424957841483</v>
      </c>
      <c r="I146" s="1"/>
      <c r="J146" s="1"/>
      <c r="K146" s="1"/>
      <c r="L146" s="1"/>
      <c r="M146" s="18">
        <v>0.43</v>
      </c>
      <c r="N146" s="18">
        <v>0.23</v>
      </c>
      <c r="O146" s="18">
        <v>0.77</v>
      </c>
      <c r="P146" s="18">
        <v>0.41</v>
      </c>
      <c r="Q146" s="18">
        <v>0.83</v>
      </c>
      <c r="R146" s="301">
        <v>180</v>
      </c>
      <c r="S146" s="143">
        <v>6.805555555555555E-2</v>
      </c>
      <c r="T146" s="1">
        <v>7</v>
      </c>
      <c r="U146" s="354" t="str">
        <f t="shared" si="8"/>
        <v>Outlier</v>
      </c>
      <c r="V146" s="354" t="str">
        <f t="shared" si="9"/>
        <v>Outlier</v>
      </c>
      <c r="W146" s="359">
        <f t="shared" si="10"/>
        <v>-0.38435754189944132</v>
      </c>
      <c r="X146" s="359">
        <f t="shared" si="11"/>
        <v>-0.28836424957841483</v>
      </c>
      <c r="Y146" s="343"/>
      <c r="Z146" s="343"/>
      <c r="AA146" s="343"/>
      <c r="AB146" s="343"/>
      <c r="AC146" s="343"/>
      <c r="AD146" s="343"/>
      <c r="AE146" s="343"/>
      <c r="AF146" s="343"/>
      <c r="AI146" t="s">
        <v>89</v>
      </c>
      <c r="AJ146" s="147">
        <v>0.20833333333333334</v>
      </c>
    </row>
    <row r="147" spans="1:36">
      <c r="A147" s="21">
        <v>45162</v>
      </c>
      <c r="B147" s="17">
        <f>IF(YEAR(Table7[[#This Row],[Date]]) = 2023, WEEKNUM(Table7[[#This Row],[Date]])-13, WEEKNUM(Table7[[#This Row],[Date]])+40)</f>
        <v>21</v>
      </c>
      <c r="C147" s="34" t="s">
        <v>52</v>
      </c>
      <c r="D147" s="34" t="s">
        <v>94</v>
      </c>
      <c r="E147" s="1">
        <v>788</v>
      </c>
      <c r="F147" s="1">
        <v>704</v>
      </c>
      <c r="G147" s="80">
        <f>IFERROR((Table7[[#This Row],[Calls Off]]-E140)/E140,0%)</f>
        <v>-3.3128834355828224E-2</v>
      </c>
      <c r="H147" s="80">
        <f>IFERROR((Table7[[#This Row],[Calls Ans]]-F140)/F140,0%)</f>
        <v>0.13915857605177995</v>
      </c>
      <c r="I147" s="1"/>
      <c r="J147" s="1"/>
      <c r="K147" s="1"/>
      <c r="L147" s="1"/>
      <c r="M147" s="18">
        <v>0.74</v>
      </c>
      <c r="N147" s="18">
        <v>0.11</v>
      </c>
      <c r="O147" s="18">
        <v>0.89</v>
      </c>
      <c r="P147" s="18">
        <v>0.46</v>
      </c>
      <c r="Q147" s="18">
        <v>0.87</v>
      </c>
      <c r="R147" s="301">
        <v>138</v>
      </c>
      <c r="S147" s="143">
        <v>1.8749999999999999E-2</v>
      </c>
      <c r="T147" s="1">
        <v>8</v>
      </c>
      <c r="U147" s="354" t="str">
        <f t="shared" si="8"/>
        <v>Normal</v>
      </c>
      <c r="V147" s="354" t="str">
        <f t="shared" si="9"/>
        <v>Normal</v>
      </c>
      <c r="W147" s="359">
        <f t="shared" si="10"/>
        <v>-3.3128834355828224E-2</v>
      </c>
      <c r="X147" s="359">
        <f t="shared" si="11"/>
        <v>0.13915857605177995</v>
      </c>
      <c r="Y147" s="343"/>
      <c r="Z147" s="343"/>
      <c r="AA147" s="343"/>
      <c r="AB147" s="343"/>
      <c r="AC147" s="343"/>
      <c r="AD147" s="343"/>
      <c r="AE147" s="343"/>
      <c r="AF147" s="343"/>
      <c r="AI147" t="s">
        <v>85</v>
      </c>
      <c r="AJ147" s="147" t="e">
        <v>#N/A</v>
      </c>
    </row>
    <row r="148" spans="1:36">
      <c r="A148" s="21">
        <v>45163</v>
      </c>
      <c r="B148" s="17">
        <f>IF(YEAR(Table7[[#This Row],[Date]]) = 2023, WEEKNUM(Table7[[#This Row],[Date]])-13, WEEKNUM(Table7[[#This Row],[Date]])+40)</f>
        <v>21</v>
      </c>
      <c r="C148" s="34" t="s">
        <v>53</v>
      </c>
      <c r="D148" s="34" t="s">
        <v>94</v>
      </c>
      <c r="E148" s="1">
        <v>682</v>
      </c>
      <c r="F148" s="1">
        <v>491</v>
      </c>
      <c r="G148" s="80">
        <f>IFERROR((Table7[[#This Row],[Calls Off]]-E141)/E141,0%)</f>
        <v>-3.2624113475177303E-2</v>
      </c>
      <c r="H148" s="80">
        <f>IFERROR((Table7[[#This Row],[Calls Ans]]-F141)/F141,0%)</f>
        <v>-0.17892976588628762</v>
      </c>
      <c r="I148" s="1"/>
      <c r="J148" s="1"/>
      <c r="K148" s="1"/>
      <c r="L148" s="1"/>
      <c r="M148" s="18">
        <v>0.45</v>
      </c>
      <c r="N148" s="18">
        <v>0.28000000000000003</v>
      </c>
      <c r="O148" s="18">
        <v>0.72</v>
      </c>
      <c r="P148" s="18">
        <v>0.72</v>
      </c>
      <c r="Q148" s="18">
        <v>0.81</v>
      </c>
      <c r="R148" s="301">
        <v>122</v>
      </c>
      <c r="S148" s="143">
        <v>0.10416666666666667</v>
      </c>
      <c r="T148" s="1">
        <v>6</v>
      </c>
      <c r="U148" s="354" t="str">
        <f t="shared" si="8"/>
        <v>Normal</v>
      </c>
      <c r="V148" s="354" t="str">
        <f t="shared" si="9"/>
        <v>Normal</v>
      </c>
      <c r="W148" s="359">
        <f t="shared" si="10"/>
        <v>-3.2624113475177303E-2</v>
      </c>
      <c r="X148" s="359">
        <f t="shared" si="11"/>
        <v>-0.17892976588628762</v>
      </c>
      <c r="Y148" s="343"/>
      <c r="Z148" s="343"/>
      <c r="AA148" s="343"/>
      <c r="AB148" s="343"/>
      <c r="AC148" s="343"/>
      <c r="AD148" s="343"/>
      <c r="AE148" s="343"/>
      <c r="AF148" s="343"/>
    </row>
    <row r="149" spans="1:36">
      <c r="A149" s="21">
        <v>45164</v>
      </c>
      <c r="B149" s="17">
        <f>IF(YEAR(Table7[[#This Row],[Date]]) = 2023, WEEKNUM(Table7[[#This Row],[Date]])-13, WEEKNUM(Table7[[#This Row],[Date]])+40)</f>
        <v>21</v>
      </c>
      <c r="C149" s="34" t="s">
        <v>54</v>
      </c>
      <c r="D149" s="34" t="s">
        <v>94</v>
      </c>
      <c r="E149" s="1">
        <v>403</v>
      </c>
      <c r="F149" s="1">
        <v>305</v>
      </c>
      <c r="G149" s="80">
        <f>IFERROR((Table7[[#This Row],[Calls Off]]-E142)/E142,0%)</f>
        <v>3.8659793814432991E-2</v>
      </c>
      <c r="H149" s="80">
        <f>IFERROR((Table7[[#This Row],[Calls Ans]]-F142)/F142,0%)</f>
        <v>8.9285714285714288E-2</v>
      </c>
      <c r="I149" s="1"/>
      <c r="J149" s="1"/>
      <c r="K149" s="1"/>
      <c r="L149" s="1"/>
      <c r="M149" s="18">
        <v>0.41</v>
      </c>
      <c r="N149" s="18">
        <v>0.24</v>
      </c>
      <c r="O149" s="18">
        <v>0.76</v>
      </c>
      <c r="P149" s="18">
        <v>0.61</v>
      </c>
      <c r="Q149" s="18">
        <v>0.89</v>
      </c>
      <c r="R149" s="301">
        <v>160</v>
      </c>
      <c r="S149" s="143">
        <v>6.3194444444444442E-2</v>
      </c>
      <c r="T149" s="1">
        <v>5</v>
      </c>
      <c r="U149" s="354" t="str">
        <f t="shared" si="8"/>
        <v>Normal</v>
      </c>
      <c r="V149" s="354" t="str">
        <f t="shared" si="9"/>
        <v>Normal</v>
      </c>
      <c r="W149" s="359">
        <f t="shared" si="10"/>
        <v>3.8659793814432991E-2</v>
      </c>
      <c r="X149" s="359">
        <f t="shared" si="11"/>
        <v>8.9285714285714288E-2</v>
      </c>
      <c r="Y149" s="343"/>
      <c r="Z149" s="343"/>
      <c r="AA149" s="343"/>
      <c r="AB149" s="343"/>
      <c r="AC149" s="343"/>
      <c r="AD149" s="343"/>
      <c r="AE149" s="343"/>
      <c r="AF149" s="343"/>
    </row>
    <row r="150" spans="1:36">
      <c r="A150" s="21">
        <v>45165</v>
      </c>
      <c r="B150" s="17">
        <f>IF(YEAR(Table7[[#This Row],[Date]]) = 2023, WEEKNUM(Table7[[#This Row],[Date]])-13, WEEKNUM(Table7[[#This Row],[Date]])+40)</f>
        <v>22</v>
      </c>
      <c r="C150" s="34" t="s">
        <v>48</v>
      </c>
      <c r="D150" s="34" t="s">
        <v>94</v>
      </c>
      <c r="E150" s="1">
        <v>0</v>
      </c>
      <c r="F150" s="1">
        <v>0</v>
      </c>
      <c r="G150" s="80">
        <f>IFERROR((Table7[[#This Row],[Calls Off]]-E143)/E143,0%)</f>
        <v>0</v>
      </c>
      <c r="H150" s="80">
        <f>IFERROR((Table7[[#This Row],[Calls Ans]]-F143)/F143,0%)</f>
        <v>0</v>
      </c>
      <c r="I150" s="1">
        <v>0</v>
      </c>
      <c r="J150" s="1">
        <v>0</v>
      </c>
      <c r="K150" s="1">
        <v>0</v>
      </c>
      <c r="L150" s="1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301">
        <v>0</v>
      </c>
      <c r="S150" s="143">
        <v>0</v>
      </c>
      <c r="T150" s="1">
        <v>0</v>
      </c>
      <c r="U150" s="354" t="str">
        <f t="shared" si="8"/>
        <v>Normal</v>
      </c>
      <c r="V150" s="354" t="str">
        <f t="shared" si="9"/>
        <v>Normal</v>
      </c>
      <c r="W150" s="359">
        <f t="shared" si="10"/>
        <v>0</v>
      </c>
      <c r="X150" s="359">
        <f t="shared" si="11"/>
        <v>0</v>
      </c>
      <c r="Y150" s="343"/>
      <c r="Z150" s="343"/>
      <c r="AA150" s="343"/>
      <c r="AB150" s="343"/>
      <c r="AC150" s="343"/>
      <c r="AD150" s="343"/>
      <c r="AE150" s="343"/>
      <c r="AF150" s="343"/>
    </row>
    <row r="151" spans="1:36">
      <c r="A151" s="21">
        <v>45166</v>
      </c>
      <c r="B151" s="17">
        <f>IF(YEAR(Table7[[#This Row],[Date]]) = 2023, WEEKNUM(Table7[[#This Row],[Date]])-13, WEEKNUM(Table7[[#This Row],[Date]])+40)</f>
        <v>22</v>
      </c>
      <c r="C151" s="34" t="s">
        <v>49</v>
      </c>
      <c r="D151" s="34" t="s">
        <v>94</v>
      </c>
      <c r="E151" s="1">
        <v>783</v>
      </c>
      <c r="F151" s="1">
        <v>706</v>
      </c>
      <c r="G151" s="80">
        <f>IFERROR((Table7[[#This Row],[Calls Off]]-E144)/E144,0%)</f>
        <v>-2.5477707006369425E-3</v>
      </c>
      <c r="H151" s="80">
        <f>IFERROR((Table7[[#This Row],[Calls Ans]]-F144)/F144,0%)</f>
        <v>1.2912482065997131E-2</v>
      </c>
      <c r="I151" s="1"/>
      <c r="J151" s="1"/>
      <c r="K151" s="1"/>
      <c r="L151" s="1"/>
      <c r="M151" s="18">
        <v>0.75</v>
      </c>
      <c r="N151" s="18">
        <v>0.1</v>
      </c>
      <c r="O151" s="18">
        <v>0.9</v>
      </c>
      <c r="P151" s="18">
        <v>0.63</v>
      </c>
      <c r="Q151" s="18">
        <v>0.87</v>
      </c>
      <c r="R151" s="301">
        <v>143</v>
      </c>
      <c r="S151" s="143">
        <v>1.8749999999999999E-2</v>
      </c>
      <c r="T151" s="1">
        <v>11</v>
      </c>
      <c r="U151" s="354" t="str">
        <f t="shared" si="8"/>
        <v>Normal</v>
      </c>
      <c r="V151" s="354" t="str">
        <f t="shared" si="9"/>
        <v>Normal</v>
      </c>
      <c r="W151" s="359">
        <f t="shared" si="10"/>
        <v>-2.5477707006369425E-3</v>
      </c>
      <c r="X151" s="359">
        <f t="shared" si="11"/>
        <v>1.2912482065997131E-2</v>
      </c>
      <c r="Y151" s="343"/>
      <c r="Z151" s="343"/>
      <c r="AA151" s="343"/>
      <c r="AB151" s="343"/>
      <c r="AC151" s="343"/>
      <c r="AD151" s="343"/>
      <c r="AE151" s="343"/>
      <c r="AF151" s="343"/>
    </row>
    <row r="152" spans="1:36">
      <c r="A152" s="21">
        <v>45167</v>
      </c>
      <c r="B152" s="17">
        <f>IF(YEAR(Table7[[#This Row],[Date]]) = 2023, WEEKNUM(Table7[[#This Row],[Date]])-13, WEEKNUM(Table7[[#This Row],[Date]])+40)</f>
        <v>22</v>
      </c>
      <c r="C152" s="34" t="s">
        <v>50</v>
      </c>
      <c r="D152" s="34" t="s">
        <v>94</v>
      </c>
      <c r="E152" s="1">
        <v>783</v>
      </c>
      <c r="F152" s="1">
        <v>723</v>
      </c>
      <c r="G152" s="80">
        <f>IFERROR((Table7[[#This Row],[Calls Off]]-E145)/E145,0%)</f>
        <v>0.1899696048632219</v>
      </c>
      <c r="H152" s="80">
        <f>IFERROR((Table7[[#This Row],[Calls Ans]]-F145)/F145,0%)</f>
        <v>0.20701168614357263</v>
      </c>
      <c r="I152" s="1"/>
      <c r="J152" s="1"/>
      <c r="K152" s="1"/>
      <c r="L152" s="1"/>
      <c r="M152" s="18">
        <v>0.8</v>
      </c>
      <c r="N152" s="18">
        <v>0.08</v>
      </c>
      <c r="O152" s="18">
        <v>0.92</v>
      </c>
      <c r="P152" s="18">
        <v>0.48</v>
      </c>
      <c r="Q152" s="18">
        <v>0.86</v>
      </c>
      <c r="R152" s="301">
        <v>156</v>
      </c>
      <c r="S152" s="143">
        <v>2.013888888888889E-2</v>
      </c>
      <c r="T152" s="1">
        <v>10</v>
      </c>
      <c r="U152" s="354" t="str">
        <f t="shared" si="8"/>
        <v>Normal</v>
      </c>
      <c r="V152" s="354" t="str">
        <f t="shared" si="9"/>
        <v>Normal</v>
      </c>
      <c r="W152" s="359">
        <f t="shared" si="10"/>
        <v>0.1899696048632219</v>
      </c>
      <c r="X152" s="359">
        <f t="shared" si="11"/>
        <v>0.20701168614357263</v>
      </c>
      <c r="Y152" s="343"/>
      <c r="Z152" s="343"/>
      <c r="AA152" s="343"/>
      <c r="AB152" s="343"/>
      <c r="AC152" s="343"/>
      <c r="AD152" s="343"/>
      <c r="AE152" s="343"/>
      <c r="AF152" s="343"/>
    </row>
    <row r="153" spans="1:36">
      <c r="A153" s="21">
        <v>45168</v>
      </c>
      <c r="B153" s="17">
        <f>IF(YEAR(Table7[[#This Row],[Date]]) = 2023, WEEKNUM(Table7[[#This Row],[Date]])-13, WEEKNUM(Table7[[#This Row],[Date]])+40)</f>
        <v>22</v>
      </c>
      <c r="C153" s="34" t="s">
        <v>51</v>
      </c>
      <c r="D153" s="34" t="s">
        <v>94</v>
      </c>
      <c r="E153" s="1">
        <v>877</v>
      </c>
      <c r="F153" s="1">
        <v>647</v>
      </c>
      <c r="G153" s="80">
        <f>IFERROR((Table7[[#This Row],[Calls Off]]-E146)/E146,0%)</f>
        <v>0.59165154264972775</v>
      </c>
      <c r="H153" s="80">
        <f>IFERROR((Table7[[#This Row],[Calls Ans]]-F146)/F146,0%)</f>
        <v>0.53317535545023698</v>
      </c>
      <c r="I153" s="1"/>
      <c r="J153" s="1"/>
      <c r="K153" s="1"/>
      <c r="L153" s="1"/>
      <c r="M153" s="18">
        <v>0.37</v>
      </c>
      <c r="N153" s="18">
        <v>0.26</v>
      </c>
      <c r="O153" s="18">
        <v>0.74</v>
      </c>
      <c r="P153" s="18">
        <v>0.64</v>
      </c>
      <c r="Q153" s="18">
        <v>0.87</v>
      </c>
      <c r="R153" s="301">
        <v>202</v>
      </c>
      <c r="S153" s="143">
        <v>8.0555555555555561E-2</v>
      </c>
      <c r="T153" s="1">
        <v>9</v>
      </c>
      <c r="U153" s="354" t="str">
        <f t="shared" si="8"/>
        <v>Outlier</v>
      </c>
      <c r="V153" s="354" t="str">
        <f t="shared" si="9"/>
        <v>Outlier</v>
      </c>
      <c r="W153" s="359">
        <f t="shared" si="10"/>
        <v>0.59165154264972775</v>
      </c>
      <c r="X153" s="359">
        <f t="shared" si="11"/>
        <v>0.53317535545023698</v>
      </c>
      <c r="Y153" s="343"/>
      <c r="Z153" s="343"/>
      <c r="AA153" s="343"/>
      <c r="AB153" s="343"/>
      <c r="AC153" s="343"/>
      <c r="AD153" s="343"/>
      <c r="AE153" s="343"/>
      <c r="AF153" s="343"/>
    </row>
    <row r="154" spans="1:36">
      <c r="A154" s="21">
        <v>45169</v>
      </c>
      <c r="B154" s="17">
        <f>IF(YEAR(Table7[[#This Row],[Date]]) = 2023, WEEKNUM(Table7[[#This Row],[Date]])-13, WEEKNUM(Table7[[#This Row],[Date]])+40)</f>
        <v>22</v>
      </c>
      <c r="C154" s="34" t="s">
        <v>64</v>
      </c>
      <c r="D154" s="34" t="s">
        <v>94</v>
      </c>
      <c r="E154" s="1">
        <v>0</v>
      </c>
      <c r="F154" s="1">
        <v>0</v>
      </c>
      <c r="G154" s="80">
        <v>0</v>
      </c>
      <c r="H154" s="80">
        <v>0</v>
      </c>
      <c r="I154" s="1">
        <v>0</v>
      </c>
      <c r="J154" s="1">
        <v>0</v>
      </c>
      <c r="K154" s="1">
        <v>0</v>
      </c>
      <c r="L154" s="1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301">
        <v>0</v>
      </c>
      <c r="S154" s="143">
        <v>0</v>
      </c>
      <c r="T154" s="1">
        <v>0</v>
      </c>
      <c r="U154" s="354" t="str">
        <f t="shared" si="8"/>
        <v>Normal</v>
      </c>
      <c r="V154" s="354" t="str">
        <f t="shared" si="9"/>
        <v>Normal</v>
      </c>
      <c r="W154" s="359">
        <f t="shared" si="10"/>
        <v>0</v>
      </c>
      <c r="X154" s="359">
        <f t="shared" si="11"/>
        <v>0</v>
      </c>
      <c r="Y154" s="343"/>
      <c r="Z154" s="343"/>
      <c r="AA154" s="343"/>
      <c r="AB154" s="343"/>
      <c r="AC154" s="343"/>
      <c r="AD154" s="343"/>
      <c r="AE154" s="343"/>
      <c r="AF154" s="343"/>
    </row>
    <row r="155" spans="1:36">
      <c r="A155" s="21">
        <v>45170</v>
      </c>
      <c r="B155" s="17">
        <f>IF(YEAR(Table7[[#This Row],[Date]]) = 2023, WEEKNUM(Table7[[#This Row],[Date]])-13, WEEKNUM(Table7[[#This Row],[Date]])+40)</f>
        <v>22</v>
      </c>
      <c r="C155" s="34" t="s">
        <v>53</v>
      </c>
      <c r="D155" s="34" t="s">
        <v>94</v>
      </c>
      <c r="E155" s="1">
        <v>852</v>
      </c>
      <c r="F155" s="1">
        <v>710</v>
      </c>
      <c r="G155" s="80">
        <f>IFERROR((Table7[[#This Row],[Calls Off]]-E148)/E148,0%)</f>
        <v>0.24926686217008798</v>
      </c>
      <c r="H155" s="80">
        <f>IFERROR((Table7[[#This Row],[Calls Ans]]-F148)/F148,0%)</f>
        <v>0.44602851323828918</v>
      </c>
      <c r="I155" s="1"/>
      <c r="J155" s="1"/>
      <c r="K155" s="1"/>
      <c r="L155" s="1"/>
      <c r="M155" s="18">
        <v>0.59</v>
      </c>
      <c r="N155" s="18">
        <v>0.17</v>
      </c>
      <c r="O155" s="18">
        <v>0.83</v>
      </c>
      <c r="P155" s="18">
        <v>0.6</v>
      </c>
      <c r="Q155" s="18">
        <v>0.86</v>
      </c>
      <c r="R155" s="301">
        <v>158</v>
      </c>
      <c r="S155" s="143">
        <v>4.5138888888888888E-2</v>
      </c>
      <c r="T155" s="1">
        <v>8</v>
      </c>
      <c r="U155" s="354" t="str">
        <f t="shared" si="8"/>
        <v>Normal</v>
      </c>
      <c r="V155" s="354" t="str">
        <f t="shared" si="9"/>
        <v>Outlier</v>
      </c>
      <c r="W155" s="359">
        <f t="shared" si="10"/>
        <v>0.24926686217008798</v>
      </c>
      <c r="X155" s="359">
        <f t="shared" si="11"/>
        <v>0.44602851323828918</v>
      </c>
      <c r="Y155" s="343"/>
      <c r="Z155" s="343"/>
      <c r="AA155" s="343"/>
      <c r="AB155" s="343"/>
      <c r="AC155" s="343"/>
      <c r="AD155" s="343"/>
      <c r="AE155" s="343"/>
      <c r="AF155" s="343"/>
    </row>
    <row r="156" spans="1:36">
      <c r="A156" s="21">
        <v>45171</v>
      </c>
      <c r="B156" s="17">
        <f>IF(YEAR(Table7[[#This Row],[Date]]) = 2023, WEEKNUM(Table7[[#This Row],[Date]])-13, WEEKNUM(Table7[[#This Row],[Date]])+40)</f>
        <v>22</v>
      </c>
      <c r="C156" s="34" t="s">
        <v>54</v>
      </c>
      <c r="D156" s="34" t="s">
        <v>94</v>
      </c>
      <c r="E156" s="1">
        <v>461</v>
      </c>
      <c r="F156" s="1">
        <v>286</v>
      </c>
      <c r="G156" s="80">
        <f>IFERROR((Table7[[#This Row],[Calls Off]]-E149)/E149,0%)</f>
        <v>0.14392059553349876</v>
      </c>
      <c r="H156" s="80">
        <f>IFERROR((Table7[[#This Row],[Calls Ans]]-F149)/F149,0%)</f>
        <v>-6.2295081967213117E-2</v>
      </c>
      <c r="I156" s="1"/>
      <c r="J156" s="1"/>
      <c r="K156" s="1"/>
      <c r="L156" s="1"/>
      <c r="M156" s="18">
        <v>0.25</v>
      </c>
      <c r="N156" s="18">
        <v>0.38</v>
      </c>
      <c r="O156" s="18">
        <v>0.62</v>
      </c>
      <c r="P156" s="18">
        <v>0.8</v>
      </c>
      <c r="Q156" s="18">
        <v>0.97</v>
      </c>
      <c r="R156" s="301">
        <v>172</v>
      </c>
      <c r="S156" s="143">
        <v>9.2361111111111116E-2</v>
      </c>
      <c r="T156" s="1">
        <v>4</v>
      </c>
      <c r="U156" s="354" t="str">
        <f t="shared" si="8"/>
        <v>Normal</v>
      </c>
      <c r="V156" s="354" t="str">
        <f t="shared" si="9"/>
        <v>Normal</v>
      </c>
      <c r="W156" s="359">
        <f t="shared" si="10"/>
        <v>0.14392059553349876</v>
      </c>
      <c r="X156" s="359">
        <f t="shared" si="11"/>
        <v>-6.2295081967213117E-2</v>
      </c>
      <c r="Y156" s="343"/>
      <c r="Z156" s="343"/>
      <c r="AA156" s="343"/>
      <c r="AB156" s="343"/>
      <c r="AC156" s="343"/>
      <c r="AD156" s="343"/>
      <c r="AE156" s="343"/>
      <c r="AF156" s="343"/>
    </row>
    <row r="157" spans="1:36">
      <c r="A157" s="21">
        <v>45172</v>
      </c>
      <c r="B157" s="17">
        <f>IF(YEAR(Table7[[#This Row],[Date]]) = 2023, WEEKNUM(Table7[[#This Row],[Date]])-13, WEEKNUM(Table7[[#This Row],[Date]])+40)</f>
        <v>23</v>
      </c>
      <c r="C157" s="34" t="s">
        <v>48</v>
      </c>
      <c r="D157" s="34" t="s">
        <v>94</v>
      </c>
      <c r="E157" s="1">
        <v>0</v>
      </c>
      <c r="F157" s="1">
        <v>0</v>
      </c>
      <c r="G157" s="80">
        <f>IFERROR((Table7[[#This Row],[Calls Off]]-E150)/E150,0%)</f>
        <v>0</v>
      </c>
      <c r="H157" s="80">
        <f>IFERROR((Table7[[#This Row],[Calls Ans]]-F150)/F150,0%)</f>
        <v>0</v>
      </c>
      <c r="I157" s="1"/>
      <c r="J157" s="1"/>
      <c r="K157" s="1"/>
      <c r="L157" s="1"/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301">
        <v>0</v>
      </c>
      <c r="S157" s="143">
        <v>0</v>
      </c>
      <c r="T157" s="1">
        <v>0</v>
      </c>
      <c r="U157" s="354" t="str">
        <f t="shared" si="8"/>
        <v>Normal</v>
      </c>
      <c r="V157" s="354" t="str">
        <f t="shared" si="9"/>
        <v>Normal</v>
      </c>
      <c r="W157" s="359">
        <f t="shared" si="10"/>
        <v>0</v>
      </c>
      <c r="X157" s="359">
        <f t="shared" si="11"/>
        <v>0</v>
      </c>
      <c r="Y157" s="343"/>
      <c r="Z157" s="343"/>
      <c r="AA157" s="343"/>
      <c r="AB157" s="343"/>
      <c r="AC157" s="343"/>
      <c r="AD157" s="343"/>
      <c r="AE157" s="343"/>
      <c r="AF157" s="343"/>
    </row>
    <row r="158" spans="1:36">
      <c r="A158" s="21">
        <v>45173</v>
      </c>
      <c r="B158" s="17">
        <f>IF(YEAR(Table7[[#This Row],[Date]]) = 2023, WEEKNUM(Table7[[#This Row],[Date]])-13, WEEKNUM(Table7[[#This Row],[Date]])+40)</f>
        <v>23</v>
      </c>
      <c r="C158" s="34" t="s">
        <v>49</v>
      </c>
      <c r="D158" s="34" t="s">
        <v>94</v>
      </c>
      <c r="E158" s="1">
        <v>905</v>
      </c>
      <c r="F158" s="1">
        <v>738</v>
      </c>
      <c r="G158" s="80">
        <f>IFERROR((Table7[[#This Row],[Calls Off]]-E151)/E151,0%)</f>
        <v>0.15581098339719029</v>
      </c>
      <c r="H158" s="80">
        <f>IFERROR((Table7[[#This Row],[Calls Ans]]-F151)/F151,0%)</f>
        <v>4.5325779036827198E-2</v>
      </c>
      <c r="I158" s="1"/>
      <c r="J158" s="1"/>
      <c r="K158" s="1"/>
      <c r="L158" s="1"/>
      <c r="M158" s="18">
        <v>0.47</v>
      </c>
      <c r="N158" s="18">
        <v>0.18</v>
      </c>
      <c r="O158" s="18">
        <v>0.82</v>
      </c>
      <c r="P158" s="18">
        <v>0.71</v>
      </c>
      <c r="Q158" s="18">
        <v>0.88</v>
      </c>
      <c r="R158" s="301">
        <v>189</v>
      </c>
      <c r="S158" s="143">
        <v>6.0416666666666667E-2</v>
      </c>
      <c r="T158" s="1">
        <v>9</v>
      </c>
      <c r="U158" s="354" t="str">
        <f t="shared" si="8"/>
        <v>Normal</v>
      </c>
      <c r="V158" s="354" t="str">
        <f t="shared" si="9"/>
        <v>Normal</v>
      </c>
      <c r="W158" s="359">
        <f t="shared" si="10"/>
        <v>0.15581098339719029</v>
      </c>
      <c r="X158" s="359">
        <f t="shared" si="11"/>
        <v>4.5325779036827198E-2</v>
      </c>
      <c r="Y158" s="343"/>
      <c r="Z158" s="343"/>
      <c r="AA158" s="343"/>
      <c r="AB158" s="343"/>
      <c r="AC158" s="343"/>
      <c r="AD158" s="343"/>
      <c r="AE158" s="343"/>
      <c r="AF158" s="343"/>
    </row>
    <row r="159" spans="1:36">
      <c r="A159" s="21">
        <v>45174</v>
      </c>
      <c r="B159" s="17">
        <f>IF(YEAR(Table7[[#This Row],[Date]]) = 2023, WEEKNUM(Table7[[#This Row],[Date]])-13, WEEKNUM(Table7[[#This Row],[Date]])+40)</f>
        <v>23</v>
      </c>
      <c r="C159" s="34" t="s">
        <v>50</v>
      </c>
      <c r="D159" s="34" t="s">
        <v>94</v>
      </c>
      <c r="E159" s="1">
        <v>821</v>
      </c>
      <c r="F159" s="1">
        <v>702</v>
      </c>
      <c r="G159" s="80">
        <f>IFERROR((Table7[[#This Row],[Calls Off]]-E152)/E152,0%)</f>
        <v>4.8531289910600253E-2</v>
      </c>
      <c r="H159" s="80">
        <f>IFERROR((Table7[[#This Row],[Calls Ans]]-F152)/F152,0%)</f>
        <v>-2.9045643153526972E-2</v>
      </c>
      <c r="I159" s="1"/>
      <c r="J159" s="1"/>
      <c r="K159" s="1"/>
      <c r="L159" s="1"/>
      <c r="M159" s="18">
        <v>0.67</v>
      </c>
      <c r="N159" s="18">
        <v>0.14000000000000001</v>
      </c>
      <c r="O159" s="18">
        <v>0.86</v>
      </c>
      <c r="P159" s="18">
        <v>0.56000000000000005</v>
      </c>
      <c r="Q159" s="18">
        <v>0.99</v>
      </c>
      <c r="R159" s="301">
        <v>145</v>
      </c>
      <c r="S159" s="143">
        <v>2.9861111111111113E-2</v>
      </c>
      <c r="T159" s="1">
        <v>10</v>
      </c>
      <c r="U159" s="354" t="str">
        <f t="shared" si="8"/>
        <v>Normal</v>
      </c>
      <c r="V159" s="354" t="str">
        <f t="shared" si="9"/>
        <v>Normal</v>
      </c>
      <c r="W159" s="359">
        <f t="shared" si="10"/>
        <v>4.8531289910600253E-2</v>
      </c>
      <c r="X159" s="359">
        <f t="shared" si="11"/>
        <v>-2.9045643153526972E-2</v>
      </c>
      <c r="Y159" s="343"/>
      <c r="Z159" s="343"/>
      <c r="AA159" s="343"/>
      <c r="AB159" s="343"/>
      <c r="AC159" s="343"/>
      <c r="AD159" s="343"/>
      <c r="AE159" s="343"/>
      <c r="AF159" s="343"/>
    </row>
    <row r="160" spans="1:36">
      <c r="A160" s="21">
        <v>45175</v>
      </c>
      <c r="B160" s="17">
        <f>IF(YEAR(Table7[[#This Row],[Date]]) = 2023, WEEKNUM(Table7[[#This Row],[Date]])-13, WEEKNUM(Table7[[#This Row],[Date]])+40)</f>
        <v>23</v>
      </c>
      <c r="C160" s="34" t="s">
        <v>51</v>
      </c>
      <c r="D160" s="34" t="s">
        <v>94</v>
      </c>
      <c r="E160" s="1">
        <v>722</v>
      </c>
      <c r="F160" s="1">
        <v>699</v>
      </c>
      <c r="G160" s="80">
        <f>IFERROR((Table7[[#This Row],[Calls Off]]-E153)/E153,0%)</f>
        <v>-0.17673888255416192</v>
      </c>
      <c r="H160" s="80">
        <f>IFERROR((Table7[[#This Row],[Calls Ans]]-F153)/F153,0%)</f>
        <v>8.0370942812983001E-2</v>
      </c>
      <c r="I160" s="1"/>
      <c r="J160" s="1"/>
      <c r="K160" s="1"/>
      <c r="L160" s="1"/>
      <c r="M160" s="18">
        <v>0.93</v>
      </c>
      <c r="N160" s="18">
        <v>0.03</v>
      </c>
      <c r="O160" s="18">
        <v>0.97</v>
      </c>
      <c r="P160" s="18">
        <v>0.39</v>
      </c>
      <c r="Q160" s="18">
        <v>0.99</v>
      </c>
      <c r="R160" s="301">
        <v>151</v>
      </c>
      <c r="S160" s="143">
        <v>4.8611111111111112E-3</v>
      </c>
      <c r="T160" s="1">
        <v>12</v>
      </c>
      <c r="U160" s="354" t="str">
        <f t="shared" si="8"/>
        <v>Normal</v>
      </c>
      <c r="V160" s="354" t="str">
        <f t="shared" si="9"/>
        <v>Normal</v>
      </c>
      <c r="W160" s="359">
        <f t="shared" si="10"/>
        <v>-0.17673888255416192</v>
      </c>
      <c r="X160" s="359">
        <f t="shared" si="11"/>
        <v>8.0370942812983001E-2</v>
      </c>
      <c r="Y160" s="343"/>
      <c r="Z160" s="343"/>
      <c r="AA160" s="343"/>
      <c r="AB160" s="343"/>
      <c r="AC160" s="343"/>
      <c r="AD160" s="343"/>
      <c r="AE160" s="343"/>
      <c r="AF160" s="343"/>
    </row>
    <row r="161" spans="1:34">
      <c r="A161" s="21">
        <v>45176</v>
      </c>
      <c r="B161" s="17">
        <f>IF(YEAR(Table7[[#This Row],[Date]]) = 2023, WEEKNUM(Table7[[#This Row],[Date]])-13, WEEKNUM(Table7[[#This Row],[Date]])+40)</f>
        <v>23</v>
      </c>
      <c r="C161" s="34" t="s">
        <v>52</v>
      </c>
      <c r="D161" s="34" t="s">
        <v>94</v>
      </c>
      <c r="E161" s="1">
        <v>665</v>
      </c>
      <c r="F161" s="1">
        <v>630</v>
      </c>
      <c r="G161" s="80">
        <f>IFERROR((Table7[[#This Row],[Calls Off]]-E154)/E154,0%)</f>
        <v>0</v>
      </c>
      <c r="H161" s="80">
        <f>IFERROR((Table7[[#This Row],[Calls Ans]]-F154)/F154,0%)</f>
        <v>0</v>
      </c>
      <c r="I161" s="1"/>
      <c r="J161" s="1"/>
      <c r="K161" s="1"/>
      <c r="L161" s="1"/>
      <c r="M161" s="18">
        <v>0.89</v>
      </c>
      <c r="N161" s="18">
        <v>0.05</v>
      </c>
      <c r="O161" s="18">
        <v>0.95</v>
      </c>
      <c r="P161" s="18">
        <v>0.36</v>
      </c>
      <c r="Q161" s="18">
        <v>0.99</v>
      </c>
      <c r="R161" s="301">
        <v>145</v>
      </c>
      <c r="S161" s="143">
        <v>6.2499999999999995E-3</v>
      </c>
      <c r="T161" s="1">
        <v>12</v>
      </c>
      <c r="U161" s="354" t="str">
        <f t="shared" si="8"/>
        <v>Normal</v>
      </c>
      <c r="V161" s="354" t="str">
        <f t="shared" si="9"/>
        <v>Normal</v>
      </c>
      <c r="W161" s="359">
        <f t="shared" si="10"/>
        <v>0</v>
      </c>
      <c r="X161" s="359">
        <f t="shared" si="11"/>
        <v>0</v>
      </c>
      <c r="Y161" s="343"/>
      <c r="Z161" s="343"/>
      <c r="AA161" s="343"/>
      <c r="AB161" s="343"/>
      <c r="AC161" s="343"/>
      <c r="AD161" s="343"/>
      <c r="AE161" s="343"/>
      <c r="AF161" s="343"/>
    </row>
    <row r="162" spans="1:34">
      <c r="A162" s="21">
        <v>45177</v>
      </c>
      <c r="B162" s="17">
        <f>IF(YEAR(Table7[[#This Row],[Date]]) = 2023, WEEKNUM(Table7[[#This Row],[Date]])-13, WEEKNUM(Table7[[#This Row],[Date]])+40)</f>
        <v>23</v>
      </c>
      <c r="C162" s="34" t="s">
        <v>53</v>
      </c>
      <c r="D162" s="34" t="s">
        <v>94</v>
      </c>
      <c r="E162" s="1">
        <v>689</v>
      </c>
      <c r="F162" s="1">
        <v>667</v>
      </c>
      <c r="G162" s="80">
        <f>IFERROR((Table7[[#This Row],[Calls Off]]-E155)/E155,0%)</f>
        <v>-0.19131455399061034</v>
      </c>
      <c r="H162" s="80">
        <f>IFERROR((Table7[[#This Row],[Calls Ans]]-F155)/F155,0%)</f>
        <v>-6.0563380281690143E-2</v>
      </c>
      <c r="I162" s="1"/>
      <c r="J162" s="1"/>
      <c r="K162" s="1"/>
      <c r="L162" s="1"/>
      <c r="M162" s="18">
        <v>0.91</v>
      </c>
      <c r="N162" s="18">
        <v>0.03</v>
      </c>
      <c r="O162" s="18">
        <v>0.97</v>
      </c>
      <c r="P162" s="18">
        <v>0.4</v>
      </c>
      <c r="Q162" s="18">
        <v>0.99</v>
      </c>
      <c r="R162" s="301">
        <v>148</v>
      </c>
      <c r="S162" s="143">
        <v>6.9444444444444441E-3</v>
      </c>
      <c r="T162" s="1">
        <v>11</v>
      </c>
      <c r="U162" s="354" t="str">
        <f t="shared" si="8"/>
        <v>Normal</v>
      </c>
      <c r="V162" s="354" t="str">
        <f t="shared" si="9"/>
        <v>Normal</v>
      </c>
      <c r="W162" s="359">
        <f t="shared" si="10"/>
        <v>-0.19131455399061034</v>
      </c>
      <c r="X162" s="359">
        <f t="shared" si="11"/>
        <v>-6.0563380281690143E-2</v>
      </c>
      <c r="Y162" s="343"/>
      <c r="Z162" s="343"/>
      <c r="AA162" s="343"/>
      <c r="AB162" s="343"/>
      <c r="AC162" s="343"/>
      <c r="AD162" s="343"/>
      <c r="AE162" s="343"/>
      <c r="AF162" s="343"/>
    </row>
    <row r="163" spans="1:34">
      <c r="A163" s="21">
        <v>45178</v>
      </c>
      <c r="B163" s="17">
        <f>IF(YEAR(Table7[[#This Row],[Date]]) = 2023, WEEKNUM(Table7[[#This Row],[Date]])-13, WEEKNUM(Table7[[#This Row],[Date]])+40)</f>
        <v>23</v>
      </c>
      <c r="C163" s="34" t="s">
        <v>54</v>
      </c>
      <c r="D163" s="34" t="s">
        <v>94</v>
      </c>
      <c r="E163" s="1">
        <v>361</v>
      </c>
      <c r="F163" s="1">
        <v>308</v>
      </c>
      <c r="G163" s="80">
        <f>IFERROR((Table7[[#This Row],[Calls Off]]-E156)/E156,0%)</f>
        <v>-0.21691973969631237</v>
      </c>
      <c r="H163" s="80">
        <f>IFERROR((Table7[[#This Row],[Calls Ans]]-F156)/F156,0%)</f>
        <v>7.6923076923076927E-2</v>
      </c>
      <c r="I163" s="1"/>
      <c r="J163" s="1"/>
      <c r="K163" s="1"/>
      <c r="L163" s="1"/>
      <c r="M163" s="18">
        <v>0.57999999999999996</v>
      </c>
      <c r="N163" s="18">
        <v>0.15</v>
      </c>
      <c r="O163" s="18">
        <v>0.85</v>
      </c>
      <c r="P163" s="18">
        <v>0.59</v>
      </c>
      <c r="Q163" s="18">
        <v>0.99</v>
      </c>
      <c r="R163" s="301">
        <v>180</v>
      </c>
      <c r="S163" s="143">
        <v>3.4027777777777775E-2</v>
      </c>
      <c r="T163" s="1">
        <v>6</v>
      </c>
      <c r="U163" s="354" t="str">
        <f t="shared" si="8"/>
        <v>Normal</v>
      </c>
      <c r="V163" s="354" t="str">
        <f t="shared" si="9"/>
        <v>Normal</v>
      </c>
      <c r="W163" s="359">
        <f t="shared" si="10"/>
        <v>-0.21691973969631237</v>
      </c>
      <c r="X163" s="359">
        <f t="shared" si="11"/>
        <v>7.6923076923076927E-2</v>
      </c>
      <c r="Y163" s="343"/>
      <c r="Z163" s="343"/>
      <c r="AA163" s="343"/>
      <c r="AB163" s="343"/>
      <c r="AC163" s="343"/>
      <c r="AD163" s="343"/>
      <c r="AE163" s="343"/>
      <c r="AF163" s="343"/>
    </row>
    <row r="164" spans="1:34">
      <c r="A164" s="21">
        <v>45179</v>
      </c>
      <c r="B164" s="17">
        <f>IF(YEAR(Table7[[#This Row],[Date]]) = 2023, WEEKNUM(Table7[[#This Row],[Date]])-13, WEEKNUM(Table7[[#This Row],[Date]])+40)</f>
        <v>24</v>
      </c>
      <c r="C164" s="34" t="s">
        <v>48</v>
      </c>
      <c r="D164" s="34" t="s">
        <v>94</v>
      </c>
      <c r="E164" s="1">
        <v>0</v>
      </c>
      <c r="F164" s="1">
        <v>0</v>
      </c>
      <c r="G164" s="80">
        <f>IFERROR((Table7[[#This Row],[Calls Off]]-E157)/E157,0%)</f>
        <v>0</v>
      </c>
      <c r="H164" s="80">
        <f>IFERROR((Table7[[#This Row],[Calls Ans]]-F157)/F157,0%)</f>
        <v>0</v>
      </c>
      <c r="I164" s="1"/>
      <c r="J164" s="1"/>
      <c r="K164" s="1"/>
      <c r="L164" s="1"/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301">
        <v>0</v>
      </c>
      <c r="S164" s="143">
        <v>0</v>
      </c>
      <c r="T164" s="1">
        <v>0</v>
      </c>
      <c r="U164" s="354" t="str">
        <f t="shared" si="8"/>
        <v>Normal</v>
      </c>
      <c r="V164" s="354" t="str">
        <f t="shared" si="9"/>
        <v>Normal</v>
      </c>
      <c r="W164" s="359">
        <f t="shared" si="10"/>
        <v>0</v>
      </c>
      <c r="X164" s="359">
        <f t="shared" si="11"/>
        <v>0</v>
      </c>
      <c r="Y164" s="343"/>
      <c r="Z164" s="343"/>
      <c r="AA164" s="343"/>
      <c r="AB164" s="343"/>
      <c r="AC164" s="343"/>
      <c r="AD164" s="343"/>
      <c r="AE164" s="343"/>
      <c r="AF164" s="343"/>
    </row>
    <row r="165" spans="1:34">
      <c r="A165" s="21">
        <v>45180</v>
      </c>
      <c r="B165" s="17">
        <f>IF(YEAR(Table7[[#This Row],[Date]]) = 2023, WEEKNUM(Table7[[#This Row],[Date]])-13, WEEKNUM(Table7[[#This Row],[Date]])+40)</f>
        <v>24</v>
      </c>
      <c r="C165" s="34" t="s">
        <v>49</v>
      </c>
      <c r="D165" s="34" t="s">
        <v>94</v>
      </c>
      <c r="E165" s="1">
        <v>985</v>
      </c>
      <c r="F165" s="1">
        <v>642</v>
      </c>
      <c r="G165" s="80">
        <f>IFERROR((Table7[[#This Row],[Calls Off]]-E158)/E158,0%)</f>
        <v>8.8397790055248615E-2</v>
      </c>
      <c r="H165" s="80">
        <f>IFERROR((Table7[[#This Row],[Calls Ans]]-F158)/F158,0%)</f>
        <v>-0.13008130081300814</v>
      </c>
      <c r="I165" s="1"/>
      <c r="J165" s="1"/>
      <c r="K165" s="1"/>
      <c r="L165" s="1"/>
      <c r="M165" s="18">
        <v>0.28000000000000003</v>
      </c>
      <c r="N165" s="18">
        <v>0.35</v>
      </c>
      <c r="O165" s="18">
        <v>0.65</v>
      </c>
      <c r="P165" s="18">
        <v>0.72</v>
      </c>
      <c r="Q165" s="18">
        <v>0.98</v>
      </c>
      <c r="R165" s="301">
        <v>181</v>
      </c>
      <c r="S165" s="143">
        <v>0.12291666666666667</v>
      </c>
      <c r="T165" s="1">
        <v>8</v>
      </c>
      <c r="U165" s="354" t="str">
        <f t="shared" si="8"/>
        <v>Normal</v>
      </c>
      <c r="V165" s="354" t="str">
        <f t="shared" si="9"/>
        <v>Normal</v>
      </c>
      <c r="W165" s="359">
        <f t="shared" si="10"/>
        <v>8.8397790055248615E-2</v>
      </c>
      <c r="X165" s="359">
        <f t="shared" si="11"/>
        <v>-0.13008130081300814</v>
      </c>
      <c r="Y165" s="343"/>
      <c r="Z165" s="343"/>
      <c r="AA165" s="343"/>
      <c r="AB165" s="343"/>
      <c r="AC165" s="343"/>
      <c r="AD165" s="343"/>
      <c r="AE165" s="343"/>
      <c r="AF165" s="343"/>
    </row>
    <row r="166" spans="1:34">
      <c r="A166" s="21">
        <v>45181</v>
      </c>
      <c r="B166" s="17">
        <f>IF(YEAR(Table7[[#This Row],[Date]]) = 2023, WEEKNUM(Table7[[#This Row],[Date]])-13, WEEKNUM(Table7[[#This Row],[Date]])+40)</f>
        <v>24</v>
      </c>
      <c r="C166" s="34" t="s">
        <v>50</v>
      </c>
      <c r="D166" s="34" t="s">
        <v>94</v>
      </c>
      <c r="E166" s="1">
        <v>822</v>
      </c>
      <c r="F166" s="1">
        <v>715</v>
      </c>
      <c r="G166" s="80">
        <f>IFERROR((Table7[[#This Row],[Calls Off]]-E159)/E159,0%)</f>
        <v>1.2180267965895249E-3</v>
      </c>
      <c r="H166" s="80">
        <f>IFERROR((Table7[[#This Row],[Calls Ans]]-F159)/F159,0%)</f>
        <v>1.8518518518518517E-2</v>
      </c>
      <c r="I166" s="1"/>
      <c r="J166" s="1"/>
      <c r="K166" s="1"/>
      <c r="L166" s="1"/>
      <c r="M166" s="18">
        <v>0.63</v>
      </c>
      <c r="N166" s="18">
        <v>0.13</v>
      </c>
      <c r="O166" s="18">
        <v>0.87</v>
      </c>
      <c r="P166" s="18">
        <v>0.49</v>
      </c>
      <c r="Q166" s="18">
        <v>0.99</v>
      </c>
      <c r="R166" s="301">
        <v>146</v>
      </c>
      <c r="S166" s="143">
        <v>2.1527777777777781E-2</v>
      </c>
      <c r="T166" s="1">
        <v>10</v>
      </c>
      <c r="U166" s="354" t="str">
        <f t="shared" si="8"/>
        <v>Normal</v>
      </c>
      <c r="V166" s="354" t="str">
        <f t="shared" si="9"/>
        <v>Normal</v>
      </c>
      <c r="W166" s="359">
        <f t="shared" si="10"/>
        <v>1.2180267965895249E-3</v>
      </c>
      <c r="X166" s="359">
        <f t="shared" si="11"/>
        <v>1.8518518518518517E-2</v>
      </c>
      <c r="Y166" s="343"/>
      <c r="Z166" s="343"/>
      <c r="AA166" s="343"/>
      <c r="AB166" s="343"/>
      <c r="AC166" s="343"/>
      <c r="AD166" s="343"/>
      <c r="AE166" s="343"/>
      <c r="AF166" s="343"/>
    </row>
    <row r="167" spans="1:34">
      <c r="A167" s="21">
        <v>45182</v>
      </c>
      <c r="B167" s="17">
        <f>IF(YEAR(Table7[[#This Row],[Date]]) = 2023, WEEKNUM(Table7[[#This Row],[Date]])-13, WEEKNUM(Table7[[#This Row],[Date]])+40)</f>
        <v>24</v>
      </c>
      <c r="C167" s="34" t="s">
        <v>51</v>
      </c>
      <c r="D167" s="34" t="s">
        <v>94</v>
      </c>
      <c r="E167" s="1">
        <v>767</v>
      </c>
      <c r="F167" s="1">
        <v>695</v>
      </c>
      <c r="G167" s="80">
        <f>IFERROR((Table7[[#This Row],[Calls Off]]-E160)/E160,0%)</f>
        <v>6.2326869806094184E-2</v>
      </c>
      <c r="H167" s="80">
        <f>IFERROR((Table7[[#This Row],[Calls Ans]]-F160)/F160,0%)</f>
        <v>-5.7224606580829757E-3</v>
      </c>
      <c r="I167" s="1"/>
      <c r="J167" s="1"/>
      <c r="K167" s="1"/>
      <c r="L167" s="1"/>
      <c r="M167" s="18">
        <v>0.72</v>
      </c>
      <c r="N167" s="18">
        <v>0.09</v>
      </c>
      <c r="O167" s="18">
        <v>0.91</v>
      </c>
      <c r="P167" s="18">
        <v>0.51</v>
      </c>
      <c r="Q167" s="18">
        <v>0.98</v>
      </c>
      <c r="R167" s="301">
        <v>161</v>
      </c>
      <c r="S167" s="143">
        <v>2.1527777777777781E-2</v>
      </c>
      <c r="T167" s="1">
        <v>11</v>
      </c>
      <c r="U167" s="354" t="str">
        <f t="shared" si="8"/>
        <v>Normal</v>
      </c>
      <c r="V167" s="354" t="str">
        <f t="shared" si="9"/>
        <v>Normal</v>
      </c>
      <c r="W167" s="359">
        <f t="shared" si="10"/>
        <v>6.2326869806094184E-2</v>
      </c>
      <c r="X167" s="359">
        <f t="shared" si="11"/>
        <v>-5.7224606580829757E-3</v>
      </c>
      <c r="Y167" s="343"/>
      <c r="Z167" s="343"/>
      <c r="AA167" s="343"/>
      <c r="AB167" s="343"/>
      <c r="AC167" s="343"/>
      <c r="AD167" s="343"/>
      <c r="AE167" s="343"/>
      <c r="AF167" s="343"/>
      <c r="AH167">
        <v>0.73333333333333339</v>
      </c>
    </row>
    <row r="168" spans="1:34">
      <c r="A168" s="21">
        <v>45183</v>
      </c>
      <c r="B168" s="17">
        <f>IF(YEAR(Table7[[#This Row],[Date]]) = 2023, WEEKNUM(Table7[[#This Row],[Date]])-13, WEEKNUM(Table7[[#This Row],[Date]])+40)</f>
        <v>24</v>
      </c>
      <c r="C168" s="34" t="s">
        <v>52</v>
      </c>
      <c r="D168" s="34" t="s">
        <v>94</v>
      </c>
      <c r="E168" s="1">
        <v>755</v>
      </c>
      <c r="F168" s="1">
        <v>722</v>
      </c>
      <c r="G168" s="80">
        <f>IFERROR((Table7[[#This Row],[Calls Off]]-E161)/E161,0%)</f>
        <v>0.13533834586466165</v>
      </c>
      <c r="H168" s="80">
        <f>IFERROR((Table7[[#This Row],[Calls Ans]]-F161)/F161,0%)</f>
        <v>0.14603174603174604</v>
      </c>
      <c r="I168" s="1"/>
      <c r="J168" s="1"/>
      <c r="K168" s="1"/>
      <c r="L168" s="1"/>
      <c r="M168" s="18">
        <v>0.87</v>
      </c>
      <c r="N168" s="18">
        <v>0.04</v>
      </c>
      <c r="O168" s="18">
        <v>0.96</v>
      </c>
      <c r="P168" s="18">
        <v>0.4</v>
      </c>
      <c r="Q168" s="18">
        <v>0.98</v>
      </c>
      <c r="R168" s="301">
        <v>153</v>
      </c>
      <c r="S168" s="143">
        <v>9.0277777777777787E-3</v>
      </c>
      <c r="T168" s="1">
        <v>13</v>
      </c>
      <c r="U168" s="354" t="str">
        <f t="shared" si="8"/>
        <v>Normal</v>
      </c>
      <c r="V168" s="354" t="str">
        <f t="shared" si="9"/>
        <v>Normal</v>
      </c>
      <c r="W168" s="359">
        <f t="shared" si="10"/>
        <v>0.13533834586466165</v>
      </c>
      <c r="X168" s="359">
        <f t="shared" si="11"/>
        <v>0.14603174603174604</v>
      </c>
      <c r="Y168" s="343"/>
      <c r="Z168" s="343"/>
      <c r="AA168" s="343"/>
      <c r="AB168" s="343"/>
      <c r="AC168" s="343"/>
      <c r="AD168" s="343"/>
      <c r="AE168" s="343"/>
      <c r="AF168" s="343"/>
    </row>
    <row r="169" spans="1:34">
      <c r="A169" s="21">
        <v>45184</v>
      </c>
      <c r="B169" s="17">
        <f>IF(YEAR(Table7[[#This Row],[Date]]) = 2023, WEEKNUM(Table7[[#This Row],[Date]])-13, WEEKNUM(Table7[[#This Row],[Date]])+40)</f>
        <v>24</v>
      </c>
      <c r="C169" s="34" t="s">
        <v>53</v>
      </c>
      <c r="D169" s="34" t="s">
        <v>94</v>
      </c>
      <c r="E169" s="1">
        <v>779</v>
      </c>
      <c r="F169" s="1">
        <v>728</v>
      </c>
      <c r="G169" s="80">
        <f>IFERROR((Table7[[#This Row],[Calls Off]]-E162)/E162,0%)</f>
        <v>0.13062409288824384</v>
      </c>
      <c r="H169" s="80">
        <f>IFERROR((Table7[[#This Row],[Calls Ans]]-F162)/F162,0%)</f>
        <v>9.145427286356822E-2</v>
      </c>
      <c r="I169" s="1"/>
      <c r="J169" s="1"/>
      <c r="K169" s="1"/>
      <c r="L169" s="1"/>
      <c r="M169" s="18">
        <v>0.82</v>
      </c>
      <c r="N169" s="18">
        <v>7.0000000000000007E-2</v>
      </c>
      <c r="O169" s="18">
        <v>0.93</v>
      </c>
      <c r="P169" s="18">
        <v>0.48</v>
      </c>
      <c r="Q169" s="18">
        <v>0.99</v>
      </c>
      <c r="R169" s="301">
        <v>135</v>
      </c>
      <c r="S169" s="143">
        <v>1.1111111111111112E-2</v>
      </c>
      <c r="T169" s="1">
        <v>11</v>
      </c>
      <c r="U169" s="354" t="str">
        <f t="shared" si="8"/>
        <v>Normal</v>
      </c>
      <c r="V169" s="354" t="str">
        <f t="shared" si="9"/>
        <v>Normal</v>
      </c>
      <c r="W169" s="359">
        <f t="shared" si="10"/>
        <v>0.13062409288824384</v>
      </c>
      <c r="X169" s="359">
        <f t="shared" si="11"/>
        <v>9.145427286356822E-2</v>
      </c>
      <c r="Y169" s="343"/>
      <c r="Z169" s="343"/>
      <c r="AA169" s="343"/>
      <c r="AB169" s="343"/>
      <c r="AC169" s="343"/>
      <c r="AD169" s="343"/>
      <c r="AE169" s="343"/>
      <c r="AF169" s="343"/>
    </row>
    <row r="170" spans="1:34">
      <c r="A170" s="21">
        <v>45185</v>
      </c>
      <c r="B170" s="17">
        <f>IF(YEAR(Table7[[#This Row],[Date]]) = 2023, WEEKNUM(Table7[[#This Row],[Date]])-13, WEEKNUM(Table7[[#This Row],[Date]])+40)</f>
        <v>24</v>
      </c>
      <c r="C170" s="34" t="s">
        <v>54</v>
      </c>
      <c r="D170" s="34" t="s">
        <v>94</v>
      </c>
      <c r="E170" s="1">
        <v>390</v>
      </c>
      <c r="F170" s="1">
        <v>329</v>
      </c>
      <c r="G170" s="80">
        <f>IFERROR((Table7[[#This Row],[Calls Off]]-E163)/E163,0%)</f>
        <v>8.0332409972299165E-2</v>
      </c>
      <c r="H170" s="80">
        <f>IFERROR((Table7[[#This Row],[Calls Ans]]-F163)/F163,0%)</f>
        <v>6.8181818181818177E-2</v>
      </c>
      <c r="I170" s="1"/>
      <c r="J170" s="1"/>
      <c r="K170" s="1"/>
      <c r="L170" s="1"/>
      <c r="M170" s="18">
        <v>0.48</v>
      </c>
      <c r="N170" s="18">
        <v>0.16</v>
      </c>
      <c r="O170" s="18">
        <v>0.84</v>
      </c>
      <c r="P170" s="18">
        <v>0.52</v>
      </c>
      <c r="Q170" s="18">
        <v>0.99</v>
      </c>
      <c r="R170" s="301">
        <v>139</v>
      </c>
      <c r="S170" s="143">
        <v>3.7499999999999999E-2</v>
      </c>
      <c r="T170" s="1">
        <v>5</v>
      </c>
      <c r="U170" s="354" t="str">
        <f t="shared" si="8"/>
        <v>Normal</v>
      </c>
      <c r="V170" s="354" t="str">
        <f t="shared" si="9"/>
        <v>Normal</v>
      </c>
      <c r="W170" s="359">
        <f t="shared" si="10"/>
        <v>8.0332409972299165E-2</v>
      </c>
      <c r="X170" s="359">
        <f t="shared" si="11"/>
        <v>6.8181818181818177E-2</v>
      </c>
      <c r="Y170" s="343"/>
      <c r="Z170" s="343"/>
      <c r="AA170" s="343"/>
      <c r="AB170" s="343"/>
      <c r="AC170" s="343"/>
      <c r="AD170" s="343"/>
      <c r="AE170" s="343"/>
      <c r="AF170" s="343"/>
    </row>
    <row r="171" spans="1:34">
      <c r="A171" s="21">
        <v>45186</v>
      </c>
      <c r="B171" s="17">
        <f>IF(YEAR(Table7[[#This Row],[Date]]) = 2023, WEEKNUM(Table7[[#This Row],[Date]])-13, WEEKNUM(Table7[[#This Row],[Date]])+40)</f>
        <v>25</v>
      </c>
      <c r="C171" s="34" t="s">
        <v>48</v>
      </c>
      <c r="D171" s="34" t="s">
        <v>94</v>
      </c>
      <c r="E171" s="1">
        <v>0</v>
      </c>
      <c r="F171" s="1">
        <v>0</v>
      </c>
      <c r="G171" s="80">
        <f>IFERROR((Table7[[#This Row],[Calls Off]]-E164)/E164,0%)</f>
        <v>0</v>
      </c>
      <c r="H171" s="80">
        <f>IFERROR((Table7[[#This Row],[Calls Ans]]-F164)/F164,0%)</f>
        <v>0</v>
      </c>
      <c r="I171" s="1"/>
      <c r="J171" s="1"/>
      <c r="K171" s="1"/>
      <c r="L171" s="1"/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301">
        <v>0</v>
      </c>
      <c r="S171" s="143">
        <v>0</v>
      </c>
      <c r="T171" s="1">
        <v>0</v>
      </c>
      <c r="U171" s="354" t="str">
        <f t="shared" si="8"/>
        <v>Normal</v>
      </c>
      <c r="V171" s="354" t="str">
        <f t="shared" si="9"/>
        <v>Normal</v>
      </c>
      <c r="W171" s="359">
        <f t="shared" si="10"/>
        <v>0</v>
      </c>
      <c r="X171" s="359">
        <f t="shared" si="11"/>
        <v>0</v>
      </c>
      <c r="Y171" s="343"/>
      <c r="Z171" s="343"/>
      <c r="AA171" s="343"/>
      <c r="AB171" s="343"/>
      <c r="AC171" s="343"/>
      <c r="AD171" s="343"/>
      <c r="AE171" s="343"/>
      <c r="AF171" s="343"/>
    </row>
    <row r="172" spans="1:34">
      <c r="A172" s="21">
        <v>45187</v>
      </c>
      <c r="B172" s="17">
        <f>IF(YEAR(Table7[[#This Row],[Date]]) = 2023, WEEKNUM(Table7[[#This Row],[Date]])-13, WEEKNUM(Table7[[#This Row],[Date]])+40)</f>
        <v>25</v>
      </c>
      <c r="C172" s="34" t="s">
        <v>49</v>
      </c>
      <c r="D172" s="34" t="s">
        <v>94</v>
      </c>
      <c r="E172" s="1">
        <v>797</v>
      </c>
      <c r="F172" s="1">
        <v>733</v>
      </c>
      <c r="G172" s="80">
        <f>IFERROR((Table7[[#This Row],[Calls Off]]-E165)/E165,0%)</f>
        <v>-0.19086294416243654</v>
      </c>
      <c r="H172" s="80">
        <f>IFERROR((Table7[[#This Row],[Calls Ans]]-F165)/F165,0%)</f>
        <v>0.14174454828660435</v>
      </c>
      <c r="I172" s="1"/>
      <c r="J172" s="1"/>
      <c r="K172" s="1"/>
      <c r="L172" s="1"/>
      <c r="M172" s="18">
        <v>0.79</v>
      </c>
      <c r="N172" s="18">
        <v>0.08</v>
      </c>
      <c r="O172" s="18">
        <v>0.92</v>
      </c>
      <c r="P172" s="18">
        <v>0.38</v>
      </c>
      <c r="Q172" s="18">
        <v>0.98</v>
      </c>
      <c r="R172" s="301">
        <v>156</v>
      </c>
      <c r="S172" s="143">
        <v>1.4583333333333332E-2</v>
      </c>
      <c r="T172" s="1">
        <v>13</v>
      </c>
      <c r="U172" s="354" t="str">
        <f t="shared" si="8"/>
        <v>Normal</v>
      </c>
      <c r="V172" s="354" t="str">
        <f t="shared" si="9"/>
        <v>Normal</v>
      </c>
      <c r="W172" s="359">
        <f t="shared" si="10"/>
        <v>-0.19086294416243654</v>
      </c>
      <c r="X172" s="359">
        <f t="shared" si="11"/>
        <v>0.14174454828660435</v>
      </c>
      <c r="Y172" s="343"/>
      <c r="Z172" s="343"/>
      <c r="AA172" s="343"/>
      <c r="AB172" s="343"/>
      <c r="AC172" s="343"/>
      <c r="AD172" s="343"/>
      <c r="AE172" s="343"/>
      <c r="AF172" s="343"/>
    </row>
    <row r="173" spans="1:34">
      <c r="A173" s="21">
        <v>45188</v>
      </c>
      <c r="B173" s="17">
        <f>IF(YEAR(Table7[[#This Row],[Date]]) = 2023, WEEKNUM(Table7[[#This Row],[Date]])-13, WEEKNUM(Table7[[#This Row],[Date]])+40)</f>
        <v>25</v>
      </c>
      <c r="C173" s="34" t="s">
        <v>50</v>
      </c>
      <c r="D173" s="34" t="s">
        <v>94</v>
      </c>
      <c r="E173" s="1">
        <v>691</v>
      </c>
      <c r="F173" s="1">
        <v>635</v>
      </c>
      <c r="G173" s="80">
        <f>IFERROR((Table7[[#This Row],[Calls Off]]-E166)/E166,0%)</f>
        <v>-0.15936739659367397</v>
      </c>
      <c r="H173" s="80">
        <f>IFERROR((Table7[[#This Row],[Calls Ans]]-F166)/F166,0%)</f>
        <v>-0.11188811188811189</v>
      </c>
      <c r="I173" s="1"/>
      <c r="J173" s="1"/>
      <c r="K173" s="1"/>
      <c r="L173" s="1"/>
      <c r="M173" s="18">
        <v>0.79</v>
      </c>
      <c r="N173" s="18">
        <v>0.08</v>
      </c>
      <c r="O173" s="18">
        <v>0.92</v>
      </c>
      <c r="P173" s="18">
        <v>0.33</v>
      </c>
      <c r="Q173" s="18">
        <v>0.98</v>
      </c>
      <c r="R173" s="301">
        <v>164</v>
      </c>
      <c r="S173" s="143">
        <v>1.8055555555555557E-2</v>
      </c>
      <c r="T173" s="1">
        <v>12</v>
      </c>
      <c r="U173" s="354" t="str">
        <f t="shared" si="8"/>
        <v>Normal</v>
      </c>
      <c r="V173" s="354" t="str">
        <f t="shared" si="9"/>
        <v>Normal</v>
      </c>
      <c r="W173" s="359">
        <f t="shared" si="10"/>
        <v>-0.15936739659367397</v>
      </c>
      <c r="X173" s="359">
        <f t="shared" si="11"/>
        <v>-0.11188811188811189</v>
      </c>
      <c r="Y173" s="343"/>
      <c r="Z173" s="343"/>
      <c r="AA173" s="343"/>
      <c r="AB173" s="343"/>
      <c r="AC173" s="343"/>
      <c r="AD173" s="343"/>
      <c r="AE173" s="343"/>
      <c r="AF173" s="343"/>
    </row>
    <row r="174" spans="1:34">
      <c r="A174" s="21">
        <v>45189</v>
      </c>
      <c r="B174" s="17">
        <f>IF(YEAR(Table7[[#This Row],[Date]]) = 2023, WEEKNUM(Table7[[#This Row],[Date]])-13, WEEKNUM(Table7[[#This Row],[Date]])+40)</f>
        <v>25</v>
      </c>
      <c r="C174" s="34" t="s">
        <v>51</v>
      </c>
      <c r="D174" s="34" t="s">
        <v>94</v>
      </c>
      <c r="E174" s="1">
        <v>911</v>
      </c>
      <c r="F174" s="1">
        <v>862</v>
      </c>
      <c r="G174" s="80">
        <f>IFERROR((Table7[[#This Row],[Calls Off]]-E167)/E167,0%)</f>
        <v>0.18774445893089961</v>
      </c>
      <c r="H174" s="80">
        <f>IFERROR((Table7[[#This Row],[Calls Ans]]-F167)/F167,0%)</f>
        <v>0.24028776978417266</v>
      </c>
      <c r="I174" s="1"/>
      <c r="J174" s="1"/>
      <c r="K174" s="1"/>
      <c r="L174" s="1"/>
      <c r="M174" s="18">
        <v>0.72</v>
      </c>
      <c r="N174" s="18">
        <v>0.05</v>
      </c>
      <c r="O174" s="18">
        <v>0.95</v>
      </c>
      <c r="P174" s="18">
        <v>0.38</v>
      </c>
      <c r="Q174" s="18">
        <v>0.94</v>
      </c>
      <c r="R174" s="301">
        <v>122</v>
      </c>
      <c r="S174" s="143">
        <v>1.5972222222222224E-2</v>
      </c>
      <c r="T174" s="1">
        <v>12</v>
      </c>
      <c r="U174" s="354" t="str">
        <f t="shared" si="8"/>
        <v>Normal</v>
      </c>
      <c r="V174" s="354" t="str">
        <f t="shared" si="9"/>
        <v>Normal</v>
      </c>
      <c r="W174" s="359">
        <f t="shared" si="10"/>
        <v>0.18774445893089961</v>
      </c>
      <c r="X174" s="359">
        <f t="shared" si="11"/>
        <v>0.24028776978417266</v>
      </c>
      <c r="Y174" s="343"/>
      <c r="Z174" s="343"/>
      <c r="AA174" s="343"/>
      <c r="AB174" s="343"/>
      <c r="AC174" s="343"/>
      <c r="AD174" s="343"/>
      <c r="AE174" s="343"/>
      <c r="AF174" s="343"/>
    </row>
    <row r="175" spans="1:34">
      <c r="A175" s="21">
        <v>45190</v>
      </c>
      <c r="B175" s="17">
        <f>IF(YEAR(Table7[[#This Row],[Date]]) = 2023, WEEKNUM(Table7[[#This Row],[Date]])-13, WEEKNUM(Table7[[#This Row],[Date]])+40)</f>
        <v>25</v>
      </c>
      <c r="C175" s="34" t="s">
        <v>52</v>
      </c>
      <c r="D175" s="34" t="s">
        <v>94</v>
      </c>
      <c r="E175" s="1">
        <v>741</v>
      </c>
      <c r="F175" s="1">
        <v>706</v>
      </c>
      <c r="G175" s="80">
        <f>IFERROR((Table7[[#This Row],[Calls Off]]-E168)/E168,0%)</f>
        <v>-1.8543046357615896E-2</v>
      </c>
      <c r="H175" s="80">
        <f>IFERROR((Table7[[#This Row],[Calls Ans]]-F168)/F168,0%)</f>
        <v>-2.2160664819944598E-2</v>
      </c>
      <c r="I175" s="1"/>
      <c r="J175" s="1"/>
      <c r="K175" s="1"/>
      <c r="L175" s="1"/>
      <c r="M175" s="18">
        <v>0.72</v>
      </c>
      <c r="N175" s="18">
        <v>0.05</v>
      </c>
      <c r="O175" s="18">
        <v>0.95</v>
      </c>
      <c r="P175" s="18">
        <v>0.4</v>
      </c>
      <c r="Q175" s="18">
        <v>0.99</v>
      </c>
      <c r="R175" s="301">
        <v>146</v>
      </c>
      <c r="S175" s="143">
        <v>2.5694444444444447E-2</v>
      </c>
      <c r="T175" s="1">
        <v>11</v>
      </c>
      <c r="U175" s="354" t="str">
        <f t="shared" si="8"/>
        <v>Normal</v>
      </c>
      <c r="V175" s="354" t="str">
        <f t="shared" si="9"/>
        <v>Normal</v>
      </c>
      <c r="W175" s="359">
        <f t="shared" si="10"/>
        <v>-1.8543046357615896E-2</v>
      </c>
      <c r="X175" s="359">
        <f t="shared" si="11"/>
        <v>-2.2160664819944598E-2</v>
      </c>
      <c r="Y175" s="343"/>
      <c r="Z175" s="343"/>
      <c r="AA175" s="343"/>
      <c r="AB175" s="343"/>
      <c r="AC175" s="343"/>
      <c r="AD175" s="343"/>
      <c r="AE175" s="343"/>
      <c r="AF175" s="343"/>
    </row>
    <row r="176" spans="1:34">
      <c r="A176" s="21">
        <v>45191</v>
      </c>
      <c r="B176" s="17">
        <f>IF(YEAR(Table7[[#This Row],[Date]]) = 2023, WEEKNUM(Table7[[#This Row],[Date]])-13, WEEKNUM(Table7[[#This Row],[Date]])+40)</f>
        <v>25</v>
      </c>
      <c r="C176" s="34" t="s">
        <v>53</v>
      </c>
      <c r="D176" s="34" t="s">
        <v>94</v>
      </c>
      <c r="E176" s="1">
        <v>589</v>
      </c>
      <c r="F176" s="1">
        <v>511</v>
      </c>
      <c r="G176" s="80">
        <f>IFERROR((Table7[[#This Row],[Calls Off]]-E169)/E169,0%)</f>
        <v>-0.24390243902439024</v>
      </c>
      <c r="H176" s="80">
        <f>IFERROR((Table7[[#This Row],[Calls Ans]]-F169)/F169,0%)</f>
        <v>-0.29807692307692307</v>
      </c>
      <c r="I176" s="1"/>
      <c r="J176" s="1"/>
      <c r="K176" s="1"/>
      <c r="L176" s="1"/>
      <c r="M176" s="18">
        <v>0.72</v>
      </c>
      <c r="N176" s="18">
        <v>0.13</v>
      </c>
      <c r="O176" s="18">
        <v>0.87</v>
      </c>
      <c r="P176" s="18">
        <v>0.28999999999999998</v>
      </c>
      <c r="Q176" s="18">
        <v>0.88</v>
      </c>
      <c r="R176" s="301">
        <v>139</v>
      </c>
      <c r="S176" s="143">
        <v>2.7777777777777776E-2</v>
      </c>
      <c r="T176" s="1">
        <v>11</v>
      </c>
      <c r="U176" s="354" t="str">
        <f t="shared" si="8"/>
        <v>Normal</v>
      </c>
      <c r="V176" s="354" t="str">
        <f t="shared" si="9"/>
        <v>Outlier</v>
      </c>
      <c r="W176" s="359">
        <f t="shared" si="10"/>
        <v>-0.24390243902439024</v>
      </c>
      <c r="X176" s="359">
        <f t="shared" si="11"/>
        <v>-0.29807692307692307</v>
      </c>
      <c r="Y176" s="343"/>
      <c r="Z176" s="343"/>
      <c r="AA176" s="343"/>
      <c r="AB176" s="343"/>
      <c r="AC176" s="343"/>
      <c r="AD176" s="343"/>
      <c r="AE176" s="343"/>
      <c r="AF176" s="343"/>
    </row>
    <row r="177" spans="1:36">
      <c r="A177" s="21">
        <v>45192</v>
      </c>
      <c r="B177" s="17">
        <f>IF(YEAR(Table7[[#This Row],[Date]]) = 2023, WEEKNUM(Table7[[#This Row],[Date]])-13, WEEKNUM(Table7[[#This Row],[Date]])+40)</f>
        <v>25</v>
      </c>
      <c r="C177" s="34" t="s">
        <v>54</v>
      </c>
      <c r="D177" s="34" t="s">
        <v>94</v>
      </c>
      <c r="E177" s="1">
        <v>491</v>
      </c>
      <c r="F177" s="1">
        <v>125</v>
      </c>
      <c r="G177" s="80">
        <f>IFERROR((Table7[[#This Row],[Calls Off]]-E170)/E170,0%)</f>
        <v>0.258974358974359</v>
      </c>
      <c r="H177" s="80">
        <f>IFERROR((Table7[[#This Row],[Calls Ans]]-F170)/F170,0%)</f>
        <v>-0.62006079027355621</v>
      </c>
      <c r="I177" s="1"/>
      <c r="J177" s="1"/>
      <c r="K177" s="1"/>
      <c r="L177" s="1"/>
      <c r="M177" s="18">
        <v>0.12</v>
      </c>
      <c r="N177" s="18">
        <v>0.75</v>
      </c>
      <c r="O177" s="18">
        <v>0.25</v>
      </c>
      <c r="P177" s="18">
        <v>0.65</v>
      </c>
      <c r="Q177" s="18">
        <v>0.92</v>
      </c>
      <c r="R177" s="301">
        <v>255</v>
      </c>
      <c r="S177" s="143">
        <v>0.45347222222222222</v>
      </c>
      <c r="T177" s="1">
        <v>3</v>
      </c>
      <c r="U177" s="354" t="str">
        <f t="shared" si="8"/>
        <v>Normal</v>
      </c>
      <c r="V177" s="354" t="str">
        <f t="shared" si="9"/>
        <v>Outlier</v>
      </c>
      <c r="W177" s="359">
        <f t="shared" si="10"/>
        <v>0.258974358974359</v>
      </c>
      <c r="X177" s="359">
        <f t="shared" si="11"/>
        <v>-0.62006079027355621</v>
      </c>
      <c r="Y177" s="343"/>
      <c r="Z177" s="343"/>
      <c r="AA177" s="343"/>
      <c r="AB177" s="343"/>
      <c r="AC177" s="343"/>
      <c r="AD177" s="343"/>
      <c r="AE177" s="343"/>
      <c r="AF177" s="343"/>
    </row>
    <row r="178" spans="1:36">
      <c r="A178" s="21">
        <v>45193</v>
      </c>
      <c r="B178" s="17">
        <f>IF(YEAR(Table7[[#This Row],[Date]]) = 2023, WEEKNUM(Table7[[#This Row],[Date]])-13, WEEKNUM(Table7[[#This Row],[Date]])+40)</f>
        <v>26</v>
      </c>
      <c r="C178" s="34" t="s">
        <v>48</v>
      </c>
      <c r="D178" s="34" t="s">
        <v>94</v>
      </c>
      <c r="E178" s="1">
        <v>0</v>
      </c>
      <c r="F178" s="1">
        <v>0</v>
      </c>
      <c r="G178" s="80">
        <f>IFERROR((Table7[[#This Row],[Calls Off]]-E171)/E171,0%)</f>
        <v>0</v>
      </c>
      <c r="H178" s="80">
        <f>IFERROR((Table7[[#This Row],[Calls Ans]]-F171)/F171,0%)</f>
        <v>0</v>
      </c>
      <c r="I178" s="1"/>
      <c r="J178" s="1"/>
      <c r="K178" s="1"/>
      <c r="L178" s="1"/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301">
        <v>0</v>
      </c>
      <c r="S178" s="143">
        <v>0</v>
      </c>
      <c r="T178" s="1">
        <v>0</v>
      </c>
      <c r="U178" s="354" t="str">
        <f t="shared" si="8"/>
        <v>Normal</v>
      </c>
      <c r="V178" s="354" t="str">
        <f t="shared" si="9"/>
        <v>Normal</v>
      </c>
      <c r="W178" s="359">
        <f t="shared" si="10"/>
        <v>0</v>
      </c>
      <c r="X178" s="359">
        <f t="shared" si="11"/>
        <v>0</v>
      </c>
      <c r="Y178" s="343"/>
      <c r="Z178" s="343"/>
      <c r="AA178" s="343"/>
      <c r="AB178" s="343"/>
      <c r="AC178" s="343"/>
      <c r="AD178" s="343"/>
      <c r="AE178" s="343"/>
      <c r="AF178" s="343"/>
    </row>
    <row r="179" spans="1:36">
      <c r="A179" s="21">
        <v>45194</v>
      </c>
      <c r="B179" s="17">
        <f>IF(YEAR(Table7[[#This Row],[Date]]) = 2023, WEEKNUM(Table7[[#This Row],[Date]])-13, WEEKNUM(Table7[[#This Row],[Date]])+40)</f>
        <v>26</v>
      </c>
      <c r="C179" s="34" t="s">
        <v>64</v>
      </c>
      <c r="D179" s="34" t="s">
        <v>94</v>
      </c>
      <c r="E179" s="1">
        <v>0</v>
      </c>
      <c r="F179" s="1">
        <v>0</v>
      </c>
      <c r="G179" s="80">
        <v>0</v>
      </c>
      <c r="H179" s="80">
        <v>0</v>
      </c>
      <c r="I179" s="1"/>
      <c r="J179" s="1"/>
      <c r="K179" s="1"/>
      <c r="L179" s="1"/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301">
        <v>0</v>
      </c>
      <c r="S179" s="143">
        <v>0</v>
      </c>
      <c r="T179" s="1">
        <v>0</v>
      </c>
      <c r="U179" s="354" t="str">
        <f t="shared" si="8"/>
        <v>Normal</v>
      </c>
      <c r="V179" s="354" t="str">
        <f t="shared" si="9"/>
        <v>Normal</v>
      </c>
      <c r="W179" s="359">
        <f t="shared" si="10"/>
        <v>0</v>
      </c>
      <c r="X179" s="359">
        <f t="shared" si="11"/>
        <v>0</v>
      </c>
      <c r="Y179" s="343"/>
      <c r="Z179" s="343"/>
      <c r="AA179" s="343"/>
      <c r="AB179" s="343"/>
      <c r="AC179" s="343"/>
      <c r="AD179" s="343"/>
      <c r="AE179" s="343"/>
      <c r="AF179" s="343"/>
    </row>
    <row r="180" spans="1:36">
      <c r="A180" s="21">
        <v>45195</v>
      </c>
      <c r="B180" s="17">
        <f>IF(YEAR(Table7[[#This Row],[Date]]) = 2023, WEEKNUM(Table7[[#This Row],[Date]])-13, WEEKNUM(Table7[[#This Row],[Date]])+40)</f>
        <v>26</v>
      </c>
      <c r="C180" s="34" t="s">
        <v>50</v>
      </c>
      <c r="D180" s="34" t="s">
        <v>94</v>
      </c>
      <c r="E180" s="1">
        <v>871</v>
      </c>
      <c r="F180" s="1">
        <v>747</v>
      </c>
      <c r="G180" s="80">
        <f>IFERROR((Table7[[#This Row],[Calls Off]]-E173)/E173,0%)</f>
        <v>0.26049204052098407</v>
      </c>
      <c r="H180" s="80">
        <f>IFERROR((Table7[[#This Row],[Calls Ans]]-F173)/F173,0%)</f>
        <v>0.17637795275590551</v>
      </c>
      <c r="I180" s="1"/>
      <c r="J180" s="1"/>
      <c r="K180" s="1"/>
      <c r="L180" s="1"/>
      <c r="M180" s="18">
        <v>0.6</v>
      </c>
      <c r="N180" s="18">
        <v>0.14000000000000001</v>
      </c>
      <c r="O180" s="18">
        <v>0.86</v>
      </c>
      <c r="P180" s="18">
        <v>0.47</v>
      </c>
      <c r="Q180" s="18">
        <v>0.86</v>
      </c>
      <c r="R180" s="301">
        <v>146</v>
      </c>
      <c r="S180" s="143">
        <v>4.6527777777777779E-2</v>
      </c>
      <c r="T180" s="1">
        <v>10</v>
      </c>
      <c r="U180" s="354" t="str">
        <f t="shared" si="8"/>
        <v>Normal</v>
      </c>
      <c r="V180" s="354" t="str">
        <f t="shared" si="9"/>
        <v>Normal</v>
      </c>
      <c r="W180" s="359">
        <f t="shared" si="10"/>
        <v>0.26049204052098407</v>
      </c>
      <c r="X180" s="359">
        <f t="shared" si="11"/>
        <v>0.17637795275590551</v>
      </c>
      <c r="Y180" s="343"/>
      <c r="Z180" s="343"/>
      <c r="AA180" s="343"/>
      <c r="AB180" s="343"/>
      <c r="AC180" s="343"/>
      <c r="AD180" s="343"/>
      <c r="AE180" s="343"/>
      <c r="AF180" s="343"/>
    </row>
    <row r="181" spans="1:36">
      <c r="A181" s="21">
        <v>45196</v>
      </c>
      <c r="B181" s="17">
        <f>IF(YEAR(Table7[[#This Row],[Date]]) = 2023, WEEKNUM(Table7[[#This Row],[Date]])-13, WEEKNUM(Table7[[#This Row],[Date]])+40)</f>
        <v>26</v>
      </c>
      <c r="C181" s="34" t="s">
        <v>51</v>
      </c>
      <c r="D181" s="34" t="s">
        <v>94</v>
      </c>
      <c r="E181" s="1">
        <v>877</v>
      </c>
      <c r="F181" s="1">
        <v>727</v>
      </c>
      <c r="G181" s="80">
        <f>IFERROR((Table7[[#This Row],[Calls Off]]-E174)/E174,0%)</f>
        <v>-3.7321624588364431E-2</v>
      </c>
      <c r="H181" s="80">
        <f>IFERROR((Table7[[#This Row],[Calls Ans]]-F174)/F174,0%)</f>
        <v>-0.15661252900232017</v>
      </c>
      <c r="I181" s="1"/>
      <c r="J181" s="1"/>
      <c r="K181" s="1"/>
      <c r="L181" s="1"/>
      <c r="M181" s="18">
        <v>0.59</v>
      </c>
      <c r="N181" s="18">
        <v>0.17</v>
      </c>
      <c r="O181" s="18">
        <v>0.83</v>
      </c>
      <c r="P181" s="18">
        <v>0.42</v>
      </c>
      <c r="Q181" s="18">
        <v>0.96</v>
      </c>
      <c r="R181" s="301">
        <v>140</v>
      </c>
      <c r="S181" s="143">
        <v>3.6805555555555557E-2</v>
      </c>
      <c r="T181" s="1">
        <v>11</v>
      </c>
      <c r="U181" s="354" t="str">
        <f t="shared" si="8"/>
        <v>Normal</v>
      </c>
      <c r="V181" s="354" t="str">
        <f t="shared" si="9"/>
        <v>Normal</v>
      </c>
      <c r="W181" s="359">
        <f t="shared" si="10"/>
        <v>-3.7321624588364431E-2</v>
      </c>
      <c r="X181" s="359">
        <f t="shared" si="11"/>
        <v>-0.15661252900232017</v>
      </c>
      <c r="Y181" s="343"/>
      <c r="Z181" s="343"/>
      <c r="AA181" s="343"/>
      <c r="AB181" s="343"/>
      <c r="AC181" s="343"/>
      <c r="AD181" s="343"/>
      <c r="AE181" s="343"/>
      <c r="AF181" s="343"/>
    </row>
    <row r="182" spans="1:36">
      <c r="A182" s="21">
        <v>45197</v>
      </c>
      <c r="B182" s="17">
        <f>IF(YEAR(Table7[[#This Row],[Date]]) = 2023, WEEKNUM(Table7[[#This Row],[Date]])-13, WEEKNUM(Table7[[#This Row],[Date]])+40)</f>
        <v>26</v>
      </c>
      <c r="C182" s="34" t="s">
        <v>52</v>
      </c>
      <c r="D182" s="34" t="s">
        <v>94</v>
      </c>
      <c r="E182" s="1">
        <v>680</v>
      </c>
      <c r="F182" s="1">
        <v>571</v>
      </c>
      <c r="G182" s="80">
        <f>IFERROR((Table7[[#This Row],[Calls Off]]-E175)/E175,0%)</f>
        <v>-8.2321187584345479E-2</v>
      </c>
      <c r="H182" s="80">
        <f>IFERROR((Table7[[#This Row],[Calls Ans]]-F175)/F175,0%)</f>
        <v>-0.19121813031161472</v>
      </c>
      <c r="I182" s="1"/>
      <c r="J182" s="1"/>
      <c r="K182" s="1"/>
      <c r="L182" s="1"/>
      <c r="M182" s="18">
        <v>0.6</v>
      </c>
      <c r="N182" s="18">
        <v>0.16</v>
      </c>
      <c r="O182" s="18">
        <v>0.84</v>
      </c>
      <c r="P182" s="18">
        <v>0.44</v>
      </c>
      <c r="Q182" s="18">
        <v>0.97</v>
      </c>
      <c r="R182" s="301">
        <v>157</v>
      </c>
      <c r="S182" s="143">
        <v>3.888888888888889E-2</v>
      </c>
      <c r="T182" s="1">
        <v>9</v>
      </c>
      <c r="U182" s="354" t="str">
        <f t="shared" si="8"/>
        <v>Normal</v>
      </c>
      <c r="V182" s="354" t="str">
        <f t="shared" si="9"/>
        <v>Normal</v>
      </c>
      <c r="W182" s="359">
        <f t="shared" si="10"/>
        <v>-8.2321187584345479E-2</v>
      </c>
      <c r="X182" s="359">
        <f t="shared" si="11"/>
        <v>-0.19121813031161472</v>
      </c>
      <c r="Y182" s="343"/>
      <c r="Z182" s="343"/>
      <c r="AA182" s="343"/>
      <c r="AB182" s="343"/>
      <c r="AC182" s="343"/>
      <c r="AD182" s="343"/>
      <c r="AE182" s="343"/>
      <c r="AF182" s="343"/>
    </row>
    <row r="183" spans="1:36">
      <c r="A183" s="21">
        <v>45198</v>
      </c>
      <c r="B183" s="17">
        <f>IF(YEAR(Table7[[#This Row],[Date]]) = 2023, WEEKNUM(Table7[[#This Row],[Date]])-13, WEEKNUM(Table7[[#This Row],[Date]])+40)</f>
        <v>26</v>
      </c>
      <c r="C183" s="34" t="s">
        <v>53</v>
      </c>
      <c r="D183" s="34" t="s">
        <v>94</v>
      </c>
      <c r="E183" s="1">
        <v>700</v>
      </c>
      <c r="F183" s="1">
        <v>669</v>
      </c>
      <c r="G183" s="80">
        <f>IFERROR((Table7[[#This Row],[Calls Off]]-E176)/E176,0%)</f>
        <v>0.18845500848896435</v>
      </c>
      <c r="H183" s="80">
        <f>IFERROR((Table7[[#This Row],[Calls Ans]]-F176)/F176,0%)</f>
        <v>0.30919765166340507</v>
      </c>
      <c r="I183" s="1"/>
      <c r="J183" s="1"/>
      <c r="K183" s="1"/>
      <c r="L183" s="1"/>
      <c r="M183" s="18">
        <v>0.85</v>
      </c>
      <c r="N183" s="18">
        <v>0.04</v>
      </c>
      <c r="O183" s="18">
        <v>0.96</v>
      </c>
      <c r="P183" s="18">
        <v>0.38</v>
      </c>
      <c r="Q183" s="18">
        <v>0.97</v>
      </c>
      <c r="R183" s="301">
        <v>151</v>
      </c>
      <c r="S183" s="143">
        <v>1.0416666666666666E-2</v>
      </c>
      <c r="T183" s="1">
        <v>11</v>
      </c>
      <c r="U183" s="354" t="str">
        <f t="shared" si="8"/>
        <v>Normal</v>
      </c>
      <c r="V183" s="354" t="str">
        <f t="shared" si="9"/>
        <v>Outlier</v>
      </c>
      <c r="W183" s="359">
        <f t="shared" si="10"/>
        <v>0.18845500848896435</v>
      </c>
      <c r="X183" s="359">
        <f t="shared" si="11"/>
        <v>0.30919765166340507</v>
      </c>
      <c r="Y183" s="343"/>
      <c r="Z183" s="343"/>
      <c r="AA183" s="343"/>
      <c r="AB183" s="343"/>
      <c r="AC183" s="343"/>
      <c r="AD183" s="343"/>
      <c r="AE183" s="343"/>
      <c r="AF183" s="343"/>
    </row>
    <row r="184" spans="1:36" s="48" customFormat="1">
      <c r="A184" s="21">
        <v>45199</v>
      </c>
      <c r="B184" s="17">
        <f>IF(YEAR(Table7[[#This Row],[Date]]) = 2023, WEEKNUM(Table7[[#This Row],[Date]])-13, WEEKNUM(Table7[[#This Row],[Date]])+40)</f>
        <v>26</v>
      </c>
      <c r="C184" s="49" t="s">
        <v>54</v>
      </c>
      <c r="D184" s="34" t="s">
        <v>94</v>
      </c>
      <c r="E184" s="1">
        <v>477</v>
      </c>
      <c r="F184" s="1">
        <v>362</v>
      </c>
      <c r="G184" s="80">
        <f>IFERROR((Table7[[#This Row],[Calls Off]]-E177)/E177,0%)</f>
        <v>-2.8513238289205704E-2</v>
      </c>
      <c r="H184" s="80">
        <f>IFERROR((Table7[[#This Row],[Calls Ans]]-F177)/F177,0%)</f>
        <v>1.8959999999999999</v>
      </c>
      <c r="I184" s="1"/>
      <c r="J184" s="1"/>
      <c r="K184" s="1"/>
      <c r="L184" s="1"/>
      <c r="M184" s="18">
        <v>0.39</v>
      </c>
      <c r="N184" s="18">
        <v>0.24</v>
      </c>
      <c r="O184" s="18">
        <v>0.76</v>
      </c>
      <c r="P184" s="18">
        <v>0.39</v>
      </c>
      <c r="Q184" s="18">
        <v>0.93</v>
      </c>
      <c r="R184" s="301">
        <v>152</v>
      </c>
      <c r="S184" s="143">
        <v>6.458333333333334E-2</v>
      </c>
      <c r="T184" s="1">
        <v>5</v>
      </c>
      <c r="U184" s="354" t="str">
        <f t="shared" si="8"/>
        <v>Normal</v>
      </c>
      <c r="V184" s="354" t="str">
        <f t="shared" si="9"/>
        <v>Outlier</v>
      </c>
      <c r="W184" s="359">
        <f t="shared" si="10"/>
        <v>-2.8513238289205704E-2</v>
      </c>
      <c r="X184" s="359">
        <f t="shared" si="11"/>
        <v>6.3318336160613942E-2</v>
      </c>
      <c r="Y184" s="343"/>
      <c r="Z184" s="343"/>
      <c r="AA184" s="343"/>
      <c r="AB184" s="343"/>
      <c r="AC184" s="343"/>
      <c r="AD184" s="343"/>
      <c r="AE184" s="343"/>
      <c r="AF184" s="343"/>
      <c r="AG184" s="280"/>
      <c r="AH184"/>
      <c r="AI184"/>
      <c r="AJ184"/>
    </row>
    <row r="185" spans="1:36">
      <c r="A185" s="21">
        <v>45200</v>
      </c>
      <c r="B185" s="17">
        <f>IF(YEAR(Table7[[#This Row],[Date]]) = 2023, WEEKNUM(Table7[[#This Row],[Date]])-13, WEEKNUM(Table7[[#This Row],[Date]])+40)</f>
        <v>27</v>
      </c>
      <c r="C185" s="34" t="s">
        <v>48</v>
      </c>
      <c r="D185" s="34" t="s">
        <v>94</v>
      </c>
      <c r="E185" s="1">
        <v>0</v>
      </c>
      <c r="F185" s="1">
        <v>0</v>
      </c>
      <c r="G185" s="80">
        <f>IFERROR((Table7[[#This Row],[Calls Off]]-E178)/E178,0%)</f>
        <v>0</v>
      </c>
      <c r="H185" s="80">
        <f>IFERROR((Table7[[#This Row],[Calls Ans]]-F178)/F178,0%)</f>
        <v>0</v>
      </c>
      <c r="I185" s="1">
        <v>0</v>
      </c>
      <c r="J185" s="1">
        <v>0</v>
      </c>
      <c r="K185" s="1">
        <v>0</v>
      </c>
      <c r="L185" s="1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301">
        <v>0</v>
      </c>
      <c r="S185" s="143">
        <v>0</v>
      </c>
      <c r="T185" s="1">
        <v>0</v>
      </c>
      <c r="U185" s="354" t="str">
        <f t="shared" si="8"/>
        <v>Normal</v>
      </c>
      <c r="V185" s="354" t="str">
        <f t="shared" si="9"/>
        <v>Normal</v>
      </c>
      <c r="W185" s="359">
        <f t="shared" si="10"/>
        <v>0</v>
      </c>
      <c r="X185" s="359">
        <f t="shared" si="11"/>
        <v>0</v>
      </c>
      <c r="Y185" s="343"/>
      <c r="Z185" s="343"/>
      <c r="AA185" s="343"/>
      <c r="AB185" s="343"/>
      <c r="AC185" s="343"/>
      <c r="AD185" s="343"/>
      <c r="AE185" s="343"/>
      <c r="AF185" s="343"/>
    </row>
    <row r="186" spans="1:36">
      <c r="A186" s="21">
        <v>45201</v>
      </c>
      <c r="B186" s="17">
        <f>IF(YEAR(Table7[[#This Row],[Date]]) = 2023, WEEKNUM(Table7[[#This Row],[Date]])-13, WEEKNUM(Table7[[#This Row],[Date]])+40)</f>
        <v>27</v>
      </c>
      <c r="C186" s="34" t="s">
        <v>49</v>
      </c>
      <c r="D186" s="34" t="s">
        <v>94</v>
      </c>
      <c r="E186" s="1">
        <v>834</v>
      </c>
      <c r="F186" s="1">
        <v>724</v>
      </c>
      <c r="G186" s="80">
        <f>IFERROR((Table7[[#This Row],[Calls Off]]-E179)/E179,0%)</f>
        <v>0</v>
      </c>
      <c r="H186" s="80">
        <f>IFERROR((Table7[[#This Row],[Calls Ans]]-F179)/F179,0%)</f>
        <v>0</v>
      </c>
      <c r="I186" s="1"/>
      <c r="J186" s="1"/>
      <c r="K186" s="1"/>
      <c r="L186" s="1"/>
      <c r="M186" s="18">
        <v>0.59</v>
      </c>
      <c r="N186" s="18">
        <v>0.13</v>
      </c>
      <c r="O186" s="18">
        <v>0.87</v>
      </c>
      <c r="P186" s="18">
        <v>0.61</v>
      </c>
      <c r="Q186" s="18">
        <v>0.98</v>
      </c>
      <c r="R186" s="301">
        <v>160</v>
      </c>
      <c r="S186" s="143">
        <v>2.8472222222222222E-2</v>
      </c>
      <c r="T186" s="1">
        <v>10</v>
      </c>
      <c r="U186" s="354" t="str">
        <f t="shared" si="8"/>
        <v>Normal</v>
      </c>
      <c r="V186" s="354" t="str">
        <f t="shared" si="9"/>
        <v>Normal</v>
      </c>
      <c r="W186" s="359">
        <f t="shared" si="10"/>
        <v>0</v>
      </c>
      <c r="X186" s="359">
        <f t="shared" si="11"/>
        <v>0</v>
      </c>
      <c r="Y186" s="343"/>
      <c r="Z186" s="343"/>
      <c r="AA186" s="343"/>
      <c r="AB186" s="343"/>
      <c r="AC186" s="343"/>
      <c r="AD186" s="343"/>
      <c r="AE186" s="343"/>
      <c r="AF186" s="343"/>
    </row>
    <row r="187" spans="1:36">
      <c r="A187" s="21">
        <v>45202</v>
      </c>
      <c r="B187" s="17">
        <f>IF(YEAR(Table7[[#This Row],[Date]]) = 2023, WEEKNUM(Table7[[#This Row],[Date]])-13, WEEKNUM(Table7[[#This Row],[Date]])+40)</f>
        <v>27</v>
      </c>
      <c r="C187" s="34" t="s">
        <v>50</v>
      </c>
      <c r="D187" s="34" t="s">
        <v>94</v>
      </c>
      <c r="E187" s="1">
        <v>736</v>
      </c>
      <c r="F187" s="1">
        <v>686</v>
      </c>
      <c r="G187" s="80">
        <f>IFERROR((Table7[[#This Row],[Calls Off]]-E180)/E180,0%)</f>
        <v>-0.1549942594718714</v>
      </c>
      <c r="H187" s="80">
        <f>IFERROR((Table7[[#This Row],[Calls Ans]]-F180)/F180,0%)</f>
        <v>-8.1659973226238289E-2</v>
      </c>
      <c r="I187" s="1"/>
      <c r="J187" s="1"/>
      <c r="K187" s="1"/>
      <c r="L187" s="1"/>
      <c r="M187" s="18">
        <v>0.85</v>
      </c>
      <c r="N187" s="18">
        <v>7.0000000000000007E-2</v>
      </c>
      <c r="O187" s="18">
        <v>0.93</v>
      </c>
      <c r="P187" s="18">
        <v>0.42</v>
      </c>
      <c r="Q187" s="18">
        <v>0.99</v>
      </c>
      <c r="R187" s="301">
        <v>126</v>
      </c>
      <c r="S187" s="143">
        <v>9.7222222222222224E-3</v>
      </c>
      <c r="T187" s="1">
        <v>10</v>
      </c>
      <c r="U187" s="354" t="str">
        <f t="shared" si="8"/>
        <v>Normal</v>
      </c>
      <c r="V187" s="354" t="str">
        <f t="shared" si="9"/>
        <v>Normal</v>
      </c>
      <c r="W187" s="359">
        <f t="shared" si="10"/>
        <v>-0.1549942594718714</v>
      </c>
      <c r="X187" s="359">
        <f t="shared" si="11"/>
        <v>-8.1659973226238289E-2</v>
      </c>
      <c r="Y187" s="343"/>
      <c r="Z187" s="343"/>
      <c r="AA187" s="343"/>
      <c r="AB187" s="343"/>
      <c r="AC187" s="343"/>
      <c r="AD187" s="343"/>
      <c r="AE187" s="343"/>
      <c r="AF187" s="343"/>
    </row>
    <row r="188" spans="1:36">
      <c r="A188" s="21">
        <v>45203</v>
      </c>
      <c r="B188" s="17">
        <f>IF(YEAR(Table7[[#This Row],[Date]]) = 2023, WEEKNUM(Table7[[#This Row],[Date]])-13, WEEKNUM(Table7[[#This Row],[Date]])+40)</f>
        <v>27</v>
      </c>
      <c r="C188" s="34" t="s">
        <v>51</v>
      </c>
      <c r="D188" s="34" t="s">
        <v>94</v>
      </c>
      <c r="E188" s="1">
        <v>696</v>
      </c>
      <c r="F188" s="1">
        <v>670</v>
      </c>
      <c r="G188" s="80">
        <f>IFERROR((Table7[[#This Row],[Calls Off]]-E181)/E181,0%)</f>
        <v>-0.20638540478905359</v>
      </c>
      <c r="H188" s="80">
        <f>IFERROR((Table7[[#This Row],[Calls Ans]]-F181)/F181,0%)</f>
        <v>-7.8404401650618988E-2</v>
      </c>
      <c r="I188" s="1"/>
      <c r="J188" s="1"/>
      <c r="K188" s="1"/>
      <c r="L188" s="1"/>
      <c r="M188" s="18">
        <v>0.92</v>
      </c>
      <c r="N188" s="18">
        <v>0.04</v>
      </c>
      <c r="O188" s="18">
        <v>0.96</v>
      </c>
      <c r="P188" s="18">
        <v>0.39</v>
      </c>
      <c r="Q188" s="18">
        <v>0.61</v>
      </c>
      <c r="R188" s="301">
        <v>158</v>
      </c>
      <c r="S188" s="143">
        <v>5.5555555555555558E-3</v>
      </c>
      <c r="T188" s="1">
        <v>12</v>
      </c>
      <c r="U188" s="354" t="str">
        <f t="shared" si="8"/>
        <v>Normal</v>
      </c>
      <c r="V188" s="354" t="str">
        <f t="shared" si="9"/>
        <v>Normal</v>
      </c>
      <c r="W188" s="359">
        <f t="shared" si="10"/>
        <v>-0.20638540478905359</v>
      </c>
      <c r="X188" s="359">
        <f t="shared" si="11"/>
        <v>-7.8404401650618988E-2</v>
      </c>
      <c r="Y188" s="343"/>
      <c r="Z188" s="343"/>
      <c r="AA188" s="343"/>
      <c r="AB188" s="343"/>
      <c r="AC188" s="343"/>
      <c r="AD188" s="343"/>
      <c r="AE188" s="343"/>
      <c r="AF188" s="343"/>
    </row>
    <row r="189" spans="1:36">
      <c r="A189" s="21">
        <v>45204</v>
      </c>
      <c r="B189" s="17">
        <f>IF(YEAR(Table7[[#This Row],[Date]]) = 2023, WEEKNUM(Table7[[#This Row],[Date]])-13, WEEKNUM(Table7[[#This Row],[Date]])+40)</f>
        <v>27</v>
      </c>
      <c r="C189" s="34" t="s">
        <v>52</v>
      </c>
      <c r="D189" s="34" t="s">
        <v>94</v>
      </c>
      <c r="E189" s="1">
        <v>848</v>
      </c>
      <c r="F189" s="1">
        <v>788</v>
      </c>
      <c r="G189" s="80">
        <f>IFERROR((Table7[[#This Row],[Calls Off]]-E182)/E182,0%)</f>
        <v>0.24705882352941178</v>
      </c>
      <c r="H189" s="80">
        <f>IFERROR((Table7[[#This Row],[Calls Ans]]-F182)/F182,0%)</f>
        <v>0.38003502626970226</v>
      </c>
      <c r="I189" s="1"/>
      <c r="J189" s="1"/>
      <c r="K189" s="1"/>
      <c r="L189" s="1"/>
      <c r="M189" s="18">
        <v>0.67</v>
      </c>
      <c r="N189" s="18">
        <v>7.0000000000000007E-2</v>
      </c>
      <c r="O189" s="18">
        <v>0.93</v>
      </c>
      <c r="P189" s="18">
        <v>0.43</v>
      </c>
      <c r="Q189" s="18">
        <v>0.99</v>
      </c>
      <c r="R189" s="301">
        <v>141</v>
      </c>
      <c r="S189" s="143">
        <v>2.4999999999999998E-2</v>
      </c>
      <c r="T189" s="1">
        <v>11</v>
      </c>
      <c r="U189" s="354" t="str">
        <f t="shared" si="8"/>
        <v>Normal</v>
      </c>
      <c r="V189" s="354" t="str">
        <f t="shared" si="9"/>
        <v>Outlier</v>
      </c>
      <c r="W189" s="359">
        <f t="shared" si="10"/>
        <v>0.24705882352941178</v>
      </c>
      <c r="X189" s="359">
        <f t="shared" si="11"/>
        <v>0.38003502626970226</v>
      </c>
      <c r="Y189" s="343"/>
      <c r="Z189" s="343"/>
      <c r="AA189" s="343"/>
      <c r="AB189" s="343"/>
      <c r="AC189" s="343"/>
      <c r="AD189" s="343"/>
      <c r="AE189" s="343"/>
      <c r="AF189" s="343"/>
    </row>
    <row r="190" spans="1:36">
      <c r="A190" s="21">
        <v>45205</v>
      </c>
      <c r="B190" s="17">
        <f>IF(YEAR(Table7[[#This Row],[Date]]) = 2023, WEEKNUM(Table7[[#This Row],[Date]])-13, WEEKNUM(Table7[[#This Row],[Date]])+40)</f>
        <v>27</v>
      </c>
      <c r="C190" s="34" t="s">
        <v>53</v>
      </c>
      <c r="D190" s="34" t="s">
        <v>94</v>
      </c>
      <c r="E190" s="1">
        <v>671</v>
      </c>
      <c r="F190" s="1">
        <v>656</v>
      </c>
      <c r="G190" s="80">
        <f>IFERROR((Table7[[#This Row],[Calls Off]]-E183)/E183,0%)</f>
        <v>-4.1428571428571426E-2</v>
      </c>
      <c r="H190" s="80">
        <f>IFERROR((Table7[[#This Row],[Calls Ans]]-F183)/F183,0%)</f>
        <v>-1.9431988041853511E-2</v>
      </c>
      <c r="I190" s="1"/>
      <c r="J190" s="1"/>
      <c r="K190" s="1"/>
      <c r="L190" s="1"/>
      <c r="M190" s="18">
        <v>0.9</v>
      </c>
      <c r="N190" s="18">
        <v>0.02</v>
      </c>
      <c r="O190" s="18">
        <v>0.98</v>
      </c>
      <c r="P190" s="18">
        <v>0.35</v>
      </c>
      <c r="Q190" s="18">
        <v>0.99</v>
      </c>
      <c r="R190" s="301">
        <v>135</v>
      </c>
      <c r="S190" s="143">
        <v>8.3333333333333332E-3</v>
      </c>
      <c r="T190" s="1">
        <v>11</v>
      </c>
      <c r="U190" s="354" t="str">
        <f t="shared" si="8"/>
        <v>Normal</v>
      </c>
      <c r="V190" s="354" t="str">
        <f t="shared" si="9"/>
        <v>Normal</v>
      </c>
      <c r="W190" s="359">
        <f t="shared" si="10"/>
        <v>-4.1428571428571426E-2</v>
      </c>
      <c r="X190" s="359">
        <f t="shared" si="11"/>
        <v>-1.9431988041853511E-2</v>
      </c>
      <c r="Y190" s="343"/>
      <c r="Z190" s="343"/>
      <c r="AA190" s="343"/>
      <c r="AB190" s="343"/>
      <c r="AC190" s="343"/>
      <c r="AD190" s="343"/>
      <c r="AE190" s="343"/>
      <c r="AF190" s="343"/>
    </row>
    <row r="191" spans="1:36">
      <c r="A191" s="21">
        <v>45206</v>
      </c>
      <c r="B191" s="17">
        <f>IF(YEAR(Table7[[#This Row],[Date]]) = 2023, WEEKNUM(Table7[[#This Row],[Date]])-13, WEEKNUM(Table7[[#This Row],[Date]])+40)</f>
        <v>27</v>
      </c>
      <c r="C191" s="34" t="s">
        <v>54</v>
      </c>
      <c r="D191" s="34" t="s">
        <v>94</v>
      </c>
      <c r="E191" s="1">
        <v>315</v>
      </c>
      <c r="F191" s="1">
        <v>286</v>
      </c>
      <c r="G191" s="80">
        <f>IFERROR((Table7[[#This Row],[Calls Off]]-E184)/E184,0%)</f>
        <v>-0.33962264150943394</v>
      </c>
      <c r="H191" s="80">
        <f>IFERROR((Table7[[#This Row],[Calls Ans]]-F184)/F184,0%)</f>
        <v>-0.20994475138121546</v>
      </c>
      <c r="I191" s="1"/>
      <c r="J191" s="1"/>
      <c r="K191" s="1"/>
      <c r="L191" s="1"/>
      <c r="M191" s="18">
        <v>0.74</v>
      </c>
      <c r="N191" s="18">
        <v>0.09</v>
      </c>
      <c r="O191" s="18">
        <v>0.91</v>
      </c>
      <c r="P191" s="18">
        <v>0.43</v>
      </c>
      <c r="Q191" s="18">
        <v>0.91</v>
      </c>
      <c r="R191" s="301">
        <v>149</v>
      </c>
      <c r="S191" s="143">
        <v>1.9444444444444445E-2</v>
      </c>
      <c r="T191" s="1">
        <v>6</v>
      </c>
      <c r="U191" s="354" t="str">
        <f t="shared" si="8"/>
        <v>Outlier</v>
      </c>
      <c r="V191" s="354" t="str">
        <f t="shared" si="9"/>
        <v>Normal</v>
      </c>
      <c r="W191" s="359">
        <f t="shared" si="10"/>
        <v>-0.33962264150943394</v>
      </c>
      <c r="X191" s="359">
        <f t="shared" si="11"/>
        <v>-0.20994475138121546</v>
      </c>
      <c r="Y191" s="343"/>
      <c r="Z191" s="343"/>
      <c r="AA191" s="343"/>
      <c r="AB191" s="343"/>
      <c r="AC191" s="343"/>
      <c r="AD191" s="343"/>
      <c r="AE191" s="343"/>
      <c r="AF191" s="343"/>
    </row>
    <row r="192" spans="1:36">
      <c r="A192" s="21">
        <v>45207</v>
      </c>
      <c r="B192" s="17">
        <f>IF(YEAR(Table7[[#This Row],[Date]]) = 2023, WEEKNUM(Table7[[#This Row],[Date]])-13, WEEKNUM(Table7[[#This Row],[Date]])+40)</f>
        <v>28</v>
      </c>
      <c r="C192" s="34" t="s">
        <v>48</v>
      </c>
      <c r="D192" s="34" t="s">
        <v>94</v>
      </c>
      <c r="E192" s="1">
        <v>0</v>
      </c>
      <c r="F192" s="1">
        <v>0</v>
      </c>
      <c r="G192" s="80">
        <f>IFERROR((Table7[[#This Row],[Calls Off]]-E185)/E185,0%)</f>
        <v>0</v>
      </c>
      <c r="H192" s="80">
        <f>IFERROR((Table7[[#This Row],[Calls Ans]]-F185)/F185,0%)</f>
        <v>0</v>
      </c>
      <c r="I192" s="1">
        <v>0</v>
      </c>
      <c r="J192" s="1">
        <v>0</v>
      </c>
      <c r="K192" s="1">
        <v>0</v>
      </c>
      <c r="L192" s="1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301">
        <v>0</v>
      </c>
      <c r="S192" s="143">
        <v>0</v>
      </c>
      <c r="T192" s="1">
        <v>0</v>
      </c>
      <c r="U192" s="354" t="str">
        <f t="shared" si="8"/>
        <v>Normal</v>
      </c>
      <c r="V192" s="354" t="str">
        <f t="shared" si="9"/>
        <v>Normal</v>
      </c>
      <c r="W192" s="359">
        <f t="shared" si="10"/>
        <v>0</v>
      </c>
      <c r="X192" s="359">
        <f t="shared" si="11"/>
        <v>0</v>
      </c>
      <c r="Y192" s="343"/>
      <c r="Z192" s="343"/>
      <c r="AA192" s="343"/>
      <c r="AB192" s="343"/>
      <c r="AC192" s="343"/>
      <c r="AD192" s="343"/>
      <c r="AE192" s="343"/>
      <c r="AF192" s="343"/>
    </row>
    <row r="193" spans="1:34">
      <c r="A193" s="21">
        <v>45208</v>
      </c>
      <c r="B193" s="17">
        <f>IF(YEAR(Table7[[#This Row],[Date]]) = 2023, WEEKNUM(Table7[[#This Row],[Date]])-13, WEEKNUM(Table7[[#This Row],[Date]])+40)</f>
        <v>28</v>
      </c>
      <c r="C193" s="34" t="s">
        <v>49</v>
      </c>
      <c r="D193" s="34" t="s">
        <v>94</v>
      </c>
      <c r="E193" s="1">
        <v>860</v>
      </c>
      <c r="F193" s="1">
        <v>793</v>
      </c>
      <c r="G193" s="80">
        <f>IFERROR((Table7[[#This Row],[Calls Off]]-E186)/E186,0%)</f>
        <v>3.117505995203837E-2</v>
      </c>
      <c r="H193" s="80">
        <f>IFERROR((Table7[[#This Row],[Calls Ans]]-F186)/F186,0%)</f>
        <v>9.5303867403314924E-2</v>
      </c>
      <c r="I193" s="1"/>
      <c r="J193" s="1"/>
      <c r="K193" s="1"/>
      <c r="L193" s="1"/>
      <c r="M193" s="18">
        <v>0.79</v>
      </c>
      <c r="N193" s="18">
        <v>0.08</v>
      </c>
      <c r="O193" s="18">
        <v>0.92</v>
      </c>
      <c r="P193" s="18">
        <v>0.38</v>
      </c>
      <c r="Q193" s="18">
        <v>0.93</v>
      </c>
      <c r="R193" s="301">
        <v>135</v>
      </c>
      <c r="S193" s="143">
        <v>2.4999999999999998E-2</v>
      </c>
      <c r="T193" s="1">
        <v>12</v>
      </c>
      <c r="U193" s="354" t="str">
        <f t="shared" si="8"/>
        <v>Normal</v>
      </c>
      <c r="V193" s="354" t="str">
        <f t="shared" si="9"/>
        <v>Normal</v>
      </c>
      <c r="W193" s="359">
        <f t="shared" si="10"/>
        <v>3.117505995203837E-2</v>
      </c>
      <c r="X193" s="359">
        <f t="shared" si="11"/>
        <v>9.5303867403314924E-2</v>
      </c>
      <c r="Y193" s="343"/>
      <c r="Z193" s="343"/>
      <c r="AA193" s="343"/>
      <c r="AB193" s="343"/>
      <c r="AC193" s="343"/>
      <c r="AD193" s="343"/>
      <c r="AE193" s="343"/>
      <c r="AF193" s="343"/>
    </row>
    <row r="194" spans="1:34">
      <c r="A194" s="21">
        <v>45209</v>
      </c>
      <c r="B194" s="17">
        <f>IF(YEAR(Table7[[#This Row],[Date]]) = 2023, WEEKNUM(Table7[[#This Row],[Date]])-13, WEEKNUM(Table7[[#This Row],[Date]])+40)</f>
        <v>28</v>
      </c>
      <c r="C194" s="34" t="s">
        <v>50</v>
      </c>
      <c r="D194" s="34" t="s">
        <v>94</v>
      </c>
      <c r="E194" s="1">
        <v>534</v>
      </c>
      <c r="F194" s="1">
        <v>488</v>
      </c>
      <c r="G194" s="80">
        <f>IFERROR((Table7[[#This Row],[Calls Off]]-E187)/E187,0%)</f>
        <v>-0.27445652173913043</v>
      </c>
      <c r="H194" s="80">
        <f>IFERROR((Table7[[#This Row],[Calls Ans]]-F187)/F187,0%)</f>
        <v>-0.28862973760932947</v>
      </c>
      <c r="I194" s="1"/>
      <c r="J194" s="1"/>
      <c r="K194" s="1"/>
      <c r="L194" s="1"/>
      <c r="M194" s="18">
        <v>0.76</v>
      </c>
      <c r="N194" s="18">
        <v>0.09</v>
      </c>
      <c r="O194" s="18">
        <v>0.91</v>
      </c>
      <c r="P194" s="18">
        <v>0.28000000000000003</v>
      </c>
      <c r="Q194" s="18">
        <v>0.98</v>
      </c>
      <c r="R194" s="301">
        <v>149</v>
      </c>
      <c r="S194" s="143">
        <v>2.0833333333333332E-2</v>
      </c>
      <c r="T194" s="1">
        <v>11</v>
      </c>
      <c r="U194" s="354" t="str">
        <f t="shared" si="8"/>
        <v>Normal</v>
      </c>
      <c r="V194" s="354" t="str">
        <f t="shared" si="9"/>
        <v>Outlier</v>
      </c>
      <c r="W194" s="359">
        <f t="shared" si="10"/>
        <v>-0.27445652173913043</v>
      </c>
      <c r="X194" s="359">
        <f t="shared" si="11"/>
        <v>-0.28862973760932947</v>
      </c>
      <c r="Y194" s="343"/>
      <c r="Z194" s="343"/>
      <c r="AA194" s="343"/>
      <c r="AB194" s="343"/>
      <c r="AC194" s="343"/>
      <c r="AD194" s="343"/>
      <c r="AE194" s="343"/>
      <c r="AF194" s="343"/>
      <c r="AH194">
        <v>0.74639999999999984</v>
      </c>
    </row>
    <row r="195" spans="1:34">
      <c r="A195" s="21">
        <v>45210</v>
      </c>
      <c r="B195" s="17">
        <f>IF(YEAR(Table7[[#This Row],[Date]]) = 2023, WEEKNUM(Table7[[#This Row],[Date]])-13, WEEKNUM(Table7[[#This Row],[Date]])+40)</f>
        <v>28</v>
      </c>
      <c r="C195" s="34" t="s">
        <v>51</v>
      </c>
      <c r="D195" s="34" t="s">
        <v>94</v>
      </c>
      <c r="E195" s="1">
        <v>40</v>
      </c>
      <c r="F195" s="1">
        <v>38</v>
      </c>
      <c r="G195" s="80">
        <f>IFERROR((Table7[[#This Row],[Calls Off]]-E188)/E188,0%)</f>
        <v>-0.94252873563218387</v>
      </c>
      <c r="H195" s="80">
        <f>IFERROR((Table7[[#This Row],[Calls Ans]]-F188)/F188,0%)</f>
        <v>-0.94328358208955221</v>
      </c>
      <c r="I195" s="1"/>
      <c r="J195" s="1"/>
      <c r="K195" s="1"/>
      <c r="L195" s="1"/>
      <c r="M195" s="18">
        <v>0.7</v>
      </c>
      <c r="N195" s="18">
        <v>0.05</v>
      </c>
      <c r="O195" s="18">
        <v>0.95</v>
      </c>
      <c r="P195" s="18">
        <v>0.04</v>
      </c>
      <c r="Q195" s="18">
        <v>0.98</v>
      </c>
      <c r="R195" s="301">
        <v>181</v>
      </c>
      <c r="S195" s="143">
        <v>2.2222222222222223E-2</v>
      </c>
      <c r="T195" s="1">
        <v>11</v>
      </c>
      <c r="U195" s="354" t="str">
        <f t="shared" ref="U195:U258" si="12">IF(OR(G195&lt;$AA$5,G195&gt;$AB$5), "Outlier", "Normal")</f>
        <v>Outlier</v>
      </c>
      <c r="V195" s="354" t="str">
        <f t="shared" ref="V195:V258" si="13">IF(OR(H195&lt;$AA$6,H195&gt;$AB$6), "Outlier", "Normal")</f>
        <v>Outlier</v>
      </c>
      <c r="W195" s="359">
        <f t="shared" ref="W195:W258" si="14">IF(U195="Normal",$G195,IF($G195&lt;150%, $G195, $AA$9))</f>
        <v>-0.94252873563218387</v>
      </c>
      <c r="X195" s="359">
        <f t="shared" ref="X195:X258" si="15">IF(V195="Normal",$H195,IF($H195&lt;150%, $H195, $AE$9))</f>
        <v>-0.94328358208955221</v>
      </c>
      <c r="Y195" s="343"/>
      <c r="Z195" s="343"/>
      <c r="AA195" s="343"/>
      <c r="AB195" s="343"/>
      <c r="AC195" s="343"/>
      <c r="AD195" s="343"/>
      <c r="AE195" s="343"/>
      <c r="AF195" s="343"/>
      <c r="AH195">
        <v>0.39360000000000001</v>
      </c>
    </row>
    <row r="196" spans="1:34">
      <c r="A196" s="21">
        <v>45211</v>
      </c>
      <c r="B196" s="17">
        <f>IF(YEAR(Table7[[#This Row],[Date]]) = 2023, WEEKNUM(Table7[[#This Row],[Date]])-13, WEEKNUM(Table7[[#This Row],[Date]])+40)</f>
        <v>28</v>
      </c>
      <c r="C196" s="34" t="s">
        <v>52</v>
      </c>
      <c r="D196" s="34" t="s">
        <v>94</v>
      </c>
      <c r="E196" s="1">
        <v>772</v>
      </c>
      <c r="F196" s="1">
        <v>738</v>
      </c>
      <c r="G196" s="80">
        <f>IFERROR((Table7[[#This Row],[Calls Off]]-E189)/E189,0%)</f>
        <v>-8.9622641509433956E-2</v>
      </c>
      <c r="H196" s="80">
        <f>IFERROR((Table7[[#This Row],[Calls Ans]]-F189)/F189,0%)</f>
        <v>-6.3451776649746189E-2</v>
      </c>
      <c r="I196" s="1"/>
      <c r="J196" s="1"/>
      <c r="K196" s="1"/>
      <c r="L196" s="1"/>
      <c r="M196" s="18">
        <v>0.83</v>
      </c>
      <c r="N196" s="18">
        <v>0.04</v>
      </c>
      <c r="O196" s="18">
        <v>0.96</v>
      </c>
      <c r="P196" s="18">
        <v>0.4</v>
      </c>
      <c r="Q196" s="18">
        <v>0.98</v>
      </c>
      <c r="R196" s="301">
        <v>146</v>
      </c>
      <c r="S196" s="143">
        <v>9.0277777777777787E-3</v>
      </c>
      <c r="T196" s="1">
        <v>12</v>
      </c>
      <c r="U196" s="354" t="str">
        <f t="shared" si="12"/>
        <v>Normal</v>
      </c>
      <c r="V196" s="354" t="str">
        <f t="shared" si="13"/>
        <v>Normal</v>
      </c>
      <c r="W196" s="359">
        <f t="shared" si="14"/>
        <v>-8.9622641509433956E-2</v>
      </c>
      <c r="X196" s="359">
        <f t="shared" si="15"/>
        <v>-6.3451776649746189E-2</v>
      </c>
      <c r="Y196" s="343"/>
      <c r="Z196" s="343"/>
      <c r="AA196" s="343"/>
      <c r="AB196" s="343"/>
      <c r="AC196" s="343"/>
      <c r="AD196" s="343"/>
      <c r="AE196" s="343"/>
      <c r="AF196" s="343"/>
      <c r="AH196">
        <v>0.92559999999999998</v>
      </c>
    </row>
    <row r="197" spans="1:34">
      <c r="A197" s="21">
        <v>45212</v>
      </c>
      <c r="B197" s="17">
        <f>IF(YEAR(Table7[[#This Row],[Date]]) = 2023, WEEKNUM(Table7[[#This Row],[Date]])-13, WEEKNUM(Table7[[#This Row],[Date]])+40)</f>
        <v>28</v>
      </c>
      <c r="C197" s="34" t="s">
        <v>53</v>
      </c>
      <c r="D197" s="34" t="s">
        <v>94</v>
      </c>
      <c r="E197" s="1">
        <v>614</v>
      </c>
      <c r="F197" s="1">
        <v>607</v>
      </c>
      <c r="G197" s="80">
        <f>IFERROR((Table7[[#This Row],[Calls Off]]-E190)/E190,0%)</f>
        <v>-8.4947839046199708E-2</v>
      </c>
      <c r="H197" s="80">
        <f>IFERROR((Table7[[#This Row],[Calls Ans]]-F190)/F190,0%)</f>
        <v>-7.4695121951219509E-2</v>
      </c>
      <c r="I197" s="1"/>
      <c r="J197" s="1"/>
      <c r="K197" s="1"/>
      <c r="L197" s="1"/>
      <c r="M197" s="18">
        <v>0.97</v>
      </c>
      <c r="N197" s="18">
        <v>0.01</v>
      </c>
      <c r="O197" s="18">
        <v>0.99</v>
      </c>
      <c r="P197" s="18">
        <v>0.26</v>
      </c>
      <c r="Q197" s="18">
        <v>0.95</v>
      </c>
      <c r="R197" s="301">
        <v>129</v>
      </c>
      <c r="S197" s="143">
        <v>3.472222222222222E-3</v>
      </c>
      <c r="T197" s="1">
        <v>14</v>
      </c>
      <c r="U197" s="354" t="str">
        <f t="shared" si="12"/>
        <v>Normal</v>
      </c>
      <c r="V197" s="354" t="str">
        <f t="shared" si="13"/>
        <v>Normal</v>
      </c>
      <c r="W197" s="359">
        <f t="shared" si="14"/>
        <v>-8.4947839046199708E-2</v>
      </c>
      <c r="X197" s="359">
        <f t="shared" si="15"/>
        <v>-7.4695121951219509E-2</v>
      </c>
      <c r="Y197" s="343"/>
      <c r="Z197" s="343"/>
      <c r="AA197" s="343"/>
      <c r="AB197" s="343"/>
      <c r="AC197" s="343"/>
      <c r="AD197" s="343"/>
      <c r="AE197" s="343"/>
      <c r="AF197" s="343"/>
    </row>
    <row r="198" spans="1:34">
      <c r="A198" s="21">
        <v>45213</v>
      </c>
      <c r="B198" s="17">
        <f>IF(YEAR(Table7[[#This Row],[Date]]) = 2023, WEEKNUM(Table7[[#This Row],[Date]])-13, WEEKNUM(Table7[[#This Row],[Date]])+40)</f>
        <v>28</v>
      </c>
      <c r="C198" s="34" t="s">
        <v>54</v>
      </c>
      <c r="D198" s="34" t="s">
        <v>94</v>
      </c>
      <c r="E198" s="1">
        <v>382</v>
      </c>
      <c r="F198" s="1">
        <v>360</v>
      </c>
      <c r="G198" s="80">
        <f>IFERROR((Table7[[#This Row],[Calls Off]]-E191)/E191,0%)</f>
        <v>0.21269841269841269</v>
      </c>
      <c r="H198" s="80">
        <f>IFERROR((Table7[[#This Row],[Calls Ans]]-F191)/F191,0%)</f>
        <v>0.25874125874125875</v>
      </c>
      <c r="I198" s="1"/>
      <c r="J198" s="1"/>
      <c r="K198" s="1"/>
      <c r="L198" s="1"/>
      <c r="M198" s="18">
        <v>0.76</v>
      </c>
      <c r="N198" s="18">
        <v>0.06</v>
      </c>
      <c r="O198" s="18">
        <v>0.94</v>
      </c>
      <c r="P198" s="18">
        <v>0.44</v>
      </c>
      <c r="Q198" s="18">
        <v>0.94</v>
      </c>
      <c r="R198" s="301">
        <v>141</v>
      </c>
      <c r="S198" s="143">
        <v>1.3888888888888888E-2</v>
      </c>
      <c r="T198" s="1">
        <v>7</v>
      </c>
      <c r="U198" s="354" t="str">
        <f t="shared" si="12"/>
        <v>Normal</v>
      </c>
      <c r="V198" s="354" t="str">
        <f t="shared" si="13"/>
        <v>Normal</v>
      </c>
      <c r="W198" s="359">
        <f t="shared" si="14"/>
        <v>0.21269841269841269</v>
      </c>
      <c r="X198" s="359">
        <f t="shared" si="15"/>
        <v>0.25874125874125875</v>
      </c>
      <c r="Y198" s="343"/>
      <c r="Z198" s="343"/>
      <c r="AA198" s="343"/>
      <c r="AB198" s="343"/>
      <c r="AC198" s="343"/>
      <c r="AD198" s="343"/>
      <c r="AE198" s="343"/>
      <c r="AF198" s="343"/>
    </row>
    <row r="199" spans="1:34">
      <c r="A199" s="21">
        <v>45214</v>
      </c>
      <c r="B199" s="17">
        <f>IF(YEAR(Table7[[#This Row],[Date]]) = 2023, WEEKNUM(Table7[[#This Row],[Date]])-13, WEEKNUM(Table7[[#This Row],[Date]])+40)</f>
        <v>29</v>
      </c>
      <c r="C199" s="34" t="s">
        <v>48</v>
      </c>
      <c r="D199" s="34" t="s">
        <v>94</v>
      </c>
      <c r="E199" s="1">
        <v>0</v>
      </c>
      <c r="F199" s="1">
        <v>0</v>
      </c>
      <c r="G199" s="80">
        <f>IFERROR((Table7[[#This Row],[Calls Off]]-E192)/E192,0%)</f>
        <v>0</v>
      </c>
      <c r="H199" s="80">
        <f>IFERROR((Table7[[#This Row],[Calls Ans]]-F192)/F192,0%)</f>
        <v>0</v>
      </c>
      <c r="I199" s="1">
        <v>0</v>
      </c>
      <c r="J199" s="1">
        <v>0</v>
      </c>
      <c r="K199" s="1">
        <v>0</v>
      </c>
      <c r="L199" s="1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301">
        <v>0</v>
      </c>
      <c r="S199" s="143">
        <v>0</v>
      </c>
      <c r="T199" s="1">
        <v>0</v>
      </c>
      <c r="U199" s="354" t="str">
        <f t="shared" si="12"/>
        <v>Normal</v>
      </c>
      <c r="V199" s="354" t="str">
        <f t="shared" si="13"/>
        <v>Normal</v>
      </c>
      <c r="W199" s="359">
        <f t="shared" si="14"/>
        <v>0</v>
      </c>
      <c r="X199" s="359">
        <f t="shared" si="15"/>
        <v>0</v>
      </c>
      <c r="Y199" s="343"/>
      <c r="Z199" s="343"/>
      <c r="AA199" s="343"/>
      <c r="AB199" s="343"/>
      <c r="AC199" s="343"/>
      <c r="AD199" s="343"/>
      <c r="AE199" s="343"/>
      <c r="AF199" s="343"/>
    </row>
    <row r="200" spans="1:34">
      <c r="A200" s="21">
        <v>45215</v>
      </c>
      <c r="B200" s="17">
        <f>IF(YEAR(Table7[[#This Row],[Date]]) = 2023, WEEKNUM(Table7[[#This Row],[Date]])-13, WEEKNUM(Table7[[#This Row],[Date]])+40)</f>
        <v>29</v>
      </c>
      <c r="C200" s="34" t="s">
        <v>49</v>
      </c>
      <c r="D200" s="34" t="s">
        <v>94</v>
      </c>
      <c r="E200" s="1">
        <v>846</v>
      </c>
      <c r="F200" s="1">
        <v>792</v>
      </c>
      <c r="G200" s="80">
        <f>IFERROR((Table7[[#This Row],[Calls Off]]-E193)/E193,0%)</f>
        <v>-1.627906976744186E-2</v>
      </c>
      <c r="H200" s="80">
        <f>IFERROR((Table7[[#This Row],[Calls Ans]]-F193)/F193,0%)</f>
        <v>-1.2610340479192938E-3</v>
      </c>
      <c r="I200" s="1"/>
      <c r="J200" s="1"/>
      <c r="K200" s="1"/>
      <c r="L200" s="1"/>
      <c r="M200" s="18">
        <v>0.78</v>
      </c>
      <c r="N200" s="18">
        <v>0.06</v>
      </c>
      <c r="O200" s="18">
        <v>0.94</v>
      </c>
      <c r="P200" s="18">
        <v>0.41</v>
      </c>
      <c r="Q200" s="18">
        <v>0.89</v>
      </c>
      <c r="R200" s="301">
        <v>141</v>
      </c>
      <c r="S200" s="143">
        <v>1.5972222222222224E-2</v>
      </c>
      <c r="T200" s="1">
        <v>11</v>
      </c>
      <c r="U200" s="354" t="str">
        <f t="shared" si="12"/>
        <v>Normal</v>
      </c>
      <c r="V200" s="354" t="str">
        <f t="shared" si="13"/>
        <v>Normal</v>
      </c>
      <c r="W200" s="359">
        <f t="shared" si="14"/>
        <v>-1.627906976744186E-2</v>
      </c>
      <c r="X200" s="359">
        <f t="shared" si="15"/>
        <v>-1.2610340479192938E-3</v>
      </c>
      <c r="Y200" s="343"/>
      <c r="Z200" s="343"/>
      <c r="AA200" s="343"/>
      <c r="AB200" s="343"/>
      <c r="AC200" s="343"/>
      <c r="AD200" s="343"/>
      <c r="AE200" s="343"/>
      <c r="AF200" s="343"/>
    </row>
    <row r="201" spans="1:34">
      <c r="A201" s="21">
        <v>45216</v>
      </c>
      <c r="B201" s="17">
        <f>IF(YEAR(Table7[[#This Row],[Date]]) = 2023, WEEKNUM(Table7[[#This Row],[Date]])-13, WEEKNUM(Table7[[#This Row],[Date]])+40)</f>
        <v>29</v>
      </c>
      <c r="C201" s="34" t="s">
        <v>50</v>
      </c>
      <c r="D201" s="34" t="s">
        <v>94</v>
      </c>
      <c r="E201" s="1">
        <v>680</v>
      </c>
      <c r="F201" s="1">
        <v>665</v>
      </c>
      <c r="G201" s="80">
        <f>IFERROR((Table7[[#This Row],[Calls Off]]-E194)/E194,0%)</f>
        <v>0.27340823970037453</v>
      </c>
      <c r="H201" s="80">
        <f>IFERROR((Table7[[#This Row],[Calls Ans]]-F194)/F194,0%)</f>
        <v>0.36270491803278687</v>
      </c>
      <c r="I201" s="1"/>
      <c r="J201" s="1"/>
      <c r="K201" s="1"/>
      <c r="L201" s="1"/>
      <c r="M201" s="18">
        <v>0.98</v>
      </c>
      <c r="N201" s="18">
        <v>0.02</v>
      </c>
      <c r="O201" s="18">
        <v>0.98</v>
      </c>
      <c r="P201" s="18">
        <v>0.31</v>
      </c>
      <c r="Q201" s="18">
        <v>0.93</v>
      </c>
      <c r="R201" s="301">
        <v>135</v>
      </c>
      <c r="S201" s="143">
        <v>3.472222222222222E-3</v>
      </c>
      <c r="T201" s="1">
        <v>13</v>
      </c>
      <c r="U201" s="354" t="str">
        <f t="shared" si="12"/>
        <v>Normal</v>
      </c>
      <c r="V201" s="354" t="str">
        <f t="shared" si="13"/>
        <v>Outlier</v>
      </c>
      <c r="W201" s="359">
        <f t="shared" si="14"/>
        <v>0.27340823970037453</v>
      </c>
      <c r="X201" s="359">
        <f t="shared" si="15"/>
        <v>0.36270491803278687</v>
      </c>
      <c r="Y201" s="343"/>
      <c r="Z201" s="343"/>
      <c r="AA201" s="343"/>
      <c r="AB201" s="343"/>
      <c r="AC201" s="343"/>
      <c r="AD201" s="343"/>
      <c r="AE201" s="343"/>
      <c r="AF201" s="343"/>
    </row>
    <row r="202" spans="1:34">
      <c r="A202" s="21">
        <v>45217</v>
      </c>
      <c r="B202" s="17">
        <f>IF(YEAR(Table7[[#This Row],[Date]]) = 2023, WEEKNUM(Table7[[#This Row],[Date]])-13, WEEKNUM(Table7[[#This Row],[Date]])+40)</f>
        <v>29</v>
      </c>
      <c r="C202" s="34" t="s">
        <v>51</v>
      </c>
      <c r="D202" s="34" t="s">
        <v>94</v>
      </c>
      <c r="E202" s="1">
        <v>664</v>
      </c>
      <c r="F202" s="1">
        <v>647</v>
      </c>
      <c r="G202" s="80">
        <f>IFERROR((Table7[[#This Row],[Calls Off]]-E195)/E195,0%)</f>
        <v>15.6</v>
      </c>
      <c r="H202" s="80">
        <f>IFERROR((Table7[[#This Row],[Calls Ans]]-F195)/F195,0%)</f>
        <v>16.026315789473685</v>
      </c>
      <c r="I202" s="1"/>
      <c r="J202" s="1"/>
      <c r="K202" s="1"/>
      <c r="L202" s="1"/>
      <c r="M202" s="18">
        <v>0.92</v>
      </c>
      <c r="N202" s="18">
        <v>0.03</v>
      </c>
      <c r="O202" s="18">
        <v>0.97</v>
      </c>
      <c r="P202" s="18">
        <v>0.31</v>
      </c>
      <c r="Q202" s="18">
        <v>0.99</v>
      </c>
      <c r="R202" s="301">
        <v>139</v>
      </c>
      <c r="S202" s="143">
        <v>4.8611111111111112E-3</v>
      </c>
      <c r="T202" s="1">
        <v>10</v>
      </c>
      <c r="U202" s="354" t="str">
        <f t="shared" si="12"/>
        <v>Outlier</v>
      </c>
      <c r="V202" s="354" t="str">
        <f t="shared" si="13"/>
        <v>Outlier</v>
      </c>
      <c r="W202" s="359">
        <f t="shared" si="14"/>
        <v>6.2255569879478473E-2</v>
      </c>
      <c r="X202" s="359">
        <f t="shared" si="15"/>
        <v>6.3318336160613942E-2</v>
      </c>
      <c r="Y202" s="343"/>
      <c r="Z202" s="343"/>
      <c r="AA202" s="343"/>
      <c r="AB202" s="343"/>
      <c r="AC202" s="343"/>
      <c r="AD202" s="343"/>
      <c r="AE202" s="343"/>
      <c r="AF202" s="343"/>
    </row>
    <row r="203" spans="1:34">
      <c r="A203" s="21">
        <v>45218</v>
      </c>
      <c r="B203" s="17">
        <f>IF(YEAR(Table7[[#This Row],[Date]]) = 2023, WEEKNUM(Table7[[#This Row],[Date]])-13, WEEKNUM(Table7[[#This Row],[Date]])+40)</f>
        <v>29</v>
      </c>
      <c r="C203" s="34" t="s">
        <v>64</v>
      </c>
      <c r="D203" s="34" t="s">
        <v>94</v>
      </c>
      <c r="E203" s="1">
        <v>0</v>
      </c>
      <c r="F203" s="1">
        <v>0</v>
      </c>
      <c r="G203" s="80">
        <v>0</v>
      </c>
      <c r="H203" s="80">
        <v>0</v>
      </c>
      <c r="I203" s="1">
        <v>0</v>
      </c>
      <c r="J203" s="1">
        <v>0</v>
      </c>
      <c r="K203" s="1">
        <v>0</v>
      </c>
      <c r="L203" s="1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301">
        <v>0</v>
      </c>
      <c r="S203" s="143">
        <v>0</v>
      </c>
      <c r="T203" s="1">
        <v>0</v>
      </c>
      <c r="U203" s="354" t="str">
        <f t="shared" si="12"/>
        <v>Normal</v>
      </c>
      <c r="V203" s="354" t="str">
        <f t="shared" si="13"/>
        <v>Normal</v>
      </c>
      <c r="W203" s="359">
        <f t="shared" si="14"/>
        <v>0</v>
      </c>
      <c r="X203" s="359">
        <f t="shared" si="15"/>
        <v>0</v>
      </c>
      <c r="Y203" s="343"/>
      <c r="Z203" s="343"/>
      <c r="AA203" s="343"/>
      <c r="AB203" s="343"/>
      <c r="AC203" s="343"/>
      <c r="AD203" s="343"/>
      <c r="AE203" s="343"/>
      <c r="AF203" s="343"/>
    </row>
    <row r="204" spans="1:34">
      <c r="A204" s="21">
        <v>45219</v>
      </c>
      <c r="B204" s="17">
        <f>IF(YEAR(Table7[[#This Row],[Date]]) = 2023, WEEKNUM(Table7[[#This Row],[Date]])-13, WEEKNUM(Table7[[#This Row],[Date]])+40)</f>
        <v>29</v>
      </c>
      <c r="C204" s="34" t="s">
        <v>53</v>
      </c>
      <c r="D204" s="34" t="s">
        <v>94</v>
      </c>
      <c r="E204" s="1">
        <v>695</v>
      </c>
      <c r="F204" s="1">
        <v>667</v>
      </c>
      <c r="G204" s="80">
        <f>IFERROR((Table7[[#This Row],[Calls Off]]-E197)/E197,0%)</f>
        <v>0.13192182410423453</v>
      </c>
      <c r="H204" s="80">
        <f>IFERROR((Table7[[#This Row],[Calls Ans]]-F197)/F197,0%)</f>
        <v>9.8846787479406922E-2</v>
      </c>
      <c r="I204" s="1"/>
      <c r="J204" s="1"/>
      <c r="K204" s="1"/>
      <c r="L204" s="1"/>
      <c r="M204" s="18">
        <v>0.86</v>
      </c>
      <c r="N204" s="18">
        <v>0.04</v>
      </c>
      <c r="O204" s="18">
        <v>0.96</v>
      </c>
      <c r="P204" s="18">
        <v>0.34</v>
      </c>
      <c r="Q204" s="18">
        <v>0.92</v>
      </c>
      <c r="R204" s="301">
        <v>126</v>
      </c>
      <c r="S204" s="143">
        <v>9.0277777777777787E-3</v>
      </c>
      <c r="T204" s="1">
        <v>11</v>
      </c>
      <c r="U204" s="354" t="str">
        <f t="shared" si="12"/>
        <v>Normal</v>
      </c>
      <c r="V204" s="354" t="str">
        <f t="shared" si="13"/>
        <v>Normal</v>
      </c>
      <c r="W204" s="359">
        <f t="shared" si="14"/>
        <v>0.13192182410423453</v>
      </c>
      <c r="X204" s="359">
        <f t="shared" si="15"/>
        <v>9.8846787479406922E-2</v>
      </c>
      <c r="Y204" s="343"/>
      <c r="Z204" s="343"/>
      <c r="AA204" s="343"/>
      <c r="AB204" s="343"/>
      <c r="AC204" s="343"/>
      <c r="AD204" s="343"/>
      <c r="AE204" s="343"/>
      <c r="AF204" s="343"/>
    </row>
    <row r="205" spans="1:34">
      <c r="A205" s="21">
        <v>45220</v>
      </c>
      <c r="B205" s="17">
        <f>IF(YEAR(Table7[[#This Row],[Date]]) = 2023, WEEKNUM(Table7[[#This Row],[Date]])-13, WEEKNUM(Table7[[#This Row],[Date]])+40)</f>
        <v>29</v>
      </c>
      <c r="C205" s="34" t="s">
        <v>54</v>
      </c>
      <c r="D205" s="34" t="s">
        <v>94</v>
      </c>
      <c r="E205" s="1">
        <v>427</v>
      </c>
      <c r="F205" s="1">
        <v>267</v>
      </c>
      <c r="G205" s="80">
        <f>IFERROR((Table7[[#This Row],[Calls Off]]-E198)/E198,0%)</f>
        <v>0.11780104712041885</v>
      </c>
      <c r="H205" s="80">
        <f>IFERROR((Table7[[#This Row],[Calls Ans]]-F198)/F198,0%)</f>
        <v>-0.25833333333333336</v>
      </c>
      <c r="I205" s="1"/>
      <c r="J205" s="1"/>
      <c r="K205" s="1"/>
      <c r="L205" s="1"/>
      <c r="M205" s="18">
        <v>0.18</v>
      </c>
      <c r="N205" s="18">
        <v>0.37</v>
      </c>
      <c r="O205" s="18">
        <v>0.63</v>
      </c>
      <c r="P205" s="18">
        <v>0.63</v>
      </c>
      <c r="Q205" s="18">
        <v>0.96</v>
      </c>
      <c r="R205" s="301">
        <v>187</v>
      </c>
      <c r="S205" s="143">
        <v>1.9328703703703704E-3</v>
      </c>
      <c r="T205" s="1">
        <v>4</v>
      </c>
      <c r="U205" s="354" t="str">
        <f t="shared" si="12"/>
        <v>Normal</v>
      </c>
      <c r="V205" s="354" t="str">
        <f t="shared" si="13"/>
        <v>Normal</v>
      </c>
      <c r="W205" s="359">
        <f t="shared" si="14"/>
        <v>0.11780104712041885</v>
      </c>
      <c r="X205" s="359">
        <f t="shared" si="15"/>
        <v>-0.25833333333333336</v>
      </c>
      <c r="Y205" s="343"/>
      <c r="Z205" s="343"/>
      <c r="AA205" s="343"/>
      <c r="AB205" s="343"/>
      <c r="AC205" s="343"/>
      <c r="AD205" s="343"/>
      <c r="AE205" s="343"/>
      <c r="AF205" s="343"/>
    </row>
    <row r="206" spans="1:34">
      <c r="A206" s="21">
        <v>45221</v>
      </c>
      <c r="B206" s="17">
        <f>IF(YEAR(Table7[[#This Row],[Date]]) = 2023, WEEKNUM(Table7[[#This Row],[Date]])-13, WEEKNUM(Table7[[#This Row],[Date]])+40)</f>
        <v>30</v>
      </c>
      <c r="C206" s="34" t="s">
        <v>48</v>
      </c>
      <c r="D206" s="34" t="s">
        <v>94</v>
      </c>
      <c r="E206" s="1">
        <v>0</v>
      </c>
      <c r="F206" s="1">
        <v>0</v>
      </c>
      <c r="G206" s="80">
        <f>IFERROR((Table7[[#This Row],[Calls Off]]-E199)/E199,0%)</f>
        <v>0</v>
      </c>
      <c r="H206" s="80">
        <f>IFERROR((Table7[[#This Row],[Calls Ans]]-F199)/F199,0%)</f>
        <v>0</v>
      </c>
      <c r="I206" s="1">
        <v>0</v>
      </c>
      <c r="J206" s="1">
        <v>0</v>
      </c>
      <c r="K206" s="1">
        <v>0</v>
      </c>
      <c r="L206" s="1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301">
        <v>0</v>
      </c>
      <c r="S206" s="143">
        <v>0</v>
      </c>
      <c r="T206" s="1">
        <v>0</v>
      </c>
      <c r="U206" s="354" t="str">
        <f t="shared" si="12"/>
        <v>Normal</v>
      </c>
      <c r="V206" s="354" t="str">
        <f t="shared" si="13"/>
        <v>Normal</v>
      </c>
      <c r="W206" s="359">
        <f t="shared" si="14"/>
        <v>0</v>
      </c>
      <c r="X206" s="359">
        <f t="shared" si="15"/>
        <v>0</v>
      </c>
      <c r="Y206" s="343"/>
      <c r="Z206" s="343"/>
      <c r="AA206" s="343"/>
      <c r="AB206" s="343"/>
      <c r="AC206" s="343"/>
      <c r="AD206" s="343"/>
      <c r="AE206" s="343"/>
      <c r="AF206" s="343"/>
    </row>
    <row r="207" spans="1:34">
      <c r="A207" s="21">
        <v>45222</v>
      </c>
      <c r="B207" s="17">
        <f>IF(YEAR(Table7[[#This Row],[Date]]) = 2023, WEEKNUM(Table7[[#This Row],[Date]])-13, WEEKNUM(Table7[[#This Row],[Date]])+40)</f>
        <v>30</v>
      </c>
      <c r="C207" s="34" t="s">
        <v>49</v>
      </c>
      <c r="D207" s="34" t="s">
        <v>94</v>
      </c>
      <c r="E207" s="1">
        <v>926</v>
      </c>
      <c r="F207" s="1">
        <v>834</v>
      </c>
      <c r="G207" s="80">
        <f>IFERROR((Table7[[#This Row],[Calls Off]]-E200)/E200,0%)</f>
        <v>9.4562647754137114E-2</v>
      </c>
      <c r="H207" s="80">
        <f>IFERROR((Table7[[#This Row],[Calls Ans]]-F200)/F200,0%)</f>
        <v>5.3030303030303032E-2</v>
      </c>
      <c r="I207" s="1"/>
      <c r="J207" s="1"/>
      <c r="K207" s="1"/>
      <c r="L207" s="1"/>
      <c r="M207" s="18">
        <v>0.7</v>
      </c>
      <c r="N207" s="18">
        <v>0.1</v>
      </c>
      <c r="O207" s="18">
        <v>0.9</v>
      </c>
      <c r="P207" s="18">
        <v>0.4</v>
      </c>
      <c r="Q207" s="18">
        <v>0.93</v>
      </c>
      <c r="R207" s="301">
        <v>161</v>
      </c>
      <c r="S207" s="143">
        <v>2.2222222222222223E-2</v>
      </c>
      <c r="T207" s="1">
        <v>13</v>
      </c>
      <c r="U207" s="354" t="str">
        <f t="shared" si="12"/>
        <v>Normal</v>
      </c>
      <c r="V207" s="354" t="str">
        <f t="shared" si="13"/>
        <v>Normal</v>
      </c>
      <c r="W207" s="359">
        <f t="shared" si="14"/>
        <v>9.4562647754137114E-2</v>
      </c>
      <c r="X207" s="359">
        <f t="shared" si="15"/>
        <v>5.3030303030303032E-2</v>
      </c>
      <c r="Y207" s="343"/>
      <c r="Z207" s="343"/>
      <c r="AA207" s="343"/>
      <c r="AB207" s="343"/>
      <c r="AC207" s="343"/>
      <c r="AD207" s="343"/>
      <c r="AE207" s="343"/>
      <c r="AF207" s="343"/>
    </row>
    <row r="208" spans="1:34">
      <c r="A208" s="21">
        <v>45223</v>
      </c>
      <c r="B208" s="17">
        <f>IF(YEAR(Table7[[#This Row],[Date]]) = 2023, WEEKNUM(Table7[[#This Row],[Date]])-13, WEEKNUM(Table7[[#This Row],[Date]])+40)</f>
        <v>30</v>
      </c>
      <c r="C208" s="34" t="s">
        <v>50</v>
      </c>
      <c r="D208" s="34" t="s">
        <v>94</v>
      </c>
      <c r="E208" s="1">
        <v>779</v>
      </c>
      <c r="F208" s="1">
        <v>653</v>
      </c>
      <c r="G208" s="80">
        <f>IFERROR((Table7[[#This Row],[Calls Off]]-E201)/E201,0%)</f>
        <v>0.14558823529411766</v>
      </c>
      <c r="H208" s="80">
        <f>IFERROR((Table7[[#This Row],[Calls Ans]]-F201)/F201,0%)</f>
        <v>-1.8045112781954888E-2</v>
      </c>
      <c r="I208" s="1"/>
      <c r="J208" s="1"/>
      <c r="K208" s="1"/>
      <c r="L208" s="1"/>
      <c r="M208" s="18">
        <v>0.68</v>
      </c>
      <c r="N208" s="18">
        <v>0.16</v>
      </c>
      <c r="O208" s="18">
        <v>0.84</v>
      </c>
      <c r="P208" s="18">
        <v>0.28999999999999998</v>
      </c>
      <c r="Q208" s="18">
        <v>0.93</v>
      </c>
      <c r="R208" s="301">
        <v>150</v>
      </c>
      <c r="S208" s="143">
        <v>6.9444444444444434E-2</v>
      </c>
      <c r="T208" s="1">
        <v>13</v>
      </c>
      <c r="U208" s="354" t="str">
        <f t="shared" si="12"/>
        <v>Normal</v>
      </c>
      <c r="V208" s="354" t="str">
        <f t="shared" si="13"/>
        <v>Normal</v>
      </c>
      <c r="W208" s="359">
        <f t="shared" si="14"/>
        <v>0.14558823529411766</v>
      </c>
      <c r="X208" s="359">
        <f t="shared" si="15"/>
        <v>-1.8045112781954888E-2</v>
      </c>
      <c r="Y208" s="343"/>
      <c r="Z208" s="343"/>
      <c r="AA208" s="343"/>
      <c r="AB208" s="343"/>
      <c r="AC208" s="343"/>
      <c r="AD208" s="343"/>
      <c r="AE208" s="343"/>
      <c r="AF208" s="343"/>
    </row>
    <row r="209" spans="1:36">
      <c r="A209" s="21">
        <v>45224</v>
      </c>
      <c r="B209" s="17">
        <f>IF(YEAR(Table7[[#This Row],[Date]]) = 2023, WEEKNUM(Table7[[#This Row],[Date]])-13, WEEKNUM(Table7[[#This Row],[Date]])+40)</f>
        <v>30</v>
      </c>
      <c r="C209" s="34" t="s">
        <v>51</v>
      </c>
      <c r="D209" s="34" t="s">
        <v>94</v>
      </c>
      <c r="E209" s="1">
        <v>813</v>
      </c>
      <c r="F209" s="1">
        <v>794</v>
      </c>
      <c r="G209" s="80">
        <f>IFERROR((Table7[[#This Row],[Calls Off]]-E202)/E202,0%)</f>
        <v>0.22439759036144577</v>
      </c>
      <c r="H209" s="80">
        <f>IFERROR((Table7[[#This Row],[Calls Ans]]-F202)/F202,0%)</f>
        <v>0.22720247295208656</v>
      </c>
      <c r="I209" s="1"/>
      <c r="J209" s="1"/>
      <c r="K209" s="1"/>
      <c r="L209" s="1"/>
      <c r="M209" s="18">
        <v>0.91</v>
      </c>
      <c r="N209" s="18">
        <v>0.02</v>
      </c>
      <c r="O209" s="18">
        <v>0.98</v>
      </c>
      <c r="P209" s="18">
        <v>0.36</v>
      </c>
      <c r="Q209" s="18">
        <v>0.96</v>
      </c>
      <c r="R209" s="301">
        <v>136</v>
      </c>
      <c r="S209" s="143">
        <v>6.2499999999999995E-3</v>
      </c>
      <c r="T209" s="1">
        <v>14</v>
      </c>
      <c r="U209" s="354" t="str">
        <f t="shared" si="12"/>
        <v>Normal</v>
      </c>
      <c r="V209" s="354" t="str">
        <f t="shared" si="13"/>
        <v>Normal</v>
      </c>
      <c r="W209" s="359">
        <f t="shared" si="14"/>
        <v>0.22439759036144577</v>
      </c>
      <c r="X209" s="359">
        <f t="shared" si="15"/>
        <v>0.22720247295208656</v>
      </c>
      <c r="Y209" s="343"/>
      <c r="Z209" s="343"/>
      <c r="AA209" s="343"/>
      <c r="AB209" s="343"/>
      <c r="AC209" s="343"/>
      <c r="AD209" s="343"/>
      <c r="AE209" s="343"/>
      <c r="AF209" s="343"/>
    </row>
    <row r="210" spans="1:36">
      <c r="A210" s="21">
        <v>45225</v>
      </c>
      <c r="B210" s="17">
        <f>IF(YEAR(Table7[[#This Row],[Date]]) = 2023, WEEKNUM(Table7[[#This Row],[Date]])-13, WEEKNUM(Table7[[#This Row],[Date]])+40)</f>
        <v>30</v>
      </c>
      <c r="C210" s="34" t="s">
        <v>52</v>
      </c>
      <c r="D210" s="34" t="s">
        <v>94</v>
      </c>
      <c r="E210" s="1">
        <v>924</v>
      </c>
      <c r="F210" s="1">
        <v>731</v>
      </c>
      <c r="G210" s="80">
        <f>IFERROR((Table7[[#This Row],[Calls Off]]-E203)/E203,0%)</f>
        <v>0</v>
      </c>
      <c r="H210" s="80">
        <f>IFERROR((Table7[[#This Row],[Calls Ans]]-F203)/F203,0%)</f>
        <v>0</v>
      </c>
      <c r="I210" s="1"/>
      <c r="J210" s="1"/>
      <c r="K210" s="1"/>
      <c r="L210" s="1"/>
      <c r="M210" s="18">
        <v>0.48</v>
      </c>
      <c r="N210" s="18">
        <v>0.21</v>
      </c>
      <c r="O210" s="18">
        <v>0.79</v>
      </c>
      <c r="P210" s="18">
        <v>0.51</v>
      </c>
      <c r="Q210" s="18">
        <v>0.8</v>
      </c>
      <c r="R210" s="301">
        <v>180</v>
      </c>
      <c r="S210" s="143">
        <v>4.5833333333333337E-2</v>
      </c>
      <c r="T210" s="1">
        <v>10</v>
      </c>
      <c r="U210" s="354" t="str">
        <f t="shared" si="12"/>
        <v>Normal</v>
      </c>
      <c r="V210" s="354" t="str">
        <f t="shared" si="13"/>
        <v>Normal</v>
      </c>
      <c r="W210" s="359">
        <f t="shared" si="14"/>
        <v>0</v>
      </c>
      <c r="X210" s="359">
        <f t="shared" si="15"/>
        <v>0</v>
      </c>
      <c r="Y210" s="343"/>
      <c r="Z210" s="343"/>
      <c r="AA210" s="343"/>
      <c r="AB210" s="343"/>
      <c r="AC210" s="343"/>
      <c r="AD210" s="343"/>
      <c r="AE210" s="343"/>
      <c r="AF210" s="343"/>
    </row>
    <row r="211" spans="1:36">
      <c r="A211" s="21">
        <v>45226</v>
      </c>
      <c r="B211" s="17">
        <f>IF(YEAR(Table7[[#This Row],[Date]]) = 2023, WEEKNUM(Table7[[#This Row],[Date]])-13, WEEKNUM(Table7[[#This Row],[Date]])+40)</f>
        <v>30</v>
      </c>
      <c r="C211" s="34" t="s">
        <v>53</v>
      </c>
      <c r="D211" s="34" t="s">
        <v>94</v>
      </c>
      <c r="E211" s="1">
        <v>929</v>
      </c>
      <c r="F211" s="1">
        <v>803</v>
      </c>
      <c r="G211" s="80">
        <f>IFERROR((Table7[[#This Row],[Calls Off]]-E204)/E204,0%)</f>
        <v>0.33669064748201438</v>
      </c>
      <c r="H211" s="80">
        <f>IFERROR((Table7[[#This Row],[Calls Ans]]-F204)/F204,0%)</f>
        <v>0.20389805097451275</v>
      </c>
      <c r="I211" s="1"/>
      <c r="J211" s="1"/>
      <c r="K211" s="1"/>
      <c r="L211" s="1"/>
      <c r="M211" s="18">
        <v>0.65</v>
      </c>
      <c r="N211" s="18">
        <v>0.14000000000000001</v>
      </c>
      <c r="O211" s="18">
        <v>0.86</v>
      </c>
      <c r="P211" s="18">
        <v>0.47</v>
      </c>
      <c r="Q211" s="18">
        <v>0.84</v>
      </c>
      <c r="R211" s="301">
        <v>162</v>
      </c>
      <c r="S211" s="143">
        <v>2.2916666666666669E-2</v>
      </c>
      <c r="T211" s="1">
        <v>10</v>
      </c>
      <c r="U211" s="354" t="str">
        <f t="shared" si="12"/>
        <v>Outlier</v>
      </c>
      <c r="V211" s="354" t="str">
        <f t="shared" si="13"/>
        <v>Normal</v>
      </c>
      <c r="W211" s="359">
        <f t="shared" si="14"/>
        <v>0.33669064748201438</v>
      </c>
      <c r="X211" s="359">
        <f t="shared" si="15"/>
        <v>0.20389805097451275</v>
      </c>
      <c r="Y211" s="343"/>
      <c r="Z211" s="343"/>
      <c r="AA211" s="343"/>
      <c r="AB211" s="343"/>
      <c r="AC211" s="343"/>
      <c r="AD211" s="343"/>
      <c r="AE211" s="343"/>
      <c r="AF211" s="343"/>
    </row>
    <row r="212" spans="1:36">
      <c r="A212" s="21">
        <v>45227</v>
      </c>
      <c r="B212" s="17">
        <f>IF(YEAR(Table7[[#This Row],[Date]]) = 2023, WEEKNUM(Table7[[#This Row],[Date]])-13, WEEKNUM(Table7[[#This Row],[Date]])+40)</f>
        <v>30</v>
      </c>
      <c r="C212" s="34" t="s">
        <v>54</v>
      </c>
      <c r="D212" s="34" t="s">
        <v>94</v>
      </c>
      <c r="E212" s="1">
        <v>487</v>
      </c>
      <c r="F212" s="1">
        <v>426</v>
      </c>
      <c r="G212" s="80">
        <f>IFERROR((Table7[[#This Row],[Calls Off]]-E205)/E205,0%)</f>
        <v>0.14051522248243559</v>
      </c>
      <c r="H212" s="80">
        <f>IFERROR((Table7[[#This Row],[Calls Ans]]-F205)/F205,0%)</f>
        <v>0.5955056179775281</v>
      </c>
      <c r="I212" s="1"/>
      <c r="J212" s="1"/>
      <c r="K212" s="1"/>
      <c r="L212" s="1"/>
      <c r="M212" s="18">
        <v>0.56999999999999995</v>
      </c>
      <c r="N212" s="18">
        <v>0.13</v>
      </c>
      <c r="O212" s="18">
        <v>0.87</v>
      </c>
      <c r="P212" s="18">
        <v>0.61</v>
      </c>
      <c r="Q212" s="18">
        <v>0.93</v>
      </c>
      <c r="R212" s="301">
        <v>138</v>
      </c>
      <c r="S212" s="143">
        <v>3.125E-2</v>
      </c>
      <c r="T212" s="1">
        <v>7</v>
      </c>
      <c r="U212" s="354" t="str">
        <f t="shared" si="12"/>
        <v>Normal</v>
      </c>
      <c r="V212" s="354" t="str">
        <f t="shared" si="13"/>
        <v>Outlier</v>
      </c>
      <c r="W212" s="359">
        <f t="shared" si="14"/>
        <v>0.14051522248243559</v>
      </c>
      <c r="X212" s="359">
        <f t="shared" si="15"/>
        <v>0.5955056179775281</v>
      </c>
      <c r="Y212" s="343"/>
      <c r="Z212" s="343"/>
      <c r="AA212" s="343"/>
      <c r="AB212" s="343"/>
      <c r="AC212" s="343"/>
      <c r="AD212" s="343"/>
      <c r="AE212" s="343"/>
      <c r="AF212" s="343"/>
      <c r="AH212" s="48"/>
      <c r="AI212" s="48"/>
      <c r="AJ212" s="48"/>
    </row>
    <row r="213" spans="1:36">
      <c r="A213" s="21">
        <v>45228</v>
      </c>
      <c r="B213" s="17">
        <f>IF(YEAR(Table7[[#This Row],[Date]]) = 2023, WEEKNUM(Table7[[#This Row],[Date]])-13, WEEKNUM(Table7[[#This Row],[Date]])+40)</f>
        <v>31</v>
      </c>
      <c r="C213" s="34" t="s">
        <v>48</v>
      </c>
      <c r="D213" s="34" t="s">
        <v>94</v>
      </c>
      <c r="E213" s="1">
        <v>0</v>
      </c>
      <c r="F213" s="1">
        <v>0</v>
      </c>
      <c r="G213" s="80">
        <f>IFERROR((Table7[[#This Row],[Calls Off]]-E206)/E206,0%)</f>
        <v>0</v>
      </c>
      <c r="H213" s="80">
        <f>IFERROR((Table7[[#This Row],[Calls Ans]]-F206)/F206,0%)</f>
        <v>0</v>
      </c>
      <c r="I213" s="1">
        <v>0</v>
      </c>
      <c r="J213" s="1">
        <v>0</v>
      </c>
      <c r="K213" s="1">
        <v>0</v>
      </c>
      <c r="L213" s="1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301">
        <v>0</v>
      </c>
      <c r="S213" s="143">
        <v>0</v>
      </c>
      <c r="T213" s="1">
        <v>0</v>
      </c>
      <c r="U213" s="354" t="str">
        <f t="shared" si="12"/>
        <v>Normal</v>
      </c>
      <c r="V213" s="354" t="str">
        <f t="shared" si="13"/>
        <v>Normal</v>
      </c>
      <c r="W213" s="359">
        <f t="shared" si="14"/>
        <v>0</v>
      </c>
      <c r="X213" s="359">
        <f t="shared" si="15"/>
        <v>0</v>
      </c>
      <c r="Y213" s="343"/>
      <c r="Z213" s="343"/>
      <c r="AA213" s="343"/>
      <c r="AB213" s="343"/>
      <c r="AC213" s="343"/>
      <c r="AD213" s="343"/>
      <c r="AE213" s="343"/>
      <c r="AF213" s="343"/>
    </row>
    <row r="214" spans="1:36">
      <c r="A214" s="21">
        <v>45229</v>
      </c>
      <c r="B214" s="17">
        <f>IF(YEAR(Table7[[#This Row],[Date]]) = 2023, WEEKNUM(Table7[[#This Row],[Date]])-13, WEEKNUM(Table7[[#This Row],[Date]])+40)</f>
        <v>31</v>
      </c>
      <c r="C214" s="34" t="s">
        <v>49</v>
      </c>
      <c r="D214" s="34" t="s">
        <v>94</v>
      </c>
      <c r="E214" s="1">
        <v>1092</v>
      </c>
      <c r="F214" s="1">
        <v>930</v>
      </c>
      <c r="G214" s="80">
        <f>IFERROR((Table7[[#This Row],[Calls Off]]-E207)/E207,0%)</f>
        <v>0.17926565874730022</v>
      </c>
      <c r="H214" s="80">
        <f>IFERROR((Table7[[#This Row],[Calls Ans]]-F207)/F207,0%)</f>
        <v>0.11510791366906475</v>
      </c>
      <c r="I214" s="1"/>
      <c r="J214" s="1"/>
      <c r="K214" s="1"/>
      <c r="L214" s="1"/>
      <c r="M214" s="18">
        <v>0.61</v>
      </c>
      <c r="N214" s="18">
        <v>0.15</v>
      </c>
      <c r="O214" s="18">
        <v>0.85</v>
      </c>
      <c r="P214" s="18">
        <v>0.45</v>
      </c>
      <c r="Q214" s="18">
        <v>0.88</v>
      </c>
      <c r="R214" s="301">
        <v>161</v>
      </c>
      <c r="S214" s="143">
        <v>4.2361111111111106E-2</v>
      </c>
      <c r="T214" s="1">
        <v>12</v>
      </c>
      <c r="U214" s="354" t="str">
        <f t="shared" si="12"/>
        <v>Normal</v>
      </c>
      <c r="V214" s="354" t="str">
        <f t="shared" si="13"/>
        <v>Normal</v>
      </c>
      <c r="W214" s="359">
        <f t="shared" si="14"/>
        <v>0.17926565874730022</v>
      </c>
      <c r="X214" s="359">
        <f t="shared" si="15"/>
        <v>0.11510791366906475</v>
      </c>
      <c r="Y214" s="343"/>
      <c r="Z214" s="343"/>
      <c r="AA214" s="343"/>
      <c r="AB214" s="343"/>
      <c r="AC214" s="343"/>
      <c r="AD214" s="343"/>
      <c r="AE214" s="343"/>
      <c r="AF214" s="343"/>
    </row>
    <row r="215" spans="1:36" s="48" customFormat="1">
      <c r="A215" s="21">
        <v>45230</v>
      </c>
      <c r="B215" s="17">
        <f>IF(YEAR(Table7[[#This Row],[Date]]) = 2023, WEEKNUM(Table7[[#This Row],[Date]])-13, WEEKNUM(Table7[[#This Row],[Date]])+40)</f>
        <v>31</v>
      </c>
      <c r="C215" s="49" t="s">
        <v>50</v>
      </c>
      <c r="D215" s="34" t="s">
        <v>94</v>
      </c>
      <c r="E215" s="1">
        <v>791</v>
      </c>
      <c r="F215" s="1">
        <v>680</v>
      </c>
      <c r="G215" s="80">
        <f>IFERROR((Table7[[#This Row],[Calls Off]]-E208)/E208,0%)</f>
        <v>1.540436456996149E-2</v>
      </c>
      <c r="H215" s="80">
        <f>IFERROR((Table7[[#This Row],[Calls Ans]]-F208)/F208,0%)</f>
        <v>4.1347626339969371E-2</v>
      </c>
      <c r="I215" s="1"/>
      <c r="J215" s="1"/>
      <c r="K215" s="1"/>
      <c r="L215" s="1"/>
      <c r="M215" s="18">
        <v>0.86</v>
      </c>
      <c r="N215" s="18">
        <v>0.05</v>
      </c>
      <c r="O215" s="18">
        <v>0.95</v>
      </c>
      <c r="P215" s="18">
        <v>0.32</v>
      </c>
      <c r="Q215" s="18">
        <v>0.95</v>
      </c>
      <c r="R215" s="301">
        <v>155</v>
      </c>
      <c r="S215" s="143">
        <v>7.6388888888888886E-3</v>
      </c>
      <c r="T215" s="1">
        <v>12</v>
      </c>
      <c r="U215" s="354" t="str">
        <f t="shared" si="12"/>
        <v>Normal</v>
      </c>
      <c r="V215" s="354" t="str">
        <f t="shared" si="13"/>
        <v>Normal</v>
      </c>
      <c r="W215" s="359">
        <f t="shared" si="14"/>
        <v>1.540436456996149E-2</v>
      </c>
      <c r="X215" s="359">
        <f t="shared" si="15"/>
        <v>4.1347626339969371E-2</v>
      </c>
      <c r="Y215" s="343"/>
      <c r="Z215" s="343"/>
      <c r="AA215" s="343"/>
      <c r="AB215" s="343"/>
      <c r="AC215" s="343"/>
      <c r="AD215" s="343"/>
      <c r="AE215" s="343"/>
      <c r="AF215" s="343"/>
      <c r="AG215" s="280"/>
      <c r="AH215"/>
      <c r="AI215"/>
      <c r="AJ215"/>
    </row>
    <row r="216" spans="1:36">
      <c r="A216" s="21">
        <v>45231</v>
      </c>
      <c r="B216" s="17">
        <f>IF(YEAR(Table7[[#This Row],[Date]]) = 2023, WEEKNUM(Table7[[#This Row],[Date]])-13, WEEKNUM(Table7[[#This Row],[Date]])+40)</f>
        <v>31</v>
      </c>
      <c r="C216" s="33" t="s">
        <v>51</v>
      </c>
      <c r="D216" s="34" t="s">
        <v>94</v>
      </c>
      <c r="E216" s="1">
        <v>839</v>
      </c>
      <c r="F216" s="1">
        <v>768</v>
      </c>
      <c r="G216" s="80">
        <f>IFERROR((Table7[[#This Row],[Calls Off]]-E209)/E209,0%)</f>
        <v>3.1980319803198029E-2</v>
      </c>
      <c r="H216" s="80">
        <f>IFERROR((Table7[[#This Row],[Calls Ans]]-F209)/F209,0%)</f>
        <v>-3.2745591939546598E-2</v>
      </c>
      <c r="I216" s="1"/>
      <c r="J216" s="1"/>
      <c r="K216" s="1"/>
      <c r="L216" s="1"/>
      <c r="M216" s="18">
        <v>0.75</v>
      </c>
      <c r="N216" s="18">
        <v>0.08</v>
      </c>
      <c r="O216" s="18">
        <v>0.92</v>
      </c>
      <c r="P216" s="18">
        <v>0.55000000000000004</v>
      </c>
      <c r="Q216" s="18">
        <v>0.89</v>
      </c>
      <c r="R216" s="301">
        <v>159</v>
      </c>
      <c r="S216" s="143">
        <v>1.9444444444444445E-2</v>
      </c>
      <c r="T216" s="1">
        <v>10</v>
      </c>
      <c r="U216" s="354" t="str">
        <f t="shared" si="12"/>
        <v>Normal</v>
      </c>
      <c r="V216" s="354" t="str">
        <f t="shared" si="13"/>
        <v>Normal</v>
      </c>
      <c r="W216" s="359">
        <f t="shared" si="14"/>
        <v>3.1980319803198029E-2</v>
      </c>
      <c r="X216" s="359">
        <f t="shared" si="15"/>
        <v>-3.2745591939546598E-2</v>
      </c>
      <c r="Y216" s="343"/>
      <c r="Z216" s="343"/>
      <c r="AA216" s="343"/>
      <c r="AB216" s="343"/>
      <c r="AC216" s="343"/>
      <c r="AD216" s="343"/>
      <c r="AE216" s="343"/>
      <c r="AF216" s="343"/>
    </row>
    <row r="217" spans="1:36">
      <c r="A217" s="21">
        <v>45232</v>
      </c>
      <c r="B217" s="17">
        <f>IF(YEAR(Table7[[#This Row],[Date]]) = 2023, WEEKNUM(Table7[[#This Row],[Date]])-13, WEEKNUM(Table7[[#This Row],[Date]])+40)</f>
        <v>31</v>
      </c>
      <c r="C217" s="34" t="s">
        <v>52</v>
      </c>
      <c r="D217" s="34" t="s">
        <v>94</v>
      </c>
      <c r="E217" s="1">
        <v>719</v>
      </c>
      <c r="F217" s="1">
        <v>675</v>
      </c>
      <c r="G217" s="80">
        <f>IFERROR((Table7[[#This Row],[Calls Off]]-E210)/E210,0%)</f>
        <v>-0.22186147186147187</v>
      </c>
      <c r="H217" s="80">
        <f>IFERROR((Table7[[#This Row],[Calls Ans]]-F210)/F210,0%)</f>
        <v>-7.6607387140902872E-2</v>
      </c>
      <c r="I217" s="1"/>
      <c r="J217" s="1"/>
      <c r="K217" s="1"/>
      <c r="L217" s="1"/>
      <c r="M217" s="18">
        <v>0.85</v>
      </c>
      <c r="N217" s="18">
        <v>0.06</v>
      </c>
      <c r="O217" s="18">
        <v>0.94</v>
      </c>
      <c r="P217" s="18">
        <v>0.28999999999999998</v>
      </c>
      <c r="Q217" s="18">
        <v>0.95</v>
      </c>
      <c r="R217" s="301">
        <v>139</v>
      </c>
      <c r="S217" s="143">
        <v>9.7222222222222224E-3</v>
      </c>
      <c r="T217" s="1">
        <v>12</v>
      </c>
      <c r="U217" s="354" t="str">
        <f t="shared" si="12"/>
        <v>Normal</v>
      </c>
      <c r="V217" s="354" t="str">
        <f t="shared" si="13"/>
        <v>Normal</v>
      </c>
      <c r="W217" s="359">
        <f t="shared" si="14"/>
        <v>-0.22186147186147187</v>
      </c>
      <c r="X217" s="359">
        <f t="shared" si="15"/>
        <v>-7.6607387140902872E-2</v>
      </c>
      <c r="Y217" s="343"/>
      <c r="Z217" s="343"/>
      <c r="AA217" s="343"/>
      <c r="AB217" s="343"/>
      <c r="AC217" s="343"/>
      <c r="AD217" s="343"/>
      <c r="AE217" s="343"/>
      <c r="AF217" s="343"/>
    </row>
    <row r="218" spans="1:36">
      <c r="A218" s="21">
        <v>45233</v>
      </c>
      <c r="B218" s="17">
        <f>IF(YEAR(Table7[[#This Row],[Date]]) = 2023, WEEKNUM(Table7[[#This Row],[Date]])-13, WEEKNUM(Table7[[#This Row],[Date]])+40)</f>
        <v>31</v>
      </c>
      <c r="C218" s="34" t="s">
        <v>53</v>
      </c>
      <c r="D218" s="34" t="s">
        <v>94</v>
      </c>
      <c r="E218" s="1">
        <v>830</v>
      </c>
      <c r="F218" s="1">
        <v>753</v>
      </c>
      <c r="G218" s="80">
        <f>IFERROR((Table7[[#This Row],[Calls Off]]-E211)/E211,0%)</f>
        <v>-0.10656620021528525</v>
      </c>
      <c r="H218" s="80">
        <f>IFERROR((Table7[[#This Row],[Calls Ans]]-F211)/F211,0%)</f>
        <v>-6.2266500622665005E-2</v>
      </c>
      <c r="I218" s="1"/>
      <c r="J218" s="1"/>
      <c r="K218" s="1"/>
      <c r="L218" s="1"/>
      <c r="M218" s="18">
        <v>0.72</v>
      </c>
      <c r="N218" s="18">
        <v>0.09</v>
      </c>
      <c r="O218" s="18">
        <v>0.91</v>
      </c>
      <c r="P218" s="18">
        <v>0.33</v>
      </c>
      <c r="Q218" s="18">
        <v>0.83</v>
      </c>
      <c r="R218" s="301">
        <v>163</v>
      </c>
      <c r="S218" s="143">
        <v>2.4999999999999998E-2</v>
      </c>
      <c r="T218" s="1">
        <v>13</v>
      </c>
      <c r="U218" s="354" t="str">
        <f t="shared" si="12"/>
        <v>Normal</v>
      </c>
      <c r="V218" s="354" t="str">
        <f t="shared" si="13"/>
        <v>Normal</v>
      </c>
      <c r="W218" s="359">
        <f t="shared" si="14"/>
        <v>-0.10656620021528525</v>
      </c>
      <c r="X218" s="359">
        <f t="shared" si="15"/>
        <v>-6.2266500622665005E-2</v>
      </c>
      <c r="Y218" s="343"/>
      <c r="Z218" s="343"/>
      <c r="AA218" s="343"/>
      <c r="AB218" s="343"/>
      <c r="AC218" s="343"/>
      <c r="AD218" s="343"/>
      <c r="AE218" s="343"/>
      <c r="AF218" s="343"/>
    </row>
    <row r="219" spans="1:36">
      <c r="A219" s="21">
        <v>45234</v>
      </c>
      <c r="B219" s="17">
        <f>IF(YEAR(Table7[[#This Row],[Date]]) = 2023, WEEKNUM(Table7[[#This Row],[Date]])-13, WEEKNUM(Table7[[#This Row],[Date]])+40)</f>
        <v>31</v>
      </c>
      <c r="C219" s="34" t="s">
        <v>54</v>
      </c>
      <c r="D219" s="34" t="s">
        <v>94</v>
      </c>
      <c r="E219" s="1">
        <v>530</v>
      </c>
      <c r="F219" s="1">
        <v>263</v>
      </c>
      <c r="G219" s="80">
        <f>IFERROR((Table7[[#This Row],[Calls Off]]-E212)/E212,0%)</f>
        <v>8.8295687885010271E-2</v>
      </c>
      <c r="H219" s="80">
        <f>IFERROR((Table7[[#This Row],[Calls Ans]]-F212)/F212,0%)</f>
        <v>-0.38262910798122068</v>
      </c>
      <c r="I219" s="1"/>
      <c r="J219" s="1"/>
      <c r="K219" s="1"/>
      <c r="L219" s="1"/>
      <c r="M219" s="18">
        <v>0.15</v>
      </c>
      <c r="N219" s="18">
        <v>0.5</v>
      </c>
      <c r="O219" s="18">
        <v>0.5</v>
      </c>
      <c r="P219" s="18">
        <v>0.42</v>
      </c>
      <c r="Q219" s="18">
        <v>0.93</v>
      </c>
      <c r="R219" s="301">
        <v>234</v>
      </c>
      <c r="S219" s="143">
        <v>0.17083333333333331</v>
      </c>
      <c r="T219" s="1">
        <v>4</v>
      </c>
      <c r="U219" s="354" t="str">
        <f t="shared" si="12"/>
        <v>Normal</v>
      </c>
      <c r="V219" s="354" t="str">
        <f t="shared" si="13"/>
        <v>Outlier</v>
      </c>
      <c r="W219" s="359">
        <f t="shared" si="14"/>
        <v>8.8295687885010271E-2</v>
      </c>
      <c r="X219" s="359">
        <f t="shared" si="15"/>
        <v>-0.38262910798122068</v>
      </c>
      <c r="Y219" s="343"/>
      <c r="Z219" s="343"/>
      <c r="AA219" s="343"/>
      <c r="AB219" s="343"/>
      <c r="AC219" s="343"/>
      <c r="AD219" s="343"/>
      <c r="AE219" s="343"/>
      <c r="AF219" s="343"/>
    </row>
    <row r="220" spans="1:36">
      <c r="A220" s="21">
        <v>45235</v>
      </c>
      <c r="B220" s="17">
        <f>IF(YEAR(Table7[[#This Row],[Date]]) = 2023, WEEKNUM(Table7[[#This Row],[Date]])-13, WEEKNUM(Table7[[#This Row],[Date]])+40)</f>
        <v>32</v>
      </c>
      <c r="C220" s="34" t="s">
        <v>48</v>
      </c>
      <c r="D220" s="34" t="s">
        <v>94</v>
      </c>
      <c r="E220" s="1">
        <v>0</v>
      </c>
      <c r="F220" s="1">
        <v>0</v>
      </c>
      <c r="G220" s="80">
        <f>IFERROR((Table7[[#This Row],[Calls Off]]-E213)/E213,0%)</f>
        <v>0</v>
      </c>
      <c r="H220" s="80">
        <f>IFERROR((Table7[[#This Row],[Calls Ans]]-F213)/F213,0%)</f>
        <v>0</v>
      </c>
      <c r="I220" s="1">
        <v>0</v>
      </c>
      <c r="J220" s="1">
        <v>0</v>
      </c>
      <c r="K220" s="1">
        <v>0</v>
      </c>
      <c r="L220" s="1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301">
        <v>0</v>
      </c>
      <c r="S220" s="143">
        <v>0</v>
      </c>
      <c r="T220" s="1">
        <v>0</v>
      </c>
      <c r="U220" s="354" t="str">
        <f t="shared" si="12"/>
        <v>Normal</v>
      </c>
      <c r="V220" s="354" t="str">
        <f t="shared" si="13"/>
        <v>Normal</v>
      </c>
      <c r="W220" s="359">
        <f t="shared" si="14"/>
        <v>0</v>
      </c>
      <c r="X220" s="359">
        <f t="shared" si="15"/>
        <v>0</v>
      </c>
      <c r="Y220" s="343"/>
      <c r="Z220" s="343"/>
      <c r="AA220" s="343"/>
      <c r="AB220" s="343"/>
      <c r="AC220" s="343"/>
      <c r="AD220" s="343"/>
      <c r="AE220" s="343"/>
      <c r="AF220" s="343"/>
      <c r="AH220">
        <f>SUM($E$337:$E$367)</f>
        <v>13242</v>
      </c>
      <c r="AI220" t="s">
        <v>139</v>
      </c>
    </row>
    <row r="221" spans="1:36">
      <c r="A221" s="21">
        <v>45236</v>
      </c>
      <c r="B221" s="17">
        <f>IF(YEAR(Table7[[#This Row],[Date]]) = 2023, WEEKNUM(Table7[[#This Row],[Date]])-13, WEEKNUM(Table7[[#This Row],[Date]])+40)</f>
        <v>32</v>
      </c>
      <c r="C221" s="34" t="s">
        <v>49</v>
      </c>
      <c r="D221" s="34" t="s">
        <v>94</v>
      </c>
      <c r="E221" s="1">
        <v>823</v>
      </c>
      <c r="F221" s="1">
        <v>805</v>
      </c>
      <c r="G221" s="80">
        <f>IFERROR((Table7[[#This Row],[Calls Off]]-E214)/E214,0%)</f>
        <v>-0.24633699633699635</v>
      </c>
      <c r="H221" s="80">
        <f>IFERROR((Table7[[#This Row],[Calls Ans]]-F214)/F214,0%)</f>
        <v>-0.13440860215053763</v>
      </c>
      <c r="I221" s="1"/>
      <c r="J221" s="1"/>
      <c r="K221" s="1"/>
      <c r="L221" s="1"/>
      <c r="M221" s="18">
        <v>0.89</v>
      </c>
      <c r="N221" s="18">
        <v>0.02</v>
      </c>
      <c r="O221" s="18">
        <v>0.98</v>
      </c>
      <c r="P221" s="18">
        <v>0.34</v>
      </c>
      <c r="Q221" s="18">
        <v>0.95</v>
      </c>
      <c r="R221" s="301">
        <v>138</v>
      </c>
      <c r="S221" s="143">
        <v>9.0277777777777787E-3</v>
      </c>
      <c r="T221" s="1">
        <v>13</v>
      </c>
      <c r="U221" s="354" t="str">
        <f t="shared" si="12"/>
        <v>Normal</v>
      </c>
      <c r="V221" s="354" t="str">
        <f t="shared" si="13"/>
        <v>Normal</v>
      </c>
      <c r="W221" s="359">
        <f t="shared" si="14"/>
        <v>-0.24633699633699635</v>
      </c>
      <c r="X221" s="359">
        <f t="shared" si="15"/>
        <v>-0.13440860215053763</v>
      </c>
      <c r="Y221" s="343"/>
      <c r="Z221" s="343"/>
      <c r="AA221" s="343"/>
      <c r="AB221" s="343"/>
      <c r="AC221" s="343"/>
      <c r="AD221" s="343"/>
      <c r="AE221" s="343"/>
      <c r="AF221" s="343"/>
      <c r="AH221">
        <f>SUM($F$337:$F$367)</f>
        <v>12385</v>
      </c>
      <c r="AI221" t="s">
        <v>140</v>
      </c>
    </row>
    <row r="222" spans="1:36">
      <c r="A222" s="21">
        <v>45237</v>
      </c>
      <c r="B222" s="17">
        <f>IF(YEAR(Table7[[#This Row],[Date]]) = 2023, WEEKNUM(Table7[[#This Row],[Date]])-13, WEEKNUM(Table7[[#This Row],[Date]])+40)</f>
        <v>32</v>
      </c>
      <c r="C222" s="34" t="s">
        <v>50</v>
      </c>
      <c r="D222" s="34" t="s">
        <v>94</v>
      </c>
      <c r="E222" s="1">
        <v>730</v>
      </c>
      <c r="F222" s="1">
        <v>702</v>
      </c>
      <c r="G222" s="80">
        <f>IFERROR((Table7[[#This Row],[Calls Off]]-E215)/E215,0%)</f>
        <v>-7.7117572692793929E-2</v>
      </c>
      <c r="H222" s="80">
        <f>IFERROR((Table7[[#This Row],[Calls Ans]]-F215)/F215,0%)</f>
        <v>3.2352941176470591E-2</v>
      </c>
      <c r="I222" s="1"/>
      <c r="J222" s="1"/>
      <c r="K222" s="1"/>
      <c r="L222" s="1"/>
      <c r="M222" s="18">
        <v>0.88</v>
      </c>
      <c r="N222" s="18">
        <v>0.04</v>
      </c>
      <c r="O222" s="18">
        <v>0.96</v>
      </c>
      <c r="P222" s="18">
        <v>0.23</v>
      </c>
      <c r="Q222" s="18">
        <v>0.85</v>
      </c>
      <c r="R222" s="301">
        <v>173</v>
      </c>
      <c r="S222" s="143">
        <v>1.0416666666666666E-2</v>
      </c>
      <c r="T222" s="1">
        <v>13</v>
      </c>
      <c r="U222" s="354" t="str">
        <f t="shared" si="12"/>
        <v>Normal</v>
      </c>
      <c r="V222" s="354" t="str">
        <f t="shared" si="13"/>
        <v>Normal</v>
      </c>
      <c r="W222" s="359">
        <f t="shared" si="14"/>
        <v>-7.7117572692793929E-2</v>
      </c>
      <c r="X222" s="359">
        <f t="shared" si="15"/>
        <v>3.2352941176470591E-2</v>
      </c>
      <c r="Y222" s="343"/>
      <c r="Z222" s="343"/>
      <c r="AA222" s="343"/>
      <c r="AB222" s="343"/>
      <c r="AC222" s="343"/>
      <c r="AD222" s="343"/>
      <c r="AE222" s="343"/>
      <c r="AF222" s="343"/>
      <c r="AH222" s="154">
        <f>AVERAGEIF($M$337:$M$367,"&lt;&gt;0")</f>
        <v>0.83478260869565235</v>
      </c>
      <c r="AI222" t="s">
        <v>32</v>
      </c>
    </row>
    <row r="223" spans="1:36">
      <c r="A223" s="21">
        <v>45238</v>
      </c>
      <c r="B223" s="17">
        <f>IF(YEAR(Table7[[#This Row],[Date]]) = 2023, WEEKNUM(Table7[[#This Row],[Date]])-13, WEEKNUM(Table7[[#This Row],[Date]])+40)</f>
        <v>32</v>
      </c>
      <c r="C223" s="34" t="s">
        <v>51</v>
      </c>
      <c r="D223" s="34" t="s">
        <v>94</v>
      </c>
      <c r="E223" s="1">
        <v>789</v>
      </c>
      <c r="F223" s="1">
        <v>769</v>
      </c>
      <c r="G223" s="80">
        <f>IFERROR((Table7[[#This Row],[Calls Off]]-E216)/E216,0%)</f>
        <v>-5.959475566150179E-2</v>
      </c>
      <c r="H223" s="80">
        <f>IFERROR((Table7[[#This Row],[Calls Ans]]-F216)/F216,0%)</f>
        <v>1.3020833333333333E-3</v>
      </c>
      <c r="I223" s="1"/>
      <c r="J223" s="1"/>
      <c r="K223" s="1"/>
      <c r="L223" s="1"/>
      <c r="M223" s="18">
        <v>0.95</v>
      </c>
      <c r="N223" s="18">
        <v>0.03</v>
      </c>
      <c r="O223" s="18">
        <v>0.97</v>
      </c>
      <c r="P223" s="18">
        <v>0.32</v>
      </c>
      <c r="Q223" s="18">
        <v>0.87</v>
      </c>
      <c r="R223" s="301">
        <v>148</v>
      </c>
      <c r="S223" s="143">
        <v>3.472222222222222E-3</v>
      </c>
      <c r="T223" s="1">
        <v>14</v>
      </c>
      <c r="U223" s="354" t="str">
        <f t="shared" si="12"/>
        <v>Normal</v>
      </c>
      <c r="V223" s="354" t="str">
        <f t="shared" si="13"/>
        <v>Normal</v>
      </c>
      <c r="W223" s="359">
        <f t="shared" si="14"/>
        <v>-5.959475566150179E-2</v>
      </c>
      <c r="X223" s="359">
        <f t="shared" si="15"/>
        <v>1.3020833333333333E-3</v>
      </c>
      <c r="Y223" s="343"/>
      <c r="Z223" s="343"/>
      <c r="AA223" s="343"/>
      <c r="AB223" s="343"/>
      <c r="AC223" s="343"/>
      <c r="AD223" s="343"/>
      <c r="AE223" s="343"/>
      <c r="AF223" s="343"/>
      <c r="AH223" s="154">
        <f>AVERAGEIF($P$337:$P$367,"&lt;&gt;0")</f>
        <v>0.32227272727272721</v>
      </c>
      <c r="AI223" t="s">
        <v>33</v>
      </c>
    </row>
    <row r="224" spans="1:36">
      <c r="A224" s="21">
        <v>45239</v>
      </c>
      <c r="B224" s="17">
        <f>IF(YEAR(Table7[[#This Row],[Date]]) = 2023, WEEKNUM(Table7[[#This Row],[Date]])-13, WEEKNUM(Table7[[#This Row],[Date]])+40)</f>
        <v>32</v>
      </c>
      <c r="C224" s="34" t="s">
        <v>52</v>
      </c>
      <c r="D224" s="34" t="s">
        <v>94</v>
      </c>
      <c r="E224" s="1">
        <v>795</v>
      </c>
      <c r="F224" s="1">
        <v>753</v>
      </c>
      <c r="G224" s="80">
        <f>IFERROR((Table7[[#This Row],[Calls Off]]-E217)/E217,0%)</f>
        <v>0.10570236439499305</v>
      </c>
      <c r="H224" s="80">
        <f>IFERROR((Table7[[#This Row],[Calls Ans]]-F217)/F217,0%)</f>
        <v>0.11555555555555555</v>
      </c>
      <c r="I224" s="1"/>
      <c r="J224" s="1"/>
      <c r="K224" s="1"/>
      <c r="L224" s="1"/>
      <c r="M224" s="18">
        <v>0.86</v>
      </c>
      <c r="N224" s="18">
        <v>0.05</v>
      </c>
      <c r="O224" s="18">
        <v>0.95</v>
      </c>
      <c r="P224" s="18">
        <v>0.4</v>
      </c>
      <c r="Q224" s="18">
        <v>0.94</v>
      </c>
      <c r="R224" s="301">
        <v>164</v>
      </c>
      <c r="S224" s="143">
        <v>1.5972222222222224E-2</v>
      </c>
      <c r="T224" s="1">
        <v>11</v>
      </c>
      <c r="U224" s="354" t="str">
        <f t="shared" si="12"/>
        <v>Normal</v>
      </c>
      <c r="V224" s="354" t="str">
        <f t="shared" si="13"/>
        <v>Normal</v>
      </c>
      <c r="W224" s="359">
        <f t="shared" si="14"/>
        <v>0.10570236439499305</v>
      </c>
      <c r="X224" s="359">
        <f t="shared" si="15"/>
        <v>0.11555555555555555</v>
      </c>
      <c r="Y224" s="403"/>
      <c r="Z224" s="354"/>
      <c r="AA224" s="354"/>
      <c r="AB224" s="354"/>
      <c r="AC224" s="354"/>
      <c r="AD224" s="354"/>
      <c r="AE224" s="354"/>
      <c r="AF224" s="354"/>
      <c r="AG224" s="354"/>
      <c r="AH224" s="154">
        <f>AVERAGEIF($Q$337:$Q$367,"&lt;&gt;0")</f>
        <v>0.98347826086956514</v>
      </c>
      <c r="AI224" t="s">
        <v>7</v>
      </c>
    </row>
    <row r="225" spans="1:36">
      <c r="A225" s="21">
        <v>45240</v>
      </c>
      <c r="B225" s="17">
        <f>IF(YEAR(Table7[[#This Row],[Date]]) = 2023, WEEKNUM(Table7[[#This Row],[Date]])-13, WEEKNUM(Table7[[#This Row],[Date]])+40)</f>
        <v>32</v>
      </c>
      <c r="C225" s="34" t="s">
        <v>53</v>
      </c>
      <c r="D225" s="34" t="s">
        <v>94</v>
      </c>
      <c r="E225" s="1">
        <v>748</v>
      </c>
      <c r="F225" s="1">
        <v>715</v>
      </c>
      <c r="G225" s="80">
        <f>IFERROR((Table7[[#This Row],[Calls Off]]-E218)/E218,0%)</f>
        <v>-9.8795180722891562E-2</v>
      </c>
      <c r="H225" s="80">
        <f>IFERROR((Table7[[#This Row],[Calls Ans]]-F218)/F218,0%)</f>
        <v>-5.0464807436918988E-2</v>
      </c>
      <c r="I225" s="1"/>
      <c r="J225" s="1"/>
      <c r="K225" s="1"/>
      <c r="L225" s="1"/>
      <c r="M225" s="18">
        <v>0.9</v>
      </c>
      <c r="N225" s="18">
        <v>0.04</v>
      </c>
      <c r="O225" s="18">
        <v>0.96</v>
      </c>
      <c r="P225" s="18">
        <v>0.28999999999999998</v>
      </c>
      <c r="Q225" s="18">
        <v>0.94</v>
      </c>
      <c r="R225" s="301">
        <v>152</v>
      </c>
      <c r="S225" s="143">
        <v>9.0277777777777787E-3</v>
      </c>
      <c r="T225" s="1">
        <v>14</v>
      </c>
      <c r="U225" s="354" t="str">
        <f t="shared" si="12"/>
        <v>Normal</v>
      </c>
      <c r="V225" s="354" t="str">
        <f t="shared" si="13"/>
        <v>Normal</v>
      </c>
      <c r="W225" s="359">
        <f t="shared" si="14"/>
        <v>-9.8795180722891562E-2</v>
      </c>
      <c r="X225" s="359">
        <f t="shared" si="15"/>
        <v>-5.0464807436918988E-2</v>
      </c>
      <c r="Y225" s="343"/>
      <c r="Z225" s="343"/>
      <c r="AA225" s="343"/>
      <c r="AB225" s="343"/>
      <c r="AC225" s="343"/>
      <c r="AD225" s="343"/>
      <c r="AE225" s="343"/>
      <c r="AF225" s="343"/>
    </row>
    <row r="226" spans="1:36">
      <c r="A226" s="21">
        <v>45241</v>
      </c>
      <c r="B226" s="17">
        <f>IF(YEAR(Table7[[#This Row],[Date]]) = 2023, WEEKNUM(Table7[[#This Row],[Date]])-13, WEEKNUM(Table7[[#This Row],[Date]])+40)</f>
        <v>32</v>
      </c>
      <c r="C226" s="34" t="s">
        <v>54</v>
      </c>
      <c r="D226" s="34" t="s">
        <v>94</v>
      </c>
      <c r="E226" s="1">
        <v>458</v>
      </c>
      <c r="F226" s="1">
        <v>424</v>
      </c>
      <c r="G226" s="80">
        <f>IFERROR((Table7[[#This Row],[Calls Off]]-E219)/E219,0%)</f>
        <v>-0.13584905660377358</v>
      </c>
      <c r="H226" s="80">
        <f>IFERROR((Table7[[#This Row],[Calls Ans]]-F219)/F219,0%)</f>
        <v>0.61216730038022815</v>
      </c>
      <c r="I226" s="1"/>
      <c r="J226" s="1"/>
      <c r="K226" s="1"/>
      <c r="L226" s="1"/>
      <c r="M226" s="18">
        <v>0.71</v>
      </c>
      <c r="N226" s="18">
        <v>7.0000000000000007E-2</v>
      </c>
      <c r="O226" s="18">
        <v>0.93</v>
      </c>
      <c r="P226" s="18">
        <v>0.47</v>
      </c>
      <c r="Q226" s="18">
        <v>0.94</v>
      </c>
      <c r="R226" s="301">
        <v>133</v>
      </c>
      <c r="S226" s="143">
        <v>1.9444444444444445E-2</v>
      </c>
      <c r="T226" s="1">
        <v>7</v>
      </c>
      <c r="U226" s="354" t="str">
        <f t="shared" si="12"/>
        <v>Normal</v>
      </c>
      <c r="V226" s="354" t="str">
        <f t="shared" si="13"/>
        <v>Outlier</v>
      </c>
      <c r="W226" s="359">
        <f t="shared" si="14"/>
        <v>-0.13584905660377358</v>
      </c>
      <c r="X226" s="359">
        <f t="shared" si="15"/>
        <v>0.61216730038022815</v>
      </c>
      <c r="Y226" s="343"/>
      <c r="Z226" s="343"/>
      <c r="AA226" s="343"/>
      <c r="AB226" s="343"/>
      <c r="AC226" s="343"/>
      <c r="AD226" s="343"/>
      <c r="AE226" s="343"/>
      <c r="AF226" s="343"/>
    </row>
    <row r="227" spans="1:36">
      <c r="A227" s="21">
        <v>45242</v>
      </c>
      <c r="B227" s="17">
        <f>IF(YEAR(Table7[[#This Row],[Date]]) = 2023, WEEKNUM(Table7[[#This Row],[Date]])-13, WEEKNUM(Table7[[#This Row],[Date]])+40)</f>
        <v>33</v>
      </c>
      <c r="C227" s="34" t="s">
        <v>48</v>
      </c>
      <c r="D227" s="34" t="s">
        <v>94</v>
      </c>
      <c r="E227" s="1">
        <v>0</v>
      </c>
      <c r="F227" s="1">
        <v>0</v>
      </c>
      <c r="G227" s="80">
        <f>IFERROR((Table7[[#This Row],[Calls Off]]-E220)/E220,0%)</f>
        <v>0</v>
      </c>
      <c r="H227" s="80">
        <f>IFERROR((Table7[[#This Row],[Calls Ans]]-F220)/F220,0%)</f>
        <v>0</v>
      </c>
      <c r="I227" s="1">
        <v>0</v>
      </c>
      <c r="J227" s="1">
        <v>0</v>
      </c>
      <c r="K227" s="1">
        <v>0</v>
      </c>
      <c r="L227" s="1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301">
        <v>0</v>
      </c>
      <c r="S227" s="143">
        <v>0</v>
      </c>
      <c r="T227" s="1">
        <v>0</v>
      </c>
      <c r="U227" s="354" t="str">
        <f t="shared" si="12"/>
        <v>Normal</v>
      </c>
      <c r="V227" s="354" t="str">
        <f t="shared" si="13"/>
        <v>Normal</v>
      </c>
      <c r="W227" s="359">
        <f t="shared" si="14"/>
        <v>0</v>
      </c>
      <c r="X227" s="359">
        <f t="shared" si="15"/>
        <v>0</v>
      </c>
      <c r="Y227" s="343"/>
      <c r="Z227" s="343"/>
      <c r="AA227" s="343"/>
      <c r="AB227" s="343"/>
      <c r="AC227" s="343"/>
      <c r="AD227" s="343"/>
      <c r="AE227" s="343"/>
      <c r="AF227" s="343"/>
    </row>
    <row r="228" spans="1:36">
      <c r="A228" s="21">
        <v>45243</v>
      </c>
      <c r="B228" s="17">
        <f>IF(YEAR(Table7[[#This Row],[Date]]) = 2023, WEEKNUM(Table7[[#This Row],[Date]])-13, WEEKNUM(Table7[[#This Row],[Date]])+40)</f>
        <v>33</v>
      </c>
      <c r="C228" s="34" t="s">
        <v>64</v>
      </c>
      <c r="D228" s="34" t="s">
        <v>94</v>
      </c>
      <c r="E228" s="1">
        <v>0</v>
      </c>
      <c r="F228" s="1">
        <v>0</v>
      </c>
      <c r="G228" s="80">
        <v>0</v>
      </c>
      <c r="H228" s="80">
        <v>0</v>
      </c>
      <c r="I228" s="1">
        <v>0</v>
      </c>
      <c r="J228" s="1">
        <v>0</v>
      </c>
      <c r="K228" s="1">
        <v>0</v>
      </c>
      <c r="L228" s="1">
        <v>0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301">
        <v>0</v>
      </c>
      <c r="S228" s="143">
        <v>0</v>
      </c>
      <c r="T228" s="1">
        <v>1</v>
      </c>
      <c r="U228" s="354" t="str">
        <f t="shared" si="12"/>
        <v>Normal</v>
      </c>
      <c r="V228" s="354" t="str">
        <f t="shared" si="13"/>
        <v>Normal</v>
      </c>
      <c r="W228" s="359">
        <f t="shared" si="14"/>
        <v>0</v>
      </c>
      <c r="X228" s="359">
        <f t="shared" si="15"/>
        <v>0</v>
      </c>
      <c r="Y228" s="343"/>
      <c r="Z228" s="343"/>
      <c r="AA228" s="343"/>
      <c r="AB228" s="343"/>
      <c r="AC228" s="343"/>
      <c r="AD228" s="343"/>
      <c r="AE228" s="343"/>
      <c r="AF228" s="343"/>
    </row>
    <row r="229" spans="1:36">
      <c r="A229" s="21">
        <v>45244</v>
      </c>
      <c r="B229" s="17">
        <f>IF(YEAR(Table7[[#This Row],[Date]]) = 2023, WEEKNUM(Table7[[#This Row],[Date]])-13, WEEKNUM(Table7[[#This Row],[Date]])+40)</f>
        <v>33</v>
      </c>
      <c r="C229" s="34" t="s">
        <v>50</v>
      </c>
      <c r="D229" s="34" t="s">
        <v>94</v>
      </c>
      <c r="E229" s="1">
        <v>1027</v>
      </c>
      <c r="F229" s="1">
        <v>968</v>
      </c>
      <c r="G229" s="80">
        <f>IFERROR((Table7[[#This Row],[Calls Off]]-E222)/E222,0%)</f>
        <v>0.40684931506849314</v>
      </c>
      <c r="H229" s="80">
        <f>IFERROR((Table7[[#This Row],[Calls Ans]]-F222)/F222,0%)</f>
        <v>0.37891737891737892</v>
      </c>
      <c r="I229" s="1"/>
      <c r="J229" s="1"/>
      <c r="K229" s="1"/>
      <c r="L229" s="1"/>
      <c r="M229" s="18">
        <v>0.79</v>
      </c>
      <c r="N229" s="18">
        <v>0.06</v>
      </c>
      <c r="O229" s="18">
        <v>0.94</v>
      </c>
      <c r="P229" s="18">
        <v>0.39</v>
      </c>
      <c r="Q229" s="18">
        <v>0.95</v>
      </c>
      <c r="R229" s="301">
        <v>143</v>
      </c>
      <c r="S229" s="143">
        <v>1.7361111111111112E-2</v>
      </c>
      <c r="T229" s="1">
        <v>14</v>
      </c>
      <c r="U229" s="354" t="str">
        <f t="shared" si="12"/>
        <v>Outlier</v>
      </c>
      <c r="V229" s="354" t="str">
        <f t="shared" si="13"/>
        <v>Outlier</v>
      </c>
      <c r="W229" s="359">
        <f t="shared" si="14"/>
        <v>0.40684931506849314</v>
      </c>
      <c r="X229" s="359">
        <f t="shared" si="15"/>
        <v>0.37891737891737892</v>
      </c>
      <c r="Y229" s="343"/>
      <c r="Z229" s="343"/>
      <c r="AA229" s="343"/>
      <c r="AB229" s="343"/>
      <c r="AC229" s="343"/>
      <c r="AD229" s="343"/>
      <c r="AE229" s="343"/>
      <c r="AF229" s="343"/>
    </row>
    <row r="230" spans="1:36">
      <c r="A230" s="21">
        <v>45245</v>
      </c>
      <c r="B230" s="17">
        <f>IF(YEAR(Table7[[#This Row],[Date]]) = 2023, WEEKNUM(Table7[[#This Row],[Date]])-13, WEEKNUM(Table7[[#This Row],[Date]])+40)</f>
        <v>33</v>
      </c>
      <c r="C230" s="33" t="s">
        <v>51</v>
      </c>
      <c r="D230" s="34" t="s">
        <v>94</v>
      </c>
      <c r="E230" s="1">
        <v>932</v>
      </c>
      <c r="F230" s="1">
        <v>875</v>
      </c>
      <c r="G230" s="80">
        <f>IFERROR((Table7[[#This Row],[Calls Off]]-E223)/E223,0%)</f>
        <v>0.18124207858048164</v>
      </c>
      <c r="H230" s="80">
        <f>IFERROR((Table7[[#This Row],[Calls Ans]]-F223)/F223,0%)</f>
        <v>0.13784135240572171</v>
      </c>
      <c r="I230" s="1"/>
      <c r="J230" s="1"/>
      <c r="K230" s="1"/>
      <c r="L230" s="1"/>
      <c r="M230" s="18">
        <v>0.83</v>
      </c>
      <c r="N230" s="18">
        <v>0.06</v>
      </c>
      <c r="O230" s="18">
        <v>0.94</v>
      </c>
      <c r="P230" s="18">
        <v>0.39</v>
      </c>
      <c r="Q230" s="18">
        <v>0.93</v>
      </c>
      <c r="R230" s="301">
        <v>148</v>
      </c>
      <c r="S230" s="143">
        <v>1.5277777777777777E-2</v>
      </c>
      <c r="T230" s="1">
        <v>13</v>
      </c>
      <c r="U230" s="354" t="str">
        <f t="shared" si="12"/>
        <v>Normal</v>
      </c>
      <c r="V230" s="354" t="str">
        <f t="shared" si="13"/>
        <v>Normal</v>
      </c>
      <c r="W230" s="359">
        <f t="shared" si="14"/>
        <v>0.18124207858048164</v>
      </c>
      <c r="X230" s="359">
        <f t="shared" si="15"/>
        <v>0.13784135240572171</v>
      </c>
      <c r="Y230" s="343"/>
      <c r="Z230" s="343"/>
      <c r="AA230" s="343"/>
      <c r="AB230" s="343"/>
      <c r="AC230" s="343"/>
      <c r="AD230" s="343"/>
      <c r="AE230" s="343"/>
      <c r="AF230" s="343"/>
    </row>
    <row r="231" spans="1:36">
      <c r="A231" s="21">
        <v>45246</v>
      </c>
      <c r="B231" s="17">
        <f>IF(YEAR(Table7[[#This Row],[Date]]) = 2023, WEEKNUM(Table7[[#This Row],[Date]])-13, WEEKNUM(Table7[[#This Row],[Date]])+40)</f>
        <v>33</v>
      </c>
      <c r="C231" s="34" t="s">
        <v>52</v>
      </c>
      <c r="D231" s="34" t="s">
        <v>94</v>
      </c>
      <c r="E231" s="1">
        <v>900</v>
      </c>
      <c r="F231" s="1">
        <v>873</v>
      </c>
      <c r="G231" s="80">
        <f>IFERROR((Table7[[#This Row],[Calls Off]]-E224)/E224,0%)</f>
        <v>0.13207547169811321</v>
      </c>
      <c r="H231" s="80">
        <f>IFERROR((Table7[[#This Row],[Calls Ans]]-F224)/F224,0%)</f>
        <v>0.15936254980079681</v>
      </c>
      <c r="I231" s="1"/>
      <c r="J231" s="1"/>
      <c r="K231" s="1"/>
      <c r="L231" s="1"/>
      <c r="M231" s="18">
        <v>0.85</v>
      </c>
      <c r="N231" s="18">
        <v>0.03</v>
      </c>
      <c r="O231" s="18">
        <v>0.97</v>
      </c>
      <c r="P231" s="18">
        <v>0.4</v>
      </c>
      <c r="Q231" s="18">
        <v>0.95</v>
      </c>
      <c r="R231" s="301">
        <v>150</v>
      </c>
      <c r="S231" s="143">
        <v>8.3333333333333332E-3</v>
      </c>
      <c r="T231" s="1">
        <v>14</v>
      </c>
      <c r="U231" s="354" t="str">
        <f t="shared" si="12"/>
        <v>Normal</v>
      </c>
      <c r="V231" s="354" t="str">
        <f t="shared" si="13"/>
        <v>Normal</v>
      </c>
      <c r="W231" s="359">
        <f t="shared" si="14"/>
        <v>0.13207547169811321</v>
      </c>
      <c r="X231" s="359">
        <f t="shared" si="15"/>
        <v>0.15936254980079681</v>
      </c>
      <c r="Y231" s="343"/>
      <c r="Z231" s="343"/>
      <c r="AA231" s="343"/>
      <c r="AB231" s="343"/>
      <c r="AC231" s="343"/>
      <c r="AD231" s="343"/>
      <c r="AE231" s="343"/>
      <c r="AF231" s="343"/>
    </row>
    <row r="232" spans="1:36">
      <c r="A232" s="21">
        <v>45247</v>
      </c>
      <c r="B232" s="17">
        <f>IF(YEAR(Table7[[#This Row],[Date]]) = 2023, WEEKNUM(Table7[[#This Row],[Date]])-13, WEEKNUM(Table7[[#This Row],[Date]])+40)</f>
        <v>33</v>
      </c>
      <c r="C232" s="34" t="s">
        <v>53</v>
      </c>
      <c r="D232" s="34" t="s">
        <v>94</v>
      </c>
      <c r="E232" s="1">
        <v>890</v>
      </c>
      <c r="F232" s="1">
        <v>856</v>
      </c>
      <c r="G232" s="80">
        <f>IFERROR((Table7[[#This Row],[Calls Off]]-E225)/E225,0%)</f>
        <v>0.18983957219251338</v>
      </c>
      <c r="H232" s="80">
        <f>IFERROR((Table7[[#This Row],[Calls Ans]]-F225)/F225,0%)</f>
        <v>0.19720279720279721</v>
      </c>
      <c r="I232" s="1"/>
      <c r="J232" s="1"/>
      <c r="K232" s="1"/>
      <c r="L232" s="1"/>
      <c r="M232" s="18">
        <v>0.86</v>
      </c>
      <c r="N232" s="18">
        <v>0.04</v>
      </c>
      <c r="O232" s="18">
        <v>0.96</v>
      </c>
      <c r="P232" s="18">
        <v>0.37</v>
      </c>
      <c r="Q232" s="18">
        <v>0.96</v>
      </c>
      <c r="R232" s="301">
        <v>150</v>
      </c>
      <c r="S232" s="143">
        <v>6.9444444444444441E-3</v>
      </c>
      <c r="T232" s="1">
        <v>12</v>
      </c>
      <c r="U232" s="354" t="str">
        <f t="shared" si="12"/>
        <v>Normal</v>
      </c>
      <c r="V232" s="354" t="str">
        <f t="shared" si="13"/>
        <v>Normal</v>
      </c>
      <c r="W232" s="359">
        <f t="shared" si="14"/>
        <v>0.18983957219251338</v>
      </c>
      <c r="X232" s="359">
        <f t="shared" si="15"/>
        <v>0.19720279720279721</v>
      </c>
      <c r="Y232" s="343"/>
      <c r="Z232" s="343"/>
      <c r="AA232" s="343"/>
      <c r="AB232" s="343"/>
      <c r="AC232" s="343"/>
      <c r="AD232" s="343"/>
      <c r="AE232" s="343"/>
      <c r="AF232" s="343"/>
    </row>
    <row r="233" spans="1:36">
      <c r="A233" s="21">
        <v>45248</v>
      </c>
      <c r="B233" s="17">
        <f>IF(YEAR(Table7[[#This Row],[Date]]) = 2023, WEEKNUM(Table7[[#This Row],[Date]])-13, WEEKNUM(Table7[[#This Row],[Date]])+40)</f>
        <v>33</v>
      </c>
      <c r="C233" s="34" t="s">
        <v>54</v>
      </c>
      <c r="D233" s="34" t="s">
        <v>94</v>
      </c>
      <c r="E233" s="1">
        <v>595</v>
      </c>
      <c r="F233" s="1">
        <v>434</v>
      </c>
      <c r="G233" s="80">
        <f>IFERROR((Table7[[#This Row],[Calls Off]]-E226)/E226,0%)</f>
        <v>0.29912663755458513</v>
      </c>
      <c r="H233" s="80">
        <f>IFERROR((Table7[[#This Row],[Calls Ans]]-F226)/F226,0%)</f>
        <v>2.358490566037736E-2</v>
      </c>
      <c r="I233" s="1"/>
      <c r="J233" s="1"/>
      <c r="K233" s="1"/>
      <c r="L233" s="1"/>
      <c r="M233" s="18">
        <v>0.32</v>
      </c>
      <c r="N233" s="18">
        <v>0.27</v>
      </c>
      <c r="O233" s="18">
        <v>0.73</v>
      </c>
      <c r="P233" s="18">
        <v>0.7</v>
      </c>
      <c r="Q233" s="18">
        <v>0.9</v>
      </c>
      <c r="R233" s="301">
        <v>158</v>
      </c>
      <c r="S233" s="143">
        <v>6.805555555555555E-2</v>
      </c>
      <c r="T233" s="1">
        <v>6</v>
      </c>
      <c r="U233" s="354" t="str">
        <f t="shared" si="12"/>
        <v>Normal</v>
      </c>
      <c r="V233" s="354" t="str">
        <f t="shared" si="13"/>
        <v>Normal</v>
      </c>
      <c r="W233" s="359">
        <f t="shared" si="14"/>
        <v>0.29912663755458513</v>
      </c>
      <c r="X233" s="359">
        <f t="shared" si="15"/>
        <v>2.358490566037736E-2</v>
      </c>
      <c r="Y233" s="343"/>
      <c r="Z233" s="343"/>
      <c r="AA233" s="343"/>
      <c r="AB233" s="343"/>
      <c r="AC233" s="343"/>
      <c r="AD233" s="343"/>
      <c r="AE233" s="343"/>
      <c r="AF233" s="343"/>
    </row>
    <row r="234" spans="1:36">
      <c r="A234" s="21">
        <v>45249</v>
      </c>
      <c r="B234" s="17">
        <f>IF(YEAR(Table7[[#This Row],[Date]]) = 2023, WEEKNUM(Table7[[#This Row],[Date]])-13, WEEKNUM(Table7[[#This Row],[Date]])+40)</f>
        <v>34</v>
      </c>
      <c r="C234" s="34" t="s">
        <v>48</v>
      </c>
      <c r="D234" s="34" t="s">
        <v>94</v>
      </c>
      <c r="E234" s="1">
        <v>0</v>
      </c>
      <c r="F234" s="1">
        <v>0</v>
      </c>
      <c r="G234" s="80">
        <f>IFERROR((Table7[[#This Row],[Calls Off]]-E227)/E227,0%)</f>
        <v>0</v>
      </c>
      <c r="H234" s="80">
        <f>IFERROR((Table7[[#This Row],[Calls Ans]]-F227)/F227,0%)</f>
        <v>0</v>
      </c>
      <c r="I234" s="1">
        <v>0</v>
      </c>
      <c r="J234" s="1">
        <v>0</v>
      </c>
      <c r="K234" s="1">
        <v>0</v>
      </c>
      <c r="L234" s="1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301">
        <v>0</v>
      </c>
      <c r="S234" s="143">
        <v>0</v>
      </c>
      <c r="T234" s="1">
        <v>0</v>
      </c>
      <c r="U234" s="354" t="str">
        <f t="shared" si="12"/>
        <v>Normal</v>
      </c>
      <c r="V234" s="354" t="str">
        <f t="shared" si="13"/>
        <v>Normal</v>
      </c>
      <c r="W234" s="359">
        <f t="shared" si="14"/>
        <v>0</v>
      </c>
      <c r="X234" s="359">
        <f t="shared" si="15"/>
        <v>0</v>
      </c>
      <c r="Y234" s="343"/>
      <c r="Z234" s="343"/>
      <c r="AA234" s="343"/>
      <c r="AB234" s="343"/>
      <c r="AC234" s="343"/>
      <c r="AD234" s="343"/>
      <c r="AE234" s="343"/>
      <c r="AF234" s="343"/>
    </row>
    <row r="235" spans="1:36">
      <c r="A235" s="21">
        <v>45250</v>
      </c>
      <c r="B235" s="17">
        <f>IF(YEAR(Table7[[#This Row],[Date]]) = 2023, WEEKNUM(Table7[[#This Row],[Date]])-13, WEEKNUM(Table7[[#This Row],[Date]])+40)</f>
        <v>34</v>
      </c>
      <c r="C235" s="34" t="s">
        <v>49</v>
      </c>
      <c r="D235" s="34" t="s">
        <v>94</v>
      </c>
      <c r="E235" s="1">
        <v>1147</v>
      </c>
      <c r="F235" s="1">
        <v>1039</v>
      </c>
      <c r="G235" s="80">
        <f>IFERROR((Table7[[#This Row],[Calls Off]]-E228)/E228,0%)</f>
        <v>0</v>
      </c>
      <c r="H235" s="80">
        <f>IFERROR((Table7[[#This Row],[Calls Ans]]-F228)/F228,0%)</f>
        <v>0</v>
      </c>
      <c r="I235" s="1"/>
      <c r="J235" s="1"/>
      <c r="K235" s="1"/>
      <c r="L235" s="1"/>
      <c r="M235" s="18">
        <v>0.68</v>
      </c>
      <c r="N235" s="18">
        <v>0.09</v>
      </c>
      <c r="O235" s="18">
        <v>0.91</v>
      </c>
      <c r="P235" s="18">
        <v>0.48</v>
      </c>
      <c r="Q235" s="18">
        <v>0.94</v>
      </c>
      <c r="R235" s="301">
        <v>160</v>
      </c>
      <c r="S235" s="143">
        <v>1.3194444444444444E-2</v>
      </c>
      <c r="T235" s="1">
        <v>11</v>
      </c>
      <c r="U235" s="354" t="str">
        <f t="shared" si="12"/>
        <v>Normal</v>
      </c>
      <c r="V235" s="354" t="str">
        <f t="shared" si="13"/>
        <v>Normal</v>
      </c>
      <c r="W235" s="359">
        <f t="shared" si="14"/>
        <v>0</v>
      </c>
      <c r="X235" s="359">
        <f t="shared" si="15"/>
        <v>0</v>
      </c>
      <c r="Y235" s="343"/>
      <c r="Z235" s="343"/>
      <c r="AA235" s="343"/>
      <c r="AB235" s="343"/>
      <c r="AC235" s="343"/>
      <c r="AD235" s="343"/>
      <c r="AE235" s="343"/>
      <c r="AF235" s="343"/>
    </row>
    <row r="236" spans="1:36">
      <c r="A236" s="21">
        <v>45251</v>
      </c>
      <c r="B236" s="17">
        <f>IF(YEAR(Table7[[#This Row],[Date]]) = 2023, WEEKNUM(Table7[[#This Row],[Date]])-13, WEEKNUM(Table7[[#This Row],[Date]])+40)</f>
        <v>34</v>
      </c>
      <c r="C236" s="34" t="s">
        <v>50</v>
      </c>
      <c r="D236" s="34" t="s">
        <v>94</v>
      </c>
      <c r="E236" s="1">
        <v>1046</v>
      </c>
      <c r="F236" s="1">
        <v>768</v>
      </c>
      <c r="G236" s="80">
        <f>IFERROR((Table7[[#This Row],[Calls Off]]-E229)/E229,0%)</f>
        <v>1.8500486854917234E-2</v>
      </c>
      <c r="H236" s="80">
        <f>IFERROR((Table7[[#This Row],[Calls Ans]]-F229)/F229,0%)</f>
        <v>-0.20661157024793389</v>
      </c>
      <c r="I236" s="1"/>
      <c r="J236" s="1"/>
      <c r="K236" s="1"/>
      <c r="L236" s="1"/>
      <c r="M236" s="18">
        <v>0.37</v>
      </c>
      <c r="N236" s="18">
        <v>0.27</v>
      </c>
      <c r="O236" s="18">
        <v>0.73</v>
      </c>
      <c r="P236" s="18">
        <v>0.4</v>
      </c>
      <c r="Q236" s="18">
        <v>0.93</v>
      </c>
      <c r="R236" s="301">
        <v>168</v>
      </c>
      <c r="S236" s="143">
        <v>9.0277777777777776E-2</v>
      </c>
      <c r="T236" s="1">
        <v>9</v>
      </c>
      <c r="U236" s="354" t="str">
        <f t="shared" si="12"/>
        <v>Normal</v>
      </c>
      <c r="V236" s="354" t="str">
        <f t="shared" si="13"/>
        <v>Normal</v>
      </c>
      <c r="W236" s="359">
        <f t="shared" si="14"/>
        <v>1.8500486854917234E-2</v>
      </c>
      <c r="X236" s="359">
        <f t="shared" si="15"/>
        <v>-0.20661157024793389</v>
      </c>
      <c r="Y236" s="343"/>
      <c r="Z236" s="343"/>
      <c r="AA236" s="343"/>
      <c r="AB236" s="343"/>
      <c r="AC236" s="343"/>
      <c r="AD236" s="343"/>
      <c r="AE236" s="343"/>
      <c r="AF236" s="343"/>
      <c r="AH236" s="48"/>
      <c r="AI236" s="48"/>
      <c r="AJ236" s="48"/>
    </row>
    <row r="237" spans="1:36">
      <c r="A237" s="21">
        <v>45252</v>
      </c>
      <c r="B237" s="17">
        <f>IF(YEAR(Table7[[#This Row],[Date]]) = 2023, WEEKNUM(Table7[[#This Row],[Date]])-13, WEEKNUM(Table7[[#This Row],[Date]])+40)</f>
        <v>34</v>
      </c>
      <c r="C237" s="34" t="s">
        <v>51</v>
      </c>
      <c r="D237" s="34" t="s">
        <v>94</v>
      </c>
      <c r="E237" s="1">
        <v>1079</v>
      </c>
      <c r="F237" s="1">
        <v>822</v>
      </c>
      <c r="G237" s="80">
        <f>IFERROR((Table7[[#This Row],[Calls Off]]-E230)/E230,0%)</f>
        <v>0.15772532188841201</v>
      </c>
      <c r="H237" s="80">
        <f>IFERROR((Table7[[#This Row],[Calls Ans]]-F230)/F230,0%)</f>
        <v>-6.0571428571428575E-2</v>
      </c>
      <c r="I237" s="1"/>
      <c r="J237" s="1"/>
      <c r="K237" s="1"/>
      <c r="L237" s="1"/>
      <c r="M237" s="18">
        <v>0.47</v>
      </c>
      <c r="N237" s="18">
        <v>0.24</v>
      </c>
      <c r="O237" s="18">
        <v>0.76</v>
      </c>
      <c r="P237" s="18">
        <v>0.43</v>
      </c>
      <c r="Q237" s="18">
        <v>0.89</v>
      </c>
      <c r="R237" s="301">
        <v>157</v>
      </c>
      <c r="S237" s="143">
        <v>8.6111111111111124E-2</v>
      </c>
      <c r="T237" s="1">
        <v>11</v>
      </c>
      <c r="U237" s="354" t="str">
        <f t="shared" si="12"/>
        <v>Normal</v>
      </c>
      <c r="V237" s="354" t="str">
        <f t="shared" si="13"/>
        <v>Normal</v>
      </c>
      <c r="W237" s="359">
        <f t="shared" si="14"/>
        <v>0.15772532188841201</v>
      </c>
      <c r="X237" s="359">
        <f t="shared" si="15"/>
        <v>-6.0571428571428575E-2</v>
      </c>
      <c r="Y237" s="343"/>
      <c r="Z237" s="343"/>
      <c r="AA237" s="343"/>
      <c r="AB237" s="343"/>
      <c r="AC237" s="343"/>
      <c r="AD237" s="343"/>
      <c r="AE237" s="343"/>
      <c r="AF237" s="343"/>
    </row>
    <row r="238" spans="1:36">
      <c r="A238" s="21">
        <v>45253</v>
      </c>
      <c r="B238" s="17">
        <f>IF(YEAR(Table7[[#This Row],[Date]]) = 2023, WEEKNUM(Table7[[#This Row],[Date]])-13, WEEKNUM(Table7[[#This Row],[Date]])+40)</f>
        <v>34</v>
      </c>
      <c r="C238" s="34" t="s">
        <v>52</v>
      </c>
      <c r="D238" s="34" t="s">
        <v>94</v>
      </c>
      <c r="E238" s="1">
        <v>1167</v>
      </c>
      <c r="F238" s="1">
        <v>1008</v>
      </c>
      <c r="G238" s="80">
        <f>IFERROR((Table7[[#This Row],[Calls Off]]-E231)/E231,0%)</f>
        <v>0.29666666666666669</v>
      </c>
      <c r="H238" s="80">
        <f>IFERROR((Table7[[#This Row],[Calls Ans]]-F231)/F231,0%)</f>
        <v>0.15463917525773196</v>
      </c>
      <c r="I238" s="1"/>
      <c r="J238" s="1"/>
      <c r="K238" s="1"/>
      <c r="L238" s="1"/>
      <c r="M238" s="18">
        <v>0.56000000000000005</v>
      </c>
      <c r="N238" s="18">
        <v>0.14000000000000001</v>
      </c>
      <c r="O238" s="18">
        <v>0.86</v>
      </c>
      <c r="P238" s="18">
        <v>0.54</v>
      </c>
      <c r="Q238" s="18">
        <v>0.97</v>
      </c>
      <c r="R238" s="301">
        <v>163</v>
      </c>
      <c r="S238" s="143">
        <v>3.3333333333333333E-2</v>
      </c>
      <c r="T238" s="1">
        <v>10</v>
      </c>
      <c r="U238" s="354" t="str">
        <f t="shared" si="12"/>
        <v>Normal</v>
      </c>
      <c r="V238" s="354" t="str">
        <f t="shared" si="13"/>
        <v>Normal</v>
      </c>
      <c r="W238" s="359">
        <f t="shared" si="14"/>
        <v>0.29666666666666669</v>
      </c>
      <c r="X238" s="359">
        <f t="shared" si="15"/>
        <v>0.15463917525773196</v>
      </c>
      <c r="Y238" s="343"/>
      <c r="Z238" s="343"/>
      <c r="AA238" s="343"/>
      <c r="AB238" s="343"/>
      <c r="AC238" s="343"/>
      <c r="AD238" s="343"/>
      <c r="AE238" s="343"/>
      <c r="AF238" s="343"/>
    </row>
    <row r="239" spans="1:36">
      <c r="A239" s="21">
        <v>45254</v>
      </c>
      <c r="B239" s="17">
        <f>IF(YEAR(Table7[[#This Row],[Date]]) = 2023, WEEKNUM(Table7[[#This Row],[Date]])-13, WEEKNUM(Table7[[#This Row],[Date]])+40)</f>
        <v>34</v>
      </c>
      <c r="C239" s="34" t="s">
        <v>53</v>
      </c>
      <c r="D239" s="34" t="s">
        <v>94</v>
      </c>
      <c r="E239" s="1">
        <v>1493</v>
      </c>
      <c r="F239" s="1">
        <v>1097</v>
      </c>
      <c r="G239" s="80">
        <f>IFERROR((Table7[[#This Row],[Calls Off]]-E232)/E232,0%)</f>
        <v>0.67752808988764046</v>
      </c>
      <c r="H239" s="80">
        <f>IFERROR((Table7[[#This Row],[Calls Ans]]-F232)/F232,0%)</f>
        <v>0.28154205607476634</v>
      </c>
      <c r="I239" s="1"/>
      <c r="J239" s="1"/>
      <c r="K239" s="1"/>
      <c r="L239" s="1"/>
      <c r="M239" s="18">
        <v>0.41</v>
      </c>
      <c r="N239" s="18">
        <v>0.27</v>
      </c>
      <c r="O239" s="18">
        <v>0.73</v>
      </c>
      <c r="P239" s="18">
        <v>0.6</v>
      </c>
      <c r="Q239" s="18">
        <v>0.93</v>
      </c>
      <c r="R239" s="301">
        <v>151</v>
      </c>
      <c r="S239" s="143">
        <v>7.4999999999999997E-2</v>
      </c>
      <c r="T239" s="1">
        <v>10</v>
      </c>
      <c r="U239" s="354" t="str">
        <f t="shared" si="12"/>
        <v>Outlier</v>
      </c>
      <c r="V239" s="354" t="str">
        <f t="shared" si="13"/>
        <v>Outlier</v>
      </c>
      <c r="W239" s="359">
        <f t="shared" si="14"/>
        <v>0.67752808988764046</v>
      </c>
      <c r="X239" s="359">
        <f t="shared" si="15"/>
        <v>0.28154205607476634</v>
      </c>
      <c r="Y239" s="343"/>
      <c r="Z239" s="343"/>
      <c r="AA239" s="343"/>
      <c r="AB239" s="343"/>
      <c r="AC239" s="343"/>
      <c r="AD239" s="343"/>
      <c r="AE239" s="343"/>
      <c r="AF239" s="343"/>
    </row>
    <row r="240" spans="1:36">
      <c r="A240" s="21">
        <v>45255</v>
      </c>
      <c r="B240" s="17">
        <f>IF(YEAR(Table7[[#This Row],[Date]]) = 2023, WEEKNUM(Table7[[#This Row],[Date]])-13, WEEKNUM(Table7[[#This Row],[Date]])+40)</f>
        <v>34</v>
      </c>
      <c r="C240" s="34" t="s">
        <v>54</v>
      </c>
      <c r="D240" s="34" t="s">
        <v>94</v>
      </c>
      <c r="E240" s="1">
        <v>874</v>
      </c>
      <c r="F240" s="1">
        <v>805</v>
      </c>
      <c r="G240" s="80">
        <f>IFERROR((Table7[[#This Row],[Calls Off]]-E233)/E233,0%)</f>
        <v>0.46890756302521008</v>
      </c>
      <c r="H240" s="80">
        <f>IFERROR((Table7[[#This Row],[Calls Ans]]-F233)/F233,0%)</f>
        <v>0.85483870967741937</v>
      </c>
      <c r="I240" s="1"/>
      <c r="J240" s="1"/>
      <c r="K240" s="1"/>
      <c r="L240" s="1"/>
      <c r="M240" s="18">
        <v>0.61</v>
      </c>
      <c r="N240" s="18">
        <v>0.08</v>
      </c>
      <c r="O240" s="18">
        <v>0.92</v>
      </c>
      <c r="P240" s="18">
        <v>0.56999999999999995</v>
      </c>
      <c r="Q240" s="18">
        <v>0.94</v>
      </c>
      <c r="R240" s="301">
        <v>158</v>
      </c>
      <c r="S240" s="143">
        <v>2.5694444444444447E-2</v>
      </c>
      <c r="T240" s="1">
        <v>11</v>
      </c>
      <c r="U240" s="354" t="str">
        <f t="shared" si="12"/>
        <v>Outlier</v>
      </c>
      <c r="V240" s="354" t="str">
        <f t="shared" si="13"/>
        <v>Outlier</v>
      </c>
      <c r="W240" s="359">
        <f t="shared" si="14"/>
        <v>0.46890756302521008</v>
      </c>
      <c r="X240" s="359">
        <f t="shared" si="15"/>
        <v>0.85483870967741937</v>
      </c>
      <c r="Y240" s="343"/>
      <c r="Z240" s="343"/>
      <c r="AA240" s="343"/>
      <c r="AB240" s="343"/>
      <c r="AC240" s="343"/>
      <c r="AD240" s="343"/>
      <c r="AE240" s="343"/>
      <c r="AF240" s="343"/>
    </row>
    <row r="241" spans="1:36">
      <c r="A241" s="21">
        <v>45256</v>
      </c>
      <c r="B241" s="17">
        <f>IF(YEAR(Table7[[#This Row],[Date]]) = 2023, WEEKNUM(Table7[[#This Row],[Date]])-13, WEEKNUM(Table7[[#This Row],[Date]])+40)</f>
        <v>35</v>
      </c>
      <c r="C241" s="34" t="s">
        <v>48</v>
      </c>
      <c r="D241" s="34" t="s">
        <v>94</v>
      </c>
      <c r="E241" s="1">
        <v>0</v>
      </c>
      <c r="F241" s="1">
        <v>0</v>
      </c>
      <c r="G241" s="80">
        <f>IFERROR((Table7[[#This Row],[Calls Off]]-E234)/E234,0%)</f>
        <v>0</v>
      </c>
      <c r="H241" s="80">
        <f>IFERROR((Table7[[#This Row],[Calls Ans]]-F234)/F234,0%)</f>
        <v>0</v>
      </c>
      <c r="I241" s="1">
        <v>0</v>
      </c>
      <c r="J241" s="1">
        <v>0</v>
      </c>
      <c r="K241" s="1">
        <v>0</v>
      </c>
      <c r="L241" s="1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301">
        <v>0</v>
      </c>
      <c r="S241" s="143">
        <v>0</v>
      </c>
      <c r="T241" s="1">
        <v>0</v>
      </c>
      <c r="U241" s="354" t="str">
        <f t="shared" si="12"/>
        <v>Normal</v>
      </c>
      <c r="V241" s="354" t="str">
        <f t="shared" si="13"/>
        <v>Normal</v>
      </c>
      <c r="W241" s="359">
        <f t="shared" si="14"/>
        <v>0</v>
      </c>
      <c r="X241" s="359">
        <f t="shared" si="15"/>
        <v>0</v>
      </c>
      <c r="Y241" s="343"/>
      <c r="Z241" s="343"/>
      <c r="AA241" s="343"/>
      <c r="AB241" s="343"/>
      <c r="AC241" s="343"/>
      <c r="AD241" s="343"/>
      <c r="AE241" s="343"/>
      <c r="AF241" s="343"/>
    </row>
    <row r="242" spans="1:36">
      <c r="A242" s="21">
        <v>45257</v>
      </c>
      <c r="B242" s="17">
        <f>IF(YEAR(Table7[[#This Row],[Date]]) = 2023, WEEKNUM(Table7[[#This Row],[Date]])-13, WEEKNUM(Table7[[#This Row],[Date]])+40)</f>
        <v>35</v>
      </c>
      <c r="C242" s="34" t="s">
        <v>49</v>
      </c>
      <c r="D242" s="34" t="s">
        <v>94</v>
      </c>
      <c r="E242" s="1">
        <v>2108</v>
      </c>
      <c r="F242" s="1">
        <v>794</v>
      </c>
      <c r="G242" s="80">
        <f>IFERROR((Table7[[#This Row],[Calls Off]]-E235)/E235,0%)</f>
        <v>0.83783783783783783</v>
      </c>
      <c r="H242" s="80">
        <f>IFERROR((Table7[[#This Row],[Calls Ans]]-F235)/F235,0%)</f>
        <v>-0.23580365736284889</v>
      </c>
      <c r="I242" s="1"/>
      <c r="J242" s="1"/>
      <c r="K242" s="1"/>
      <c r="L242" s="1"/>
      <c r="M242" s="18">
        <v>0.19</v>
      </c>
      <c r="N242" s="18">
        <v>0.62</v>
      </c>
      <c r="O242" s="18">
        <v>0.38</v>
      </c>
      <c r="P242" s="18">
        <v>0.54</v>
      </c>
      <c r="Q242" s="18">
        <v>0.95</v>
      </c>
      <c r="R242" s="301">
        <v>179</v>
      </c>
      <c r="S242" s="143">
        <v>0.59722222222222221</v>
      </c>
      <c r="T242" s="1">
        <v>8</v>
      </c>
      <c r="U242" s="354" t="str">
        <f t="shared" si="12"/>
        <v>Outlier</v>
      </c>
      <c r="V242" s="354" t="str">
        <f t="shared" si="13"/>
        <v>Normal</v>
      </c>
      <c r="W242" s="359">
        <f t="shared" si="14"/>
        <v>0.83783783783783783</v>
      </c>
      <c r="X242" s="359">
        <f t="shared" si="15"/>
        <v>-0.23580365736284889</v>
      </c>
      <c r="Y242" s="343"/>
      <c r="Z242" s="343"/>
      <c r="AA242" s="343"/>
      <c r="AB242" s="343"/>
      <c r="AC242" s="343"/>
      <c r="AD242" s="343"/>
      <c r="AE242" s="343"/>
      <c r="AF242" s="343"/>
    </row>
    <row r="243" spans="1:36">
      <c r="A243" s="21">
        <v>45258</v>
      </c>
      <c r="B243" s="17">
        <f>IF(YEAR(Table7[[#This Row],[Date]]) = 2023, WEEKNUM(Table7[[#This Row],[Date]])-13, WEEKNUM(Table7[[#This Row],[Date]])+40)</f>
        <v>35</v>
      </c>
      <c r="C243" s="34" t="s">
        <v>50</v>
      </c>
      <c r="D243" s="34" t="s">
        <v>94</v>
      </c>
      <c r="E243" s="1">
        <v>1851</v>
      </c>
      <c r="F243" s="1">
        <v>851</v>
      </c>
      <c r="G243" s="80">
        <f>IFERROR((Table7[[#This Row],[Calls Off]]-E236)/E236,0%)</f>
        <v>0.76959847036328877</v>
      </c>
      <c r="H243" s="80">
        <f>IFERROR((Table7[[#This Row],[Calls Ans]]-F236)/F236,0%)</f>
        <v>0.10807291666666667</v>
      </c>
      <c r="I243" s="1"/>
      <c r="J243" s="1"/>
      <c r="K243" s="1"/>
      <c r="L243" s="1"/>
      <c r="M243" s="18">
        <v>0.2</v>
      </c>
      <c r="N243" s="18">
        <v>0.54</v>
      </c>
      <c r="O243" s="18">
        <v>0.46</v>
      </c>
      <c r="P243" s="18">
        <v>0.72</v>
      </c>
      <c r="Q243" s="18">
        <v>0.96</v>
      </c>
      <c r="R243" s="301">
        <v>377</v>
      </c>
      <c r="S243" s="143">
        <v>0.40069444444444446</v>
      </c>
      <c r="T243" s="1">
        <v>10</v>
      </c>
      <c r="U243" s="354" t="str">
        <f t="shared" si="12"/>
        <v>Outlier</v>
      </c>
      <c r="V243" s="354" t="str">
        <f t="shared" si="13"/>
        <v>Normal</v>
      </c>
      <c r="W243" s="359">
        <f t="shared" si="14"/>
        <v>0.76959847036328877</v>
      </c>
      <c r="X243" s="359">
        <f t="shared" si="15"/>
        <v>0.10807291666666667</v>
      </c>
      <c r="Y243" s="343"/>
      <c r="Z243" s="343"/>
      <c r="AA243" s="343"/>
      <c r="AB243" s="343"/>
      <c r="AC243" s="343"/>
      <c r="AD243" s="343"/>
      <c r="AE243" s="343"/>
      <c r="AF243" s="343"/>
    </row>
    <row r="244" spans="1:36">
      <c r="A244" s="21">
        <v>45259</v>
      </c>
      <c r="B244" s="17">
        <f>IF(YEAR(Table7[[#This Row],[Date]]) = 2023, WEEKNUM(Table7[[#This Row],[Date]])-13, WEEKNUM(Table7[[#This Row],[Date]])+40)</f>
        <v>35</v>
      </c>
      <c r="C244" s="34" t="s">
        <v>51</v>
      </c>
      <c r="D244" s="34" t="s">
        <v>94</v>
      </c>
      <c r="E244" s="1">
        <v>1593</v>
      </c>
      <c r="F244" s="1">
        <v>854</v>
      </c>
      <c r="G244" s="80">
        <f>IFERROR((Table7[[#This Row],[Calls Off]]-E237)/E237,0%)</f>
        <v>0.47636700648748842</v>
      </c>
      <c r="H244" s="80">
        <f>IFERROR((Table7[[#This Row],[Calls Ans]]-F237)/F237,0%)</f>
        <v>3.8929440389294405E-2</v>
      </c>
      <c r="I244" s="1"/>
      <c r="J244" s="1"/>
      <c r="K244" s="1"/>
      <c r="L244" s="1"/>
      <c r="M244" s="18">
        <v>0.16</v>
      </c>
      <c r="N244" s="18">
        <v>0.46</v>
      </c>
      <c r="O244" s="18">
        <v>0.54</v>
      </c>
      <c r="P244" s="18">
        <v>0.68</v>
      </c>
      <c r="Q244" s="18">
        <v>0.94</v>
      </c>
      <c r="R244" s="301">
        <v>204</v>
      </c>
      <c r="S244" s="143">
        <v>0.30624999999999997</v>
      </c>
      <c r="T244" s="1">
        <v>9</v>
      </c>
      <c r="U244" s="354" t="str">
        <f t="shared" si="12"/>
        <v>Outlier</v>
      </c>
      <c r="V244" s="354" t="str">
        <f t="shared" si="13"/>
        <v>Normal</v>
      </c>
      <c r="W244" s="359">
        <f t="shared" si="14"/>
        <v>0.47636700648748842</v>
      </c>
      <c r="X244" s="359">
        <f t="shared" si="15"/>
        <v>3.8929440389294405E-2</v>
      </c>
      <c r="Y244" s="343"/>
      <c r="Z244" s="343"/>
      <c r="AA244" s="343"/>
      <c r="AB244" s="343"/>
      <c r="AC244" s="343"/>
      <c r="AD244" s="343"/>
      <c r="AE244" s="343"/>
      <c r="AF244" s="343"/>
    </row>
    <row r="245" spans="1:36">
      <c r="A245" s="21">
        <v>45260</v>
      </c>
      <c r="B245" s="17">
        <f>IF(YEAR(Table7[[#This Row],[Date]]) = 2023, WEEKNUM(Table7[[#This Row],[Date]])-13, WEEKNUM(Table7[[#This Row],[Date]])+40)</f>
        <v>35</v>
      </c>
      <c r="C245" s="34" t="s">
        <v>52</v>
      </c>
      <c r="D245" s="34" t="s">
        <v>94</v>
      </c>
      <c r="E245" s="1">
        <v>1381</v>
      </c>
      <c r="F245" s="1">
        <v>1128</v>
      </c>
      <c r="G245" s="80">
        <f>IFERROR((Table7[[#This Row],[Calls Off]]-E238)/E238,0%)</f>
        <v>0.18337617823479005</v>
      </c>
      <c r="H245" s="80">
        <f>IFERROR((Table7[[#This Row],[Calls Ans]]-F238)/F238,0%)</f>
        <v>0.11904761904761904</v>
      </c>
      <c r="I245" s="1"/>
      <c r="J245" s="1"/>
      <c r="K245" s="1"/>
      <c r="L245" s="1"/>
      <c r="M245" s="18">
        <v>0.38</v>
      </c>
      <c r="N245" s="18">
        <v>0.18</v>
      </c>
      <c r="O245" s="18">
        <v>0.82</v>
      </c>
      <c r="P245" s="18">
        <v>0.76</v>
      </c>
      <c r="Q245" s="18">
        <v>0.96</v>
      </c>
      <c r="R245" s="301">
        <v>197</v>
      </c>
      <c r="S245" s="143">
        <v>6.5972222222222224E-2</v>
      </c>
      <c r="T245" s="1">
        <v>12</v>
      </c>
      <c r="U245" s="354" t="str">
        <f t="shared" si="12"/>
        <v>Normal</v>
      </c>
      <c r="V245" s="354" t="str">
        <f t="shared" si="13"/>
        <v>Normal</v>
      </c>
      <c r="W245" s="359">
        <f t="shared" si="14"/>
        <v>0.18337617823479005</v>
      </c>
      <c r="X245" s="359">
        <f t="shared" si="15"/>
        <v>0.11904761904761904</v>
      </c>
      <c r="Y245" s="343"/>
      <c r="Z245" s="343"/>
      <c r="AA245" s="343"/>
      <c r="AB245" s="343"/>
      <c r="AC245" s="343"/>
      <c r="AD245" s="343"/>
      <c r="AE245" s="343"/>
      <c r="AF245" s="343"/>
    </row>
    <row r="246" spans="1:36" s="48" customFormat="1">
      <c r="A246" s="21">
        <v>45261</v>
      </c>
      <c r="B246" s="17">
        <f>IF(YEAR(Table7[[#This Row],[Date]]) = 2023, WEEKNUM(Table7[[#This Row],[Date]])-13, WEEKNUM(Table7[[#This Row],[Date]])+40)</f>
        <v>35</v>
      </c>
      <c r="C246" s="49" t="s">
        <v>53</v>
      </c>
      <c r="D246" s="34" t="s">
        <v>94</v>
      </c>
      <c r="E246" s="1">
        <v>1274</v>
      </c>
      <c r="F246" s="1">
        <v>786</v>
      </c>
      <c r="G246" s="80">
        <f>IFERROR((Table7[[#This Row],[Calls Off]]-E239)/E239,0%)</f>
        <v>-0.14668452779638314</v>
      </c>
      <c r="H246" s="80">
        <f>IFERROR((Table7[[#This Row],[Calls Ans]]-F239)/F239,0%)</f>
        <v>-0.28350045578851413</v>
      </c>
      <c r="I246" s="1"/>
      <c r="J246" s="1"/>
      <c r="K246" s="1"/>
      <c r="L246" s="1"/>
      <c r="M246" s="18">
        <v>0.14000000000000001</v>
      </c>
      <c r="N246" s="18">
        <v>0.38</v>
      </c>
      <c r="O246" s="18">
        <v>0.62</v>
      </c>
      <c r="P246" s="18">
        <v>0.68</v>
      </c>
      <c r="Q246" s="18">
        <v>0.91</v>
      </c>
      <c r="R246" s="301">
        <v>187</v>
      </c>
      <c r="S246" s="143">
        <v>0.13263888888888889</v>
      </c>
      <c r="T246" s="1">
        <v>7</v>
      </c>
      <c r="U246" s="354" t="str">
        <f t="shared" si="12"/>
        <v>Normal</v>
      </c>
      <c r="V246" s="354" t="str">
        <f t="shared" si="13"/>
        <v>Outlier</v>
      </c>
      <c r="W246" s="359">
        <f t="shared" si="14"/>
        <v>-0.14668452779638314</v>
      </c>
      <c r="X246" s="359">
        <f t="shared" si="15"/>
        <v>-0.28350045578851413</v>
      </c>
      <c r="Y246" s="343"/>
      <c r="Z246" s="343"/>
      <c r="AA246" s="343"/>
      <c r="AB246" s="343"/>
      <c r="AC246" s="343"/>
      <c r="AD246" s="343"/>
      <c r="AE246" s="343"/>
      <c r="AF246" s="343"/>
      <c r="AG246" s="280"/>
      <c r="AH246"/>
      <c r="AI246"/>
      <c r="AJ246"/>
    </row>
    <row r="247" spans="1:36">
      <c r="A247" s="21">
        <v>45262</v>
      </c>
      <c r="B247" s="17">
        <f>IF(YEAR(Table7[[#This Row],[Date]]) = 2023, WEEKNUM(Table7[[#This Row],[Date]])-13, WEEKNUM(Table7[[#This Row],[Date]])+40)</f>
        <v>35</v>
      </c>
      <c r="C247" s="34" t="s">
        <v>54</v>
      </c>
      <c r="D247" s="34" t="s">
        <v>94</v>
      </c>
      <c r="E247" s="1">
        <v>894</v>
      </c>
      <c r="F247" s="1">
        <v>240</v>
      </c>
      <c r="G247" s="80">
        <f>IFERROR((Table7[[#This Row],[Calls Off]]-E240)/E240,0%)</f>
        <v>2.2883295194508008E-2</v>
      </c>
      <c r="H247" s="80">
        <f>IFERROR((Table7[[#This Row],[Calls Ans]]-F240)/F240,0%)</f>
        <v>-0.70186335403726707</v>
      </c>
      <c r="I247" s="1"/>
      <c r="J247" s="1"/>
      <c r="K247" s="1"/>
      <c r="L247" s="1"/>
      <c r="M247" s="18">
        <v>0.17</v>
      </c>
      <c r="N247" s="18">
        <v>0.73</v>
      </c>
      <c r="O247" s="18">
        <v>0.37</v>
      </c>
      <c r="P247" s="18">
        <v>0.76</v>
      </c>
      <c r="Q247" s="18">
        <v>0.9</v>
      </c>
      <c r="R247" s="301">
        <v>178</v>
      </c>
      <c r="S247" s="143">
        <v>0.87083333333333324</v>
      </c>
      <c r="T247" s="1">
        <v>5</v>
      </c>
      <c r="U247" s="354" t="str">
        <f t="shared" si="12"/>
        <v>Normal</v>
      </c>
      <c r="V247" s="354" t="str">
        <f t="shared" si="13"/>
        <v>Outlier</v>
      </c>
      <c r="W247" s="359">
        <f t="shared" si="14"/>
        <v>2.2883295194508008E-2</v>
      </c>
      <c r="X247" s="359">
        <f t="shared" si="15"/>
        <v>-0.70186335403726707</v>
      </c>
      <c r="Y247" s="343"/>
      <c r="Z247" s="343"/>
      <c r="AA247" s="343"/>
      <c r="AB247" s="343"/>
      <c r="AC247" s="343"/>
      <c r="AD247" s="343"/>
      <c r="AE247" s="343"/>
      <c r="AF247" s="343"/>
    </row>
    <row r="248" spans="1:36">
      <c r="A248" s="21">
        <v>45263</v>
      </c>
      <c r="B248" s="17">
        <f>IF(YEAR(Table7[[#This Row],[Date]]) = 2023, WEEKNUM(Table7[[#This Row],[Date]])-13, WEEKNUM(Table7[[#This Row],[Date]])+40)</f>
        <v>36</v>
      </c>
      <c r="C248" s="34" t="s">
        <v>48</v>
      </c>
      <c r="D248" s="34" t="s">
        <v>94</v>
      </c>
      <c r="E248" s="1">
        <v>0</v>
      </c>
      <c r="F248" s="1">
        <v>0</v>
      </c>
      <c r="G248" s="80">
        <f>IFERROR((Table7[[#This Row],[Calls Off]]-E241)/E241,0%)</f>
        <v>0</v>
      </c>
      <c r="H248" s="80">
        <f>IFERROR((Table7[[#This Row],[Calls Ans]]-F241)/F241,0%)</f>
        <v>0</v>
      </c>
      <c r="I248" s="1">
        <v>0</v>
      </c>
      <c r="J248" s="1">
        <v>0</v>
      </c>
      <c r="K248" s="1">
        <v>0</v>
      </c>
      <c r="L248" s="1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301">
        <v>0</v>
      </c>
      <c r="S248" s="143">
        <v>0</v>
      </c>
      <c r="T248" s="1">
        <v>0</v>
      </c>
      <c r="U248" s="354" t="str">
        <f t="shared" si="12"/>
        <v>Normal</v>
      </c>
      <c r="V248" s="354" t="str">
        <f t="shared" si="13"/>
        <v>Normal</v>
      </c>
      <c r="W248" s="359">
        <f t="shared" si="14"/>
        <v>0</v>
      </c>
      <c r="X248" s="359">
        <f t="shared" si="15"/>
        <v>0</v>
      </c>
      <c r="Y248" s="343"/>
      <c r="Z248" s="343"/>
      <c r="AA248" s="343"/>
      <c r="AB248" s="343"/>
      <c r="AC248" s="343"/>
      <c r="AD248" s="343"/>
      <c r="AE248" s="343"/>
      <c r="AF248" s="343"/>
    </row>
    <row r="249" spans="1:36">
      <c r="A249" s="21">
        <v>45264</v>
      </c>
      <c r="B249" s="17">
        <f>IF(YEAR(Table7[[#This Row],[Date]]) = 2023, WEEKNUM(Table7[[#This Row],[Date]])-13, WEEKNUM(Table7[[#This Row],[Date]])+40)</f>
        <v>36</v>
      </c>
      <c r="C249" s="34" t="s">
        <v>49</v>
      </c>
      <c r="D249" s="34" t="s">
        <v>94</v>
      </c>
      <c r="E249" s="1">
        <v>1570</v>
      </c>
      <c r="F249" s="1">
        <v>634</v>
      </c>
      <c r="G249" s="80">
        <f>IFERROR((Table7[[#This Row],[Calls Off]]-E242)/E242,0%)</f>
        <v>-0.25521821631878555</v>
      </c>
      <c r="H249" s="80">
        <f>IFERROR((Table7[[#This Row],[Calls Ans]]-F242)/F242,0%)</f>
        <v>-0.20151133501259447</v>
      </c>
      <c r="I249" s="1"/>
      <c r="J249" s="1"/>
      <c r="K249" s="1"/>
      <c r="L249" s="1"/>
      <c r="M249" s="18">
        <v>0.17</v>
      </c>
      <c r="N249" s="18">
        <v>0.6</v>
      </c>
      <c r="O249" s="18">
        <v>0.4</v>
      </c>
      <c r="P249" s="18">
        <v>0.76</v>
      </c>
      <c r="Q249" s="18">
        <v>0.97</v>
      </c>
      <c r="R249" s="301">
        <v>204</v>
      </c>
      <c r="S249" s="143">
        <v>0.4680555555555555</v>
      </c>
      <c r="T249" s="1">
        <v>8</v>
      </c>
      <c r="U249" s="354" t="str">
        <f t="shared" si="12"/>
        <v>Normal</v>
      </c>
      <c r="V249" s="354" t="str">
        <f t="shared" si="13"/>
        <v>Normal</v>
      </c>
      <c r="W249" s="359">
        <f t="shared" si="14"/>
        <v>-0.25521821631878555</v>
      </c>
      <c r="X249" s="359">
        <f t="shared" si="15"/>
        <v>-0.20151133501259447</v>
      </c>
      <c r="Y249" s="343"/>
      <c r="Z249" s="343"/>
      <c r="AA249" s="343"/>
      <c r="AB249" s="343"/>
      <c r="AC249" s="343"/>
      <c r="AD249" s="343"/>
      <c r="AE249" s="343"/>
      <c r="AF249" s="343"/>
    </row>
    <row r="250" spans="1:36">
      <c r="A250" s="21">
        <v>45265</v>
      </c>
      <c r="B250" s="17">
        <f>IF(YEAR(Table7[[#This Row],[Date]]) = 2023, WEEKNUM(Table7[[#This Row],[Date]])-13, WEEKNUM(Table7[[#This Row],[Date]])+40)</f>
        <v>36</v>
      </c>
      <c r="C250" s="34" t="s">
        <v>50</v>
      </c>
      <c r="D250" s="34" t="s">
        <v>94</v>
      </c>
      <c r="E250" s="1">
        <v>1244</v>
      </c>
      <c r="F250" s="1">
        <v>771</v>
      </c>
      <c r="G250" s="80">
        <f>IFERROR((Table7[[#This Row],[Calls Off]]-E243)/E243,0%)</f>
        <v>-0.32793084819016749</v>
      </c>
      <c r="H250" s="80">
        <f>IFERROR((Table7[[#This Row],[Calls Ans]]-F243)/F243,0%)</f>
        <v>-9.400705052878966E-2</v>
      </c>
      <c r="I250" s="1"/>
      <c r="J250" s="1"/>
      <c r="K250" s="1"/>
      <c r="L250" s="1"/>
      <c r="M250" s="18">
        <v>0.16</v>
      </c>
      <c r="N250" s="18">
        <v>0.38</v>
      </c>
      <c r="O250" s="18">
        <v>0.62</v>
      </c>
      <c r="P250" s="18">
        <v>0.78</v>
      </c>
      <c r="Q250" s="18">
        <v>0.96</v>
      </c>
      <c r="R250" s="301">
        <v>212</v>
      </c>
      <c r="S250" s="143">
        <v>0.17708333333333334</v>
      </c>
      <c r="T250" s="1">
        <v>9</v>
      </c>
      <c r="U250" s="354" t="str">
        <f t="shared" si="12"/>
        <v>Outlier</v>
      </c>
      <c r="V250" s="354" t="str">
        <f t="shared" si="13"/>
        <v>Normal</v>
      </c>
      <c r="W250" s="359">
        <f t="shared" si="14"/>
        <v>-0.32793084819016749</v>
      </c>
      <c r="X250" s="359">
        <f t="shared" si="15"/>
        <v>-9.400705052878966E-2</v>
      </c>
      <c r="Y250" s="343"/>
      <c r="Z250" s="343"/>
      <c r="AA250" s="343"/>
      <c r="AB250" s="343"/>
      <c r="AC250" s="343"/>
      <c r="AD250" s="343"/>
      <c r="AE250" s="343"/>
      <c r="AF250" s="343"/>
    </row>
    <row r="251" spans="1:36">
      <c r="A251" s="21">
        <v>45266</v>
      </c>
      <c r="B251" s="17">
        <f>IF(YEAR(Table7[[#This Row],[Date]]) = 2023, WEEKNUM(Table7[[#This Row],[Date]])-13, WEEKNUM(Table7[[#This Row],[Date]])+40)</f>
        <v>36</v>
      </c>
      <c r="C251" s="34" t="s">
        <v>51</v>
      </c>
      <c r="D251" s="34" t="s">
        <v>94</v>
      </c>
      <c r="E251" s="1">
        <v>1196</v>
      </c>
      <c r="F251" s="1">
        <v>792</v>
      </c>
      <c r="G251" s="80">
        <f>IFERROR((Table7[[#This Row],[Calls Off]]-E244)/E244,0%)</f>
        <v>-0.24921531701192717</v>
      </c>
      <c r="H251" s="80">
        <f>IFERROR((Table7[[#This Row],[Calls Ans]]-F244)/F244,0%)</f>
        <v>-7.2599531615925056E-2</v>
      </c>
      <c r="I251" s="1"/>
      <c r="J251" s="1"/>
      <c r="K251" s="1"/>
      <c r="L251" s="1"/>
      <c r="M251" s="18">
        <v>0.28999999999999998</v>
      </c>
      <c r="N251" s="18">
        <v>0.34</v>
      </c>
      <c r="O251" s="18">
        <v>0.66</v>
      </c>
      <c r="P251" s="18">
        <v>0.65</v>
      </c>
      <c r="Q251" s="18">
        <v>0.96</v>
      </c>
      <c r="R251" s="301">
        <v>181</v>
      </c>
      <c r="S251" s="143">
        <v>0.12152777777777778</v>
      </c>
      <c r="T251" s="1">
        <v>9</v>
      </c>
      <c r="U251" s="354" t="str">
        <f t="shared" si="12"/>
        <v>Normal</v>
      </c>
      <c r="V251" s="354" t="str">
        <f t="shared" si="13"/>
        <v>Normal</v>
      </c>
      <c r="W251" s="359">
        <f t="shared" si="14"/>
        <v>-0.24921531701192717</v>
      </c>
      <c r="X251" s="359">
        <f t="shared" si="15"/>
        <v>-7.2599531615925056E-2</v>
      </c>
      <c r="Y251" s="343"/>
      <c r="Z251" s="343"/>
      <c r="AA251" s="343"/>
      <c r="AB251" s="343"/>
      <c r="AC251" s="343"/>
      <c r="AD251" s="343"/>
      <c r="AE251" s="343"/>
      <c r="AF251" s="343"/>
    </row>
    <row r="252" spans="1:36">
      <c r="A252" s="21">
        <v>45267</v>
      </c>
      <c r="B252" s="17">
        <f>IF(YEAR(Table7[[#This Row],[Date]]) = 2023, WEEKNUM(Table7[[#This Row],[Date]])-13, WEEKNUM(Table7[[#This Row],[Date]])+40)</f>
        <v>36</v>
      </c>
      <c r="C252" s="34" t="s">
        <v>52</v>
      </c>
      <c r="D252" s="34" t="s">
        <v>94</v>
      </c>
      <c r="E252" s="1">
        <v>1073</v>
      </c>
      <c r="F252" s="1">
        <v>647</v>
      </c>
      <c r="G252" s="80">
        <f>IFERROR((Table7[[#This Row],[Calls Off]]-E245)/E245,0%)</f>
        <v>-0.22302679217958002</v>
      </c>
      <c r="H252" s="80">
        <f>IFERROR((Table7[[#This Row],[Calls Ans]]-F245)/F245,0%)</f>
        <v>-0.42641843971631205</v>
      </c>
      <c r="I252" s="1"/>
      <c r="J252" s="1"/>
      <c r="K252" s="1"/>
      <c r="L252" s="1"/>
      <c r="M252" s="18">
        <v>0.19</v>
      </c>
      <c r="N252" s="18">
        <v>0.4</v>
      </c>
      <c r="O252" s="18">
        <v>0.6</v>
      </c>
      <c r="P252" s="18">
        <v>0.56000000000000005</v>
      </c>
      <c r="Q252" s="18">
        <v>0.96</v>
      </c>
      <c r="R252" s="301">
        <v>179</v>
      </c>
      <c r="S252" s="143">
        <v>0.17430555555555557</v>
      </c>
      <c r="T252" s="1">
        <v>9</v>
      </c>
      <c r="U252" s="354" t="str">
        <f t="shared" si="12"/>
        <v>Normal</v>
      </c>
      <c r="V252" s="354" t="str">
        <f t="shared" si="13"/>
        <v>Outlier</v>
      </c>
      <c r="W252" s="359">
        <f t="shared" si="14"/>
        <v>-0.22302679217958002</v>
      </c>
      <c r="X252" s="359">
        <f t="shared" si="15"/>
        <v>-0.42641843971631205</v>
      </c>
      <c r="Y252" s="343"/>
      <c r="Z252" s="343"/>
      <c r="AA252" s="343"/>
      <c r="AB252" s="343"/>
      <c r="AC252" s="343"/>
      <c r="AD252" s="343"/>
      <c r="AE252" s="343"/>
      <c r="AF252" s="343"/>
    </row>
    <row r="253" spans="1:36">
      <c r="A253" s="21">
        <v>45268</v>
      </c>
      <c r="B253" s="17">
        <f>IF(YEAR(Table7[[#This Row],[Date]]) = 2023, WEEKNUM(Table7[[#This Row],[Date]])-13, WEEKNUM(Table7[[#This Row],[Date]])+40)</f>
        <v>36</v>
      </c>
      <c r="C253" s="34" t="s">
        <v>53</v>
      </c>
      <c r="D253" s="34" t="s">
        <v>94</v>
      </c>
      <c r="E253" s="1">
        <v>1136</v>
      </c>
      <c r="F253" s="1">
        <v>934</v>
      </c>
      <c r="G253" s="80">
        <f>IFERROR((Table7[[#This Row],[Calls Off]]-E246)/E246,0%)</f>
        <v>-0.10832025117739404</v>
      </c>
      <c r="H253" s="80">
        <f>IFERROR((Table7[[#This Row],[Calls Ans]]-F246)/F246,0%)</f>
        <v>0.18829516539440203</v>
      </c>
      <c r="I253" s="1"/>
      <c r="J253" s="1"/>
      <c r="K253" s="1"/>
      <c r="L253" s="1"/>
      <c r="M253" s="18">
        <v>0.47</v>
      </c>
      <c r="N253" s="18">
        <v>0.18</v>
      </c>
      <c r="O253" s="18">
        <v>0.82</v>
      </c>
      <c r="P253" s="18">
        <v>0.67</v>
      </c>
      <c r="Q253" s="18">
        <v>0.98</v>
      </c>
      <c r="R253" s="301">
        <v>170</v>
      </c>
      <c r="S253" s="143">
        <v>5.9722222222222225E-2</v>
      </c>
      <c r="T253" s="1">
        <v>11</v>
      </c>
      <c r="U253" s="354" t="str">
        <f t="shared" si="12"/>
        <v>Normal</v>
      </c>
      <c r="V253" s="354" t="str">
        <f t="shared" si="13"/>
        <v>Normal</v>
      </c>
      <c r="W253" s="359">
        <f t="shared" si="14"/>
        <v>-0.10832025117739404</v>
      </c>
      <c r="X253" s="359">
        <f t="shared" si="15"/>
        <v>0.18829516539440203</v>
      </c>
      <c r="Y253" s="343"/>
      <c r="Z253" s="343"/>
      <c r="AA253" s="343"/>
      <c r="AB253" s="343"/>
      <c r="AC253" s="343"/>
      <c r="AD253" s="343"/>
      <c r="AE253" s="343"/>
      <c r="AF253" s="343"/>
    </row>
    <row r="254" spans="1:36">
      <c r="A254" s="21">
        <v>45269</v>
      </c>
      <c r="B254" s="17">
        <f>IF(YEAR(Table7[[#This Row],[Date]]) = 2023, WEEKNUM(Table7[[#This Row],[Date]])-13, WEEKNUM(Table7[[#This Row],[Date]])+40)</f>
        <v>36</v>
      </c>
      <c r="C254" s="34" t="s">
        <v>54</v>
      </c>
      <c r="D254" s="34" t="s">
        <v>94</v>
      </c>
      <c r="E254" s="1">
        <v>705</v>
      </c>
      <c r="F254" s="1">
        <v>307</v>
      </c>
      <c r="G254" s="80">
        <f>IFERROR((Table7[[#This Row],[Calls Off]]-E247)/E247,0%)</f>
        <v>-0.21140939597315436</v>
      </c>
      <c r="H254" s="80">
        <f>IFERROR((Table7[[#This Row],[Calls Ans]]-F247)/F247,0%)</f>
        <v>0.27916666666666667</v>
      </c>
      <c r="I254" s="1"/>
      <c r="J254" s="1"/>
      <c r="K254" s="1"/>
      <c r="L254" s="1"/>
      <c r="M254" s="18">
        <v>0.11</v>
      </c>
      <c r="N254" s="18">
        <v>0.56000000000000005</v>
      </c>
      <c r="O254" s="18">
        <v>0.44</v>
      </c>
      <c r="P254" s="18">
        <v>0.76</v>
      </c>
      <c r="Q254" s="18">
        <v>1</v>
      </c>
      <c r="R254" s="301">
        <v>184</v>
      </c>
      <c r="S254" s="143">
        <v>0.3444444444444445</v>
      </c>
      <c r="T254" s="1">
        <v>6</v>
      </c>
      <c r="U254" s="354" t="str">
        <f t="shared" si="12"/>
        <v>Normal</v>
      </c>
      <c r="V254" s="354" t="str">
        <f t="shared" si="13"/>
        <v>Outlier</v>
      </c>
      <c r="W254" s="359">
        <f t="shared" si="14"/>
        <v>-0.21140939597315436</v>
      </c>
      <c r="X254" s="359">
        <f t="shared" si="15"/>
        <v>0.27916666666666667</v>
      </c>
      <c r="Y254" s="343"/>
      <c r="Z254" s="343"/>
      <c r="AA254" s="343"/>
      <c r="AB254" s="343"/>
      <c r="AC254" s="343"/>
      <c r="AD254" s="343"/>
      <c r="AE254" s="343"/>
      <c r="AF254" s="343"/>
    </row>
    <row r="255" spans="1:36">
      <c r="A255" s="21">
        <v>45270</v>
      </c>
      <c r="B255" s="17">
        <f>IF(YEAR(Table7[[#This Row],[Date]]) = 2023, WEEKNUM(Table7[[#This Row],[Date]])-13, WEEKNUM(Table7[[#This Row],[Date]])+40)</f>
        <v>37</v>
      </c>
      <c r="C255" s="34" t="s">
        <v>48</v>
      </c>
      <c r="D255" s="34" t="s">
        <v>94</v>
      </c>
      <c r="E255" s="1">
        <v>0</v>
      </c>
      <c r="F255" s="1">
        <v>0</v>
      </c>
      <c r="G255" s="80">
        <f>IFERROR((Table7[[#This Row],[Calls Off]]-E248)/E248,0%)</f>
        <v>0</v>
      </c>
      <c r="H255" s="80">
        <f>IFERROR((Table7[[#This Row],[Calls Ans]]-F248)/F248,0%)</f>
        <v>0</v>
      </c>
      <c r="I255" s="1">
        <v>0</v>
      </c>
      <c r="J255" s="1">
        <v>0</v>
      </c>
      <c r="K255" s="1">
        <v>0</v>
      </c>
      <c r="L255" s="1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301">
        <v>0</v>
      </c>
      <c r="S255" s="143">
        <v>0</v>
      </c>
      <c r="T255" s="1">
        <v>0</v>
      </c>
      <c r="U255" s="354" t="str">
        <f t="shared" si="12"/>
        <v>Normal</v>
      </c>
      <c r="V255" s="354" t="str">
        <f t="shared" si="13"/>
        <v>Normal</v>
      </c>
      <c r="W255" s="359">
        <f t="shared" si="14"/>
        <v>0</v>
      </c>
      <c r="X255" s="359">
        <f t="shared" si="15"/>
        <v>0</v>
      </c>
      <c r="Y255" s="343"/>
      <c r="Z255" s="343"/>
      <c r="AA255" s="343"/>
      <c r="AB255" s="343"/>
      <c r="AC255" s="343"/>
      <c r="AD255" s="343"/>
      <c r="AE255" s="343"/>
      <c r="AF255" s="343"/>
    </row>
    <row r="256" spans="1:36">
      <c r="A256" s="21">
        <v>45271</v>
      </c>
      <c r="B256" s="17">
        <f>IF(YEAR(Table7[[#This Row],[Date]]) = 2023, WEEKNUM(Table7[[#This Row],[Date]])-13, WEEKNUM(Table7[[#This Row],[Date]])+40)</f>
        <v>37</v>
      </c>
      <c r="C256" s="34" t="s">
        <v>49</v>
      </c>
      <c r="D256" s="34" t="s">
        <v>94</v>
      </c>
      <c r="E256" s="1">
        <v>1293</v>
      </c>
      <c r="F256" s="1">
        <v>758</v>
      </c>
      <c r="G256" s="80">
        <f>IFERROR((Table7[[#This Row],[Calls Off]]-E249)/E249,0%)</f>
        <v>-0.17643312101910827</v>
      </c>
      <c r="H256" s="80">
        <f>IFERROR((Table7[[#This Row],[Calls Ans]]-F249)/F249,0%)</f>
        <v>0.19558359621451105</v>
      </c>
      <c r="I256" s="1"/>
      <c r="J256" s="1"/>
      <c r="K256" s="1"/>
      <c r="L256" s="1"/>
      <c r="M256" s="18">
        <v>0.18</v>
      </c>
      <c r="N256" s="18">
        <v>0.41</v>
      </c>
      <c r="O256" s="18">
        <v>0.59</v>
      </c>
      <c r="P256" s="18">
        <v>0.72</v>
      </c>
      <c r="Q256" s="18">
        <v>0.97</v>
      </c>
      <c r="R256" s="301">
        <v>182</v>
      </c>
      <c r="S256" s="143">
        <v>0.21666666666666667</v>
      </c>
      <c r="T256" s="1">
        <v>9</v>
      </c>
      <c r="U256" s="354" t="str">
        <f t="shared" si="12"/>
        <v>Normal</v>
      </c>
      <c r="V256" s="354" t="str">
        <f t="shared" si="13"/>
        <v>Normal</v>
      </c>
      <c r="W256" s="359">
        <f t="shared" si="14"/>
        <v>-0.17643312101910827</v>
      </c>
      <c r="X256" s="359">
        <f t="shared" si="15"/>
        <v>0.19558359621451105</v>
      </c>
      <c r="Y256" s="343"/>
      <c r="Z256" s="343"/>
      <c r="AA256" s="343"/>
      <c r="AB256" s="343"/>
      <c r="AC256" s="343"/>
      <c r="AD256" s="343"/>
      <c r="AE256" s="343"/>
      <c r="AF256" s="343"/>
    </row>
    <row r="257" spans="1:36">
      <c r="A257" s="21">
        <v>45272</v>
      </c>
      <c r="B257" s="17">
        <f>IF(YEAR(Table7[[#This Row],[Date]]) = 2023, WEEKNUM(Table7[[#This Row],[Date]])-13, WEEKNUM(Table7[[#This Row],[Date]])+40)</f>
        <v>37</v>
      </c>
      <c r="C257" s="34" t="s">
        <v>50</v>
      </c>
      <c r="D257" s="34" t="s">
        <v>94</v>
      </c>
      <c r="E257" s="1">
        <v>1051</v>
      </c>
      <c r="F257" s="1">
        <v>823</v>
      </c>
      <c r="G257" s="80">
        <f>IFERROR((Table7[[#This Row],[Calls Off]]-E250)/E250,0%)</f>
        <v>-0.15514469453376206</v>
      </c>
      <c r="H257" s="80">
        <f>IFERROR((Table7[[#This Row],[Calls Ans]]-F250)/F250,0%)</f>
        <v>6.744487678339818E-2</v>
      </c>
      <c r="I257" s="1"/>
      <c r="J257" s="1"/>
      <c r="K257" s="1"/>
      <c r="L257" s="1"/>
      <c r="M257" s="18">
        <v>0.38</v>
      </c>
      <c r="N257" s="18">
        <v>0.22</v>
      </c>
      <c r="O257" s="18">
        <v>0.78</v>
      </c>
      <c r="P257" s="18">
        <v>0.67</v>
      </c>
      <c r="Q257" s="18">
        <v>1</v>
      </c>
      <c r="R257" s="301">
        <v>186</v>
      </c>
      <c r="S257" s="143">
        <v>7.5694444444444439E-2</v>
      </c>
      <c r="T257" s="1">
        <v>10</v>
      </c>
      <c r="U257" s="354" t="str">
        <f t="shared" si="12"/>
        <v>Normal</v>
      </c>
      <c r="V257" s="354" t="str">
        <f t="shared" si="13"/>
        <v>Normal</v>
      </c>
      <c r="W257" s="359">
        <f t="shared" si="14"/>
        <v>-0.15514469453376206</v>
      </c>
      <c r="X257" s="359">
        <f t="shared" si="15"/>
        <v>6.744487678339818E-2</v>
      </c>
      <c r="Y257" s="343"/>
      <c r="Z257" s="343"/>
      <c r="AA257" s="343"/>
      <c r="AB257" s="343"/>
      <c r="AC257" s="343"/>
      <c r="AD257" s="343"/>
      <c r="AE257" s="343"/>
      <c r="AF257" s="343"/>
    </row>
    <row r="258" spans="1:36">
      <c r="A258" s="21">
        <v>45273</v>
      </c>
      <c r="B258" s="17">
        <f>IF(YEAR(Table7[[#This Row],[Date]]) = 2023, WEEKNUM(Table7[[#This Row],[Date]])-13, WEEKNUM(Table7[[#This Row],[Date]])+40)</f>
        <v>37</v>
      </c>
      <c r="C258" s="34" t="s">
        <v>51</v>
      </c>
      <c r="D258" s="34" t="s">
        <v>94</v>
      </c>
      <c r="E258" s="1">
        <v>1044</v>
      </c>
      <c r="F258" s="1">
        <v>887</v>
      </c>
      <c r="G258" s="80">
        <f>IFERROR((Table7[[#This Row],[Calls Off]]-E251)/E251,0%)</f>
        <v>-0.12709030100334448</v>
      </c>
      <c r="H258" s="80">
        <f>IFERROR((Table7[[#This Row],[Calls Ans]]-F251)/F251,0%)</f>
        <v>0.11994949494949494</v>
      </c>
      <c r="I258" s="1"/>
      <c r="J258" s="1"/>
      <c r="K258" s="1"/>
      <c r="L258" s="1"/>
      <c r="M258" s="18">
        <v>0.65</v>
      </c>
      <c r="N258" s="18">
        <v>0.15</v>
      </c>
      <c r="O258" s="18">
        <v>0.85</v>
      </c>
      <c r="P258" s="18">
        <v>0.64</v>
      </c>
      <c r="Q258" s="18">
        <v>0.97</v>
      </c>
      <c r="R258" s="301">
        <v>160</v>
      </c>
      <c r="S258" s="143">
        <v>2.6388888888888889E-2</v>
      </c>
      <c r="T258" s="1">
        <v>12</v>
      </c>
      <c r="U258" s="354" t="str">
        <f t="shared" si="12"/>
        <v>Normal</v>
      </c>
      <c r="V258" s="354" t="str">
        <f t="shared" si="13"/>
        <v>Normal</v>
      </c>
      <c r="W258" s="359">
        <f t="shared" si="14"/>
        <v>-0.12709030100334448</v>
      </c>
      <c r="X258" s="359">
        <f t="shared" si="15"/>
        <v>0.11994949494949494</v>
      </c>
      <c r="Y258" s="343"/>
      <c r="Z258" s="343"/>
      <c r="AA258" s="343"/>
      <c r="AB258" s="343"/>
      <c r="AC258" s="343"/>
      <c r="AD258" s="343"/>
      <c r="AE258" s="343"/>
      <c r="AF258" s="343"/>
    </row>
    <row r="259" spans="1:36">
      <c r="A259" s="21">
        <v>45274</v>
      </c>
      <c r="B259" s="17">
        <f>IF(YEAR(Table7[[#This Row],[Date]]) = 2023, WEEKNUM(Table7[[#This Row],[Date]])-13, WEEKNUM(Table7[[#This Row],[Date]])+40)</f>
        <v>37</v>
      </c>
      <c r="C259" s="34" t="s">
        <v>52</v>
      </c>
      <c r="D259" s="34" t="s">
        <v>94</v>
      </c>
      <c r="E259" s="1">
        <v>937</v>
      </c>
      <c r="F259" s="1">
        <v>818</v>
      </c>
      <c r="G259" s="80">
        <f>IFERROR((Table7[[#This Row],[Calls Off]]-E252)/E252,0%)</f>
        <v>-0.12674743709226469</v>
      </c>
      <c r="H259" s="80">
        <f>IFERROR((Table7[[#This Row],[Calls Ans]]-F252)/F252,0%)</f>
        <v>0.2642967542503864</v>
      </c>
      <c r="I259" s="1"/>
      <c r="J259" s="1"/>
      <c r="K259" s="1"/>
      <c r="L259" s="1"/>
      <c r="M259" s="18">
        <v>0.57999999999999996</v>
      </c>
      <c r="N259" s="18">
        <v>0.13</v>
      </c>
      <c r="O259" s="18">
        <v>0.87</v>
      </c>
      <c r="P259" s="18">
        <v>0.59</v>
      </c>
      <c r="Q259" s="18">
        <v>0.93</v>
      </c>
      <c r="R259" s="301">
        <v>192</v>
      </c>
      <c r="S259" s="143">
        <v>3.125E-2</v>
      </c>
      <c r="T259" s="1">
        <v>11</v>
      </c>
      <c r="U259" s="354" t="str">
        <f t="shared" ref="U259:U322" si="16">IF(OR(G259&lt;$AA$5,G259&gt;$AB$5), "Outlier", "Normal")</f>
        <v>Normal</v>
      </c>
      <c r="V259" s="354" t="str">
        <f t="shared" ref="V259:V322" si="17">IF(OR(H259&lt;$AA$6,H259&gt;$AB$6), "Outlier", "Normal")</f>
        <v>Normal</v>
      </c>
      <c r="W259" s="359">
        <f t="shared" ref="W259:W322" si="18">IF(U259="Normal",$G259,IF($G259&lt;150%, $G259, $AA$9))</f>
        <v>-0.12674743709226469</v>
      </c>
      <c r="X259" s="359">
        <f t="shared" ref="X259:X322" si="19">IF(V259="Normal",$H259,IF($H259&lt;150%, $H259, $AE$9))</f>
        <v>0.2642967542503864</v>
      </c>
      <c r="Y259" s="343"/>
      <c r="Z259" s="343"/>
      <c r="AA259" s="343"/>
      <c r="AB259" s="343"/>
      <c r="AC259" s="343"/>
      <c r="AD259" s="343"/>
      <c r="AE259" s="343"/>
      <c r="AF259" s="343"/>
    </row>
    <row r="260" spans="1:36">
      <c r="A260" s="21">
        <v>45275</v>
      </c>
      <c r="B260" s="17">
        <f>IF(YEAR(Table7[[#This Row],[Date]]) = 2023, WEEKNUM(Table7[[#This Row],[Date]])-13, WEEKNUM(Table7[[#This Row],[Date]])+40)</f>
        <v>37</v>
      </c>
      <c r="C260" s="34" t="s">
        <v>53</v>
      </c>
      <c r="D260" s="34" t="s">
        <v>94</v>
      </c>
      <c r="E260" s="1">
        <v>1090</v>
      </c>
      <c r="F260" s="1">
        <v>704</v>
      </c>
      <c r="G260" s="80">
        <f>IFERROR((Table7[[#This Row],[Calls Off]]-E253)/E253,0%)</f>
        <v>-4.0492957746478875E-2</v>
      </c>
      <c r="H260" s="80">
        <f>IFERROR((Table7[[#This Row],[Calls Ans]]-F253)/F253,0%)</f>
        <v>-0.24625267665952891</v>
      </c>
      <c r="I260" s="1"/>
      <c r="J260" s="1"/>
      <c r="K260" s="1"/>
      <c r="L260" s="1"/>
      <c r="M260" s="18">
        <v>0.26</v>
      </c>
      <c r="N260" s="18">
        <v>0.35</v>
      </c>
      <c r="O260" s="18">
        <v>0.65</v>
      </c>
      <c r="P260" s="18">
        <v>0.71</v>
      </c>
      <c r="Q260" s="18">
        <v>0.95</v>
      </c>
      <c r="R260" s="301">
        <v>201</v>
      </c>
      <c r="S260" s="143">
        <v>0.18472222222222223</v>
      </c>
      <c r="T260" s="1">
        <v>8</v>
      </c>
      <c r="U260" s="354" t="str">
        <f t="shared" si="16"/>
        <v>Normal</v>
      </c>
      <c r="V260" s="354" t="str">
        <f t="shared" si="17"/>
        <v>Normal</v>
      </c>
      <c r="W260" s="359">
        <f t="shared" si="18"/>
        <v>-4.0492957746478875E-2</v>
      </c>
      <c r="X260" s="359">
        <f t="shared" si="19"/>
        <v>-0.24625267665952891</v>
      </c>
      <c r="Y260" s="343"/>
      <c r="Z260" s="343"/>
      <c r="AA260" s="343"/>
      <c r="AB260" s="343"/>
      <c r="AC260" s="343"/>
      <c r="AD260" s="343"/>
      <c r="AE260" s="343"/>
      <c r="AF260" s="343"/>
    </row>
    <row r="261" spans="1:36">
      <c r="A261" s="21">
        <v>45276</v>
      </c>
      <c r="B261" s="17">
        <f>IF(YEAR(Table7[[#This Row],[Date]]) = 2023, WEEKNUM(Table7[[#This Row],[Date]])-13, WEEKNUM(Table7[[#This Row],[Date]])+40)</f>
        <v>37</v>
      </c>
      <c r="C261" s="34" t="s">
        <v>54</v>
      </c>
      <c r="D261" s="34" t="s">
        <v>94</v>
      </c>
      <c r="E261" s="1">
        <v>634</v>
      </c>
      <c r="F261" s="1">
        <v>487</v>
      </c>
      <c r="G261" s="80">
        <f>IFERROR((Table7[[#This Row],[Calls Off]]-E254)/E254,0%)</f>
        <v>-0.10070921985815603</v>
      </c>
      <c r="H261" s="80">
        <f>IFERROR((Table7[[#This Row],[Calls Ans]]-F254)/F254,0%)</f>
        <v>0.58631921824104238</v>
      </c>
      <c r="I261" s="1"/>
      <c r="J261" s="1"/>
      <c r="K261" s="1"/>
      <c r="L261" s="1"/>
      <c r="M261" s="18">
        <v>0.26</v>
      </c>
      <c r="N261" s="18">
        <v>0.23</v>
      </c>
      <c r="O261" s="18">
        <v>0.77</v>
      </c>
      <c r="P261" s="18">
        <v>0.43</v>
      </c>
      <c r="Q261" s="18">
        <v>1</v>
      </c>
      <c r="R261" s="301">
        <v>202</v>
      </c>
      <c r="S261" s="143">
        <v>0.125</v>
      </c>
      <c r="T261" s="1">
        <v>8</v>
      </c>
      <c r="U261" s="354" t="str">
        <f t="shared" si="16"/>
        <v>Normal</v>
      </c>
      <c r="V261" s="354" t="str">
        <f t="shared" si="17"/>
        <v>Outlier</v>
      </c>
      <c r="W261" s="359">
        <f t="shared" si="18"/>
        <v>-0.10070921985815603</v>
      </c>
      <c r="X261" s="359">
        <f t="shared" si="19"/>
        <v>0.58631921824104238</v>
      </c>
      <c r="Y261" s="343"/>
      <c r="Z261" s="343"/>
      <c r="AA261" s="343"/>
      <c r="AB261" s="343"/>
      <c r="AC261" s="343"/>
      <c r="AD261" s="343"/>
      <c r="AE261" s="343"/>
      <c r="AF261" s="343"/>
    </row>
    <row r="262" spans="1:36">
      <c r="A262" s="21">
        <v>45277</v>
      </c>
      <c r="B262" s="17">
        <f>IF(YEAR(Table7[[#This Row],[Date]]) = 2023, WEEKNUM(Table7[[#This Row],[Date]])-13, WEEKNUM(Table7[[#This Row],[Date]])+40)</f>
        <v>38</v>
      </c>
      <c r="C262" s="34" t="s">
        <v>48</v>
      </c>
      <c r="D262" s="34" t="s">
        <v>94</v>
      </c>
      <c r="E262" s="1">
        <v>0</v>
      </c>
      <c r="F262" s="1">
        <v>0</v>
      </c>
      <c r="G262" s="80">
        <f>IFERROR((Table7[[#This Row],[Calls Off]]-E255)/E255,0%)</f>
        <v>0</v>
      </c>
      <c r="H262" s="80">
        <f>IFERROR((Table7[[#This Row],[Calls Ans]]-F255)/F255,0%)</f>
        <v>0</v>
      </c>
      <c r="I262" s="1">
        <v>0</v>
      </c>
      <c r="J262" s="1">
        <v>0</v>
      </c>
      <c r="K262" s="1">
        <v>0</v>
      </c>
      <c r="L262" s="1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301">
        <v>0</v>
      </c>
      <c r="S262" s="143">
        <v>0</v>
      </c>
      <c r="T262" s="1">
        <v>0</v>
      </c>
      <c r="U262" s="354" t="str">
        <f t="shared" si="16"/>
        <v>Normal</v>
      </c>
      <c r="V262" s="354" t="str">
        <f t="shared" si="17"/>
        <v>Normal</v>
      </c>
      <c r="W262" s="359">
        <f t="shared" si="18"/>
        <v>0</v>
      </c>
      <c r="X262" s="359">
        <f t="shared" si="19"/>
        <v>0</v>
      </c>
      <c r="Y262" s="343"/>
      <c r="Z262" s="343"/>
      <c r="AA262" s="343"/>
      <c r="AB262" s="343"/>
      <c r="AC262" s="343"/>
      <c r="AD262" s="343"/>
      <c r="AE262" s="343"/>
      <c r="AF262" s="343"/>
    </row>
    <row r="263" spans="1:36">
      <c r="A263" s="21">
        <v>45278</v>
      </c>
      <c r="B263" s="17">
        <f>IF(YEAR(Table7[[#This Row],[Date]]) = 2023, WEEKNUM(Table7[[#This Row],[Date]])-13, WEEKNUM(Table7[[#This Row],[Date]])+40)</f>
        <v>38</v>
      </c>
      <c r="C263" s="34" t="s">
        <v>49</v>
      </c>
      <c r="D263" s="34" t="s">
        <v>94</v>
      </c>
      <c r="E263" s="1">
        <v>1474</v>
      </c>
      <c r="F263" s="1">
        <v>814</v>
      </c>
      <c r="G263" s="80">
        <f>IFERROR((Table7[[#This Row],[Calls Off]]-E256)/E256,0%)</f>
        <v>0.139984532095901</v>
      </c>
      <c r="H263" s="80">
        <f>IFERROR((Table7[[#This Row],[Calls Ans]]-F256)/F256,0%)</f>
        <v>7.3878627968337732E-2</v>
      </c>
      <c r="I263" s="1"/>
      <c r="J263" s="1"/>
      <c r="K263" s="1"/>
      <c r="L263" s="1"/>
      <c r="M263" s="18">
        <v>0.17</v>
      </c>
      <c r="N263" s="18">
        <v>0.45</v>
      </c>
      <c r="O263" s="18">
        <v>0.55000000000000004</v>
      </c>
      <c r="P263" s="18">
        <v>0.67</v>
      </c>
      <c r="Q263" s="18">
        <v>0.96</v>
      </c>
      <c r="R263" s="301">
        <v>185</v>
      </c>
      <c r="S263" s="143">
        <v>0.24652777777777779</v>
      </c>
      <c r="T263" s="1">
        <v>10</v>
      </c>
      <c r="U263" s="354" t="str">
        <f t="shared" si="16"/>
        <v>Normal</v>
      </c>
      <c r="V263" s="354" t="str">
        <f t="shared" si="17"/>
        <v>Normal</v>
      </c>
      <c r="W263" s="359">
        <f t="shared" si="18"/>
        <v>0.139984532095901</v>
      </c>
      <c r="X263" s="359">
        <f t="shared" si="19"/>
        <v>7.3878627968337732E-2</v>
      </c>
      <c r="Y263" s="343"/>
      <c r="Z263" s="343"/>
      <c r="AA263" s="343"/>
      <c r="AB263" s="343"/>
      <c r="AC263" s="343"/>
      <c r="AD263" s="343"/>
      <c r="AE263" s="343"/>
      <c r="AF263" s="343"/>
      <c r="AH263" s="48"/>
      <c r="AI263" s="48"/>
      <c r="AJ263" s="48"/>
    </row>
    <row r="264" spans="1:36">
      <c r="A264" s="21">
        <v>45279</v>
      </c>
      <c r="B264" s="17">
        <f>IF(YEAR(Table7[[#This Row],[Date]]) = 2023, WEEKNUM(Table7[[#This Row],[Date]])-13, WEEKNUM(Table7[[#This Row],[Date]])+40)</f>
        <v>38</v>
      </c>
      <c r="C264" s="34" t="s">
        <v>50</v>
      </c>
      <c r="D264" s="34" t="s">
        <v>94</v>
      </c>
      <c r="E264" s="1">
        <v>1477</v>
      </c>
      <c r="F264" s="1">
        <v>588</v>
      </c>
      <c r="G264" s="80">
        <f>IFERROR((Table7[[#This Row],[Calls Off]]-E257)/E257,0%)</f>
        <v>0.40532825880114176</v>
      </c>
      <c r="H264" s="80">
        <f>IFERROR((Table7[[#This Row],[Calls Ans]]-F257)/F257,0%)</f>
        <v>-0.28554070473876064</v>
      </c>
      <c r="I264" s="1"/>
      <c r="J264" s="1"/>
      <c r="K264" s="1"/>
      <c r="L264" s="1"/>
      <c r="M264" s="18">
        <v>0.2</v>
      </c>
      <c r="N264" s="18">
        <v>0.6</v>
      </c>
      <c r="O264" s="18">
        <v>0.4</v>
      </c>
      <c r="P264" s="18">
        <v>0.63</v>
      </c>
      <c r="Q264" s="18">
        <v>0.97</v>
      </c>
      <c r="R264" s="301">
        <v>223</v>
      </c>
      <c r="S264" s="143">
        <v>0.55138888888888882</v>
      </c>
      <c r="T264" s="1">
        <v>10</v>
      </c>
      <c r="U264" s="354" t="str">
        <f t="shared" si="16"/>
        <v>Outlier</v>
      </c>
      <c r="V264" s="354" t="str">
        <f t="shared" si="17"/>
        <v>Outlier</v>
      </c>
      <c r="W264" s="359">
        <f t="shared" si="18"/>
        <v>0.40532825880114176</v>
      </c>
      <c r="X264" s="359">
        <f t="shared" si="19"/>
        <v>-0.28554070473876064</v>
      </c>
      <c r="Y264" s="343"/>
      <c r="Z264" s="343"/>
      <c r="AA264" s="343"/>
      <c r="AB264" s="343"/>
      <c r="AC264" s="343"/>
      <c r="AD264" s="343"/>
      <c r="AE264" s="343"/>
      <c r="AF264" s="343"/>
    </row>
    <row r="265" spans="1:36">
      <c r="A265" s="21">
        <v>45280</v>
      </c>
      <c r="B265" s="17">
        <f>IF(YEAR(Table7[[#This Row],[Date]]) = 2023, WEEKNUM(Table7[[#This Row],[Date]])-13, WEEKNUM(Table7[[#This Row],[Date]])+40)</f>
        <v>38</v>
      </c>
      <c r="C265" s="34" t="s">
        <v>51</v>
      </c>
      <c r="D265" s="34" t="s">
        <v>94</v>
      </c>
      <c r="E265" s="1">
        <v>1531</v>
      </c>
      <c r="F265" s="1">
        <v>509</v>
      </c>
      <c r="G265" s="80">
        <f>IFERROR((Table7[[#This Row],[Calls Off]]-E258)/E258,0%)</f>
        <v>0.46647509578544061</v>
      </c>
      <c r="H265" s="80">
        <f>IFERROR((Table7[[#This Row],[Calls Ans]]-F258)/F258,0%)</f>
        <v>-0.42615558060879366</v>
      </c>
      <c r="I265" s="1"/>
      <c r="J265" s="1"/>
      <c r="K265" s="1"/>
      <c r="L265" s="1"/>
      <c r="M265" s="18">
        <v>0.17</v>
      </c>
      <c r="N265" s="18">
        <v>0.67</v>
      </c>
      <c r="O265" s="18">
        <v>0.33</v>
      </c>
      <c r="P265" s="18">
        <v>0.64</v>
      </c>
      <c r="Q265" s="18">
        <v>0.96</v>
      </c>
      <c r="R265" s="301">
        <v>206</v>
      </c>
      <c r="S265" s="143">
        <v>0.65833333333333333</v>
      </c>
      <c r="T265" s="1">
        <v>8</v>
      </c>
      <c r="U265" s="354" t="str">
        <f t="shared" si="16"/>
        <v>Outlier</v>
      </c>
      <c r="V265" s="354" t="str">
        <f t="shared" si="17"/>
        <v>Outlier</v>
      </c>
      <c r="W265" s="359">
        <f t="shared" si="18"/>
        <v>0.46647509578544061</v>
      </c>
      <c r="X265" s="359">
        <f t="shared" si="19"/>
        <v>-0.42615558060879366</v>
      </c>
      <c r="Y265" s="343"/>
      <c r="Z265" s="343"/>
      <c r="AA265" s="343"/>
      <c r="AB265" s="343"/>
      <c r="AC265" s="343"/>
      <c r="AD265" s="343"/>
      <c r="AE265" s="343"/>
      <c r="AF265" s="343"/>
    </row>
    <row r="266" spans="1:36">
      <c r="A266" s="21">
        <v>45281</v>
      </c>
      <c r="B266" s="17">
        <f>IF(YEAR(Table7[[#This Row],[Date]]) = 2023, WEEKNUM(Table7[[#This Row],[Date]])-13, WEEKNUM(Table7[[#This Row],[Date]])+40)</f>
        <v>38</v>
      </c>
      <c r="C266" s="34" t="s">
        <v>52</v>
      </c>
      <c r="D266" s="34" t="s">
        <v>94</v>
      </c>
      <c r="E266" s="1">
        <v>1396</v>
      </c>
      <c r="F266" s="1">
        <v>575</v>
      </c>
      <c r="G266" s="80">
        <f>IFERROR((Table7[[#This Row],[Calls Off]]-E259)/E259,0%)</f>
        <v>0.48986125933831376</v>
      </c>
      <c r="H266" s="80">
        <f>IFERROR((Table7[[#This Row],[Calls Ans]]-F259)/F259,0%)</f>
        <v>-0.29706601466992666</v>
      </c>
      <c r="I266" s="1"/>
      <c r="J266" s="1"/>
      <c r="K266" s="1"/>
      <c r="L266" s="1"/>
      <c r="M266" s="18">
        <v>0.13</v>
      </c>
      <c r="N266" s="18">
        <v>0.59</v>
      </c>
      <c r="O266" s="18">
        <v>0.41</v>
      </c>
      <c r="P266" s="18">
        <v>0.79</v>
      </c>
      <c r="Q266" s="18">
        <v>0.97</v>
      </c>
      <c r="R266" s="301">
        <v>190</v>
      </c>
      <c r="S266" s="143">
        <v>0.46388888888888885</v>
      </c>
      <c r="T266" s="1">
        <v>8</v>
      </c>
      <c r="U266" s="354" t="str">
        <f t="shared" si="16"/>
        <v>Outlier</v>
      </c>
      <c r="V266" s="354" t="str">
        <f t="shared" si="17"/>
        <v>Outlier</v>
      </c>
      <c r="W266" s="359">
        <f t="shared" si="18"/>
        <v>0.48986125933831376</v>
      </c>
      <c r="X266" s="359">
        <f t="shared" si="19"/>
        <v>-0.29706601466992666</v>
      </c>
      <c r="Y266" s="343"/>
      <c r="Z266" s="343"/>
      <c r="AA266" s="343"/>
      <c r="AB266" s="343"/>
      <c r="AC266" s="343"/>
      <c r="AD266" s="343"/>
      <c r="AE266" s="343"/>
      <c r="AF266" s="343"/>
    </row>
    <row r="267" spans="1:36">
      <c r="A267" s="21">
        <v>45282</v>
      </c>
      <c r="B267" s="17">
        <f>IF(YEAR(Table7[[#This Row],[Date]]) = 2023, WEEKNUM(Table7[[#This Row],[Date]])-13, WEEKNUM(Table7[[#This Row],[Date]])+40)</f>
        <v>38</v>
      </c>
      <c r="C267" s="34" t="s">
        <v>53</v>
      </c>
      <c r="D267" s="34" t="s">
        <v>94</v>
      </c>
      <c r="E267" s="1">
        <v>1071</v>
      </c>
      <c r="F267" s="1">
        <v>610</v>
      </c>
      <c r="G267" s="80">
        <f>IFERROR((Table7[[#This Row],[Calls Off]]-E260)/E260,0%)</f>
        <v>-1.743119266055046E-2</v>
      </c>
      <c r="H267" s="80">
        <f>IFERROR((Table7[[#This Row],[Calls Ans]]-F260)/F260,0%)</f>
        <v>-0.13352272727272727</v>
      </c>
      <c r="I267" s="1"/>
      <c r="J267" s="1"/>
      <c r="K267" s="1"/>
      <c r="L267" s="1"/>
      <c r="M267" s="18">
        <v>0.18</v>
      </c>
      <c r="N267" s="18">
        <v>0.43</v>
      </c>
      <c r="O267" s="18">
        <v>0.56999999999999995</v>
      </c>
      <c r="P267" s="18">
        <v>0.82</v>
      </c>
      <c r="Q267" s="18">
        <v>1</v>
      </c>
      <c r="R267" s="301">
        <v>221</v>
      </c>
      <c r="S267" s="143">
        <v>0.18472222222222223</v>
      </c>
      <c r="T267" s="1">
        <v>8</v>
      </c>
      <c r="U267" s="354" t="str">
        <f t="shared" si="16"/>
        <v>Normal</v>
      </c>
      <c r="V267" s="354" t="str">
        <f t="shared" si="17"/>
        <v>Normal</v>
      </c>
      <c r="W267" s="359">
        <f t="shared" si="18"/>
        <v>-1.743119266055046E-2</v>
      </c>
      <c r="X267" s="359">
        <f t="shared" si="19"/>
        <v>-0.13352272727272727</v>
      </c>
      <c r="Y267" s="343"/>
      <c r="Z267" s="343"/>
      <c r="AA267" s="343"/>
      <c r="AB267" s="343"/>
      <c r="AC267" s="343"/>
      <c r="AD267" s="343"/>
      <c r="AE267" s="343"/>
      <c r="AF267" s="343"/>
    </row>
    <row r="268" spans="1:36">
      <c r="A268" s="21">
        <v>45283</v>
      </c>
      <c r="B268" s="17">
        <f>IF(YEAR(Table7[[#This Row],[Date]]) = 2023, WEEKNUM(Table7[[#This Row],[Date]])-13, WEEKNUM(Table7[[#This Row],[Date]])+40)</f>
        <v>38</v>
      </c>
      <c r="C268" s="34" t="s">
        <v>54</v>
      </c>
      <c r="D268" s="34" t="s">
        <v>94</v>
      </c>
      <c r="E268" s="1">
        <v>617</v>
      </c>
      <c r="F268" s="1">
        <v>516</v>
      </c>
      <c r="G268" s="80">
        <f>IFERROR((Table7[[#This Row],[Calls Off]]-E261)/E261,0%)</f>
        <v>-2.6813880126182965E-2</v>
      </c>
      <c r="H268" s="80">
        <f>IFERROR((Table7[[#This Row],[Calls Ans]]-F261)/F261,0%)</f>
        <v>5.9548254620123205E-2</v>
      </c>
      <c r="I268" s="1"/>
      <c r="J268" s="1"/>
      <c r="K268" s="1"/>
      <c r="L268" s="1"/>
      <c r="M268" s="18">
        <v>0.44</v>
      </c>
      <c r="N268" s="18">
        <v>0.16</v>
      </c>
      <c r="O268" s="18">
        <v>0.84</v>
      </c>
      <c r="P268" s="18">
        <v>0.46</v>
      </c>
      <c r="Q268" s="18">
        <v>1</v>
      </c>
      <c r="R268" s="301">
        <v>152</v>
      </c>
      <c r="S268" s="143">
        <v>6.25E-2</v>
      </c>
      <c r="T268" s="1">
        <v>9</v>
      </c>
      <c r="U268" s="354" t="str">
        <f t="shared" si="16"/>
        <v>Normal</v>
      </c>
      <c r="V268" s="354" t="str">
        <f t="shared" si="17"/>
        <v>Normal</v>
      </c>
      <c r="W268" s="359">
        <f t="shared" si="18"/>
        <v>-2.6813880126182965E-2</v>
      </c>
      <c r="X268" s="359">
        <f t="shared" si="19"/>
        <v>5.9548254620123205E-2</v>
      </c>
      <c r="Y268" s="343"/>
      <c r="Z268" s="343"/>
      <c r="AA268" s="343"/>
      <c r="AB268" s="343"/>
      <c r="AC268" s="343"/>
      <c r="AD268" s="343"/>
      <c r="AE268" s="343"/>
      <c r="AF268" s="343"/>
    </row>
    <row r="269" spans="1:36">
      <c r="A269" s="21">
        <v>45284</v>
      </c>
      <c r="B269" s="17">
        <f>IF(YEAR(Table7[[#This Row],[Date]]) = 2023, WEEKNUM(Table7[[#This Row],[Date]])-13, WEEKNUM(Table7[[#This Row],[Date]])+40)</f>
        <v>39</v>
      </c>
      <c r="C269" s="34" t="s">
        <v>48</v>
      </c>
      <c r="D269" s="34" t="s">
        <v>94</v>
      </c>
      <c r="E269" s="1">
        <v>0</v>
      </c>
      <c r="F269" s="1">
        <v>0</v>
      </c>
      <c r="G269" s="80">
        <f>IFERROR((Table7[[#This Row],[Calls Off]]-E262)/E262,0%)</f>
        <v>0</v>
      </c>
      <c r="H269" s="80">
        <f>IFERROR((Table7[[#This Row],[Calls Ans]]-F262)/F262,0%)</f>
        <v>0</v>
      </c>
      <c r="I269" s="1">
        <v>0</v>
      </c>
      <c r="J269" s="1">
        <v>0</v>
      </c>
      <c r="K269" s="1">
        <v>0</v>
      </c>
      <c r="L269" s="1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301">
        <v>0</v>
      </c>
      <c r="S269" s="143">
        <v>0</v>
      </c>
      <c r="T269" s="1">
        <v>0</v>
      </c>
      <c r="U269" s="354" t="str">
        <f t="shared" si="16"/>
        <v>Normal</v>
      </c>
      <c r="V269" s="354" t="str">
        <f t="shared" si="17"/>
        <v>Normal</v>
      </c>
      <c r="W269" s="359">
        <f t="shared" si="18"/>
        <v>0</v>
      </c>
      <c r="X269" s="359">
        <f t="shared" si="19"/>
        <v>0</v>
      </c>
      <c r="Y269" s="343"/>
      <c r="Z269" s="343"/>
      <c r="AA269" s="343"/>
      <c r="AB269" s="343"/>
      <c r="AC269" s="343"/>
      <c r="AD269" s="343"/>
      <c r="AE269" s="343"/>
      <c r="AF269" s="343"/>
    </row>
    <row r="270" spans="1:36">
      <c r="A270" s="21">
        <v>45285</v>
      </c>
      <c r="B270" s="17">
        <f>IF(YEAR(Table7[[#This Row],[Date]]) = 2023, WEEKNUM(Table7[[#This Row],[Date]])-13, WEEKNUM(Table7[[#This Row],[Date]])+40)</f>
        <v>39</v>
      </c>
      <c r="C270" s="34" t="s">
        <v>64</v>
      </c>
      <c r="D270" s="34" t="s">
        <v>94</v>
      </c>
      <c r="E270" s="1">
        <v>0</v>
      </c>
      <c r="F270" s="1">
        <v>0</v>
      </c>
      <c r="G270" s="80">
        <v>0</v>
      </c>
      <c r="H270" s="80">
        <v>0</v>
      </c>
      <c r="I270" s="1">
        <v>0</v>
      </c>
      <c r="J270" s="1">
        <v>0</v>
      </c>
      <c r="K270" s="1">
        <v>0</v>
      </c>
      <c r="L270" s="1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301">
        <v>0</v>
      </c>
      <c r="S270" s="143">
        <v>0</v>
      </c>
      <c r="T270" s="1">
        <v>0</v>
      </c>
      <c r="U270" s="354" t="str">
        <f t="shared" si="16"/>
        <v>Normal</v>
      </c>
      <c r="V270" s="354" t="str">
        <f t="shared" si="17"/>
        <v>Normal</v>
      </c>
      <c r="W270" s="359">
        <f t="shared" si="18"/>
        <v>0</v>
      </c>
      <c r="X270" s="359">
        <f t="shared" si="19"/>
        <v>0</v>
      </c>
      <c r="Y270" s="343"/>
      <c r="Z270" s="343"/>
      <c r="AA270" s="343"/>
      <c r="AB270" s="343"/>
      <c r="AC270" s="343"/>
      <c r="AD270" s="343"/>
      <c r="AE270" s="343"/>
      <c r="AF270" s="343"/>
    </row>
    <row r="271" spans="1:36">
      <c r="A271" s="21">
        <v>45286</v>
      </c>
      <c r="B271" s="17">
        <f>IF(YEAR(Table7[[#This Row],[Date]]) = 2023, WEEKNUM(Table7[[#This Row],[Date]])-13, WEEKNUM(Table7[[#This Row],[Date]])+40)</f>
        <v>39</v>
      </c>
      <c r="C271" s="34" t="s">
        <v>64</v>
      </c>
      <c r="D271" s="34" t="s">
        <v>94</v>
      </c>
      <c r="E271" s="1">
        <v>0</v>
      </c>
      <c r="F271" s="1">
        <v>0</v>
      </c>
      <c r="G271" s="80">
        <v>0</v>
      </c>
      <c r="H271" s="80">
        <v>0</v>
      </c>
      <c r="I271" s="1">
        <v>0</v>
      </c>
      <c r="J271" s="1">
        <v>0</v>
      </c>
      <c r="K271" s="1">
        <v>0</v>
      </c>
      <c r="L271" s="1">
        <v>0</v>
      </c>
      <c r="M271" s="18">
        <v>0</v>
      </c>
      <c r="N271" s="18">
        <v>0</v>
      </c>
      <c r="O271" s="18">
        <v>0</v>
      </c>
      <c r="P271" s="18">
        <v>0</v>
      </c>
      <c r="Q271" s="18">
        <v>0</v>
      </c>
      <c r="R271" s="301">
        <v>0</v>
      </c>
      <c r="S271" s="143">
        <v>0</v>
      </c>
      <c r="T271" s="1">
        <v>0</v>
      </c>
      <c r="U271" s="354" t="str">
        <f t="shared" si="16"/>
        <v>Normal</v>
      </c>
      <c r="V271" s="354" t="str">
        <f t="shared" si="17"/>
        <v>Normal</v>
      </c>
      <c r="W271" s="359">
        <f t="shared" si="18"/>
        <v>0</v>
      </c>
      <c r="X271" s="359">
        <f t="shared" si="19"/>
        <v>0</v>
      </c>
      <c r="Y271" s="343"/>
      <c r="Z271" s="343"/>
      <c r="AA271" s="343"/>
      <c r="AB271" s="343"/>
      <c r="AC271" s="343"/>
      <c r="AD271" s="343"/>
      <c r="AE271" s="343"/>
      <c r="AF271" s="343"/>
    </row>
    <row r="272" spans="1:36">
      <c r="A272" s="21">
        <v>45287</v>
      </c>
      <c r="B272" s="17">
        <f>IF(YEAR(Table7[[#This Row],[Date]]) = 2023, WEEKNUM(Table7[[#This Row],[Date]])-13, WEEKNUM(Table7[[#This Row],[Date]])+40)</f>
        <v>39</v>
      </c>
      <c r="C272" s="34" t="s">
        <v>51</v>
      </c>
      <c r="D272" s="34" t="s">
        <v>94</v>
      </c>
      <c r="E272" s="1">
        <v>1417</v>
      </c>
      <c r="F272" s="1">
        <v>864</v>
      </c>
      <c r="G272" s="80">
        <f>IFERROR((Table7[[#This Row],[Calls Off]]-E265)/E265,0%)</f>
        <v>-7.4461136512083609E-2</v>
      </c>
      <c r="H272" s="80">
        <f>IFERROR((Table7[[#This Row],[Calls Ans]]-F265)/F265,0%)</f>
        <v>0.69744597249508844</v>
      </c>
      <c r="I272" s="1"/>
      <c r="J272" s="1"/>
      <c r="K272" s="1"/>
      <c r="L272" s="1"/>
      <c r="M272" s="18">
        <v>0.14000000000000001</v>
      </c>
      <c r="N272" s="18">
        <v>0.39</v>
      </c>
      <c r="O272" s="18">
        <v>0.61</v>
      </c>
      <c r="P272" s="18">
        <v>0.62</v>
      </c>
      <c r="Q272" s="18">
        <v>0.97</v>
      </c>
      <c r="R272" s="301">
        <v>217</v>
      </c>
      <c r="S272" s="143">
        <v>0.22291666666666665</v>
      </c>
      <c r="T272" s="1">
        <v>10</v>
      </c>
      <c r="U272" s="354" t="str">
        <f t="shared" si="16"/>
        <v>Normal</v>
      </c>
      <c r="V272" s="354" t="str">
        <f t="shared" si="17"/>
        <v>Outlier</v>
      </c>
      <c r="W272" s="359">
        <f t="shared" si="18"/>
        <v>-7.4461136512083609E-2</v>
      </c>
      <c r="X272" s="359">
        <f t="shared" si="19"/>
        <v>0.69744597249508844</v>
      </c>
      <c r="Y272" s="343"/>
      <c r="Z272" s="343"/>
      <c r="AA272" s="343"/>
      <c r="AB272" s="343"/>
      <c r="AC272" s="343"/>
      <c r="AD272" s="343"/>
      <c r="AE272" s="343"/>
      <c r="AF272" s="343"/>
    </row>
    <row r="273" spans="1:36">
      <c r="A273" s="21">
        <v>45288</v>
      </c>
      <c r="B273" s="17">
        <f>IF(YEAR(Table7[[#This Row],[Date]]) = 2023, WEEKNUM(Table7[[#This Row],[Date]])-13, WEEKNUM(Table7[[#This Row],[Date]])+40)</f>
        <v>39</v>
      </c>
      <c r="C273" s="34" t="s">
        <v>52</v>
      </c>
      <c r="D273" s="34" t="s">
        <v>94</v>
      </c>
      <c r="E273" s="1">
        <v>1080</v>
      </c>
      <c r="F273" s="1">
        <v>815</v>
      </c>
      <c r="G273" s="80">
        <f>IFERROR((Table7[[#This Row],[Calls Off]]-E266)/E266,0%)</f>
        <v>-0.22636103151862463</v>
      </c>
      <c r="H273" s="80">
        <f>IFERROR((Table7[[#This Row],[Calls Ans]]-F266)/F266,0%)</f>
        <v>0.41739130434782606</v>
      </c>
      <c r="I273" s="1"/>
      <c r="J273" s="1"/>
      <c r="K273" s="1"/>
      <c r="L273" s="1"/>
      <c r="M273" s="18">
        <v>0.36</v>
      </c>
      <c r="N273" s="18">
        <v>0.25</v>
      </c>
      <c r="O273" s="18">
        <v>0.75</v>
      </c>
      <c r="P273" s="18">
        <v>0.57999999999999996</v>
      </c>
      <c r="Q273" s="18">
        <v>0.96</v>
      </c>
      <c r="R273" s="301">
        <v>202</v>
      </c>
      <c r="S273" s="143">
        <v>0.11319444444444444</v>
      </c>
      <c r="T273" s="1">
        <v>10</v>
      </c>
      <c r="U273" s="354" t="str">
        <f t="shared" si="16"/>
        <v>Normal</v>
      </c>
      <c r="V273" s="354" t="str">
        <f t="shared" si="17"/>
        <v>Outlier</v>
      </c>
      <c r="W273" s="359">
        <f t="shared" si="18"/>
        <v>-0.22636103151862463</v>
      </c>
      <c r="X273" s="359">
        <f t="shared" si="19"/>
        <v>0.41739130434782606</v>
      </c>
      <c r="Y273" s="343"/>
      <c r="Z273" s="343"/>
      <c r="AA273" s="343"/>
      <c r="AB273" s="343"/>
      <c r="AC273" s="343"/>
      <c r="AD273" s="343"/>
      <c r="AE273" s="343"/>
      <c r="AF273" s="343"/>
    </row>
    <row r="274" spans="1:36">
      <c r="A274" s="21">
        <v>45289</v>
      </c>
      <c r="B274" s="17">
        <f>IF(YEAR(Table7[[#This Row],[Date]]) = 2023, WEEKNUM(Table7[[#This Row],[Date]])-13, WEEKNUM(Table7[[#This Row],[Date]])+40)</f>
        <v>39</v>
      </c>
      <c r="C274" s="34" t="s">
        <v>53</v>
      </c>
      <c r="D274" s="34" t="s">
        <v>94</v>
      </c>
      <c r="E274" s="1">
        <v>1151</v>
      </c>
      <c r="F274" s="1">
        <v>654</v>
      </c>
      <c r="G274" s="80">
        <f>IFERROR((Table7[[#This Row],[Calls Off]]-E267)/E267,0%)</f>
        <v>7.4696545284780577E-2</v>
      </c>
      <c r="H274" s="80">
        <f>IFERROR((Table7[[#This Row],[Calls Ans]]-F267)/F267,0%)</f>
        <v>7.2131147540983612E-2</v>
      </c>
      <c r="I274" s="1"/>
      <c r="J274" s="1"/>
      <c r="K274" s="1"/>
      <c r="L274" s="1"/>
      <c r="M274" s="18">
        <v>0.18</v>
      </c>
      <c r="N274" s="18">
        <v>0.43</v>
      </c>
      <c r="O274" s="18">
        <v>0.56999999999999995</v>
      </c>
      <c r="P274" s="18">
        <v>0.65</v>
      </c>
      <c r="Q274" s="18">
        <v>0.93</v>
      </c>
      <c r="R274" s="301">
        <v>198</v>
      </c>
      <c r="S274" s="143">
        <v>0.32013888888888892</v>
      </c>
      <c r="T274" s="1">
        <v>7</v>
      </c>
      <c r="U274" s="354" t="str">
        <f t="shared" si="16"/>
        <v>Normal</v>
      </c>
      <c r="V274" s="354" t="str">
        <f t="shared" si="17"/>
        <v>Normal</v>
      </c>
      <c r="W274" s="359">
        <f t="shared" si="18"/>
        <v>7.4696545284780577E-2</v>
      </c>
      <c r="X274" s="359">
        <f t="shared" si="19"/>
        <v>7.2131147540983612E-2</v>
      </c>
      <c r="Y274" s="343"/>
      <c r="Z274" s="343"/>
      <c r="AA274" s="343"/>
      <c r="AB274" s="343"/>
      <c r="AC274" s="343"/>
      <c r="AD274" s="343"/>
      <c r="AE274" s="343"/>
      <c r="AF274" s="343"/>
    </row>
    <row r="275" spans="1:36">
      <c r="A275" s="21">
        <v>45290</v>
      </c>
      <c r="B275" s="17">
        <f>IF(YEAR(Table7[[#This Row],[Date]]) = 2023, WEEKNUM(Table7[[#This Row],[Date]])-13, WEEKNUM(Table7[[#This Row],[Date]])+40)</f>
        <v>39</v>
      </c>
      <c r="C275" s="34" t="s">
        <v>54</v>
      </c>
      <c r="D275" s="34" t="s">
        <v>94</v>
      </c>
      <c r="E275" s="1">
        <v>588</v>
      </c>
      <c r="F275" s="1">
        <v>254</v>
      </c>
      <c r="G275" s="80">
        <f>IFERROR((Table7[[#This Row],[Calls Off]]-E268)/E268,0%)</f>
        <v>-4.7001620745542948E-2</v>
      </c>
      <c r="H275" s="80">
        <f>IFERROR((Table7[[#This Row],[Calls Ans]]-F268)/F268,0%)</f>
        <v>-0.50775193798449614</v>
      </c>
      <c r="I275" s="1"/>
      <c r="J275" s="1"/>
      <c r="K275" s="1"/>
      <c r="L275" s="1"/>
      <c r="M275" s="18">
        <v>0.12</v>
      </c>
      <c r="N275" s="18">
        <v>0.56999999999999995</v>
      </c>
      <c r="O275" s="18">
        <v>0.43</v>
      </c>
      <c r="P275" s="18">
        <v>0.8</v>
      </c>
      <c r="Q275" s="18">
        <v>1</v>
      </c>
      <c r="R275" s="301">
        <v>190</v>
      </c>
      <c r="S275" s="143">
        <v>0.3659722222222222</v>
      </c>
      <c r="T275" s="1">
        <v>5</v>
      </c>
      <c r="U275" s="354" t="str">
        <f t="shared" si="16"/>
        <v>Normal</v>
      </c>
      <c r="V275" s="354" t="str">
        <f t="shared" si="17"/>
        <v>Outlier</v>
      </c>
      <c r="W275" s="359">
        <f t="shared" si="18"/>
        <v>-4.7001620745542948E-2</v>
      </c>
      <c r="X275" s="359">
        <f t="shared" si="19"/>
        <v>-0.50775193798449614</v>
      </c>
      <c r="Y275" s="343"/>
      <c r="Z275" s="343"/>
      <c r="AA275" s="343"/>
      <c r="AB275" s="343"/>
      <c r="AC275" s="343"/>
      <c r="AD275" s="343"/>
      <c r="AE275" s="343"/>
      <c r="AF275" s="343"/>
    </row>
    <row r="276" spans="1:36">
      <c r="A276" s="21">
        <v>45291</v>
      </c>
      <c r="B276" s="17">
        <f>IF(YEAR(Table7[[#This Row],[Date]]) = 2023, WEEKNUM(Table7[[#This Row],[Date]])-13, WEEKNUM(Table7[[#This Row],[Date]])+40)</f>
        <v>40</v>
      </c>
      <c r="C276" s="34" t="s">
        <v>48</v>
      </c>
      <c r="D276" s="34" t="s">
        <v>94</v>
      </c>
      <c r="E276" s="1">
        <v>0</v>
      </c>
      <c r="F276" s="1">
        <v>0</v>
      </c>
      <c r="G276" s="80">
        <f>IFERROR((Table7[[#This Row],[Calls Off]]-E269)/E269,0%)</f>
        <v>0</v>
      </c>
      <c r="H276" s="80">
        <f>IFERROR((Table7[[#This Row],[Calls Ans]]-F269)/F269,0%)</f>
        <v>0</v>
      </c>
      <c r="I276" s="1">
        <v>0</v>
      </c>
      <c r="J276" s="1">
        <v>0</v>
      </c>
      <c r="K276" s="1">
        <v>0</v>
      </c>
      <c r="L276" s="1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301">
        <v>0</v>
      </c>
      <c r="S276" s="143">
        <v>0</v>
      </c>
      <c r="T276" s="1">
        <v>0</v>
      </c>
      <c r="U276" s="354" t="str">
        <f t="shared" si="16"/>
        <v>Normal</v>
      </c>
      <c r="V276" s="354" t="str">
        <f t="shared" si="17"/>
        <v>Normal</v>
      </c>
      <c r="W276" s="359">
        <f t="shared" si="18"/>
        <v>0</v>
      </c>
      <c r="X276" s="359">
        <f t="shared" si="19"/>
        <v>0</v>
      </c>
      <c r="Y276" s="343"/>
      <c r="Z276" s="343"/>
      <c r="AA276" s="343"/>
      <c r="AB276" s="343"/>
      <c r="AC276" s="343"/>
      <c r="AD276" s="343"/>
      <c r="AE276" s="343"/>
      <c r="AF276" s="343"/>
    </row>
    <row r="277" spans="1:36" s="48" customFormat="1">
      <c r="A277" s="210">
        <v>45292</v>
      </c>
      <c r="B277" s="17">
        <f>IF(YEAR(Table7[[#This Row],[Date]]) = 2023, WEEKNUM(Table7[[#This Row],[Date]])-13, WEEKNUM(Table7[[#This Row],[Date]])+40)</f>
        <v>41</v>
      </c>
      <c r="C277" s="76" t="s">
        <v>64</v>
      </c>
      <c r="D277" s="76" t="s">
        <v>94</v>
      </c>
      <c r="E277" s="65">
        <v>0</v>
      </c>
      <c r="F277" s="65">
        <v>0</v>
      </c>
      <c r="G277" s="80">
        <f>IFERROR((Table7[[#This Row],[Calls Off]]-E270)/E270,0%)</f>
        <v>0</v>
      </c>
      <c r="H277" s="80">
        <f>IFERROR((Table7[[#This Row],[Calls Ans]]-F270)/F270,0%)</f>
        <v>0</v>
      </c>
      <c r="I277" s="65">
        <v>0</v>
      </c>
      <c r="J277" s="65">
        <v>0</v>
      </c>
      <c r="K277" s="65">
        <v>0</v>
      </c>
      <c r="L277" s="65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301">
        <v>0</v>
      </c>
      <c r="S277" s="156">
        <v>0</v>
      </c>
      <c r="T277" s="65">
        <v>0</v>
      </c>
      <c r="U277" s="354" t="str">
        <f t="shared" si="16"/>
        <v>Normal</v>
      </c>
      <c r="V277" s="354" t="str">
        <f t="shared" si="17"/>
        <v>Normal</v>
      </c>
      <c r="W277" s="359">
        <f t="shared" si="18"/>
        <v>0</v>
      </c>
      <c r="X277" s="359">
        <f t="shared" si="19"/>
        <v>0</v>
      </c>
      <c r="Y277" s="343"/>
      <c r="Z277" s="343"/>
      <c r="AA277" s="343"/>
      <c r="AB277" s="343"/>
      <c r="AC277" s="343"/>
      <c r="AD277" s="343"/>
      <c r="AE277" s="343"/>
      <c r="AF277" s="343"/>
      <c r="AG277" s="280"/>
      <c r="AH277"/>
      <c r="AI277"/>
      <c r="AJ277"/>
    </row>
    <row r="278" spans="1:36">
      <c r="A278" s="21">
        <v>45293</v>
      </c>
      <c r="B278" s="17">
        <f>IF(YEAR(Table7[[#This Row],[Date]]) = 2023, WEEKNUM(Table7[[#This Row],[Date]])-13, WEEKNUM(Table7[[#This Row],[Date]])+40)</f>
        <v>41</v>
      </c>
      <c r="C278" s="34" t="s">
        <v>50</v>
      </c>
      <c r="D278" s="34" t="s">
        <v>94</v>
      </c>
      <c r="E278" s="1">
        <v>1067</v>
      </c>
      <c r="F278" s="1">
        <v>844</v>
      </c>
      <c r="G278" s="80">
        <f>IFERROR((Table7[[#This Row],[Calls Off]]-E271)/E271,0%)</f>
        <v>0</v>
      </c>
      <c r="H278" s="80">
        <f>IFERROR((Table7[[#This Row],[Calls Ans]]-F271)/F271,0%)</f>
        <v>0</v>
      </c>
      <c r="I278" s="1"/>
      <c r="J278" s="1"/>
      <c r="K278" s="1"/>
      <c r="L278" s="1"/>
      <c r="M278" s="18">
        <v>0.45</v>
      </c>
      <c r="N278" s="18">
        <v>0.21</v>
      </c>
      <c r="O278" s="18">
        <v>0.79</v>
      </c>
      <c r="P278" s="18">
        <v>0.65</v>
      </c>
      <c r="Q278" s="18">
        <v>0.95</v>
      </c>
      <c r="R278" s="301">
        <v>176</v>
      </c>
      <c r="S278" s="143">
        <v>7.9166666666666663E-2</v>
      </c>
      <c r="T278" s="1">
        <v>11</v>
      </c>
      <c r="U278" s="354" t="str">
        <f t="shared" si="16"/>
        <v>Normal</v>
      </c>
      <c r="V278" s="354" t="str">
        <f t="shared" si="17"/>
        <v>Normal</v>
      </c>
      <c r="W278" s="359">
        <f t="shared" si="18"/>
        <v>0</v>
      </c>
      <c r="X278" s="359">
        <f t="shared" si="19"/>
        <v>0</v>
      </c>
      <c r="Y278" s="343"/>
      <c r="Z278" s="343"/>
      <c r="AA278" s="343"/>
      <c r="AB278" s="343"/>
      <c r="AC278" s="343"/>
      <c r="AD278" s="343"/>
      <c r="AE278" s="343"/>
      <c r="AF278" s="343"/>
    </row>
    <row r="279" spans="1:36">
      <c r="A279" s="21">
        <v>45294</v>
      </c>
      <c r="B279" s="17">
        <f>IF(YEAR(Table7[[#This Row],[Date]]) = 2023, WEEKNUM(Table7[[#This Row],[Date]])-13, WEEKNUM(Table7[[#This Row],[Date]])+40)</f>
        <v>41</v>
      </c>
      <c r="C279" s="34" t="s">
        <v>51</v>
      </c>
      <c r="D279" s="34" t="s">
        <v>94</v>
      </c>
      <c r="E279" s="1">
        <v>969</v>
      </c>
      <c r="F279" s="1">
        <v>828</v>
      </c>
      <c r="G279" s="80">
        <f>IFERROR((Table7[[#This Row],[Calls Off]]-E272)/E272,0%)</f>
        <v>-0.31616090331686664</v>
      </c>
      <c r="H279" s="80">
        <f>IFERROR((Table7[[#This Row],[Calls Ans]]-F272)/F272,0%)</f>
        <v>-4.1666666666666664E-2</v>
      </c>
      <c r="I279" s="1"/>
      <c r="J279" s="1"/>
      <c r="K279" s="1"/>
      <c r="L279" s="1"/>
      <c r="M279" s="18">
        <v>0.52</v>
      </c>
      <c r="N279" s="18">
        <v>0.15</v>
      </c>
      <c r="O279" s="18">
        <v>0.85</v>
      </c>
      <c r="P279" s="18">
        <v>0.6</v>
      </c>
      <c r="Q279" s="18">
        <v>0.98</v>
      </c>
      <c r="R279" s="301">
        <v>211</v>
      </c>
      <c r="S279" s="143">
        <v>6.3194444444444442E-2</v>
      </c>
      <c r="T279" s="1">
        <v>12</v>
      </c>
      <c r="U279" s="354" t="str">
        <f t="shared" si="16"/>
        <v>Outlier</v>
      </c>
      <c r="V279" s="354" t="str">
        <f t="shared" si="17"/>
        <v>Normal</v>
      </c>
      <c r="W279" s="359">
        <f t="shared" si="18"/>
        <v>-0.31616090331686664</v>
      </c>
      <c r="X279" s="359">
        <f t="shared" si="19"/>
        <v>-4.1666666666666664E-2</v>
      </c>
      <c r="Y279" s="343"/>
      <c r="Z279" s="343"/>
      <c r="AA279" s="343"/>
      <c r="AB279" s="343"/>
      <c r="AC279" s="343"/>
      <c r="AD279" s="343"/>
      <c r="AE279" s="343"/>
      <c r="AF279" s="343"/>
    </row>
    <row r="280" spans="1:36">
      <c r="A280" s="21">
        <v>45295</v>
      </c>
      <c r="B280" s="17">
        <f>IF(YEAR(Table7[[#This Row],[Date]]) = 2023, WEEKNUM(Table7[[#This Row],[Date]])-13, WEEKNUM(Table7[[#This Row],[Date]])+40)</f>
        <v>41</v>
      </c>
      <c r="C280" s="34" t="s">
        <v>52</v>
      </c>
      <c r="D280" s="34" t="s">
        <v>94</v>
      </c>
      <c r="E280" s="1">
        <v>834</v>
      </c>
      <c r="F280" s="1">
        <v>732</v>
      </c>
      <c r="G280" s="80">
        <f>IFERROR((Table7[[#This Row],[Calls Off]]-E273)/E273,0%)</f>
        <v>-0.22777777777777777</v>
      </c>
      <c r="H280" s="80">
        <f>IFERROR((Table7[[#This Row],[Calls Ans]]-F273)/F273,0%)</f>
        <v>-0.10184049079754601</v>
      </c>
      <c r="I280" s="1"/>
      <c r="J280" s="1"/>
      <c r="K280" s="1"/>
      <c r="L280" s="1"/>
      <c r="M280" s="18">
        <v>0.61</v>
      </c>
      <c r="N280" s="18">
        <v>0.12</v>
      </c>
      <c r="O280" s="18">
        <v>0.88</v>
      </c>
      <c r="P280" s="18">
        <v>0.48</v>
      </c>
      <c r="Q280" s="18">
        <v>0.99</v>
      </c>
      <c r="R280" s="301">
        <v>216</v>
      </c>
      <c r="S280" s="143">
        <v>4.8611111111111112E-2</v>
      </c>
      <c r="T280" s="1">
        <v>11</v>
      </c>
      <c r="U280" s="354" t="str">
        <f t="shared" si="16"/>
        <v>Normal</v>
      </c>
      <c r="V280" s="354" t="str">
        <f t="shared" si="17"/>
        <v>Normal</v>
      </c>
      <c r="W280" s="359">
        <f t="shared" si="18"/>
        <v>-0.22777777777777777</v>
      </c>
      <c r="X280" s="359">
        <f t="shared" si="19"/>
        <v>-0.10184049079754601</v>
      </c>
      <c r="Y280" s="343"/>
      <c r="Z280" s="343"/>
      <c r="AA280" s="343"/>
      <c r="AB280" s="343"/>
      <c r="AC280" s="343"/>
      <c r="AD280" s="343"/>
      <c r="AE280" s="343"/>
      <c r="AF280" s="343"/>
    </row>
    <row r="281" spans="1:36">
      <c r="A281" s="21">
        <v>45296</v>
      </c>
      <c r="B281" s="17">
        <f>IF(YEAR(Table7[[#This Row],[Date]]) = 2023, WEEKNUM(Table7[[#This Row],[Date]])-13, WEEKNUM(Table7[[#This Row],[Date]])+40)</f>
        <v>41</v>
      </c>
      <c r="C281" s="34" t="s">
        <v>53</v>
      </c>
      <c r="D281" s="34" t="s">
        <v>94</v>
      </c>
      <c r="E281" s="1">
        <v>834</v>
      </c>
      <c r="F281" s="1">
        <v>642</v>
      </c>
      <c r="G281" s="80">
        <f>IFERROR((Table7[[#This Row],[Calls Off]]-E274)/E274,0%)</f>
        <v>-0.27541268462206775</v>
      </c>
      <c r="H281" s="80">
        <f>IFERROR((Table7[[#This Row],[Calls Ans]]-F274)/F274,0%)</f>
        <v>-1.834862385321101E-2</v>
      </c>
      <c r="I281" s="1"/>
      <c r="J281" s="1"/>
      <c r="K281" s="1"/>
      <c r="L281" s="1"/>
      <c r="M281" s="18">
        <v>0.44</v>
      </c>
      <c r="N281" s="18">
        <v>0.23</v>
      </c>
      <c r="O281" s="18">
        <v>0.77</v>
      </c>
      <c r="P281" s="18">
        <v>0.55000000000000004</v>
      </c>
      <c r="Q281" s="18">
        <v>0.97</v>
      </c>
      <c r="R281" s="301">
        <v>169</v>
      </c>
      <c r="S281" s="143">
        <v>8.0555555555555561E-2</v>
      </c>
      <c r="T281" s="1">
        <v>9</v>
      </c>
      <c r="U281" s="354" t="str">
        <f t="shared" si="16"/>
        <v>Normal</v>
      </c>
      <c r="V281" s="354" t="str">
        <f t="shared" si="17"/>
        <v>Normal</v>
      </c>
      <c r="W281" s="359">
        <f t="shared" si="18"/>
        <v>-0.27541268462206775</v>
      </c>
      <c r="X281" s="359">
        <f t="shared" si="19"/>
        <v>-1.834862385321101E-2</v>
      </c>
      <c r="Y281" s="343"/>
      <c r="Z281" s="343"/>
      <c r="AA281" s="343"/>
      <c r="AB281" s="343"/>
      <c r="AC281" s="343"/>
      <c r="AD281" s="343"/>
      <c r="AE281" s="343"/>
      <c r="AF281" s="343"/>
    </row>
    <row r="282" spans="1:36">
      <c r="A282" s="21">
        <v>45297</v>
      </c>
      <c r="B282" s="17">
        <f>IF(YEAR(Table7[[#This Row],[Date]]) = 2023, WEEKNUM(Table7[[#This Row],[Date]])-13, WEEKNUM(Table7[[#This Row],[Date]])+40)</f>
        <v>41</v>
      </c>
      <c r="C282" s="34" t="s">
        <v>54</v>
      </c>
      <c r="D282" s="34" t="s">
        <v>94</v>
      </c>
      <c r="E282" s="1">
        <v>475</v>
      </c>
      <c r="F282" s="1">
        <v>348</v>
      </c>
      <c r="G282" s="80">
        <f>IFERROR((Table7[[#This Row],[Calls Off]]-E275)/E275,0%)</f>
        <v>-0.19217687074829931</v>
      </c>
      <c r="H282" s="80">
        <f>IFERROR((Table7[[#This Row],[Calls Ans]]-F275)/F275,0%)</f>
        <v>0.37007874015748032</v>
      </c>
      <c r="I282" s="1"/>
      <c r="J282" s="1"/>
      <c r="K282" s="1"/>
      <c r="L282" s="1"/>
      <c r="M282" s="18">
        <v>0.31</v>
      </c>
      <c r="N282" s="18">
        <v>0.27</v>
      </c>
      <c r="O282" s="18">
        <v>0.73</v>
      </c>
      <c r="P282" s="18">
        <v>0.72</v>
      </c>
      <c r="Q282" s="18">
        <v>1</v>
      </c>
      <c r="R282" s="301">
        <v>173</v>
      </c>
      <c r="S282" s="143">
        <v>0.11180555555555556</v>
      </c>
      <c r="T282" s="1">
        <v>6</v>
      </c>
      <c r="U282" s="354" t="str">
        <f t="shared" si="16"/>
        <v>Normal</v>
      </c>
      <c r="V282" s="354" t="str">
        <f t="shared" si="17"/>
        <v>Outlier</v>
      </c>
      <c r="W282" s="359">
        <f t="shared" si="18"/>
        <v>-0.19217687074829931</v>
      </c>
      <c r="X282" s="359">
        <f t="shared" si="19"/>
        <v>0.37007874015748032</v>
      </c>
      <c r="Y282" s="343"/>
      <c r="Z282" s="343"/>
      <c r="AA282" s="343"/>
      <c r="AB282" s="343"/>
      <c r="AC282" s="343"/>
      <c r="AD282" s="343"/>
      <c r="AE282" s="343"/>
      <c r="AF282" s="343"/>
    </row>
    <row r="283" spans="1:36">
      <c r="A283" s="21">
        <v>45298</v>
      </c>
      <c r="B283" s="17">
        <f>IF(YEAR(Table7[[#This Row],[Date]]) = 2023, WEEKNUM(Table7[[#This Row],[Date]])-13, WEEKNUM(Table7[[#This Row],[Date]])+40)</f>
        <v>42</v>
      </c>
      <c r="C283" s="34" t="s">
        <v>48</v>
      </c>
      <c r="D283" s="34" t="s">
        <v>94</v>
      </c>
      <c r="E283" s="1">
        <v>0</v>
      </c>
      <c r="F283" s="1">
        <v>0</v>
      </c>
      <c r="G283" s="80">
        <f>IFERROR((Table7[[#This Row],[Calls Off]]-E276)/E276,0%)</f>
        <v>0</v>
      </c>
      <c r="H283" s="80">
        <f>IFERROR((Table7[[#This Row],[Calls Ans]]-F276)/F276,0%)</f>
        <v>0</v>
      </c>
      <c r="I283" s="1">
        <v>0</v>
      </c>
      <c r="J283" s="1">
        <v>0</v>
      </c>
      <c r="K283" s="1">
        <v>0</v>
      </c>
      <c r="L283" s="1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301">
        <v>0</v>
      </c>
      <c r="S283" s="143">
        <v>0</v>
      </c>
      <c r="T283" s="1">
        <v>0</v>
      </c>
      <c r="U283" s="354" t="str">
        <f t="shared" si="16"/>
        <v>Normal</v>
      </c>
      <c r="V283" s="354" t="str">
        <f t="shared" si="17"/>
        <v>Normal</v>
      </c>
      <c r="W283" s="359">
        <f t="shared" si="18"/>
        <v>0</v>
      </c>
      <c r="X283" s="359">
        <f t="shared" si="19"/>
        <v>0</v>
      </c>
      <c r="Y283" s="343"/>
      <c r="Z283" s="343"/>
      <c r="AA283" s="343"/>
      <c r="AB283" s="343"/>
      <c r="AC283" s="343"/>
      <c r="AD283" s="343"/>
      <c r="AE283" s="343"/>
      <c r="AF283" s="343"/>
    </row>
    <row r="284" spans="1:36">
      <c r="A284" s="21">
        <v>45299</v>
      </c>
      <c r="B284" s="17">
        <f>IF(YEAR(Table7[[#This Row],[Date]]) = 2023, WEEKNUM(Table7[[#This Row],[Date]])-13, WEEKNUM(Table7[[#This Row],[Date]])+40)</f>
        <v>42</v>
      </c>
      <c r="C284" s="34" t="s">
        <v>49</v>
      </c>
      <c r="D284" s="34" t="s">
        <v>94</v>
      </c>
      <c r="E284" s="1">
        <v>948</v>
      </c>
      <c r="F284" s="1">
        <v>657</v>
      </c>
      <c r="G284" s="80">
        <f>IFERROR((Table7[[#This Row],[Calls Off]]-E277)/E277,0%)</f>
        <v>0</v>
      </c>
      <c r="H284" s="80">
        <f>IFERROR((Table7[[#This Row],[Calls Ans]]-F277)/F277,0%)</f>
        <v>0</v>
      </c>
      <c r="I284" s="1"/>
      <c r="J284" s="1"/>
      <c r="K284" s="1"/>
      <c r="L284" s="1"/>
      <c r="M284" s="18">
        <v>0.24</v>
      </c>
      <c r="N284" s="18">
        <v>0.31</v>
      </c>
      <c r="O284" s="18">
        <v>0.69</v>
      </c>
      <c r="P284" s="18">
        <v>0.56999999999999995</v>
      </c>
      <c r="Q284" s="18">
        <v>0.97</v>
      </c>
      <c r="R284" s="301">
        <v>208</v>
      </c>
      <c r="S284" s="143">
        <v>0.15</v>
      </c>
      <c r="T284" s="1">
        <v>9</v>
      </c>
      <c r="U284" s="354" t="str">
        <f t="shared" si="16"/>
        <v>Normal</v>
      </c>
      <c r="V284" s="354" t="str">
        <f t="shared" si="17"/>
        <v>Normal</v>
      </c>
      <c r="W284" s="359">
        <f t="shared" si="18"/>
        <v>0</v>
      </c>
      <c r="X284" s="359">
        <f t="shared" si="19"/>
        <v>0</v>
      </c>
      <c r="Y284" s="343"/>
      <c r="Z284" s="343"/>
      <c r="AA284" s="343"/>
      <c r="AB284" s="343"/>
      <c r="AC284" s="343"/>
      <c r="AD284" s="343"/>
      <c r="AE284" s="343"/>
      <c r="AF284" s="343"/>
    </row>
    <row r="285" spans="1:36">
      <c r="A285" s="21">
        <v>45300</v>
      </c>
      <c r="B285" s="17">
        <f>IF(YEAR(Table7[[#This Row],[Date]]) = 2023, WEEKNUM(Table7[[#This Row],[Date]])-13, WEEKNUM(Table7[[#This Row],[Date]])+40)</f>
        <v>42</v>
      </c>
      <c r="C285" s="34" t="s">
        <v>50</v>
      </c>
      <c r="D285" s="34" t="s">
        <v>94</v>
      </c>
      <c r="E285" s="1">
        <v>746</v>
      </c>
      <c r="F285" s="1">
        <v>630</v>
      </c>
      <c r="G285" s="80">
        <f>IFERROR((Table7[[#This Row],[Calls Off]]-E278)/E278,0%)</f>
        <v>-0.30084348641049674</v>
      </c>
      <c r="H285" s="80">
        <f>IFERROR((Table7[[#This Row],[Calls Ans]]-F278)/F278,0%)</f>
        <v>-0.25355450236966826</v>
      </c>
      <c r="I285" s="1"/>
      <c r="J285" s="1"/>
      <c r="K285" s="1"/>
      <c r="L285" s="1"/>
      <c r="M285" s="18">
        <v>0.61</v>
      </c>
      <c r="N285" s="18">
        <v>0.16</v>
      </c>
      <c r="O285" s="18">
        <v>0.08</v>
      </c>
      <c r="P285" s="18">
        <v>0.47</v>
      </c>
      <c r="Q285" s="18">
        <v>0.95</v>
      </c>
      <c r="R285" s="301">
        <v>183</v>
      </c>
      <c r="S285" s="143">
        <v>4.4444444444444446E-2</v>
      </c>
      <c r="T285" s="1">
        <v>11</v>
      </c>
      <c r="U285" s="354" t="str">
        <f t="shared" si="16"/>
        <v>Normal</v>
      </c>
      <c r="V285" s="354" t="str">
        <f t="shared" si="17"/>
        <v>Normal</v>
      </c>
      <c r="W285" s="359">
        <f t="shared" si="18"/>
        <v>-0.30084348641049674</v>
      </c>
      <c r="X285" s="359">
        <f t="shared" si="19"/>
        <v>-0.25355450236966826</v>
      </c>
      <c r="Y285" s="343"/>
      <c r="Z285" s="343"/>
      <c r="AA285" s="343"/>
      <c r="AB285" s="343"/>
      <c r="AC285" s="343"/>
      <c r="AD285" s="343"/>
      <c r="AE285" s="343"/>
      <c r="AF285" s="343"/>
    </row>
    <row r="286" spans="1:36">
      <c r="A286" s="21">
        <v>45301</v>
      </c>
      <c r="B286" s="17">
        <f>IF(YEAR(Table7[[#This Row],[Date]]) = 2023, WEEKNUM(Table7[[#This Row],[Date]])-13, WEEKNUM(Table7[[#This Row],[Date]])+40)</f>
        <v>42</v>
      </c>
      <c r="C286" s="34" t="s">
        <v>51</v>
      </c>
      <c r="D286" s="34" t="s">
        <v>94</v>
      </c>
      <c r="E286" s="1">
        <v>737</v>
      </c>
      <c r="F286" s="1">
        <v>708</v>
      </c>
      <c r="G286" s="80">
        <f>IFERROR((Table7[[#This Row],[Calls Off]]-E279)/E279,0%)</f>
        <v>-0.23942208462332301</v>
      </c>
      <c r="H286" s="80">
        <f>IFERROR((Table7[[#This Row],[Calls Ans]]-F279)/F279,0%)</f>
        <v>-0.14492753623188406</v>
      </c>
      <c r="I286" s="1"/>
      <c r="J286" s="1"/>
      <c r="K286" s="1"/>
      <c r="L286" s="1"/>
      <c r="M286" s="18">
        <v>0.83</v>
      </c>
      <c r="N286" s="18">
        <v>0.04</v>
      </c>
      <c r="O286" s="18">
        <v>0.96</v>
      </c>
      <c r="P286" s="18">
        <v>0.33</v>
      </c>
      <c r="Q286" s="18">
        <v>0.97</v>
      </c>
      <c r="R286" s="301">
        <v>167</v>
      </c>
      <c r="S286" s="143">
        <v>8.3333333333333332E-3</v>
      </c>
      <c r="T286" s="1">
        <v>12</v>
      </c>
      <c r="U286" s="354" t="str">
        <f t="shared" si="16"/>
        <v>Normal</v>
      </c>
      <c r="V286" s="354" t="str">
        <f t="shared" si="17"/>
        <v>Normal</v>
      </c>
      <c r="W286" s="359">
        <f t="shared" si="18"/>
        <v>-0.23942208462332301</v>
      </c>
      <c r="X286" s="359">
        <f t="shared" si="19"/>
        <v>-0.14492753623188406</v>
      </c>
      <c r="Y286" s="343"/>
      <c r="Z286" s="343"/>
      <c r="AA286" s="343"/>
      <c r="AB286" s="343"/>
      <c r="AC286" s="343"/>
      <c r="AD286" s="343"/>
      <c r="AE286" s="343"/>
      <c r="AF286" s="343"/>
    </row>
    <row r="287" spans="1:36">
      <c r="A287" s="21">
        <v>45302</v>
      </c>
      <c r="B287" s="17">
        <f>IF(YEAR(Table7[[#This Row],[Date]]) = 2023, WEEKNUM(Table7[[#This Row],[Date]])-13, WEEKNUM(Table7[[#This Row],[Date]])+40)</f>
        <v>42</v>
      </c>
      <c r="C287" s="34" t="s">
        <v>52</v>
      </c>
      <c r="D287" s="34" t="s">
        <v>94</v>
      </c>
      <c r="E287" s="1">
        <v>737</v>
      </c>
      <c r="F287" s="1">
        <v>640</v>
      </c>
      <c r="G287" s="80">
        <f>IFERROR((Table7[[#This Row],[Calls Off]]-E280)/E280,0%)</f>
        <v>-0.11630695443645084</v>
      </c>
      <c r="H287" s="80">
        <f>IFERROR((Table7[[#This Row],[Calls Ans]]-F280)/F280,0%)</f>
        <v>-0.12568306010928962</v>
      </c>
      <c r="I287" s="1"/>
      <c r="J287" s="1"/>
      <c r="K287" s="1"/>
      <c r="L287" s="1"/>
      <c r="M287" s="18">
        <v>0.68</v>
      </c>
      <c r="N287" s="18">
        <v>0.13</v>
      </c>
      <c r="O287" s="18">
        <v>0.87</v>
      </c>
      <c r="P287" s="18">
        <v>0.43</v>
      </c>
      <c r="Q287" s="18">
        <v>0.96</v>
      </c>
      <c r="R287" s="301">
        <v>180</v>
      </c>
      <c r="S287" s="143">
        <v>2.4305555555555556E-2</v>
      </c>
      <c r="T287" s="1">
        <v>12</v>
      </c>
      <c r="U287" s="354" t="str">
        <f t="shared" si="16"/>
        <v>Normal</v>
      </c>
      <c r="V287" s="354" t="str">
        <f t="shared" si="17"/>
        <v>Normal</v>
      </c>
      <c r="W287" s="359">
        <f t="shared" si="18"/>
        <v>-0.11630695443645084</v>
      </c>
      <c r="X287" s="359">
        <f t="shared" si="19"/>
        <v>-0.12568306010928962</v>
      </c>
      <c r="Y287" s="343"/>
      <c r="Z287" s="343"/>
      <c r="AA287" s="343"/>
      <c r="AB287" s="343"/>
      <c r="AC287" s="343"/>
      <c r="AD287" s="343"/>
      <c r="AE287" s="343"/>
      <c r="AF287" s="343"/>
      <c r="AH287" s="48"/>
      <c r="AI287" s="48"/>
      <c r="AJ287" s="48"/>
    </row>
    <row r="288" spans="1:36">
      <c r="A288" s="21">
        <v>45303</v>
      </c>
      <c r="B288" s="17">
        <f>IF(YEAR(Table7[[#This Row],[Date]]) = 2023, WEEKNUM(Table7[[#This Row],[Date]])-13, WEEKNUM(Table7[[#This Row],[Date]])+40)</f>
        <v>42</v>
      </c>
      <c r="C288" s="34" t="s">
        <v>53</v>
      </c>
      <c r="D288" s="34" t="s">
        <v>94</v>
      </c>
      <c r="E288" s="1">
        <v>712</v>
      </c>
      <c r="F288" s="1">
        <v>692</v>
      </c>
      <c r="G288" s="80">
        <f>IFERROR((Table7[[#This Row],[Calls Off]]-E281)/E281,0%)</f>
        <v>-0.14628297362110312</v>
      </c>
      <c r="H288" s="80">
        <f>IFERROR((Table7[[#This Row],[Calls Ans]]-F281)/F281,0%)</f>
        <v>7.7881619937694699E-2</v>
      </c>
      <c r="I288" s="1"/>
      <c r="J288" s="1"/>
      <c r="K288" s="1"/>
      <c r="L288" s="1"/>
      <c r="M288" s="18">
        <v>0.9</v>
      </c>
      <c r="N288" s="18">
        <v>0.03</v>
      </c>
      <c r="O288" s="18">
        <v>0.97</v>
      </c>
      <c r="P288" s="18">
        <v>0.41</v>
      </c>
      <c r="Q288" s="18">
        <v>0.97</v>
      </c>
      <c r="R288" s="301">
        <v>191</v>
      </c>
      <c r="S288" s="143">
        <v>6.9444444444444441E-3</v>
      </c>
      <c r="T288" s="1">
        <v>13</v>
      </c>
      <c r="U288" s="354" t="str">
        <f t="shared" si="16"/>
        <v>Normal</v>
      </c>
      <c r="V288" s="354" t="str">
        <f t="shared" si="17"/>
        <v>Normal</v>
      </c>
      <c r="W288" s="359">
        <f t="shared" si="18"/>
        <v>-0.14628297362110312</v>
      </c>
      <c r="X288" s="359">
        <f t="shared" si="19"/>
        <v>7.7881619937694699E-2</v>
      </c>
      <c r="Y288" s="343"/>
      <c r="Z288" s="343"/>
      <c r="AA288" s="343"/>
      <c r="AB288" s="343"/>
      <c r="AC288" s="343"/>
      <c r="AD288" s="343"/>
      <c r="AE288" s="343"/>
      <c r="AF288" s="343"/>
    </row>
    <row r="289" spans="1:32">
      <c r="A289" s="21">
        <v>45304</v>
      </c>
      <c r="B289" s="17">
        <f>IF(YEAR(Table7[[#This Row],[Date]]) = 2023, WEEKNUM(Table7[[#This Row],[Date]])-13, WEEKNUM(Table7[[#This Row],[Date]])+40)</f>
        <v>42</v>
      </c>
      <c r="C289" s="34" t="s">
        <v>54</v>
      </c>
      <c r="D289" s="34" t="s">
        <v>94</v>
      </c>
      <c r="E289" s="1">
        <v>460</v>
      </c>
      <c r="F289" s="1">
        <v>311</v>
      </c>
      <c r="G289" s="80">
        <f>IFERROR((Table7[[#This Row],[Calls Off]]-E282)/E282,0%)</f>
        <v>-3.1578947368421054E-2</v>
      </c>
      <c r="H289" s="80">
        <f>IFERROR((Table7[[#This Row],[Calls Ans]]-F282)/F282,0%)</f>
        <v>-0.10632183908045977</v>
      </c>
      <c r="I289" s="1"/>
      <c r="J289" s="1"/>
      <c r="K289" s="1"/>
      <c r="L289" s="1"/>
      <c r="M289" s="18">
        <v>0.27</v>
      </c>
      <c r="N289" s="18">
        <v>0.32</v>
      </c>
      <c r="O289" s="18">
        <v>0.68</v>
      </c>
      <c r="P289" s="18">
        <v>0.8</v>
      </c>
      <c r="Q289" s="18">
        <v>0.9</v>
      </c>
      <c r="R289" s="301">
        <v>173</v>
      </c>
      <c r="S289" s="143">
        <v>8.819444444444445E-2</v>
      </c>
      <c r="T289" s="1">
        <v>6</v>
      </c>
      <c r="U289" s="354" t="str">
        <f t="shared" si="16"/>
        <v>Normal</v>
      </c>
      <c r="V289" s="354" t="str">
        <f t="shared" si="17"/>
        <v>Normal</v>
      </c>
      <c r="W289" s="359">
        <f t="shared" si="18"/>
        <v>-3.1578947368421054E-2</v>
      </c>
      <c r="X289" s="359">
        <f t="shared" si="19"/>
        <v>-0.10632183908045977</v>
      </c>
      <c r="Y289" s="343"/>
      <c r="Z289" s="343"/>
      <c r="AA289" s="343"/>
      <c r="AB289" s="343"/>
      <c r="AC289" s="343"/>
      <c r="AD289" s="343"/>
      <c r="AE289" s="343"/>
      <c r="AF289" s="343"/>
    </row>
    <row r="290" spans="1:32">
      <c r="A290" s="21">
        <v>45305</v>
      </c>
      <c r="B290" s="17">
        <f>IF(YEAR(Table7[[#This Row],[Date]]) = 2023, WEEKNUM(Table7[[#This Row],[Date]])-13, WEEKNUM(Table7[[#This Row],[Date]])+40)</f>
        <v>43</v>
      </c>
      <c r="C290" s="34" t="s">
        <v>48</v>
      </c>
      <c r="D290" s="34" t="s">
        <v>94</v>
      </c>
      <c r="E290" s="1">
        <v>0</v>
      </c>
      <c r="F290" s="1">
        <v>0</v>
      </c>
      <c r="G290" s="80">
        <f>IFERROR((Table7[[#This Row],[Calls Off]]-E283)/E283,0%)</f>
        <v>0</v>
      </c>
      <c r="H290" s="80">
        <f>IFERROR((Table7[[#This Row],[Calls Ans]]-F283)/F283,0%)</f>
        <v>0</v>
      </c>
      <c r="I290" s="1">
        <v>0</v>
      </c>
      <c r="J290" s="1">
        <v>0</v>
      </c>
      <c r="K290" s="1">
        <v>0</v>
      </c>
      <c r="L290" s="1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301">
        <v>0</v>
      </c>
      <c r="S290" s="143">
        <v>0</v>
      </c>
      <c r="T290" s="1">
        <v>0</v>
      </c>
      <c r="U290" s="354" t="str">
        <f t="shared" si="16"/>
        <v>Normal</v>
      </c>
      <c r="V290" s="354" t="str">
        <f t="shared" si="17"/>
        <v>Normal</v>
      </c>
      <c r="W290" s="359">
        <f t="shared" si="18"/>
        <v>0</v>
      </c>
      <c r="X290" s="359">
        <f t="shared" si="19"/>
        <v>0</v>
      </c>
      <c r="Y290" s="343"/>
      <c r="Z290" s="343"/>
      <c r="AA290" s="343"/>
      <c r="AB290" s="343"/>
      <c r="AC290" s="343"/>
      <c r="AD290" s="343"/>
      <c r="AE290" s="343"/>
      <c r="AF290" s="343"/>
    </row>
    <row r="291" spans="1:32">
      <c r="A291" s="21">
        <v>45306</v>
      </c>
      <c r="B291" s="17">
        <f>IF(YEAR(Table7[[#This Row],[Date]]) = 2023, WEEKNUM(Table7[[#This Row],[Date]])-13, WEEKNUM(Table7[[#This Row],[Date]])+40)</f>
        <v>43</v>
      </c>
      <c r="C291" s="34" t="s">
        <v>49</v>
      </c>
      <c r="D291" s="34" t="s">
        <v>94</v>
      </c>
      <c r="E291" s="1">
        <v>732</v>
      </c>
      <c r="F291" s="1">
        <v>626</v>
      </c>
      <c r="G291" s="80">
        <f>IFERROR((Table7[[#This Row],[Calls Off]]-E284)/E284,0%)</f>
        <v>-0.22784810126582278</v>
      </c>
      <c r="H291" s="80">
        <f>IFERROR((Table7[[#This Row],[Calls Ans]]-F284)/F284,0%)</f>
        <v>-4.7184170471841702E-2</v>
      </c>
      <c r="I291" s="1"/>
      <c r="J291" s="1"/>
      <c r="K291" s="1"/>
      <c r="L291" s="1"/>
      <c r="M291" s="18">
        <v>0.61</v>
      </c>
      <c r="N291" s="18">
        <v>0.14000000000000001</v>
      </c>
      <c r="O291" s="18">
        <v>0.86</v>
      </c>
      <c r="P291" s="18">
        <v>0.51</v>
      </c>
      <c r="Q291" s="18">
        <v>1</v>
      </c>
      <c r="R291" s="301">
        <v>193</v>
      </c>
      <c r="S291" s="143">
        <v>3.9583333333333331E-2</v>
      </c>
      <c r="T291" s="1">
        <v>9</v>
      </c>
      <c r="U291" s="354" t="str">
        <f t="shared" si="16"/>
        <v>Normal</v>
      </c>
      <c r="V291" s="354" t="str">
        <f t="shared" si="17"/>
        <v>Normal</v>
      </c>
      <c r="W291" s="359">
        <f t="shared" si="18"/>
        <v>-0.22784810126582278</v>
      </c>
      <c r="X291" s="359">
        <f t="shared" si="19"/>
        <v>-4.7184170471841702E-2</v>
      </c>
      <c r="Y291" s="343"/>
      <c r="Z291" s="343"/>
      <c r="AA291" s="343"/>
      <c r="AB291" s="343"/>
      <c r="AC291" s="343"/>
      <c r="AD291" s="343"/>
      <c r="AE291" s="343"/>
      <c r="AF291" s="343"/>
    </row>
    <row r="292" spans="1:32">
      <c r="A292" s="21">
        <v>45307</v>
      </c>
      <c r="B292" s="17">
        <f>IF(YEAR(Table7[[#This Row],[Date]]) = 2023, WEEKNUM(Table7[[#This Row],[Date]])-13, WEEKNUM(Table7[[#This Row],[Date]])+40)</f>
        <v>43</v>
      </c>
      <c r="C292" s="34" t="s">
        <v>50</v>
      </c>
      <c r="D292" s="34" t="s">
        <v>94</v>
      </c>
      <c r="E292" s="1">
        <v>683</v>
      </c>
      <c r="F292" s="1">
        <v>654</v>
      </c>
      <c r="G292" s="80">
        <f>IFERROR((Table7[[#This Row],[Calls Off]]-E285)/E285,0%)</f>
        <v>-8.4450402144772119E-2</v>
      </c>
      <c r="H292" s="80">
        <f>IFERROR((Table7[[#This Row],[Calls Ans]]-F285)/F285,0%)</f>
        <v>3.8095238095238099E-2</v>
      </c>
      <c r="I292" s="1"/>
      <c r="J292" s="1"/>
      <c r="K292" s="1"/>
      <c r="L292" s="1"/>
      <c r="M292" s="18">
        <v>0.85</v>
      </c>
      <c r="N292" s="18">
        <v>0.04</v>
      </c>
      <c r="O292" s="18">
        <v>0.96</v>
      </c>
      <c r="P292" s="18">
        <v>0.44</v>
      </c>
      <c r="Q292" s="18">
        <v>0.99</v>
      </c>
      <c r="R292" s="301">
        <v>159</v>
      </c>
      <c r="S292" s="143">
        <v>8.3333333333333332E-3</v>
      </c>
      <c r="T292" s="1">
        <v>10</v>
      </c>
      <c r="U292" s="354" t="str">
        <f t="shared" si="16"/>
        <v>Normal</v>
      </c>
      <c r="V292" s="354" t="str">
        <f t="shared" si="17"/>
        <v>Normal</v>
      </c>
      <c r="W292" s="359">
        <f t="shared" si="18"/>
        <v>-8.4450402144772119E-2</v>
      </c>
      <c r="X292" s="359">
        <f t="shared" si="19"/>
        <v>3.8095238095238099E-2</v>
      </c>
      <c r="Y292" s="343"/>
      <c r="Z292" s="343"/>
      <c r="AA292" s="343"/>
      <c r="AB292" s="343"/>
      <c r="AC292" s="343"/>
      <c r="AD292" s="343"/>
      <c r="AE292" s="343"/>
      <c r="AF292" s="343"/>
    </row>
    <row r="293" spans="1:32">
      <c r="A293" s="21">
        <v>45308</v>
      </c>
      <c r="B293" s="17">
        <f>IF(YEAR(Table7[[#This Row],[Date]]) = 2023, WEEKNUM(Table7[[#This Row],[Date]])-13, WEEKNUM(Table7[[#This Row],[Date]])+40)</f>
        <v>43</v>
      </c>
      <c r="C293" s="34" t="s">
        <v>51</v>
      </c>
      <c r="D293" s="34" t="s">
        <v>94</v>
      </c>
      <c r="E293" s="1">
        <v>681</v>
      </c>
      <c r="F293" s="1">
        <v>621</v>
      </c>
      <c r="G293" s="80">
        <f>IFERROR((Table7[[#This Row],[Calls Off]]-E286)/E286,0%)</f>
        <v>-7.5983717774762552E-2</v>
      </c>
      <c r="H293" s="80">
        <f>IFERROR((Table7[[#This Row],[Calls Ans]]-F286)/F286,0%)</f>
        <v>-0.1228813559322034</v>
      </c>
      <c r="I293" s="1"/>
      <c r="J293" s="1"/>
      <c r="K293" s="1"/>
      <c r="L293" s="1"/>
      <c r="M293" s="18">
        <v>0.74</v>
      </c>
      <c r="N293" s="18">
        <v>0.09</v>
      </c>
      <c r="O293" s="18">
        <v>0.91</v>
      </c>
      <c r="P293" s="18">
        <v>0.52</v>
      </c>
      <c r="Q293" s="18">
        <v>0.97</v>
      </c>
      <c r="R293" s="301">
        <v>204</v>
      </c>
      <c r="S293" s="143">
        <v>2.4305555555555556E-2</v>
      </c>
      <c r="T293" s="1">
        <v>10</v>
      </c>
      <c r="U293" s="354" t="str">
        <f t="shared" si="16"/>
        <v>Normal</v>
      </c>
      <c r="V293" s="354" t="str">
        <f t="shared" si="17"/>
        <v>Normal</v>
      </c>
      <c r="W293" s="359">
        <f t="shared" si="18"/>
        <v>-7.5983717774762552E-2</v>
      </c>
      <c r="X293" s="359">
        <f t="shared" si="19"/>
        <v>-0.1228813559322034</v>
      </c>
      <c r="Y293" s="343"/>
      <c r="Z293" s="343"/>
      <c r="AA293" s="343"/>
      <c r="AB293" s="343"/>
      <c r="AC293" s="343"/>
      <c r="AD293" s="343"/>
      <c r="AE293" s="343"/>
      <c r="AF293" s="343"/>
    </row>
    <row r="294" spans="1:32">
      <c r="A294" s="21">
        <v>45309</v>
      </c>
      <c r="B294" s="17">
        <f>IF(YEAR(Table7[[#This Row],[Date]]) = 2023, WEEKNUM(Table7[[#This Row],[Date]])-13, WEEKNUM(Table7[[#This Row],[Date]])+40)</f>
        <v>43</v>
      </c>
      <c r="C294" s="34" t="s">
        <v>52</v>
      </c>
      <c r="D294" s="34" t="s">
        <v>94</v>
      </c>
      <c r="E294" s="1">
        <v>761</v>
      </c>
      <c r="F294" s="1">
        <v>688</v>
      </c>
      <c r="G294" s="80">
        <f>IFERROR((Table7[[#This Row],[Calls Off]]-E287)/E287,0%)</f>
        <v>3.2564450474898234E-2</v>
      </c>
      <c r="H294" s="80">
        <f>IFERROR((Table7[[#This Row],[Calls Ans]]-F287)/F287,0%)</f>
        <v>7.4999999999999997E-2</v>
      </c>
      <c r="I294" s="1"/>
      <c r="J294" s="1"/>
      <c r="K294" s="1"/>
      <c r="L294" s="1"/>
      <c r="M294" s="18">
        <v>0.81</v>
      </c>
      <c r="N294" s="18">
        <v>0.1</v>
      </c>
      <c r="O294" s="18">
        <v>0.9</v>
      </c>
      <c r="P294" s="18">
        <v>0.33</v>
      </c>
      <c r="Q294" s="18">
        <v>0.98</v>
      </c>
      <c r="R294" s="301">
        <v>156</v>
      </c>
      <c r="S294" s="143">
        <v>2.1527777777777781E-2</v>
      </c>
      <c r="T294" s="1">
        <v>12</v>
      </c>
      <c r="U294" s="354" t="str">
        <f t="shared" si="16"/>
        <v>Normal</v>
      </c>
      <c r="V294" s="354" t="str">
        <f t="shared" si="17"/>
        <v>Normal</v>
      </c>
      <c r="W294" s="359">
        <f t="shared" si="18"/>
        <v>3.2564450474898234E-2</v>
      </c>
      <c r="X294" s="359">
        <f t="shared" si="19"/>
        <v>7.4999999999999997E-2</v>
      </c>
      <c r="Y294" s="343"/>
      <c r="Z294" s="343"/>
      <c r="AA294" s="343"/>
      <c r="AB294" s="343"/>
      <c r="AC294" s="343"/>
      <c r="AD294" s="343"/>
      <c r="AE294" s="343"/>
      <c r="AF294" s="343"/>
    </row>
    <row r="295" spans="1:32">
      <c r="A295" s="21">
        <v>45310</v>
      </c>
      <c r="B295" s="17">
        <f>IF(YEAR(Table7[[#This Row],[Date]]) = 2023, WEEKNUM(Table7[[#This Row],[Date]])-13, WEEKNUM(Table7[[#This Row],[Date]])+40)</f>
        <v>43</v>
      </c>
      <c r="C295" s="34" t="s">
        <v>53</v>
      </c>
      <c r="D295" s="34" t="s">
        <v>94</v>
      </c>
      <c r="E295" s="1">
        <v>654</v>
      </c>
      <c r="F295" s="1">
        <v>603</v>
      </c>
      <c r="G295" s="80">
        <f>IFERROR((Table7[[#This Row],[Calls Off]]-E288)/E288,0%)</f>
        <v>-8.1460674157303375E-2</v>
      </c>
      <c r="H295" s="80">
        <f>IFERROR((Table7[[#This Row],[Calls Ans]]-F288)/F288,0%)</f>
        <v>-0.12861271676300579</v>
      </c>
      <c r="I295" s="1"/>
      <c r="J295" s="1"/>
      <c r="K295" s="1"/>
      <c r="L295" s="1"/>
      <c r="M295" s="18">
        <v>0.8</v>
      </c>
      <c r="N295" s="18">
        <v>0.08</v>
      </c>
      <c r="O295" s="18">
        <v>0.92</v>
      </c>
      <c r="P295" s="18">
        <v>0.38</v>
      </c>
      <c r="Q295" s="18">
        <v>1</v>
      </c>
      <c r="R295" s="301">
        <v>143</v>
      </c>
      <c r="S295" s="143">
        <v>1.1111111111111112E-2</v>
      </c>
      <c r="T295" s="1">
        <v>9</v>
      </c>
      <c r="U295" s="354" t="str">
        <f t="shared" si="16"/>
        <v>Normal</v>
      </c>
      <c r="V295" s="354" t="str">
        <f t="shared" si="17"/>
        <v>Normal</v>
      </c>
      <c r="W295" s="359">
        <f t="shared" si="18"/>
        <v>-8.1460674157303375E-2</v>
      </c>
      <c r="X295" s="359">
        <f t="shared" si="19"/>
        <v>-0.12861271676300579</v>
      </c>
      <c r="Y295" s="343"/>
      <c r="Z295" s="343"/>
      <c r="AA295" s="343"/>
      <c r="AB295" s="343"/>
      <c r="AC295" s="343"/>
      <c r="AD295" s="343"/>
      <c r="AE295" s="343"/>
      <c r="AF295" s="343"/>
    </row>
    <row r="296" spans="1:32">
      <c r="A296" s="21">
        <v>45311</v>
      </c>
      <c r="B296" s="17">
        <f>IF(YEAR(Table7[[#This Row],[Date]]) = 2023, WEEKNUM(Table7[[#This Row],[Date]])-13, WEEKNUM(Table7[[#This Row],[Date]])+40)</f>
        <v>43</v>
      </c>
      <c r="C296" s="34" t="s">
        <v>54</v>
      </c>
      <c r="D296" s="34" t="s">
        <v>94</v>
      </c>
      <c r="E296" s="1">
        <v>360</v>
      </c>
      <c r="F296" s="1">
        <v>310</v>
      </c>
      <c r="G296" s="80">
        <f>IFERROR((Table7[[#This Row],[Calls Off]]-E289)/E289,0%)</f>
        <v>-0.21739130434782608</v>
      </c>
      <c r="H296" s="80">
        <f>IFERROR((Table7[[#This Row],[Calls Ans]]-F289)/F289,0%)</f>
        <v>-3.2154340836012861E-3</v>
      </c>
      <c r="I296" s="1"/>
      <c r="J296" s="1"/>
      <c r="K296" s="1"/>
      <c r="L296" s="1"/>
      <c r="M296" s="18">
        <v>0.52</v>
      </c>
      <c r="N296" s="18">
        <v>0.14000000000000001</v>
      </c>
      <c r="O296" s="18">
        <v>0.86</v>
      </c>
      <c r="P296" s="18">
        <v>0.56000000000000005</v>
      </c>
      <c r="Q296" s="18">
        <v>0.96</v>
      </c>
      <c r="R296" s="301">
        <v>145</v>
      </c>
      <c r="S296" s="143">
        <v>3.6805555555555557E-2</v>
      </c>
      <c r="T296" s="1">
        <v>5</v>
      </c>
      <c r="U296" s="354" t="str">
        <f t="shared" si="16"/>
        <v>Normal</v>
      </c>
      <c r="V296" s="354" t="str">
        <f t="shared" si="17"/>
        <v>Normal</v>
      </c>
      <c r="W296" s="359">
        <f t="shared" si="18"/>
        <v>-0.21739130434782608</v>
      </c>
      <c r="X296" s="359">
        <f t="shared" si="19"/>
        <v>-3.2154340836012861E-3</v>
      </c>
      <c r="Y296" s="343"/>
      <c r="Z296" s="343"/>
      <c r="AA296" s="343"/>
      <c r="AB296" s="343"/>
      <c r="AC296" s="343"/>
      <c r="AD296" s="343"/>
      <c r="AE296" s="343"/>
      <c r="AF296" s="343"/>
    </row>
    <row r="297" spans="1:32">
      <c r="A297" s="21">
        <v>45312</v>
      </c>
      <c r="B297" s="17">
        <f>IF(YEAR(Table7[[#This Row],[Date]]) = 2023, WEEKNUM(Table7[[#This Row],[Date]])-13, WEEKNUM(Table7[[#This Row],[Date]])+40)</f>
        <v>44</v>
      </c>
      <c r="C297" s="34" t="s">
        <v>48</v>
      </c>
      <c r="D297" s="34" t="s">
        <v>94</v>
      </c>
      <c r="E297" s="1">
        <v>0</v>
      </c>
      <c r="F297" s="1">
        <v>0</v>
      </c>
      <c r="G297" s="80">
        <f>IFERROR((Table7[[#This Row],[Calls Off]]-E290)/E290,0%)</f>
        <v>0</v>
      </c>
      <c r="H297" s="80">
        <f>IFERROR((Table7[[#This Row],[Calls Ans]]-F290)/F290,0%)</f>
        <v>0</v>
      </c>
      <c r="I297" s="1">
        <v>0</v>
      </c>
      <c r="J297" s="1">
        <v>0</v>
      </c>
      <c r="K297" s="1">
        <v>0</v>
      </c>
      <c r="L297" s="1">
        <v>0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301">
        <v>0</v>
      </c>
      <c r="S297" s="143">
        <v>0</v>
      </c>
      <c r="T297" s="1">
        <v>0</v>
      </c>
      <c r="U297" s="354" t="str">
        <f t="shared" si="16"/>
        <v>Normal</v>
      </c>
      <c r="V297" s="354" t="str">
        <f t="shared" si="17"/>
        <v>Normal</v>
      </c>
      <c r="W297" s="359">
        <f t="shared" si="18"/>
        <v>0</v>
      </c>
      <c r="X297" s="359">
        <f t="shared" si="19"/>
        <v>0</v>
      </c>
      <c r="Y297" s="343"/>
      <c r="Z297" s="343"/>
      <c r="AA297" s="343"/>
      <c r="AB297" s="343"/>
      <c r="AC297" s="343"/>
      <c r="AD297" s="343"/>
      <c r="AE297" s="343"/>
      <c r="AF297" s="343"/>
    </row>
    <row r="298" spans="1:32">
      <c r="A298" s="21">
        <v>45313</v>
      </c>
      <c r="B298" s="17">
        <f>IF(YEAR(Table7[[#This Row],[Date]]) = 2023, WEEKNUM(Table7[[#This Row],[Date]])-13, WEEKNUM(Table7[[#This Row],[Date]])+40)</f>
        <v>44</v>
      </c>
      <c r="C298" s="34" t="s">
        <v>49</v>
      </c>
      <c r="D298" s="34" t="s">
        <v>94</v>
      </c>
      <c r="E298" s="1">
        <v>809</v>
      </c>
      <c r="F298" s="1">
        <v>626</v>
      </c>
      <c r="G298" s="64">
        <f>IFERROR((Table7[[#This Row],[Calls Off]]-E291)/E291,0%)</f>
        <v>0.1051912568306011</v>
      </c>
      <c r="H298" s="64">
        <f>IFERROR((Table7[[#This Row],[Calls Ans]]-F291)/F291,0%)</f>
        <v>0</v>
      </c>
      <c r="I298" s="1"/>
      <c r="J298" s="1"/>
      <c r="K298" s="1"/>
      <c r="L298" s="1"/>
      <c r="M298" s="18">
        <v>0.53</v>
      </c>
      <c r="N298" s="18">
        <v>0.23</v>
      </c>
      <c r="O298" s="18">
        <v>0.77</v>
      </c>
      <c r="P298" s="18">
        <v>0.41</v>
      </c>
      <c r="Q298" s="18">
        <v>0.99</v>
      </c>
      <c r="R298" s="301">
        <v>143</v>
      </c>
      <c r="S298" s="143">
        <v>6.5972222222222224E-2</v>
      </c>
      <c r="T298" s="1">
        <v>9</v>
      </c>
      <c r="U298" s="354" t="str">
        <f t="shared" si="16"/>
        <v>Normal</v>
      </c>
      <c r="V298" s="354" t="str">
        <f t="shared" si="17"/>
        <v>Normal</v>
      </c>
      <c r="W298" s="359">
        <f t="shared" si="18"/>
        <v>0.1051912568306011</v>
      </c>
      <c r="X298" s="359">
        <f t="shared" si="19"/>
        <v>0</v>
      </c>
      <c r="Y298" s="343"/>
      <c r="Z298" s="343"/>
      <c r="AA298" s="343"/>
      <c r="AB298" s="343"/>
      <c r="AC298" s="343"/>
      <c r="AD298" s="343"/>
      <c r="AE298" s="343"/>
      <c r="AF298" s="343"/>
    </row>
    <row r="299" spans="1:32">
      <c r="A299" s="21">
        <v>45314</v>
      </c>
      <c r="B299" s="17">
        <f>IF(YEAR(Table7[[#This Row],[Date]]) = 2023, WEEKNUM(Table7[[#This Row],[Date]])-13, WEEKNUM(Table7[[#This Row],[Date]])+40)</f>
        <v>44</v>
      </c>
      <c r="C299" s="34" t="s">
        <v>50</v>
      </c>
      <c r="D299" s="34" t="s">
        <v>94</v>
      </c>
      <c r="E299" s="1">
        <v>649</v>
      </c>
      <c r="F299" s="1">
        <v>596</v>
      </c>
      <c r="G299" s="64">
        <f>IFERROR((Table7[[#This Row],[Calls Off]]-E292)/E292,0%)</f>
        <v>-4.9780380673499269E-2</v>
      </c>
      <c r="H299" s="64">
        <f>IFERROR((Table7[[#This Row],[Calls Ans]]-F292)/F292,0%)</f>
        <v>-8.8685015290519878E-2</v>
      </c>
      <c r="I299" s="1"/>
      <c r="J299" s="1"/>
      <c r="K299" s="1"/>
      <c r="L299" s="1"/>
      <c r="M299" s="18">
        <v>0.76</v>
      </c>
      <c r="N299" s="18">
        <v>0.08</v>
      </c>
      <c r="O299" s="18">
        <v>0.92</v>
      </c>
      <c r="P299" s="18">
        <v>0.39</v>
      </c>
      <c r="Q299" s="18">
        <v>1</v>
      </c>
      <c r="R299" s="301">
        <v>144</v>
      </c>
      <c r="S299" s="143">
        <v>1.5972222222222224E-2</v>
      </c>
      <c r="T299" s="1">
        <v>9</v>
      </c>
      <c r="U299" s="354" t="str">
        <f t="shared" si="16"/>
        <v>Normal</v>
      </c>
      <c r="V299" s="354" t="str">
        <f t="shared" si="17"/>
        <v>Normal</v>
      </c>
      <c r="W299" s="359">
        <f t="shared" si="18"/>
        <v>-4.9780380673499269E-2</v>
      </c>
      <c r="X299" s="359">
        <f t="shared" si="19"/>
        <v>-8.8685015290519878E-2</v>
      </c>
      <c r="Y299" s="343"/>
      <c r="Z299" s="343"/>
      <c r="AA299" s="343"/>
      <c r="AB299" s="343"/>
      <c r="AC299" s="343"/>
      <c r="AD299" s="343"/>
      <c r="AE299" s="343"/>
      <c r="AF299" s="343"/>
    </row>
    <row r="300" spans="1:32">
      <c r="A300" s="21">
        <v>45315</v>
      </c>
      <c r="B300" s="17">
        <f>IF(YEAR(Table7[[#This Row],[Date]]) = 2023, WEEKNUM(Table7[[#This Row],[Date]])-13, WEEKNUM(Table7[[#This Row],[Date]])+40)</f>
        <v>44</v>
      </c>
      <c r="C300" s="34" t="s">
        <v>51</v>
      </c>
      <c r="D300" s="34" t="s">
        <v>94</v>
      </c>
      <c r="E300" s="1">
        <v>637</v>
      </c>
      <c r="F300" s="1">
        <v>568</v>
      </c>
      <c r="G300" s="64">
        <f>IFERROR((Table7[[#This Row],[Calls Off]]-E293)/E293,0%)</f>
        <v>-6.4610866372980913E-2</v>
      </c>
      <c r="H300" s="64">
        <f>IFERROR((Table7[[#This Row],[Calls Ans]]-F293)/F293,0%)</f>
        <v>-8.5346215780998394E-2</v>
      </c>
      <c r="I300" s="1"/>
      <c r="J300" s="1"/>
      <c r="K300" s="1"/>
      <c r="L300" s="1"/>
      <c r="M300" s="18">
        <v>0.74</v>
      </c>
      <c r="N300" s="18">
        <v>0.11</v>
      </c>
      <c r="O300" s="18">
        <v>0.89</v>
      </c>
      <c r="P300" s="18">
        <v>0.38</v>
      </c>
      <c r="Q300" s="18">
        <v>0.99</v>
      </c>
      <c r="R300" s="301">
        <v>157</v>
      </c>
      <c r="S300" s="143">
        <v>3.2638888888888891E-2</v>
      </c>
      <c r="T300" s="1">
        <v>10</v>
      </c>
      <c r="U300" s="354" t="str">
        <f t="shared" si="16"/>
        <v>Normal</v>
      </c>
      <c r="V300" s="354" t="str">
        <f t="shared" si="17"/>
        <v>Normal</v>
      </c>
      <c r="W300" s="359">
        <f t="shared" si="18"/>
        <v>-6.4610866372980913E-2</v>
      </c>
      <c r="X300" s="359">
        <f t="shared" si="19"/>
        <v>-8.5346215780998394E-2</v>
      </c>
      <c r="Y300" s="343"/>
      <c r="Z300" s="343"/>
      <c r="AA300" s="343"/>
      <c r="AB300" s="343"/>
      <c r="AC300" s="343"/>
      <c r="AD300" s="343"/>
      <c r="AE300" s="343"/>
      <c r="AF300" s="343"/>
    </row>
    <row r="301" spans="1:32">
      <c r="A301" s="21">
        <v>45316</v>
      </c>
      <c r="B301" s="17">
        <f>IF(YEAR(Table7[[#This Row],[Date]]) = 2023, WEEKNUM(Table7[[#This Row],[Date]])-13, WEEKNUM(Table7[[#This Row],[Date]])+40)</f>
        <v>44</v>
      </c>
      <c r="C301" s="34" t="s">
        <v>52</v>
      </c>
      <c r="D301" s="34" t="s">
        <v>94</v>
      </c>
      <c r="E301" s="1">
        <v>651</v>
      </c>
      <c r="F301" s="1">
        <v>629</v>
      </c>
      <c r="G301" s="64">
        <f>IFERROR((Table7[[#This Row],[Calls Off]]-E294)/E294,0%)</f>
        <v>-0.14454664914586071</v>
      </c>
      <c r="H301" s="64">
        <f>IFERROR((Table7[[#This Row],[Calls Ans]]-F294)/F294,0%)</f>
        <v>-8.5755813953488372E-2</v>
      </c>
      <c r="I301" s="1"/>
      <c r="J301" s="1"/>
      <c r="K301" s="1"/>
      <c r="L301" s="1"/>
      <c r="M301" s="18">
        <v>0.9</v>
      </c>
      <c r="N301" s="18">
        <v>0.03</v>
      </c>
      <c r="O301" s="18">
        <v>0.97</v>
      </c>
      <c r="P301" s="18">
        <v>0.18</v>
      </c>
      <c r="Q301" s="18">
        <v>0.99</v>
      </c>
      <c r="R301" s="301">
        <v>170</v>
      </c>
      <c r="S301" s="143">
        <v>6.2499999999999995E-3</v>
      </c>
      <c r="T301" s="1">
        <v>12</v>
      </c>
      <c r="U301" s="354" t="str">
        <f t="shared" si="16"/>
        <v>Normal</v>
      </c>
      <c r="V301" s="354" t="str">
        <f t="shared" si="17"/>
        <v>Normal</v>
      </c>
      <c r="W301" s="359">
        <f t="shared" si="18"/>
        <v>-0.14454664914586071</v>
      </c>
      <c r="X301" s="359">
        <f t="shared" si="19"/>
        <v>-8.5755813953488372E-2</v>
      </c>
      <c r="Y301" s="343"/>
      <c r="Z301" s="343"/>
      <c r="AA301" s="343"/>
      <c r="AB301" s="343"/>
      <c r="AC301" s="343"/>
      <c r="AD301" s="343"/>
      <c r="AE301" s="343"/>
      <c r="AF301" s="343"/>
    </row>
    <row r="302" spans="1:32">
      <c r="A302" s="21">
        <v>45317</v>
      </c>
      <c r="B302" s="17">
        <f>IF(YEAR(Table7[[#This Row],[Date]]) = 2023, WEEKNUM(Table7[[#This Row],[Date]])-13, WEEKNUM(Table7[[#This Row],[Date]])+40)</f>
        <v>44</v>
      </c>
      <c r="C302" s="34" t="s">
        <v>53</v>
      </c>
      <c r="D302" s="34" t="s">
        <v>94</v>
      </c>
      <c r="E302" s="1">
        <v>628</v>
      </c>
      <c r="F302" s="1">
        <v>585</v>
      </c>
      <c r="G302" s="64">
        <f>IFERROR((Table7[[#This Row],[Calls Off]]-E295)/E295,0%)</f>
        <v>-3.9755351681957186E-2</v>
      </c>
      <c r="H302" s="64">
        <f>IFERROR((Table7[[#This Row],[Calls Ans]]-F295)/F295,0%)</f>
        <v>-2.9850746268656716E-2</v>
      </c>
      <c r="I302" s="1"/>
      <c r="J302" s="1"/>
      <c r="K302" s="1"/>
      <c r="L302" s="1"/>
      <c r="M302" s="18">
        <v>0.84</v>
      </c>
      <c r="N302" s="18">
        <v>7.0000000000000007E-2</v>
      </c>
      <c r="O302" s="18">
        <v>0.93</v>
      </c>
      <c r="P302" s="18">
        <v>0.38</v>
      </c>
      <c r="Q302" s="18">
        <v>1</v>
      </c>
      <c r="R302" s="301">
        <v>169</v>
      </c>
      <c r="S302" s="143">
        <v>1.3194444444444444E-2</v>
      </c>
      <c r="T302" s="1">
        <v>10</v>
      </c>
      <c r="U302" s="354" t="str">
        <f t="shared" si="16"/>
        <v>Normal</v>
      </c>
      <c r="V302" s="354" t="str">
        <f t="shared" si="17"/>
        <v>Normal</v>
      </c>
      <c r="W302" s="359">
        <f t="shared" si="18"/>
        <v>-3.9755351681957186E-2</v>
      </c>
      <c r="X302" s="359">
        <f t="shared" si="19"/>
        <v>-2.9850746268656716E-2</v>
      </c>
      <c r="Y302" s="343"/>
      <c r="Z302" s="343"/>
      <c r="AA302" s="343"/>
      <c r="AB302" s="343"/>
      <c r="AC302" s="343"/>
      <c r="AD302" s="343"/>
      <c r="AE302" s="343"/>
      <c r="AF302" s="343"/>
    </row>
    <row r="303" spans="1:32">
      <c r="A303" s="21">
        <v>45318</v>
      </c>
      <c r="B303" s="17">
        <f>IF(YEAR(Table7[[#This Row],[Date]]) = 2023, WEEKNUM(Table7[[#This Row],[Date]])-13, WEEKNUM(Table7[[#This Row],[Date]])+40)</f>
        <v>44</v>
      </c>
      <c r="C303" s="34" t="s">
        <v>54</v>
      </c>
      <c r="D303" s="34" t="s">
        <v>94</v>
      </c>
      <c r="E303" s="1">
        <v>411</v>
      </c>
      <c r="F303" s="1">
        <v>226</v>
      </c>
      <c r="G303" s="64">
        <f>IFERROR((Table7[[#This Row],[Calls Off]]-E296)/E296,0%)</f>
        <v>0.14166666666666666</v>
      </c>
      <c r="H303" s="64">
        <f>IFERROR((Table7[[#This Row],[Calls Ans]]-F296)/F296,0%)</f>
        <v>-0.2709677419354839</v>
      </c>
      <c r="I303" s="1"/>
      <c r="J303" s="1"/>
      <c r="K303" s="1"/>
      <c r="L303" s="1"/>
      <c r="M303" s="18">
        <v>0.22</v>
      </c>
      <c r="N303" s="18">
        <v>0.45</v>
      </c>
      <c r="O303" s="18">
        <v>0.55000000000000004</v>
      </c>
      <c r="P303" s="18">
        <v>0.67</v>
      </c>
      <c r="Q303" s="18">
        <v>1</v>
      </c>
      <c r="R303" s="301">
        <v>153</v>
      </c>
      <c r="S303" s="143">
        <v>0.10208333333333335</v>
      </c>
      <c r="T303" s="1">
        <v>4</v>
      </c>
      <c r="U303" s="354" t="str">
        <f t="shared" si="16"/>
        <v>Normal</v>
      </c>
      <c r="V303" s="354" t="str">
        <f t="shared" si="17"/>
        <v>Normal</v>
      </c>
      <c r="W303" s="359">
        <f t="shared" si="18"/>
        <v>0.14166666666666666</v>
      </c>
      <c r="X303" s="359">
        <f t="shared" si="19"/>
        <v>-0.2709677419354839</v>
      </c>
      <c r="Y303" s="343"/>
      <c r="Z303" s="343"/>
      <c r="AA303" s="343"/>
      <c r="AB303" s="343"/>
      <c r="AC303" s="343"/>
      <c r="AD303" s="343"/>
      <c r="AE303" s="343"/>
      <c r="AF303" s="343"/>
    </row>
    <row r="304" spans="1:32">
      <c r="A304" s="21">
        <v>45319</v>
      </c>
      <c r="B304" s="17">
        <f>IF(YEAR(Table7[[#This Row],[Date]]) = 2023, WEEKNUM(Table7[[#This Row],[Date]])-13, WEEKNUM(Table7[[#This Row],[Date]])+40)</f>
        <v>45</v>
      </c>
      <c r="C304" s="33" t="s">
        <v>48</v>
      </c>
      <c r="D304" s="34" t="s">
        <v>94</v>
      </c>
      <c r="E304" s="1">
        <v>0</v>
      </c>
      <c r="F304" s="1">
        <v>0</v>
      </c>
      <c r="G304" s="64">
        <v>0</v>
      </c>
      <c r="H304" s="64">
        <v>0</v>
      </c>
      <c r="I304" s="1">
        <v>0</v>
      </c>
      <c r="J304" s="1">
        <v>0</v>
      </c>
      <c r="K304" s="1">
        <v>0</v>
      </c>
      <c r="L304" s="1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301">
        <v>0</v>
      </c>
      <c r="S304" s="143">
        <v>0</v>
      </c>
      <c r="T304" s="1">
        <v>0</v>
      </c>
      <c r="U304" s="354" t="str">
        <f t="shared" si="16"/>
        <v>Normal</v>
      </c>
      <c r="V304" s="354" t="str">
        <f t="shared" si="17"/>
        <v>Normal</v>
      </c>
      <c r="W304" s="359">
        <f t="shared" si="18"/>
        <v>0</v>
      </c>
      <c r="X304" s="359">
        <f t="shared" si="19"/>
        <v>0</v>
      </c>
      <c r="Y304" s="343"/>
      <c r="Z304" s="343"/>
      <c r="AA304" s="343"/>
      <c r="AB304" s="343"/>
      <c r="AC304" s="343"/>
      <c r="AD304" s="343"/>
      <c r="AE304" s="343"/>
      <c r="AF304" s="343"/>
    </row>
    <row r="305" spans="1:32">
      <c r="A305" s="21">
        <v>45320</v>
      </c>
      <c r="B305" s="17">
        <f>IF(YEAR(Table7[[#This Row],[Date]]) = 2023, WEEKNUM(Table7[[#This Row],[Date]])-13, WEEKNUM(Table7[[#This Row],[Date]])+40)</f>
        <v>45</v>
      </c>
      <c r="C305" s="34" t="s">
        <v>49</v>
      </c>
      <c r="D305" s="34" t="s">
        <v>94</v>
      </c>
      <c r="E305" s="1">
        <v>778</v>
      </c>
      <c r="F305" s="1">
        <v>698</v>
      </c>
      <c r="G305" s="64">
        <f>IFERROR((Table7[[#This Row],[Calls Off]]-E298)/E298,0%)</f>
        <v>-3.8318912237330034E-2</v>
      </c>
      <c r="H305" s="64">
        <f>IFERROR((Table7[[#This Row],[Calls Ans]]-F298)/F298,0%)</f>
        <v>0.11501597444089456</v>
      </c>
      <c r="I305" s="1"/>
      <c r="J305" s="1"/>
      <c r="K305" s="1"/>
      <c r="L305" s="1"/>
      <c r="M305" s="18">
        <v>0.7</v>
      </c>
      <c r="N305" s="18">
        <v>0.1</v>
      </c>
      <c r="O305" s="18">
        <v>0.9</v>
      </c>
      <c r="P305" s="18">
        <v>0.38</v>
      </c>
      <c r="Q305" s="18">
        <v>0.98</v>
      </c>
      <c r="R305" s="301">
        <v>168</v>
      </c>
      <c r="S305" s="143">
        <v>2.7083333333333334E-2</v>
      </c>
      <c r="T305" s="1">
        <v>12</v>
      </c>
      <c r="U305" s="354" t="str">
        <f t="shared" si="16"/>
        <v>Normal</v>
      </c>
      <c r="V305" s="354" t="str">
        <f t="shared" si="17"/>
        <v>Normal</v>
      </c>
      <c r="W305" s="359">
        <f t="shared" si="18"/>
        <v>-3.8318912237330034E-2</v>
      </c>
      <c r="X305" s="359">
        <f t="shared" si="19"/>
        <v>0.11501597444089456</v>
      </c>
      <c r="Y305" s="343"/>
      <c r="Z305" s="343"/>
      <c r="AA305" s="343"/>
      <c r="AB305" s="343"/>
      <c r="AC305" s="343"/>
      <c r="AD305" s="343"/>
      <c r="AE305" s="343"/>
      <c r="AF305" s="343"/>
    </row>
    <row r="306" spans="1:32">
      <c r="A306" s="21">
        <v>45321</v>
      </c>
      <c r="B306" s="17">
        <f>IF(YEAR(Table7[[#This Row],[Date]]) = 2023, WEEKNUM(Table7[[#This Row],[Date]])-13, WEEKNUM(Table7[[#This Row],[Date]])+40)</f>
        <v>45</v>
      </c>
      <c r="C306" s="34" t="s">
        <v>50</v>
      </c>
      <c r="D306" s="34" t="s">
        <v>94</v>
      </c>
      <c r="E306" s="1">
        <v>713</v>
      </c>
      <c r="F306" s="1">
        <v>648</v>
      </c>
      <c r="G306" s="64">
        <f>IFERROR((Table7[[#This Row],[Calls Off]]-E299)/E299,0%)</f>
        <v>9.861325115562404E-2</v>
      </c>
      <c r="H306" s="64">
        <f>IFERROR((Table7[[#This Row],[Calls Ans]]-F299)/F299,0%)</f>
        <v>8.7248322147651006E-2</v>
      </c>
      <c r="I306" s="1"/>
      <c r="J306" s="1"/>
      <c r="K306" s="1"/>
      <c r="L306" s="1"/>
      <c r="M306" s="18">
        <v>0.81</v>
      </c>
      <c r="N306" s="18">
        <v>0.09</v>
      </c>
      <c r="O306" s="18">
        <v>0.91</v>
      </c>
      <c r="P306" s="18">
        <v>0.34</v>
      </c>
      <c r="Q306" s="18">
        <v>0.99</v>
      </c>
      <c r="R306" s="301">
        <v>160</v>
      </c>
      <c r="S306" s="143">
        <v>1.5972222222222224E-2</v>
      </c>
      <c r="T306" s="1">
        <v>11</v>
      </c>
      <c r="U306" s="354" t="str">
        <f t="shared" si="16"/>
        <v>Normal</v>
      </c>
      <c r="V306" s="354" t="str">
        <f t="shared" si="17"/>
        <v>Normal</v>
      </c>
      <c r="W306" s="359">
        <f t="shared" si="18"/>
        <v>9.861325115562404E-2</v>
      </c>
      <c r="X306" s="359">
        <f t="shared" si="19"/>
        <v>8.7248322147651006E-2</v>
      </c>
      <c r="Y306" s="343"/>
      <c r="Z306" s="343"/>
      <c r="AA306" s="343"/>
      <c r="AB306" s="343"/>
      <c r="AC306" s="343"/>
      <c r="AD306" s="343"/>
      <c r="AE306" s="343"/>
      <c r="AF306" s="343"/>
    </row>
    <row r="307" spans="1:32">
      <c r="A307" s="21">
        <v>45322</v>
      </c>
      <c r="B307" s="17">
        <f>IF(YEAR(Table7[[#This Row],[Date]]) = 2023, WEEKNUM(Table7[[#This Row],[Date]])-13, WEEKNUM(Table7[[#This Row],[Date]])+40)</f>
        <v>45</v>
      </c>
      <c r="C307" s="34" t="s">
        <v>51</v>
      </c>
      <c r="D307" s="34" t="s">
        <v>94</v>
      </c>
      <c r="E307" s="1">
        <v>728</v>
      </c>
      <c r="F307" s="1">
        <v>666</v>
      </c>
      <c r="G307" s="64">
        <f>IFERROR((Table7[[#This Row],[Calls Off]]-E300)/E300,0%)</f>
        <v>0.14285714285714285</v>
      </c>
      <c r="H307" s="64">
        <f>IFERROR((Table7[[#This Row],[Calls Ans]]-F300)/F300,0%)</f>
        <v>0.17253521126760563</v>
      </c>
      <c r="I307" s="1"/>
      <c r="J307" s="1"/>
      <c r="K307" s="1"/>
      <c r="L307" s="1"/>
      <c r="M307" s="18">
        <v>0.76</v>
      </c>
      <c r="N307" s="18">
        <v>0.09</v>
      </c>
      <c r="O307" s="18">
        <v>0.91</v>
      </c>
      <c r="P307" s="18">
        <v>0.42</v>
      </c>
      <c r="Q307" s="18">
        <v>0.99</v>
      </c>
      <c r="R307" s="301">
        <v>178</v>
      </c>
      <c r="S307" s="143">
        <v>1.5277777777777777E-2</v>
      </c>
      <c r="T307" s="1">
        <v>11</v>
      </c>
      <c r="U307" s="354" t="str">
        <f t="shared" si="16"/>
        <v>Normal</v>
      </c>
      <c r="V307" s="354" t="str">
        <f t="shared" si="17"/>
        <v>Normal</v>
      </c>
      <c r="W307" s="359">
        <f t="shared" si="18"/>
        <v>0.14285714285714285</v>
      </c>
      <c r="X307" s="359">
        <f t="shared" si="19"/>
        <v>0.17253521126760563</v>
      </c>
      <c r="Y307" s="343"/>
      <c r="Z307" s="343"/>
      <c r="AA307" s="343"/>
      <c r="AB307" s="343"/>
      <c r="AC307" s="343"/>
      <c r="AD307" s="343"/>
      <c r="AE307" s="343"/>
      <c r="AF307" s="343"/>
    </row>
    <row r="308" spans="1:32">
      <c r="A308" s="21">
        <v>45323</v>
      </c>
      <c r="B308" s="17">
        <f>IF(YEAR(Table7[[#This Row],[Date]]) = 2023, WEEKNUM(Table7[[#This Row],[Date]])-13, WEEKNUM(Table7[[#This Row],[Date]])+40)</f>
        <v>45</v>
      </c>
      <c r="C308" s="33" t="s">
        <v>52</v>
      </c>
      <c r="D308" s="34" t="s">
        <v>94</v>
      </c>
      <c r="E308" s="1">
        <v>705</v>
      </c>
      <c r="F308" s="1">
        <v>639</v>
      </c>
      <c r="G308" s="64">
        <f>IFERROR((Table7[[#This Row],[Calls Off]]-E301)/E301,0%)</f>
        <v>8.294930875576037E-2</v>
      </c>
      <c r="H308" s="64">
        <f>IFERROR((Table7[[#This Row],[Calls Ans]]-F301)/F301,0%)</f>
        <v>1.5898251192368838E-2</v>
      </c>
      <c r="I308" s="1"/>
      <c r="J308" s="1"/>
      <c r="K308" s="1"/>
      <c r="L308" s="1"/>
      <c r="M308" s="18">
        <v>0.8</v>
      </c>
      <c r="N308" s="18">
        <v>0.09</v>
      </c>
      <c r="O308" s="18">
        <v>0.91</v>
      </c>
      <c r="P308" s="18">
        <v>0.36</v>
      </c>
      <c r="Q308" s="18">
        <v>0.98</v>
      </c>
      <c r="R308" s="301">
        <v>161</v>
      </c>
      <c r="S308" s="143">
        <v>2.013888888888889E-2</v>
      </c>
      <c r="T308" s="1">
        <v>11</v>
      </c>
      <c r="U308" s="354" t="str">
        <f t="shared" si="16"/>
        <v>Normal</v>
      </c>
      <c r="V308" s="354" t="str">
        <f t="shared" si="17"/>
        <v>Normal</v>
      </c>
      <c r="W308" s="359">
        <f t="shared" si="18"/>
        <v>8.294930875576037E-2</v>
      </c>
      <c r="X308" s="359">
        <f t="shared" si="19"/>
        <v>1.5898251192368838E-2</v>
      </c>
      <c r="Y308" s="343"/>
      <c r="Z308" s="343"/>
      <c r="AA308" s="343"/>
      <c r="AB308" s="343"/>
      <c r="AC308" s="343"/>
      <c r="AD308" s="343"/>
      <c r="AE308" s="343"/>
      <c r="AF308" s="343"/>
    </row>
    <row r="309" spans="1:32">
      <c r="A309" s="21">
        <v>45324</v>
      </c>
      <c r="B309" s="17">
        <f>IF(YEAR(Table7[[#This Row],[Date]]) = 2023, WEEKNUM(Table7[[#This Row],[Date]])-13, WEEKNUM(Table7[[#This Row],[Date]])+40)</f>
        <v>45</v>
      </c>
      <c r="C309" s="34" t="s">
        <v>53</v>
      </c>
      <c r="D309" s="34" t="s">
        <v>94</v>
      </c>
      <c r="E309" s="1">
        <v>612</v>
      </c>
      <c r="F309" s="1">
        <v>586</v>
      </c>
      <c r="G309" s="64">
        <f>IFERROR((Table7[[#This Row],[Calls Off]]-E302)/E302,0%)</f>
        <v>-2.5477707006369428E-2</v>
      </c>
      <c r="H309" s="64">
        <f>IFERROR((Table7[[#This Row],[Calls Ans]]-F302)/F302,0%)</f>
        <v>1.7094017094017094E-3</v>
      </c>
      <c r="I309" s="1"/>
      <c r="J309" s="1"/>
      <c r="K309" s="1"/>
      <c r="L309" s="1"/>
      <c r="M309" s="18">
        <v>0.89</v>
      </c>
      <c r="N309" s="18">
        <v>0.04</v>
      </c>
      <c r="O309" s="18">
        <v>0.96</v>
      </c>
      <c r="P309" s="18">
        <v>0.28999999999999998</v>
      </c>
      <c r="Q309" s="18">
        <v>0.98</v>
      </c>
      <c r="R309" s="301">
        <v>111</v>
      </c>
      <c r="S309" s="143">
        <v>1.0416666666666666E-2</v>
      </c>
      <c r="T309" s="1">
        <v>10</v>
      </c>
      <c r="U309" s="354" t="str">
        <f t="shared" si="16"/>
        <v>Normal</v>
      </c>
      <c r="V309" s="354" t="str">
        <f t="shared" si="17"/>
        <v>Normal</v>
      </c>
      <c r="W309" s="359">
        <f t="shared" si="18"/>
        <v>-2.5477707006369428E-2</v>
      </c>
      <c r="X309" s="359">
        <f t="shared" si="19"/>
        <v>1.7094017094017094E-3</v>
      </c>
      <c r="Y309" s="343"/>
      <c r="Z309" s="343"/>
      <c r="AA309" s="343"/>
      <c r="AB309" s="343"/>
      <c r="AC309" s="343"/>
      <c r="AD309" s="343"/>
      <c r="AE309" s="343"/>
      <c r="AF309" s="343"/>
    </row>
    <row r="310" spans="1:32">
      <c r="A310" s="21">
        <v>45325</v>
      </c>
      <c r="B310" s="17">
        <f>IF(YEAR(Table7[[#This Row],[Date]]) = 2023, WEEKNUM(Table7[[#This Row],[Date]])-13, WEEKNUM(Table7[[#This Row],[Date]])+40)</f>
        <v>45</v>
      </c>
      <c r="C310" s="34" t="s">
        <v>54</v>
      </c>
      <c r="D310" s="34" t="s">
        <v>94</v>
      </c>
      <c r="E310" s="1">
        <v>354</v>
      </c>
      <c r="F310" s="1">
        <v>345</v>
      </c>
      <c r="G310" s="64">
        <f>IFERROR((Table7[[#This Row],[Calls Off]]-E303)/E303,0%)</f>
        <v>-0.13868613138686131</v>
      </c>
      <c r="H310" s="64">
        <f>IFERROR((Table7[[#This Row],[Calls Ans]]-F303)/F303,0%)</f>
        <v>0.52654867256637172</v>
      </c>
      <c r="I310" s="1"/>
      <c r="J310" s="1"/>
      <c r="K310" s="1"/>
      <c r="L310" s="1"/>
      <c r="M310" s="18">
        <v>0.86</v>
      </c>
      <c r="N310" s="18">
        <v>0.03</v>
      </c>
      <c r="O310" s="18">
        <v>0.97</v>
      </c>
      <c r="P310" s="18">
        <v>0.46</v>
      </c>
      <c r="Q310" s="18">
        <v>1</v>
      </c>
      <c r="R310" s="301">
        <v>117</v>
      </c>
      <c r="S310" s="143">
        <v>9.0277777777777787E-3</v>
      </c>
      <c r="T310" s="1">
        <v>5</v>
      </c>
      <c r="U310" s="354" t="str">
        <f t="shared" si="16"/>
        <v>Normal</v>
      </c>
      <c r="V310" s="354" t="str">
        <f t="shared" si="17"/>
        <v>Outlier</v>
      </c>
      <c r="W310" s="359">
        <f t="shared" si="18"/>
        <v>-0.13868613138686131</v>
      </c>
      <c r="X310" s="359">
        <f t="shared" si="19"/>
        <v>0.52654867256637172</v>
      </c>
      <c r="Y310" s="343"/>
      <c r="Z310" s="343"/>
      <c r="AA310" s="343"/>
      <c r="AB310" s="343"/>
      <c r="AC310" s="343"/>
      <c r="AD310" s="343"/>
      <c r="AE310" s="343"/>
      <c r="AF310" s="343"/>
    </row>
    <row r="311" spans="1:32">
      <c r="A311" s="21">
        <v>45326</v>
      </c>
      <c r="B311" s="17">
        <f>IF(YEAR(Table7[[#This Row],[Date]]) = 2023, WEEKNUM(Table7[[#This Row],[Date]])-13, WEEKNUM(Table7[[#This Row],[Date]])+40)</f>
        <v>46</v>
      </c>
      <c r="C311" s="34" t="s">
        <v>48</v>
      </c>
      <c r="D311" s="34" t="s">
        <v>94</v>
      </c>
      <c r="E311" s="1">
        <v>0</v>
      </c>
      <c r="F311" s="1">
        <v>0</v>
      </c>
      <c r="G311" s="64">
        <v>0</v>
      </c>
      <c r="H311" s="64">
        <v>0</v>
      </c>
      <c r="I311" s="1">
        <v>0</v>
      </c>
      <c r="J311" s="1">
        <v>0</v>
      </c>
      <c r="K311" s="1">
        <v>0</v>
      </c>
      <c r="L311" s="1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301">
        <v>0</v>
      </c>
      <c r="S311" s="143">
        <v>0</v>
      </c>
      <c r="T311" s="1">
        <v>0</v>
      </c>
      <c r="U311" s="354" t="str">
        <f t="shared" si="16"/>
        <v>Normal</v>
      </c>
      <c r="V311" s="354" t="str">
        <f t="shared" si="17"/>
        <v>Normal</v>
      </c>
      <c r="W311" s="359">
        <f t="shared" si="18"/>
        <v>0</v>
      </c>
      <c r="X311" s="359">
        <f t="shared" si="19"/>
        <v>0</v>
      </c>
      <c r="Y311" s="343"/>
      <c r="Z311" s="343"/>
      <c r="AA311" s="343"/>
      <c r="AB311" s="343"/>
      <c r="AC311" s="343"/>
      <c r="AD311" s="343"/>
      <c r="AE311" s="343"/>
      <c r="AF311" s="343"/>
    </row>
    <row r="312" spans="1:32">
      <c r="A312" s="21">
        <v>45327</v>
      </c>
      <c r="B312" s="17">
        <f>IF(YEAR(Table7[[#This Row],[Date]]) = 2023, WEEKNUM(Table7[[#This Row],[Date]])-13, WEEKNUM(Table7[[#This Row],[Date]])+40)</f>
        <v>46</v>
      </c>
      <c r="C312" s="34" t="s">
        <v>49</v>
      </c>
      <c r="D312" s="34" t="s">
        <v>94</v>
      </c>
      <c r="E312" s="1">
        <v>693</v>
      </c>
      <c r="F312" s="1">
        <v>624</v>
      </c>
      <c r="G312" s="64">
        <f>IFERROR((Table7[[#This Row],[Calls Off]]-E305)/E305,0%)</f>
        <v>-0.10925449871465295</v>
      </c>
      <c r="H312" s="64">
        <f>IFERROR((Table7[[#This Row],[Calls Ans]]-F305)/F305,0%)</f>
        <v>-0.10601719197707736</v>
      </c>
      <c r="I312" s="1"/>
      <c r="J312" s="1"/>
      <c r="K312" s="1"/>
      <c r="L312" s="1"/>
      <c r="M312" s="18">
        <v>0.7</v>
      </c>
      <c r="N312" s="18">
        <v>0.1</v>
      </c>
      <c r="O312" s="18">
        <v>0.9</v>
      </c>
      <c r="P312" s="18">
        <v>0.28999999999999998</v>
      </c>
      <c r="Q312" s="18">
        <v>0.99</v>
      </c>
      <c r="R312" s="301">
        <v>123</v>
      </c>
      <c r="S312" s="143">
        <v>3.4722222222222224E-2</v>
      </c>
      <c r="T312" s="1">
        <v>11</v>
      </c>
      <c r="U312" s="354" t="str">
        <f t="shared" si="16"/>
        <v>Normal</v>
      </c>
      <c r="V312" s="354" t="str">
        <f t="shared" si="17"/>
        <v>Normal</v>
      </c>
      <c r="W312" s="359">
        <f t="shared" si="18"/>
        <v>-0.10925449871465295</v>
      </c>
      <c r="X312" s="359">
        <f t="shared" si="19"/>
        <v>-0.10601719197707736</v>
      </c>
      <c r="Y312" s="343"/>
      <c r="Z312" s="343"/>
      <c r="AA312" s="343"/>
      <c r="AB312" s="343"/>
      <c r="AC312" s="343"/>
      <c r="AD312" s="343"/>
      <c r="AE312" s="343"/>
      <c r="AF312" s="343"/>
    </row>
    <row r="313" spans="1:32">
      <c r="A313" s="21">
        <v>45328</v>
      </c>
      <c r="B313" s="17">
        <f>IF(YEAR(Table7[[#This Row],[Date]]) = 2023, WEEKNUM(Table7[[#This Row],[Date]])-13, WEEKNUM(Table7[[#This Row],[Date]])+40)</f>
        <v>46</v>
      </c>
      <c r="C313" s="34" t="s">
        <v>50</v>
      </c>
      <c r="D313" s="34" t="s">
        <v>94</v>
      </c>
      <c r="E313" s="1">
        <v>666</v>
      </c>
      <c r="F313" s="1">
        <v>637</v>
      </c>
      <c r="G313" s="64">
        <f>IFERROR((Table7[[#This Row],[Calls Off]]-E306)/E306,0%)</f>
        <v>-6.5918653576437586E-2</v>
      </c>
      <c r="H313" s="64">
        <f>IFERROR((Table7[[#This Row],[Calls Ans]]-F306)/F306,0%)</f>
        <v>-1.6975308641975308E-2</v>
      </c>
      <c r="I313" s="1"/>
      <c r="J313" s="1"/>
      <c r="K313" s="1"/>
      <c r="L313" s="1"/>
      <c r="M313" s="18">
        <v>0.88</v>
      </c>
      <c r="N313" s="18">
        <v>0.04</v>
      </c>
      <c r="O313" s="18">
        <v>0.96</v>
      </c>
      <c r="P313" s="18">
        <v>0.32</v>
      </c>
      <c r="Q313" s="18">
        <v>0.98</v>
      </c>
      <c r="R313" s="301">
        <v>140</v>
      </c>
      <c r="S313" s="143">
        <v>1.0416666666666666E-2</v>
      </c>
      <c r="T313" s="1">
        <v>10</v>
      </c>
      <c r="U313" s="354" t="str">
        <f t="shared" si="16"/>
        <v>Normal</v>
      </c>
      <c r="V313" s="354" t="str">
        <f t="shared" si="17"/>
        <v>Normal</v>
      </c>
      <c r="W313" s="359">
        <f t="shared" si="18"/>
        <v>-6.5918653576437586E-2</v>
      </c>
      <c r="X313" s="359">
        <f t="shared" si="19"/>
        <v>-1.6975308641975308E-2</v>
      </c>
      <c r="Y313" s="343"/>
      <c r="Z313" s="343"/>
      <c r="AA313" s="343"/>
      <c r="AB313" s="343"/>
      <c r="AC313" s="343"/>
      <c r="AD313" s="343"/>
      <c r="AE313" s="343"/>
      <c r="AF313" s="343"/>
    </row>
    <row r="314" spans="1:32">
      <c r="A314" s="21">
        <v>45329</v>
      </c>
      <c r="B314" s="17">
        <f>IF(YEAR(Table7[[#This Row],[Date]]) = 2023, WEEKNUM(Table7[[#This Row],[Date]])-13, WEEKNUM(Table7[[#This Row],[Date]])+40)</f>
        <v>46</v>
      </c>
      <c r="C314" s="34" t="s">
        <v>51</v>
      </c>
      <c r="D314" s="34" t="s">
        <v>94</v>
      </c>
      <c r="E314" s="1">
        <v>600</v>
      </c>
      <c r="F314" s="1">
        <v>585</v>
      </c>
      <c r="G314" s="64">
        <f>IFERROR((Table7[[#This Row],[Calls Off]]-E307)/E307,0%)</f>
        <v>-0.17582417582417584</v>
      </c>
      <c r="H314" s="64">
        <f>IFERROR((Table7[[#This Row],[Calls Ans]]-F307)/F307,0%)</f>
        <v>-0.12162162162162163</v>
      </c>
      <c r="I314" s="1"/>
      <c r="J314" s="1"/>
      <c r="K314" s="1"/>
      <c r="L314" s="1"/>
      <c r="M314" s="18">
        <v>0.98</v>
      </c>
      <c r="N314" s="18">
        <v>0.03</v>
      </c>
      <c r="O314" s="18">
        <v>0.97</v>
      </c>
      <c r="P314" s="18">
        <v>0.28999999999999998</v>
      </c>
      <c r="Q314" s="18">
        <v>0.99</v>
      </c>
      <c r="R314" s="301">
        <v>125</v>
      </c>
      <c r="S314" s="143">
        <v>3.472222222222222E-3</v>
      </c>
      <c r="T314" s="1">
        <v>10</v>
      </c>
      <c r="U314" s="354" t="str">
        <f t="shared" si="16"/>
        <v>Normal</v>
      </c>
      <c r="V314" s="354" t="str">
        <f t="shared" si="17"/>
        <v>Normal</v>
      </c>
      <c r="W314" s="359">
        <f t="shared" si="18"/>
        <v>-0.17582417582417584</v>
      </c>
      <c r="X314" s="359">
        <f t="shared" si="19"/>
        <v>-0.12162162162162163</v>
      </c>
      <c r="Y314" s="343"/>
      <c r="Z314" s="343"/>
      <c r="AA314" s="343"/>
      <c r="AB314" s="343"/>
      <c r="AC314" s="343"/>
      <c r="AD314" s="343"/>
      <c r="AE314" s="343"/>
      <c r="AF314" s="343"/>
    </row>
    <row r="315" spans="1:32">
      <c r="A315" s="21">
        <v>45330</v>
      </c>
      <c r="B315" s="17">
        <f>IF(YEAR(Table7[[#This Row],[Date]]) = 2023, WEEKNUM(Table7[[#This Row],[Date]])-13, WEEKNUM(Table7[[#This Row],[Date]])+40)</f>
        <v>46</v>
      </c>
      <c r="C315" s="34" t="s">
        <v>52</v>
      </c>
      <c r="D315" s="34" t="s">
        <v>94</v>
      </c>
      <c r="E315" s="1">
        <v>664</v>
      </c>
      <c r="F315" s="1">
        <v>645</v>
      </c>
      <c r="G315" s="64">
        <f>IFERROR((Table7[[#This Row],[Calls Off]]-E308)/E308,0%)</f>
        <v>-5.8156028368794327E-2</v>
      </c>
      <c r="H315" s="64">
        <f>IFERROR((Table7[[#This Row],[Calls Ans]]-F308)/F308,0%)</f>
        <v>9.3896713615023476E-3</v>
      </c>
      <c r="I315" s="1"/>
      <c r="J315" s="1"/>
      <c r="K315" s="1"/>
      <c r="L315" s="1"/>
      <c r="M315" s="18">
        <v>0.92</v>
      </c>
      <c r="N315" s="18">
        <v>0.03</v>
      </c>
      <c r="O315" s="18">
        <v>0.97</v>
      </c>
      <c r="P315" s="18">
        <v>0.31</v>
      </c>
      <c r="Q315" s="18">
        <v>0.99</v>
      </c>
      <c r="R315" s="301">
        <v>135</v>
      </c>
      <c r="S315" s="143">
        <v>6.2499999999999995E-3</v>
      </c>
      <c r="T315" s="1">
        <v>12</v>
      </c>
      <c r="U315" s="354" t="str">
        <f t="shared" si="16"/>
        <v>Normal</v>
      </c>
      <c r="V315" s="354" t="str">
        <f t="shared" si="17"/>
        <v>Normal</v>
      </c>
      <c r="W315" s="359">
        <f t="shared" si="18"/>
        <v>-5.8156028368794327E-2</v>
      </c>
      <c r="X315" s="359">
        <f t="shared" si="19"/>
        <v>9.3896713615023476E-3</v>
      </c>
      <c r="Y315" s="343"/>
      <c r="Z315" s="343"/>
      <c r="AA315" s="343"/>
      <c r="AB315" s="343"/>
      <c r="AC315" s="343"/>
      <c r="AD315" s="343"/>
      <c r="AE315" s="343"/>
      <c r="AF315" s="343"/>
    </row>
    <row r="316" spans="1:32">
      <c r="A316" s="21">
        <v>45331</v>
      </c>
      <c r="B316" s="17">
        <f>IF(YEAR(Table7[[#This Row],[Date]]) = 2023, WEEKNUM(Table7[[#This Row],[Date]])-13, WEEKNUM(Table7[[#This Row],[Date]])+40)</f>
        <v>46</v>
      </c>
      <c r="C316" s="34" t="s">
        <v>53</v>
      </c>
      <c r="D316" s="34" t="s">
        <v>94</v>
      </c>
      <c r="E316" s="1">
        <v>615</v>
      </c>
      <c r="F316" s="1">
        <v>578</v>
      </c>
      <c r="G316" s="64">
        <f>IFERROR((Table7[[#This Row],[Calls Off]]-E309)/E309,0%)</f>
        <v>4.9019607843137254E-3</v>
      </c>
      <c r="H316" s="64">
        <f>IFERROR((Table7[[#This Row],[Calls Ans]]-F309)/F309,0%)</f>
        <v>-1.3651877133105802E-2</v>
      </c>
      <c r="I316" s="1"/>
      <c r="J316" s="1"/>
      <c r="K316" s="1"/>
      <c r="L316" s="1"/>
      <c r="M316" s="18">
        <v>0.83</v>
      </c>
      <c r="N316" s="18">
        <v>0.06</v>
      </c>
      <c r="O316" s="18">
        <v>0.94</v>
      </c>
      <c r="P316" s="18">
        <v>0.36</v>
      </c>
      <c r="Q316" s="18">
        <v>0.98</v>
      </c>
      <c r="R316" s="301">
        <v>125</v>
      </c>
      <c r="S316" s="143">
        <v>1.0416666666666666E-2</v>
      </c>
      <c r="T316" s="1">
        <v>9</v>
      </c>
      <c r="U316" s="354" t="str">
        <f t="shared" si="16"/>
        <v>Normal</v>
      </c>
      <c r="V316" s="354" t="str">
        <f t="shared" si="17"/>
        <v>Normal</v>
      </c>
      <c r="W316" s="359">
        <f t="shared" si="18"/>
        <v>4.9019607843137254E-3</v>
      </c>
      <c r="X316" s="359">
        <f t="shared" si="19"/>
        <v>-1.3651877133105802E-2</v>
      </c>
      <c r="Y316" s="343"/>
      <c r="Z316" s="343"/>
      <c r="AA316" s="343"/>
      <c r="AB316" s="343"/>
      <c r="AC316" s="343"/>
      <c r="AD316" s="343"/>
      <c r="AE316" s="343"/>
      <c r="AF316" s="343"/>
    </row>
    <row r="317" spans="1:32">
      <c r="A317" s="21">
        <v>45332</v>
      </c>
      <c r="B317" s="17">
        <f>IF(YEAR(Table7[[#This Row],[Date]]) = 2023, WEEKNUM(Table7[[#This Row],[Date]])-13, WEEKNUM(Table7[[#This Row],[Date]])+40)</f>
        <v>46</v>
      </c>
      <c r="C317" s="34" t="s">
        <v>54</v>
      </c>
      <c r="D317" s="34" t="s">
        <v>94</v>
      </c>
      <c r="E317" s="1">
        <v>318</v>
      </c>
      <c r="F317" s="1">
        <v>258</v>
      </c>
      <c r="G317" s="64">
        <f>IFERROR((Table7[[#This Row],[Calls Off]]-E310)/E310,0%)</f>
        <v>-0.10169491525423729</v>
      </c>
      <c r="H317" s="64">
        <f>IFERROR((Table7[[#This Row],[Calls Ans]]-F310)/F310,0%)</f>
        <v>-0.25217391304347825</v>
      </c>
      <c r="I317" s="1"/>
      <c r="J317" s="1"/>
      <c r="K317" s="1"/>
      <c r="L317" s="1"/>
      <c r="M317" s="18">
        <v>0.54</v>
      </c>
      <c r="N317" s="18">
        <v>0.19</v>
      </c>
      <c r="O317" s="18">
        <v>0.81</v>
      </c>
      <c r="P317" s="18">
        <v>0.53</v>
      </c>
      <c r="Q317" s="18">
        <v>0.95</v>
      </c>
      <c r="R317" s="301">
        <v>129</v>
      </c>
      <c r="S317" s="143">
        <v>3.4722222222222224E-2</v>
      </c>
      <c r="T317" s="1">
        <v>4</v>
      </c>
      <c r="U317" s="354" t="str">
        <f t="shared" si="16"/>
        <v>Normal</v>
      </c>
      <c r="V317" s="354" t="str">
        <f t="shared" si="17"/>
        <v>Normal</v>
      </c>
      <c r="W317" s="359">
        <f t="shared" si="18"/>
        <v>-0.10169491525423729</v>
      </c>
      <c r="X317" s="359">
        <f t="shared" si="19"/>
        <v>-0.25217391304347825</v>
      </c>
      <c r="Y317" s="343"/>
      <c r="Z317" s="343"/>
      <c r="AA317" s="343"/>
      <c r="AB317" s="343"/>
      <c r="AC317" s="343"/>
      <c r="AD317" s="343"/>
      <c r="AE317" s="343"/>
      <c r="AF317" s="343"/>
    </row>
    <row r="318" spans="1:32">
      <c r="A318" s="21">
        <v>45333</v>
      </c>
      <c r="B318" s="17">
        <f>IF(YEAR(Table7[[#This Row],[Date]]) = 2023, WEEKNUM(Table7[[#This Row],[Date]])-13, WEEKNUM(Table7[[#This Row],[Date]])+40)</f>
        <v>47</v>
      </c>
      <c r="C318" s="34" t="s">
        <v>48</v>
      </c>
      <c r="D318" s="34" t="s">
        <v>94</v>
      </c>
      <c r="E318" s="1">
        <v>0</v>
      </c>
      <c r="F318" s="1">
        <v>0</v>
      </c>
      <c r="G318" s="64">
        <v>0</v>
      </c>
      <c r="H318" s="64">
        <v>0</v>
      </c>
      <c r="I318" s="1">
        <v>0</v>
      </c>
      <c r="J318" s="1">
        <v>0</v>
      </c>
      <c r="K318" s="1">
        <v>0</v>
      </c>
      <c r="L318" s="1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301">
        <v>0</v>
      </c>
      <c r="S318" s="143">
        <v>0</v>
      </c>
      <c r="T318" s="1">
        <v>0</v>
      </c>
      <c r="U318" s="354" t="str">
        <f t="shared" si="16"/>
        <v>Normal</v>
      </c>
      <c r="V318" s="354" t="str">
        <f t="shared" si="17"/>
        <v>Normal</v>
      </c>
      <c r="W318" s="359">
        <f t="shared" si="18"/>
        <v>0</v>
      </c>
      <c r="X318" s="359">
        <f t="shared" si="19"/>
        <v>0</v>
      </c>
      <c r="Y318" s="343"/>
      <c r="Z318" s="343"/>
      <c r="AA318" s="343"/>
      <c r="AB318" s="343"/>
      <c r="AC318" s="343"/>
      <c r="AD318" s="343"/>
      <c r="AE318" s="343"/>
      <c r="AF318" s="343"/>
    </row>
    <row r="319" spans="1:32">
      <c r="A319" s="21">
        <v>45334</v>
      </c>
      <c r="B319" s="17">
        <f>IF(YEAR(Table7[[#This Row],[Date]]) = 2023, WEEKNUM(Table7[[#This Row],[Date]])-13, WEEKNUM(Table7[[#This Row],[Date]])+40)</f>
        <v>47</v>
      </c>
      <c r="C319" s="34" t="s">
        <v>64</v>
      </c>
      <c r="D319" s="34" t="s">
        <v>94</v>
      </c>
      <c r="E319" s="1">
        <v>0</v>
      </c>
      <c r="F319" s="1">
        <v>0</v>
      </c>
      <c r="G319" s="64">
        <v>0</v>
      </c>
      <c r="H319" s="64">
        <v>0</v>
      </c>
      <c r="I319" s="1">
        <v>0</v>
      </c>
      <c r="J319" s="1">
        <v>0</v>
      </c>
      <c r="K319" s="1">
        <v>0</v>
      </c>
      <c r="L319" s="1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301">
        <v>0</v>
      </c>
      <c r="S319" s="143">
        <v>0</v>
      </c>
      <c r="T319" s="1">
        <v>0</v>
      </c>
      <c r="U319" s="354" t="str">
        <f t="shared" si="16"/>
        <v>Normal</v>
      </c>
      <c r="V319" s="354" t="str">
        <f t="shared" si="17"/>
        <v>Normal</v>
      </c>
      <c r="W319" s="359">
        <f t="shared" si="18"/>
        <v>0</v>
      </c>
      <c r="X319" s="359">
        <f t="shared" si="19"/>
        <v>0</v>
      </c>
      <c r="Y319" s="343"/>
      <c r="Z319" s="343"/>
      <c r="AA319" s="343"/>
      <c r="AB319" s="343"/>
      <c r="AC319" s="343"/>
      <c r="AD319" s="343"/>
      <c r="AE319" s="343"/>
      <c r="AF319" s="343"/>
    </row>
    <row r="320" spans="1:32">
      <c r="A320" s="21">
        <v>45335</v>
      </c>
      <c r="B320" s="17">
        <f>IF(YEAR(Table7[[#This Row],[Date]]) = 2023, WEEKNUM(Table7[[#This Row],[Date]])-13, WEEKNUM(Table7[[#This Row],[Date]])+40)</f>
        <v>47</v>
      </c>
      <c r="C320" s="34" t="s">
        <v>64</v>
      </c>
      <c r="D320" s="34" t="s">
        <v>94</v>
      </c>
      <c r="E320" s="1">
        <v>0</v>
      </c>
      <c r="F320" s="1">
        <v>0</v>
      </c>
      <c r="G320" s="64">
        <v>0</v>
      </c>
      <c r="H320" s="64">
        <v>0</v>
      </c>
      <c r="I320" s="1">
        <v>0</v>
      </c>
      <c r="J320" s="1">
        <v>0</v>
      </c>
      <c r="K320" s="1">
        <v>0</v>
      </c>
      <c r="L320" s="1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R320" s="301">
        <v>0</v>
      </c>
      <c r="S320" s="143">
        <v>0</v>
      </c>
      <c r="T320" s="1">
        <v>0</v>
      </c>
      <c r="U320" s="354" t="str">
        <f t="shared" si="16"/>
        <v>Normal</v>
      </c>
      <c r="V320" s="354" t="str">
        <f t="shared" si="17"/>
        <v>Normal</v>
      </c>
      <c r="W320" s="359">
        <f t="shared" si="18"/>
        <v>0</v>
      </c>
      <c r="X320" s="359">
        <f t="shared" si="19"/>
        <v>0</v>
      </c>
      <c r="Y320" s="343"/>
      <c r="Z320" s="343"/>
      <c r="AA320" s="343"/>
      <c r="AB320" s="343"/>
      <c r="AC320" s="343"/>
      <c r="AD320" s="343"/>
      <c r="AE320" s="343"/>
      <c r="AF320" s="343"/>
    </row>
    <row r="321" spans="1:36">
      <c r="A321" s="21">
        <v>45336</v>
      </c>
      <c r="B321" s="17">
        <f>IF(YEAR(Table7[[#This Row],[Date]]) = 2023, WEEKNUM(Table7[[#This Row],[Date]])-13, WEEKNUM(Table7[[#This Row],[Date]])+40)</f>
        <v>47</v>
      </c>
      <c r="C321" s="34" t="s">
        <v>51</v>
      </c>
      <c r="D321" s="34" t="s">
        <v>94</v>
      </c>
      <c r="E321" s="1">
        <v>633</v>
      </c>
      <c r="F321" s="1">
        <v>623</v>
      </c>
      <c r="G321" s="64">
        <f>IFERROR((Table7[[#This Row],[Calls Off]]-E314)/E314,0%)</f>
        <v>5.5E-2</v>
      </c>
      <c r="H321" s="64">
        <f>IFERROR((Table7[[#This Row],[Calls Ans]]-F314)/F314,0%)</f>
        <v>6.4957264957264962E-2</v>
      </c>
      <c r="I321" s="1"/>
      <c r="J321" s="1"/>
      <c r="K321" s="1"/>
      <c r="L321" s="1"/>
      <c r="M321" s="18">
        <v>0.89</v>
      </c>
      <c r="N321" s="18">
        <v>0.02</v>
      </c>
      <c r="O321" s="18">
        <v>0.98</v>
      </c>
      <c r="P321" s="18">
        <v>0.28999999999999998</v>
      </c>
      <c r="Q321" s="18">
        <v>0.98</v>
      </c>
      <c r="R321" s="301">
        <v>136</v>
      </c>
      <c r="S321" s="143">
        <v>9.0277777777777787E-3</v>
      </c>
      <c r="T321" s="1">
        <v>12</v>
      </c>
      <c r="U321" s="354" t="str">
        <f t="shared" si="16"/>
        <v>Normal</v>
      </c>
      <c r="V321" s="354" t="str">
        <f t="shared" si="17"/>
        <v>Normal</v>
      </c>
      <c r="W321" s="359">
        <f t="shared" si="18"/>
        <v>5.5E-2</v>
      </c>
      <c r="X321" s="359">
        <f t="shared" si="19"/>
        <v>6.4957264957264962E-2</v>
      </c>
      <c r="Y321" s="343"/>
      <c r="Z321" s="343"/>
      <c r="AA321" s="343"/>
      <c r="AB321" s="343"/>
      <c r="AC321" s="343"/>
      <c r="AD321" s="343"/>
      <c r="AE321" s="343"/>
      <c r="AF321" s="343"/>
    </row>
    <row r="322" spans="1:36">
      <c r="A322" s="21">
        <v>45337</v>
      </c>
      <c r="B322" s="17">
        <f>IF(YEAR(Table7[[#This Row],[Date]]) = 2023, WEEKNUM(Table7[[#This Row],[Date]])-13, WEEKNUM(Table7[[#This Row],[Date]])+40)</f>
        <v>47</v>
      </c>
      <c r="C322" s="34" t="s">
        <v>52</v>
      </c>
      <c r="D322" s="34" t="s">
        <v>94</v>
      </c>
      <c r="E322" s="1">
        <v>729</v>
      </c>
      <c r="F322" s="1">
        <v>627</v>
      </c>
      <c r="G322" s="64">
        <f>IFERROR((Table7[[#This Row],[Calls Off]]-E315)/E315,0%)</f>
        <v>9.7891566265060237E-2</v>
      </c>
      <c r="H322" s="64">
        <f>IFERROR((Table7[[#This Row],[Calls Ans]]-F315)/F315,0%)</f>
        <v>-2.7906976744186046E-2</v>
      </c>
      <c r="I322" s="1"/>
      <c r="J322" s="1"/>
      <c r="K322" s="1"/>
      <c r="L322" s="1"/>
      <c r="M322" s="18">
        <v>0.61</v>
      </c>
      <c r="N322" s="18">
        <v>0.14000000000000001</v>
      </c>
      <c r="O322" s="18">
        <v>0.86</v>
      </c>
      <c r="P322" s="18">
        <v>0.4</v>
      </c>
      <c r="Q322" s="18">
        <v>1</v>
      </c>
      <c r="R322" s="301">
        <v>118</v>
      </c>
      <c r="S322" s="143">
        <v>3.6805555555555557E-2</v>
      </c>
      <c r="T322" s="1">
        <v>9</v>
      </c>
      <c r="U322" s="354" t="str">
        <f t="shared" si="16"/>
        <v>Normal</v>
      </c>
      <c r="V322" s="354" t="str">
        <f t="shared" si="17"/>
        <v>Normal</v>
      </c>
      <c r="W322" s="359">
        <f t="shared" si="18"/>
        <v>9.7891566265060237E-2</v>
      </c>
      <c r="X322" s="359">
        <f t="shared" si="19"/>
        <v>-2.7906976744186046E-2</v>
      </c>
      <c r="Y322" s="343"/>
      <c r="Z322" s="343"/>
      <c r="AA322" s="343"/>
      <c r="AB322" s="343"/>
      <c r="AC322" s="343"/>
      <c r="AD322" s="343"/>
      <c r="AE322" s="343"/>
      <c r="AF322" s="343"/>
    </row>
    <row r="323" spans="1:36">
      <c r="A323" s="21">
        <v>45338</v>
      </c>
      <c r="B323" s="17">
        <f>IF(YEAR(Table7[[#This Row],[Date]]) = 2023, WEEKNUM(Table7[[#This Row],[Date]])-13, WEEKNUM(Table7[[#This Row],[Date]])+40)</f>
        <v>47</v>
      </c>
      <c r="C323" s="34" t="s">
        <v>53</v>
      </c>
      <c r="D323" s="34" t="s">
        <v>94</v>
      </c>
      <c r="E323" s="1">
        <v>620</v>
      </c>
      <c r="F323" s="1">
        <v>615</v>
      </c>
      <c r="G323" s="64">
        <f>IFERROR((Table7[[#This Row],[Calls Off]]-E316)/E316,0%)</f>
        <v>8.130081300813009E-3</v>
      </c>
      <c r="H323" s="64">
        <f>IFERROR((Table7[[#This Row],[Calls Ans]]-F316)/F316,0%)</f>
        <v>6.4013840830449822E-2</v>
      </c>
      <c r="I323" s="1"/>
      <c r="J323" s="1"/>
      <c r="K323" s="1"/>
      <c r="L323" s="1"/>
      <c r="M323" s="18">
        <v>0.95</v>
      </c>
      <c r="N323" s="18">
        <v>0.01</v>
      </c>
      <c r="O323" s="18">
        <v>0.99</v>
      </c>
      <c r="P323" s="18">
        <v>0.28000000000000003</v>
      </c>
      <c r="Q323" s="18">
        <v>0.98</v>
      </c>
      <c r="R323" s="301">
        <v>126</v>
      </c>
      <c r="S323" s="143">
        <v>4.1666666666666666E-3</v>
      </c>
      <c r="T323" s="1">
        <v>12</v>
      </c>
      <c r="U323" s="354" t="str">
        <f t="shared" ref="U323:U367" si="20">IF(OR(G323&lt;$AA$5,G323&gt;$AB$5), "Outlier", "Normal")</f>
        <v>Normal</v>
      </c>
      <c r="V323" s="354" t="str">
        <f t="shared" ref="V323:V367" si="21">IF(OR(H323&lt;$AA$6,H323&gt;$AB$6), "Outlier", "Normal")</f>
        <v>Normal</v>
      </c>
      <c r="W323" s="359">
        <f t="shared" ref="W323:W367" si="22">IF(U323="Normal",$G323,IF($G323&lt;150%, $G323, $AA$9))</f>
        <v>8.130081300813009E-3</v>
      </c>
      <c r="X323" s="359">
        <f t="shared" ref="X323:X367" si="23">IF(V323="Normal",$H323,IF($H323&lt;150%, $H323, $AE$9))</f>
        <v>6.4013840830449822E-2</v>
      </c>
      <c r="Y323" s="343"/>
      <c r="Z323" s="343"/>
      <c r="AA323" s="343"/>
      <c r="AB323" s="343"/>
      <c r="AC323" s="343"/>
      <c r="AD323" s="343"/>
      <c r="AE323" s="343"/>
      <c r="AF323" s="343"/>
    </row>
    <row r="324" spans="1:36">
      <c r="A324" s="21">
        <v>45339</v>
      </c>
      <c r="B324" s="17">
        <f>IF(YEAR(Table7[[#This Row],[Date]]) = 2023, WEEKNUM(Table7[[#This Row],[Date]])-13, WEEKNUM(Table7[[#This Row],[Date]])+40)</f>
        <v>47</v>
      </c>
      <c r="C324" s="34" t="s">
        <v>54</v>
      </c>
      <c r="D324" s="34" t="s">
        <v>94</v>
      </c>
      <c r="E324" s="1">
        <v>365</v>
      </c>
      <c r="F324" s="1">
        <v>316</v>
      </c>
      <c r="G324" s="64">
        <f>IFERROR((Table7[[#This Row],[Calls Off]]-E317)/E317,0%)</f>
        <v>0.14779874213836477</v>
      </c>
      <c r="H324" s="64">
        <f>IFERROR((Table7[[#This Row],[Calls Ans]]-F317)/F317,0%)</f>
        <v>0.22480620155038761</v>
      </c>
      <c r="I324" s="1"/>
      <c r="J324" s="1"/>
      <c r="K324" s="1"/>
      <c r="L324" s="1"/>
      <c r="M324" s="18">
        <v>0.55000000000000004</v>
      </c>
      <c r="N324" s="18">
        <v>0.13</v>
      </c>
      <c r="O324" s="18">
        <v>0.87</v>
      </c>
      <c r="P324" s="18">
        <v>0.49</v>
      </c>
      <c r="Q324" s="18">
        <v>0.96</v>
      </c>
      <c r="R324" s="301">
        <v>104</v>
      </c>
      <c r="S324" s="143">
        <v>6.3657407407407402E-4</v>
      </c>
      <c r="T324" s="1">
        <v>6</v>
      </c>
      <c r="U324" s="354" t="str">
        <f t="shared" si="20"/>
        <v>Normal</v>
      </c>
      <c r="V324" s="354" t="str">
        <f t="shared" si="21"/>
        <v>Normal</v>
      </c>
      <c r="W324" s="359">
        <f t="shared" si="22"/>
        <v>0.14779874213836477</v>
      </c>
      <c r="X324" s="359">
        <f t="shared" si="23"/>
        <v>0.22480620155038761</v>
      </c>
      <c r="Y324" s="343"/>
      <c r="Z324" s="343"/>
      <c r="AA324" s="343"/>
      <c r="AB324" s="343"/>
      <c r="AC324" s="343"/>
      <c r="AD324" s="343"/>
      <c r="AE324" s="343"/>
      <c r="AF324" s="343"/>
    </row>
    <row r="325" spans="1:36">
      <c r="A325" s="21">
        <v>45340</v>
      </c>
      <c r="B325" s="17">
        <f>IF(YEAR(Table7[[#This Row],[Date]]) = 2023, WEEKNUM(Table7[[#This Row],[Date]])-13, WEEKNUM(Table7[[#This Row],[Date]])+40)</f>
        <v>48</v>
      </c>
      <c r="C325" s="34" t="s">
        <v>48</v>
      </c>
      <c r="D325" s="34" t="s">
        <v>94</v>
      </c>
      <c r="E325" s="1">
        <v>0</v>
      </c>
      <c r="F325" s="1">
        <v>0</v>
      </c>
      <c r="G325" s="64">
        <v>0</v>
      </c>
      <c r="H325" s="64">
        <v>0</v>
      </c>
      <c r="I325" s="1">
        <v>0</v>
      </c>
      <c r="J325" s="1">
        <v>0</v>
      </c>
      <c r="K325" s="1">
        <v>0</v>
      </c>
      <c r="L325" s="1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301">
        <v>0</v>
      </c>
      <c r="S325" s="143">
        <v>0</v>
      </c>
      <c r="T325" s="1">
        <v>0</v>
      </c>
      <c r="U325" s="354" t="str">
        <f t="shared" si="20"/>
        <v>Normal</v>
      </c>
      <c r="V325" s="354" t="str">
        <f t="shared" si="21"/>
        <v>Normal</v>
      </c>
      <c r="W325" s="359">
        <f t="shared" si="22"/>
        <v>0</v>
      </c>
      <c r="X325" s="359">
        <f t="shared" si="23"/>
        <v>0</v>
      </c>
      <c r="Y325" s="343"/>
      <c r="Z325" s="343"/>
      <c r="AA325" s="343"/>
      <c r="AB325" s="343"/>
      <c r="AC325" s="343"/>
      <c r="AD325" s="343"/>
      <c r="AE325" s="343"/>
      <c r="AF325" s="343"/>
    </row>
    <row r="326" spans="1:36">
      <c r="A326" s="21">
        <v>45341</v>
      </c>
      <c r="B326" s="17">
        <f>IF(YEAR(Table7[[#This Row],[Date]]) = 2023, WEEKNUM(Table7[[#This Row],[Date]])-13, WEEKNUM(Table7[[#This Row],[Date]])+40)</f>
        <v>48</v>
      </c>
      <c r="C326" s="34" t="s">
        <v>49</v>
      </c>
      <c r="D326" s="34" t="s">
        <v>94</v>
      </c>
      <c r="E326" s="1">
        <v>763</v>
      </c>
      <c r="F326" s="1">
        <v>740</v>
      </c>
      <c r="G326" s="64">
        <f>IFERROR((Table7[[#This Row],[Calls Off]]-E319)/E319,0%)</f>
        <v>0</v>
      </c>
      <c r="H326" s="64">
        <f>IFERROR((Table7[[#This Row],[Calls Ans]]-F319)/F319,0%)</f>
        <v>0</v>
      </c>
      <c r="I326" s="1"/>
      <c r="J326" s="1"/>
      <c r="K326" s="1"/>
      <c r="L326" s="1"/>
      <c r="M326" s="18">
        <v>0.91</v>
      </c>
      <c r="N326" s="18">
        <v>0.03</v>
      </c>
      <c r="O326" s="18">
        <v>0.97</v>
      </c>
      <c r="P326" s="18">
        <v>0.36</v>
      </c>
      <c r="Q326" s="18">
        <v>0.98</v>
      </c>
      <c r="R326" s="301">
        <v>123</v>
      </c>
      <c r="S326" s="143">
        <v>9.2592592592592588E-5</v>
      </c>
      <c r="T326" s="1">
        <v>11</v>
      </c>
      <c r="U326" s="354" t="str">
        <f t="shared" si="20"/>
        <v>Normal</v>
      </c>
      <c r="V326" s="354" t="str">
        <f t="shared" si="21"/>
        <v>Normal</v>
      </c>
      <c r="W326" s="359">
        <f t="shared" si="22"/>
        <v>0</v>
      </c>
      <c r="X326" s="359">
        <f t="shared" si="23"/>
        <v>0</v>
      </c>
      <c r="Y326" s="343"/>
      <c r="Z326" s="343"/>
      <c r="AA326" s="343"/>
      <c r="AB326" s="343"/>
      <c r="AC326" s="343"/>
      <c r="AD326" s="343"/>
      <c r="AE326" s="343"/>
      <c r="AF326" s="343"/>
    </row>
    <row r="327" spans="1:36">
      <c r="A327" s="21">
        <v>45342</v>
      </c>
      <c r="B327" s="17">
        <f>IF(YEAR(Table7[[#This Row],[Date]]) = 2023, WEEKNUM(Table7[[#This Row],[Date]])-13, WEEKNUM(Table7[[#This Row],[Date]])+40)</f>
        <v>48</v>
      </c>
      <c r="C327" s="34" t="s">
        <v>50</v>
      </c>
      <c r="D327" s="34" t="s">
        <v>94</v>
      </c>
      <c r="E327" s="1">
        <v>645</v>
      </c>
      <c r="F327" s="1">
        <v>625</v>
      </c>
      <c r="G327" s="64">
        <f>IFERROR((Table7[[#This Row],[Calls Off]]-E320)/E320,0%)</f>
        <v>0</v>
      </c>
      <c r="H327" s="64">
        <f>IFERROR((Table7[[#This Row],[Calls Ans]]-F320)/F320,0%)</f>
        <v>0</v>
      </c>
      <c r="I327" s="1"/>
      <c r="J327" s="1"/>
      <c r="K327" s="1"/>
      <c r="L327" s="1"/>
      <c r="M327" s="18">
        <v>0.88</v>
      </c>
      <c r="N327" s="18">
        <v>0.03</v>
      </c>
      <c r="O327" s="18">
        <v>0.97</v>
      </c>
      <c r="P327" s="18">
        <v>0.32</v>
      </c>
      <c r="Q327" s="18">
        <v>0.99</v>
      </c>
      <c r="R327" s="301">
        <v>133</v>
      </c>
      <c r="S327" s="143">
        <v>1.5046296296296297E-4</v>
      </c>
      <c r="T327" s="1">
        <v>9</v>
      </c>
      <c r="U327" s="354" t="str">
        <f t="shared" si="20"/>
        <v>Normal</v>
      </c>
      <c r="V327" s="354" t="str">
        <f t="shared" si="21"/>
        <v>Normal</v>
      </c>
      <c r="W327" s="359">
        <f t="shared" si="22"/>
        <v>0</v>
      </c>
      <c r="X327" s="359">
        <f t="shared" si="23"/>
        <v>0</v>
      </c>
      <c r="Y327" s="343"/>
      <c r="Z327" s="343"/>
      <c r="AA327" s="343"/>
      <c r="AB327" s="343"/>
      <c r="AC327" s="343"/>
      <c r="AD327" s="343"/>
      <c r="AE327" s="343"/>
      <c r="AF327" s="343"/>
    </row>
    <row r="328" spans="1:36">
      <c r="A328" s="21">
        <v>45343</v>
      </c>
      <c r="B328" s="17">
        <f>IF(YEAR(Table7[[#This Row],[Date]]) = 2023, WEEKNUM(Table7[[#This Row],[Date]])-13, WEEKNUM(Table7[[#This Row],[Date]])+40)</f>
        <v>48</v>
      </c>
      <c r="C328" s="34" t="s">
        <v>51</v>
      </c>
      <c r="D328" s="34" t="s">
        <v>94</v>
      </c>
      <c r="E328" s="1">
        <v>659</v>
      </c>
      <c r="F328" s="1">
        <v>631</v>
      </c>
      <c r="G328" s="64">
        <f>IFERROR((Table7[[#This Row],[Calls Off]]-E321)/E321,0%)</f>
        <v>4.1074249605055291E-2</v>
      </c>
      <c r="H328" s="64">
        <f>IFERROR((Table7[[#This Row],[Calls Ans]]-F321)/F321,0%)</f>
        <v>1.2841091492776886E-2</v>
      </c>
      <c r="I328" s="1"/>
      <c r="J328" s="1"/>
      <c r="K328" s="1"/>
      <c r="L328" s="1"/>
      <c r="M328" s="18">
        <v>0.81</v>
      </c>
      <c r="N328" s="18">
        <v>0.04</v>
      </c>
      <c r="O328" s="18">
        <v>0.96</v>
      </c>
      <c r="P328" s="18">
        <v>0.4</v>
      </c>
      <c r="Q328" s="18">
        <v>1</v>
      </c>
      <c r="R328" s="301">
        <v>125</v>
      </c>
      <c r="S328" s="143">
        <v>3.0092592592592595E-4</v>
      </c>
      <c r="T328" s="1">
        <v>9</v>
      </c>
      <c r="U328" s="354" t="str">
        <f t="shared" si="20"/>
        <v>Normal</v>
      </c>
      <c r="V328" s="354" t="str">
        <f t="shared" si="21"/>
        <v>Normal</v>
      </c>
      <c r="W328" s="359">
        <f t="shared" si="22"/>
        <v>4.1074249605055291E-2</v>
      </c>
      <c r="X328" s="359">
        <f t="shared" si="23"/>
        <v>1.2841091492776886E-2</v>
      </c>
      <c r="Y328" s="343"/>
      <c r="Z328" s="343"/>
      <c r="AA328" s="343"/>
      <c r="AB328" s="343"/>
      <c r="AC328" s="343"/>
      <c r="AD328" s="343"/>
      <c r="AE328" s="343"/>
      <c r="AF328" s="343"/>
    </row>
    <row r="329" spans="1:36">
      <c r="A329" s="21">
        <v>45344</v>
      </c>
      <c r="B329" s="17">
        <f>IF(YEAR(Table7[[#This Row],[Date]]) = 2023, WEEKNUM(Table7[[#This Row],[Date]])-13, WEEKNUM(Table7[[#This Row],[Date]])+40)</f>
        <v>48</v>
      </c>
      <c r="C329" s="34" t="s">
        <v>52</v>
      </c>
      <c r="D329" s="34" t="s">
        <v>94</v>
      </c>
      <c r="E329" s="1">
        <v>649</v>
      </c>
      <c r="F329" s="1">
        <v>633</v>
      </c>
      <c r="G329" s="64">
        <f>IFERROR((Table7[[#This Row],[Calls Off]]-E322)/E322,0%)</f>
        <v>-0.10973936899862825</v>
      </c>
      <c r="H329" s="64">
        <f>IFERROR((Table7[[#This Row],[Calls Ans]]-F322)/F322,0%)</f>
        <v>9.5693779904306216E-3</v>
      </c>
      <c r="I329" s="1"/>
      <c r="J329" s="1"/>
      <c r="K329" s="1"/>
      <c r="L329" s="1"/>
      <c r="M329" s="18">
        <v>0.9</v>
      </c>
      <c r="N329" s="18">
        <v>0.02</v>
      </c>
      <c r="O329" s="18">
        <v>0.98</v>
      </c>
      <c r="P329" s="18">
        <v>0.32</v>
      </c>
      <c r="Q329" s="18">
        <v>0.98</v>
      </c>
      <c r="R329" s="301">
        <v>134</v>
      </c>
      <c r="S329" s="143">
        <v>2.7777777777777778E-4</v>
      </c>
      <c r="T329" s="1">
        <v>11</v>
      </c>
      <c r="U329" s="354" t="str">
        <f t="shared" si="20"/>
        <v>Normal</v>
      </c>
      <c r="V329" s="354" t="str">
        <f t="shared" si="21"/>
        <v>Normal</v>
      </c>
      <c r="W329" s="359">
        <f t="shared" si="22"/>
        <v>-0.10973936899862825</v>
      </c>
      <c r="X329" s="359">
        <f t="shared" si="23"/>
        <v>9.5693779904306216E-3</v>
      </c>
      <c r="Y329" s="343"/>
      <c r="Z329" s="343"/>
      <c r="AA329" s="343"/>
      <c r="AB329" s="343"/>
      <c r="AC329" s="343"/>
      <c r="AD329" s="343"/>
      <c r="AE329" s="343"/>
      <c r="AF329" s="343"/>
    </row>
    <row r="330" spans="1:36">
      <c r="A330" s="21">
        <v>45345</v>
      </c>
      <c r="B330" s="17">
        <f>IF(YEAR(Table7[[#This Row],[Date]]) = 2023, WEEKNUM(Table7[[#This Row],[Date]])-13, WEEKNUM(Table7[[#This Row],[Date]])+40)</f>
        <v>48</v>
      </c>
      <c r="C330" s="34" t="s">
        <v>53</v>
      </c>
      <c r="D330" s="34" t="s">
        <v>94</v>
      </c>
      <c r="E330" s="1">
        <v>653</v>
      </c>
      <c r="F330" s="1">
        <v>631</v>
      </c>
      <c r="G330" s="64">
        <f>IFERROR((Table7[[#This Row],[Calls Off]]-E323)/E323,0%)</f>
        <v>5.32258064516129E-2</v>
      </c>
      <c r="H330" s="64">
        <f>IFERROR((Table7[[#This Row],[Calls Ans]]-F323)/F323,0%)</f>
        <v>2.6016260162601626E-2</v>
      </c>
      <c r="I330" s="1"/>
      <c r="J330" s="1"/>
      <c r="K330" s="1"/>
      <c r="L330" s="1"/>
      <c r="M330" s="18">
        <v>0.92</v>
      </c>
      <c r="N330" s="18">
        <v>0.03</v>
      </c>
      <c r="O330" s="18">
        <v>0.97</v>
      </c>
      <c r="P330" s="18">
        <v>0.31</v>
      </c>
      <c r="Q330" s="18">
        <v>0.97</v>
      </c>
      <c r="R330" s="301">
        <v>138</v>
      </c>
      <c r="S330" s="143">
        <v>8.1018518518518516E-5</v>
      </c>
      <c r="T330" s="1">
        <v>11</v>
      </c>
      <c r="U330" s="354" t="str">
        <f t="shared" si="20"/>
        <v>Normal</v>
      </c>
      <c r="V330" s="354" t="str">
        <f t="shared" si="21"/>
        <v>Normal</v>
      </c>
      <c r="W330" s="359">
        <f t="shared" si="22"/>
        <v>5.32258064516129E-2</v>
      </c>
      <c r="X330" s="359">
        <f t="shared" si="23"/>
        <v>2.6016260162601626E-2</v>
      </c>
      <c r="Y330" s="343"/>
      <c r="Z330" s="343"/>
      <c r="AA330" s="343"/>
      <c r="AB330" s="343"/>
      <c r="AC330" s="343"/>
      <c r="AD330" s="343"/>
      <c r="AE330" s="343"/>
      <c r="AF330" s="343"/>
    </row>
    <row r="331" spans="1:36">
      <c r="A331" s="21">
        <v>45346</v>
      </c>
      <c r="B331" s="17">
        <f>IF(YEAR(Table7[[#This Row],[Date]]) = 2023, WEEKNUM(Table7[[#This Row],[Date]])-13, WEEKNUM(Table7[[#This Row],[Date]])+40)</f>
        <v>48</v>
      </c>
      <c r="C331" s="34" t="s">
        <v>54</v>
      </c>
      <c r="D331" s="34" t="s">
        <v>94</v>
      </c>
      <c r="E331" s="1">
        <v>376</v>
      </c>
      <c r="F331" s="1">
        <v>323</v>
      </c>
      <c r="G331" s="64">
        <f>IFERROR((Table7[[#This Row],[Calls Off]]-E324)/E324,0%)</f>
        <v>3.0136986301369864E-2</v>
      </c>
      <c r="H331" s="64">
        <f>IFERROR((Table7[[#This Row],[Calls Ans]]-F324)/F324,0%)</f>
        <v>2.2151898734177215E-2</v>
      </c>
      <c r="I331" s="1"/>
      <c r="J331" s="1"/>
      <c r="K331" s="1"/>
      <c r="L331" s="1"/>
      <c r="M331" s="18">
        <v>0.56999999999999995</v>
      </c>
      <c r="N331" s="18">
        <v>0.14000000000000001</v>
      </c>
      <c r="O331" s="18">
        <v>0.86</v>
      </c>
      <c r="P331" s="18">
        <v>0.45</v>
      </c>
      <c r="Q331" s="18">
        <v>1</v>
      </c>
      <c r="R331" s="301">
        <v>123</v>
      </c>
      <c r="S331" s="143">
        <v>4.5138888888888892E-4</v>
      </c>
      <c r="T331" s="1">
        <v>5</v>
      </c>
      <c r="U331" s="354" t="str">
        <f t="shared" si="20"/>
        <v>Normal</v>
      </c>
      <c r="V331" s="354" t="str">
        <f t="shared" si="21"/>
        <v>Normal</v>
      </c>
      <c r="W331" s="359">
        <f t="shared" si="22"/>
        <v>3.0136986301369864E-2</v>
      </c>
      <c r="X331" s="359">
        <f t="shared" si="23"/>
        <v>2.2151898734177215E-2</v>
      </c>
      <c r="Y331" s="343"/>
      <c r="Z331" s="343"/>
      <c r="AA331" s="343"/>
      <c r="AB331" s="343"/>
      <c r="AC331" s="343"/>
      <c r="AD331" s="343"/>
      <c r="AE331" s="343"/>
      <c r="AF331" s="343"/>
    </row>
    <row r="332" spans="1:36">
      <c r="A332" s="21">
        <v>45347</v>
      </c>
      <c r="B332" s="17">
        <f>IF(YEAR(Table7[[#This Row],[Date]]) = 2023, WEEKNUM(Table7[[#This Row],[Date]])-13, WEEKNUM(Table7[[#This Row],[Date]])+40)</f>
        <v>49</v>
      </c>
      <c r="C332" s="34" t="s">
        <v>48</v>
      </c>
      <c r="D332" s="34" t="s">
        <v>94</v>
      </c>
      <c r="E332" s="1">
        <v>0</v>
      </c>
      <c r="F332" s="1">
        <v>0</v>
      </c>
      <c r="G332" s="64">
        <v>0</v>
      </c>
      <c r="H332" s="64">
        <v>0</v>
      </c>
      <c r="I332" s="1">
        <v>0</v>
      </c>
      <c r="J332" s="1">
        <v>0</v>
      </c>
      <c r="K332" s="1">
        <v>0</v>
      </c>
      <c r="L332" s="1">
        <v>0</v>
      </c>
      <c r="M332" s="18">
        <v>0</v>
      </c>
      <c r="N332" s="18">
        <v>0</v>
      </c>
      <c r="O332" s="18">
        <v>0</v>
      </c>
      <c r="P332" s="18">
        <v>0</v>
      </c>
      <c r="Q332" s="18">
        <v>0</v>
      </c>
      <c r="R332" s="301">
        <v>0</v>
      </c>
      <c r="S332" s="143">
        <v>0</v>
      </c>
      <c r="T332" s="1">
        <v>0</v>
      </c>
      <c r="U332" s="354" t="str">
        <f t="shared" si="20"/>
        <v>Normal</v>
      </c>
      <c r="V332" s="354" t="str">
        <f t="shared" si="21"/>
        <v>Normal</v>
      </c>
      <c r="W332" s="359">
        <f t="shared" si="22"/>
        <v>0</v>
      </c>
      <c r="X332" s="359">
        <f t="shared" si="23"/>
        <v>0</v>
      </c>
      <c r="Y332" s="343"/>
      <c r="Z332" s="343"/>
      <c r="AA332" s="343"/>
      <c r="AB332" s="343"/>
      <c r="AC332" s="343"/>
      <c r="AD332" s="343"/>
      <c r="AE332" s="343"/>
      <c r="AF332" s="343"/>
    </row>
    <row r="333" spans="1:36">
      <c r="A333" s="21">
        <v>45348</v>
      </c>
      <c r="B333" s="17">
        <f>IF(YEAR(Table7[[#This Row],[Date]]) = 2023, WEEKNUM(Table7[[#This Row],[Date]])-13, WEEKNUM(Table7[[#This Row],[Date]])+40)</f>
        <v>49</v>
      </c>
      <c r="C333" s="34" t="s">
        <v>49</v>
      </c>
      <c r="D333" s="34" t="s">
        <v>94</v>
      </c>
      <c r="E333" s="1">
        <v>612</v>
      </c>
      <c r="F333" s="1">
        <v>604</v>
      </c>
      <c r="G333" s="64">
        <f>IFERROR((Table7[[#This Row],[Calls Off]]-E326)/E326,0%)</f>
        <v>-0.19790301441677588</v>
      </c>
      <c r="H333" s="64">
        <f>IFERROR((Table7[[#This Row],[Calls Ans]]-F326)/F326,0%)</f>
        <v>-0.18378378378378379</v>
      </c>
      <c r="I333" s="1"/>
      <c r="J333" s="1"/>
      <c r="K333" s="1"/>
      <c r="L333" s="1"/>
      <c r="M333" s="18">
        <v>0.94</v>
      </c>
      <c r="N333" s="18">
        <v>0.01</v>
      </c>
      <c r="O333" s="18">
        <v>0.99</v>
      </c>
      <c r="P333" s="18">
        <v>0.28000000000000003</v>
      </c>
      <c r="Q333" s="18">
        <v>1</v>
      </c>
      <c r="R333" s="301">
        <v>119</v>
      </c>
      <c r="S333" s="143">
        <v>6.9444444444444444E-5</v>
      </c>
      <c r="T333" s="1">
        <v>12</v>
      </c>
      <c r="U333" s="354" t="str">
        <f t="shared" si="20"/>
        <v>Normal</v>
      </c>
      <c r="V333" s="354" t="str">
        <f t="shared" si="21"/>
        <v>Normal</v>
      </c>
      <c r="W333" s="359">
        <f t="shared" si="22"/>
        <v>-0.19790301441677588</v>
      </c>
      <c r="X333" s="359">
        <f t="shared" si="23"/>
        <v>-0.18378378378378379</v>
      </c>
      <c r="Y333" s="343"/>
      <c r="Z333" s="343"/>
      <c r="AA333" s="343"/>
      <c r="AB333" s="343"/>
      <c r="AC333" s="343"/>
      <c r="AD333" s="343"/>
      <c r="AE333" s="343"/>
      <c r="AF333" s="343"/>
    </row>
    <row r="334" spans="1:36">
      <c r="A334" s="21">
        <v>45349</v>
      </c>
      <c r="B334" s="17">
        <f>IF(YEAR(Table7[[#This Row],[Date]]) = 2023, WEEKNUM(Table7[[#This Row],[Date]])-13, WEEKNUM(Table7[[#This Row],[Date]])+40)</f>
        <v>49</v>
      </c>
      <c r="C334" s="34" t="s">
        <v>50</v>
      </c>
      <c r="D334" s="34" t="s">
        <v>94</v>
      </c>
      <c r="E334" s="1">
        <v>664</v>
      </c>
      <c r="F334" s="1">
        <v>652</v>
      </c>
      <c r="G334" s="64">
        <f>IFERROR((Table7[[#This Row],[Calls Off]]-E327)/E327,0%)</f>
        <v>2.9457364341085271E-2</v>
      </c>
      <c r="H334" s="64">
        <f>IFERROR((Table7[[#This Row],[Calls Ans]]-F327)/F327,0%)</f>
        <v>4.3200000000000002E-2</v>
      </c>
      <c r="I334" s="1"/>
      <c r="J334" s="1"/>
      <c r="K334" s="1"/>
      <c r="L334" s="1"/>
      <c r="M334" s="18">
        <v>0.92</v>
      </c>
      <c r="N334" s="18">
        <v>0.02</v>
      </c>
      <c r="O334" s="18">
        <v>0.98</v>
      </c>
      <c r="P334" s="18">
        <v>0.28999999999999998</v>
      </c>
      <c r="Q334" s="18">
        <v>1</v>
      </c>
      <c r="R334" s="301">
        <v>128</v>
      </c>
      <c r="S334" s="143">
        <v>1.0416666666666667E-4</v>
      </c>
      <c r="T334" s="1">
        <v>12</v>
      </c>
      <c r="U334" s="354" t="str">
        <f t="shared" si="20"/>
        <v>Normal</v>
      </c>
      <c r="V334" s="354" t="str">
        <f t="shared" si="21"/>
        <v>Normal</v>
      </c>
      <c r="W334" s="359">
        <f t="shared" si="22"/>
        <v>2.9457364341085271E-2</v>
      </c>
      <c r="X334" s="359">
        <f t="shared" si="23"/>
        <v>4.3200000000000002E-2</v>
      </c>
      <c r="Y334" s="343"/>
      <c r="Z334" s="343"/>
      <c r="AA334" s="343"/>
      <c r="AB334" s="343"/>
      <c r="AC334" s="343"/>
      <c r="AD334" s="343"/>
      <c r="AE334" s="343"/>
      <c r="AF334" s="343"/>
    </row>
    <row r="335" spans="1:36">
      <c r="A335" s="21">
        <v>45350</v>
      </c>
      <c r="B335" s="17">
        <f>IF(YEAR(Table7[[#This Row],[Date]]) = 2023, WEEKNUM(Table7[[#This Row],[Date]])-13, WEEKNUM(Table7[[#This Row],[Date]])+40)</f>
        <v>49</v>
      </c>
      <c r="C335" s="34" t="s">
        <v>51</v>
      </c>
      <c r="D335" s="34" t="s">
        <v>94</v>
      </c>
      <c r="E335" s="1">
        <v>663</v>
      </c>
      <c r="F335" s="1">
        <v>644</v>
      </c>
      <c r="G335" s="64">
        <f>IFERROR((Table7[[#This Row],[Calls Off]]-E328)/E328,0%)</f>
        <v>6.0698027314112293E-3</v>
      </c>
      <c r="H335" s="64">
        <f>IFERROR((Table7[[#This Row],[Calls Ans]]-F328)/F328,0%)</f>
        <v>2.0602218700475437E-2</v>
      </c>
      <c r="I335" s="1"/>
      <c r="J335" s="1"/>
      <c r="K335" s="1"/>
      <c r="L335" s="1"/>
      <c r="M335" s="18">
        <v>0.96</v>
      </c>
      <c r="N335" s="18">
        <v>0.03</v>
      </c>
      <c r="O335" s="18">
        <v>0.97</v>
      </c>
      <c r="P335" s="18">
        <v>0.22</v>
      </c>
      <c r="Q335" s="18">
        <v>0.99</v>
      </c>
      <c r="R335" s="301">
        <v>121</v>
      </c>
      <c r="S335" s="143">
        <v>8.1018518518518516E-5</v>
      </c>
      <c r="T335" s="1">
        <v>11</v>
      </c>
      <c r="U335" s="354" t="str">
        <f t="shared" si="20"/>
        <v>Normal</v>
      </c>
      <c r="V335" s="354" t="str">
        <f t="shared" si="21"/>
        <v>Normal</v>
      </c>
      <c r="W335" s="359">
        <f t="shared" si="22"/>
        <v>6.0698027314112293E-3</v>
      </c>
      <c r="X335" s="359">
        <f t="shared" si="23"/>
        <v>2.0602218700475437E-2</v>
      </c>
      <c r="Y335" s="343"/>
      <c r="Z335" s="343"/>
      <c r="AA335" s="343"/>
      <c r="AB335" s="343"/>
      <c r="AC335" s="343"/>
      <c r="AD335" s="343"/>
      <c r="AE335" s="343"/>
      <c r="AF335" s="343"/>
    </row>
    <row r="336" spans="1:36" s="48" customFormat="1">
      <c r="A336" s="21">
        <v>45351</v>
      </c>
      <c r="B336" s="17">
        <f>IF(YEAR(Table7[[#This Row],[Date]]) = 2023, WEEKNUM(Table7[[#This Row],[Date]])-13, WEEKNUM(Table7[[#This Row],[Date]])+40)</f>
        <v>49</v>
      </c>
      <c r="C336" s="97" t="s">
        <v>52</v>
      </c>
      <c r="D336" s="34" t="s">
        <v>94</v>
      </c>
      <c r="E336" s="1">
        <v>768</v>
      </c>
      <c r="F336" s="1">
        <v>739</v>
      </c>
      <c r="G336" s="64">
        <f>IFERROR((Table7[[#This Row],[Calls Off]]-E329)/E329,0%)</f>
        <v>0.18335901386748846</v>
      </c>
      <c r="H336" s="64">
        <f>IFERROR((Table7[[#This Row],[Calls Ans]]-F329)/F329,0%)</f>
        <v>0.16745655608214849</v>
      </c>
      <c r="I336" s="1"/>
      <c r="J336" s="1"/>
      <c r="K336" s="1"/>
      <c r="L336" s="1"/>
      <c r="M336" s="18">
        <v>0.87</v>
      </c>
      <c r="N336" s="18">
        <v>0.04</v>
      </c>
      <c r="O336" s="18">
        <v>0.96</v>
      </c>
      <c r="P336" s="18">
        <v>0.32</v>
      </c>
      <c r="Q336" s="18">
        <v>0.98</v>
      </c>
      <c r="R336" s="301">
        <v>133</v>
      </c>
      <c r="S336" s="143">
        <v>1.1574074074074073E-4</v>
      </c>
      <c r="T336" s="1">
        <v>12</v>
      </c>
      <c r="U336" s="354" t="str">
        <f t="shared" si="20"/>
        <v>Normal</v>
      </c>
      <c r="V336" s="354" t="str">
        <f t="shared" si="21"/>
        <v>Normal</v>
      </c>
      <c r="W336" s="359">
        <f t="shared" si="22"/>
        <v>0.18335901386748846</v>
      </c>
      <c r="X336" s="359">
        <f t="shared" si="23"/>
        <v>0.16745655608214849</v>
      </c>
      <c r="Y336" s="343"/>
      <c r="Z336" s="343"/>
      <c r="AA336" s="343"/>
      <c r="AB336" s="343"/>
      <c r="AC336" s="343"/>
      <c r="AD336" s="343"/>
      <c r="AE336" s="343"/>
      <c r="AF336" s="343"/>
      <c r="AG336" s="280"/>
      <c r="AH336"/>
      <c r="AI336"/>
      <c r="AJ336"/>
    </row>
    <row r="337" spans="1:36">
      <c r="A337" s="21">
        <v>45352</v>
      </c>
      <c r="B337" s="17">
        <f>IF(YEAR(Table7[[#This Row],[Date]]) = 2023, WEEKNUM(Table7[[#This Row],[Date]])-13, WEEKNUM(Table7[[#This Row],[Date]])+40)</f>
        <v>49</v>
      </c>
      <c r="C337" s="34" t="s">
        <v>53</v>
      </c>
      <c r="D337" s="34" t="s">
        <v>94</v>
      </c>
      <c r="E337" s="1">
        <v>658</v>
      </c>
      <c r="F337" s="1">
        <v>636</v>
      </c>
      <c r="G337" s="64">
        <f>IFERROR((Table7[[#This Row],[Calls Off]]-E330)/E330,0%)</f>
        <v>7.656967840735069E-3</v>
      </c>
      <c r="H337" s="64">
        <f>IFERROR((Table7[[#This Row],[Calls Ans]]-F330)/F330,0%)</f>
        <v>7.9239302694136295E-3</v>
      </c>
      <c r="I337" s="1"/>
      <c r="J337" s="1"/>
      <c r="K337" s="1"/>
      <c r="L337" s="1"/>
      <c r="M337" s="18">
        <v>0.91</v>
      </c>
      <c r="N337" s="18">
        <v>0.03</v>
      </c>
      <c r="O337" s="18">
        <v>0.97</v>
      </c>
      <c r="P337" s="18">
        <v>0.3</v>
      </c>
      <c r="Q337" s="18">
        <v>0.98</v>
      </c>
      <c r="R337" s="301">
        <v>123</v>
      </c>
      <c r="S337" s="143">
        <v>1.0416666666666667E-4</v>
      </c>
      <c r="T337" s="1">
        <v>12</v>
      </c>
      <c r="U337" s="354" t="str">
        <f t="shared" si="20"/>
        <v>Normal</v>
      </c>
      <c r="V337" s="354" t="str">
        <f t="shared" si="21"/>
        <v>Normal</v>
      </c>
      <c r="W337" s="359">
        <f t="shared" si="22"/>
        <v>7.656967840735069E-3</v>
      </c>
      <c r="X337" s="359">
        <f t="shared" si="23"/>
        <v>7.9239302694136295E-3</v>
      </c>
      <c r="Y337" s="343"/>
      <c r="Z337" s="343"/>
      <c r="AA337" s="343"/>
      <c r="AB337" s="343"/>
      <c r="AC337" s="343"/>
      <c r="AD337" s="343"/>
      <c r="AE337" s="343"/>
      <c r="AF337" s="343"/>
    </row>
    <row r="338" spans="1:36">
      <c r="A338" s="21">
        <v>45353</v>
      </c>
      <c r="B338" s="17">
        <f>IF(YEAR(Table7[[#This Row],[Date]]) = 2023, WEEKNUM(Table7[[#This Row],[Date]])-13, WEEKNUM(Table7[[#This Row],[Date]])+40)</f>
        <v>49</v>
      </c>
      <c r="C338" s="34" t="s">
        <v>54</v>
      </c>
      <c r="D338" s="34" t="s">
        <v>94</v>
      </c>
      <c r="E338" s="1">
        <v>386</v>
      </c>
      <c r="F338" s="1">
        <v>311</v>
      </c>
      <c r="G338" s="64">
        <f>IFERROR((Table7[[#This Row],[Calls Off]]-E331)/E331,0%)</f>
        <v>2.6595744680851064E-2</v>
      </c>
      <c r="H338" s="64">
        <f>IFERROR((Table7[[#This Row],[Calls Ans]]-F331)/F331,0%)</f>
        <v>-3.7151702786377708E-2</v>
      </c>
      <c r="I338" s="1"/>
      <c r="J338" s="1"/>
      <c r="K338" s="1"/>
      <c r="L338" s="1"/>
      <c r="M338" s="18">
        <v>0.41</v>
      </c>
      <c r="N338" s="18">
        <v>0.19</v>
      </c>
      <c r="O338" s="18">
        <v>0.81</v>
      </c>
      <c r="P338" s="18">
        <v>0.6</v>
      </c>
      <c r="Q338" s="18">
        <v>0.95</v>
      </c>
      <c r="R338" s="301">
        <v>136</v>
      </c>
      <c r="S338" s="143">
        <v>4.3750000000000004E-2</v>
      </c>
      <c r="T338" s="1">
        <v>4</v>
      </c>
      <c r="U338" s="354" t="str">
        <f t="shared" si="20"/>
        <v>Normal</v>
      </c>
      <c r="V338" s="354" t="str">
        <f t="shared" si="21"/>
        <v>Normal</v>
      </c>
      <c r="W338" s="359">
        <f t="shared" si="22"/>
        <v>2.6595744680851064E-2</v>
      </c>
      <c r="X338" s="359">
        <f t="shared" si="23"/>
        <v>-3.7151702786377708E-2</v>
      </c>
      <c r="Y338" s="343"/>
      <c r="Z338" s="343"/>
      <c r="AA338" s="343"/>
      <c r="AB338" s="343"/>
      <c r="AC338" s="343"/>
      <c r="AD338" s="343"/>
      <c r="AE338" s="343"/>
      <c r="AF338" s="343"/>
    </row>
    <row r="339" spans="1:36">
      <c r="A339" s="21">
        <v>45354</v>
      </c>
      <c r="B339" s="17">
        <f>IF(YEAR(Table7[[#This Row],[Date]]) = 2023, WEEKNUM(Table7[[#This Row],[Date]])-13, WEEKNUM(Table7[[#This Row],[Date]])+40)</f>
        <v>50</v>
      </c>
      <c r="C339" s="34" t="s">
        <v>48</v>
      </c>
      <c r="D339" s="34" t="s">
        <v>94</v>
      </c>
      <c r="E339" s="1">
        <v>0</v>
      </c>
      <c r="F339" s="1">
        <v>0</v>
      </c>
      <c r="G339" s="64">
        <v>0</v>
      </c>
      <c r="H339" s="64">
        <v>0</v>
      </c>
      <c r="I339" s="1">
        <v>0</v>
      </c>
      <c r="J339" s="1">
        <v>0</v>
      </c>
      <c r="K339" s="1">
        <v>0</v>
      </c>
      <c r="L339" s="1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301">
        <v>0</v>
      </c>
      <c r="S339" s="143">
        <v>0</v>
      </c>
      <c r="T339" s="1">
        <v>0</v>
      </c>
      <c r="U339" s="354" t="str">
        <f t="shared" si="20"/>
        <v>Normal</v>
      </c>
      <c r="V339" s="354" t="str">
        <f t="shared" si="21"/>
        <v>Normal</v>
      </c>
      <c r="W339" s="359">
        <f t="shared" si="22"/>
        <v>0</v>
      </c>
      <c r="X339" s="359">
        <f t="shared" si="23"/>
        <v>0</v>
      </c>
      <c r="Y339" s="343"/>
      <c r="Z339" s="343"/>
      <c r="AA339" s="343"/>
      <c r="AB339" s="343"/>
      <c r="AC339" s="343"/>
      <c r="AD339" s="343"/>
      <c r="AE339" s="343"/>
      <c r="AF339" s="343"/>
    </row>
    <row r="340" spans="1:36">
      <c r="A340" s="21">
        <v>45355</v>
      </c>
      <c r="B340" s="17">
        <f>IF(YEAR(Table7[[#This Row],[Date]]) = 2023, WEEKNUM(Table7[[#This Row],[Date]])-13, WEEKNUM(Table7[[#This Row],[Date]])+40)</f>
        <v>50</v>
      </c>
      <c r="C340" s="34" t="s">
        <v>49</v>
      </c>
      <c r="D340" s="34" t="s">
        <v>94</v>
      </c>
      <c r="E340" s="1">
        <v>808</v>
      </c>
      <c r="F340" s="1">
        <v>591</v>
      </c>
      <c r="G340" s="64">
        <f>IFERROR((Table7[[#This Row],[Calls Off]]-E333)/E333,0%)</f>
        <v>0.3202614379084967</v>
      </c>
      <c r="H340" s="64">
        <f>IFERROR((Table7[[#This Row],[Calls Ans]]-F333)/F333,0%)</f>
        <v>-2.1523178807947019E-2</v>
      </c>
      <c r="I340" s="1"/>
      <c r="J340" s="1"/>
      <c r="K340" s="1"/>
      <c r="L340" s="1"/>
      <c r="M340" s="18">
        <v>0.63</v>
      </c>
      <c r="N340" s="18">
        <v>0.27</v>
      </c>
      <c r="O340" s="18">
        <v>0.73</v>
      </c>
      <c r="P340" s="18">
        <v>0.52</v>
      </c>
      <c r="Q340" s="18">
        <v>1</v>
      </c>
      <c r="R340" s="301">
        <v>127</v>
      </c>
      <c r="S340" s="143">
        <v>4.8611111111111112E-2</v>
      </c>
      <c r="T340" s="1">
        <v>12</v>
      </c>
      <c r="U340" s="354" t="str">
        <f t="shared" si="20"/>
        <v>Outlier</v>
      </c>
      <c r="V340" s="354" t="str">
        <f t="shared" si="21"/>
        <v>Normal</v>
      </c>
      <c r="W340" s="359">
        <f t="shared" si="22"/>
        <v>0.3202614379084967</v>
      </c>
      <c r="X340" s="359">
        <f t="shared" si="23"/>
        <v>-2.1523178807947019E-2</v>
      </c>
      <c r="Y340" s="343"/>
      <c r="Z340" s="343"/>
      <c r="AA340" s="343"/>
      <c r="AB340" s="343"/>
      <c r="AC340" s="343"/>
      <c r="AD340" s="343"/>
      <c r="AE340" s="343"/>
      <c r="AF340" s="343"/>
      <c r="AH340" s="48"/>
      <c r="AI340" s="48"/>
      <c r="AJ340" s="48"/>
    </row>
    <row r="341" spans="1:36">
      <c r="A341" s="21">
        <v>45356</v>
      </c>
      <c r="B341" s="17">
        <f>IF(YEAR(Table7[[#This Row],[Date]]) = 2023, WEEKNUM(Table7[[#This Row],[Date]])-13, WEEKNUM(Table7[[#This Row],[Date]])+40)</f>
        <v>50</v>
      </c>
      <c r="C341" s="34" t="s">
        <v>50</v>
      </c>
      <c r="D341" s="34" t="s">
        <v>94</v>
      </c>
      <c r="E341" s="1">
        <v>763</v>
      </c>
      <c r="F341" s="1">
        <v>681</v>
      </c>
      <c r="G341" s="64">
        <f>IFERROR((Table7[[#This Row],[Calls Off]]-E334)/E334,0%)</f>
        <v>0.14909638554216867</v>
      </c>
      <c r="H341" s="64">
        <f>IFERROR((Table7[[#This Row],[Calls Ans]]-F334)/F334,0%)</f>
        <v>4.4478527607361963E-2</v>
      </c>
      <c r="I341" s="1"/>
      <c r="J341" s="1"/>
      <c r="K341" s="1"/>
      <c r="L341" s="1"/>
      <c r="M341" s="18">
        <v>0.73</v>
      </c>
      <c r="N341" s="18">
        <v>0.11</v>
      </c>
      <c r="O341" s="18">
        <v>0.89</v>
      </c>
      <c r="P341" s="18">
        <v>0.33</v>
      </c>
      <c r="Q341" s="18">
        <v>1</v>
      </c>
      <c r="R341" s="301">
        <v>131</v>
      </c>
      <c r="S341" s="143">
        <v>3.0555555555555555E-2</v>
      </c>
      <c r="T341" s="1">
        <v>9</v>
      </c>
      <c r="U341" s="354" t="str">
        <f t="shared" si="20"/>
        <v>Normal</v>
      </c>
      <c r="V341" s="354" t="str">
        <f t="shared" si="21"/>
        <v>Normal</v>
      </c>
      <c r="W341" s="359">
        <f t="shared" si="22"/>
        <v>0.14909638554216867</v>
      </c>
      <c r="X341" s="359">
        <f t="shared" si="23"/>
        <v>4.4478527607361963E-2</v>
      </c>
      <c r="Y341" s="343"/>
      <c r="Z341" s="343"/>
      <c r="AA341" s="343"/>
      <c r="AB341" s="343"/>
      <c r="AC341" s="343"/>
      <c r="AD341" s="343"/>
      <c r="AE341" s="343"/>
      <c r="AF341" s="343"/>
    </row>
    <row r="342" spans="1:36">
      <c r="A342" s="21">
        <v>45357</v>
      </c>
      <c r="B342" s="17">
        <f>IF(YEAR(Table7[[#This Row],[Date]]) = 2023, WEEKNUM(Table7[[#This Row],[Date]])-13, WEEKNUM(Table7[[#This Row],[Date]])+40)</f>
        <v>50</v>
      </c>
      <c r="C342" s="33" t="s">
        <v>51</v>
      </c>
      <c r="D342" s="34" t="s">
        <v>94</v>
      </c>
      <c r="E342" s="1">
        <v>671</v>
      </c>
      <c r="F342" s="1">
        <v>647</v>
      </c>
      <c r="G342" s="64">
        <f>IFERROR((Table7[[#This Row],[Calls Off]]-E335)/E335,0%)</f>
        <v>1.2066365007541479E-2</v>
      </c>
      <c r="H342" s="64">
        <f>IFERROR((Table7[[#This Row],[Calls Ans]]-F335)/F335,0%)</f>
        <v>4.658385093167702E-3</v>
      </c>
      <c r="I342" s="1"/>
      <c r="J342" s="1"/>
      <c r="K342" s="1"/>
      <c r="L342" s="1"/>
      <c r="M342" s="18">
        <v>0.94</v>
      </c>
      <c r="N342" s="18">
        <v>0.04</v>
      </c>
      <c r="O342" s="18">
        <v>0.96</v>
      </c>
      <c r="P342" s="18">
        <v>0.3</v>
      </c>
      <c r="Q342" s="18">
        <v>0.99</v>
      </c>
      <c r="R342" s="301">
        <v>108</v>
      </c>
      <c r="S342" s="143">
        <v>7.6388888888888886E-3</v>
      </c>
      <c r="T342" s="1">
        <v>12</v>
      </c>
      <c r="U342" s="354" t="str">
        <f t="shared" si="20"/>
        <v>Normal</v>
      </c>
      <c r="V342" s="354" t="str">
        <f t="shared" si="21"/>
        <v>Normal</v>
      </c>
      <c r="W342" s="359">
        <f t="shared" si="22"/>
        <v>1.2066365007541479E-2</v>
      </c>
      <c r="X342" s="359">
        <f t="shared" si="23"/>
        <v>4.658385093167702E-3</v>
      </c>
      <c r="Y342" s="343"/>
      <c r="Z342" s="343"/>
      <c r="AA342" s="343"/>
      <c r="AB342" s="343"/>
      <c r="AC342" s="343"/>
      <c r="AD342" s="343"/>
      <c r="AE342" s="343"/>
      <c r="AF342" s="343"/>
    </row>
    <row r="343" spans="1:36">
      <c r="A343" s="21">
        <v>45358</v>
      </c>
      <c r="B343" s="17">
        <f>IF(YEAR(Table7[[#This Row],[Date]]) = 2023, WEEKNUM(Table7[[#This Row],[Date]])-13, WEEKNUM(Table7[[#This Row],[Date]])+40)</f>
        <v>50</v>
      </c>
      <c r="C343" s="34" t="s">
        <v>52</v>
      </c>
      <c r="D343" s="34" t="s">
        <v>94</v>
      </c>
      <c r="E343" s="1">
        <v>614</v>
      </c>
      <c r="F343" s="1">
        <v>599</v>
      </c>
      <c r="G343" s="64">
        <f>IFERROR((Table7[[#This Row],[Calls Off]]-E336)/E336,0%)</f>
        <v>-0.20052083333333334</v>
      </c>
      <c r="H343" s="64">
        <f>IFERROR((Table7[[#This Row],[Calls Ans]]-F336)/F336,0%)</f>
        <v>-0.18944519621109607</v>
      </c>
      <c r="I343" s="1"/>
      <c r="J343" s="1"/>
      <c r="K343" s="1"/>
      <c r="L343" s="1"/>
      <c r="M343" s="18">
        <v>0.96</v>
      </c>
      <c r="N343" s="18">
        <v>0.02</v>
      </c>
      <c r="O343" s="18">
        <v>0.98</v>
      </c>
      <c r="P343" s="18">
        <v>0.26</v>
      </c>
      <c r="Q343" s="18">
        <v>0.98</v>
      </c>
      <c r="R343" s="301">
        <v>118</v>
      </c>
      <c r="S343" s="143">
        <v>2.7777777777777779E-3</v>
      </c>
      <c r="T343" s="1">
        <v>12</v>
      </c>
      <c r="U343" s="354" t="str">
        <f t="shared" si="20"/>
        <v>Normal</v>
      </c>
      <c r="V343" s="354" t="str">
        <f t="shared" si="21"/>
        <v>Normal</v>
      </c>
      <c r="W343" s="359">
        <f t="shared" si="22"/>
        <v>-0.20052083333333334</v>
      </c>
      <c r="X343" s="359">
        <f t="shared" si="23"/>
        <v>-0.18944519621109607</v>
      </c>
      <c r="Y343" s="343"/>
      <c r="Z343" s="343"/>
      <c r="AA343" s="343"/>
      <c r="AB343" s="343"/>
      <c r="AC343" s="343"/>
      <c r="AD343" s="343"/>
      <c r="AE343" s="343"/>
      <c r="AF343" s="343"/>
    </row>
    <row r="344" spans="1:36">
      <c r="A344" s="21">
        <v>45359</v>
      </c>
      <c r="B344" s="17">
        <f>IF(YEAR(Table7[[#This Row],[Date]]) = 2023, WEEKNUM(Table7[[#This Row],[Date]])-13, WEEKNUM(Table7[[#This Row],[Date]])+40)</f>
        <v>50</v>
      </c>
      <c r="C344" s="34" t="s">
        <v>53</v>
      </c>
      <c r="D344" s="34" t="s">
        <v>94</v>
      </c>
      <c r="E344" s="1">
        <v>618</v>
      </c>
      <c r="F344" s="1">
        <v>580</v>
      </c>
      <c r="G344" s="64">
        <f>IFERROR((Table7[[#This Row],[Calls Off]]-E337)/E337,0%)</f>
        <v>-6.0790273556231005E-2</v>
      </c>
      <c r="H344" s="64">
        <f>IFERROR((Table7[[#This Row],[Calls Ans]]-F337)/F337,0%)</f>
        <v>-8.8050314465408799E-2</v>
      </c>
      <c r="I344" s="1"/>
      <c r="J344" s="1"/>
      <c r="K344" s="1"/>
      <c r="L344" s="1"/>
      <c r="M344" s="18">
        <v>0.9</v>
      </c>
      <c r="N344" s="18">
        <v>0.06</v>
      </c>
      <c r="O344" s="18">
        <v>0.94</v>
      </c>
      <c r="P344" s="18">
        <v>0.32</v>
      </c>
      <c r="Q344" s="18">
        <v>0.97</v>
      </c>
      <c r="R344" s="301">
        <v>128</v>
      </c>
      <c r="S344" s="143">
        <v>9.7222222222222224E-3</v>
      </c>
      <c r="T344" s="1">
        <v>10</v>
      </c>
      <c r="U344" s="354" t="str">
        <f t="shared" si="20"/>
        <v>Normal</v>
      </c>
      <c r="V344" s="354" t="str">
        <f t="shared" si="21"/>
        <v>Normal</v>
      </c>
      <c r="W344" s="359">
        <f t="shared" si="22"/>
        <v>-6.0790273556231005E-2</v>
      </c>
      <c r="X344" s="359">
        <f t="shared" si="23"/>
        <v>-8.8050314465408799E-2</v>
      </c>
      <c r="Y344" s="343"/>
      <c r="Z344" s="343"/>
      <c r="AA344" s="343"/>
      <c r="AB344" s="343"/>
      <c r="AC344" s="343"/>
      <c r="AD344" s="343"/>
      <c r="AE344" s="343"/>
      <c r="AF344" s="343"/>
    </row>
    <row r="345" spans="1:36">
      <c r="A345" s="21">
        <v>45360</v>
      </c>
      <c r="B345" s="17">
        <f>IF(YEAR(Table7[[#This Row],[Date]]) = 2023, WEEKNUM(Table7[[#This Row],[Date]])-13, WEEKNUM(Table7[[#This Row],[Date]])+40)</f>
        <v>50</v>
      </c>
      <c r="C345" s="34" t="s">
        <v>54</v>
      </c>
      <c r="D345" s="34" t="s">
        <v>94</v>
      </c>
      <c r="E345" s="1">
        <v>392</v>
      </c>
      <c r="F345" s="1">
        <v>365</v>
      </c>
      <c r="G345" s="64">
        <f>IFERROR((Table7[[#This Row],[Calls Off]]-E338)/E338,0%)</f>
        <v>1.5544041450777202E-2</v>
      </c>
      <c r="H345" s="64">
        <f>IFERROR((Table7[[#This Row],[Calls Ans]]-F338)/F338,0%)</f>
        <v>0.17363344051446947</v>
      </c>
      <c r="I345" s="1"/>
      <c r="J345" s="1"/>
      <c r="K345" s="1"/>
      <c r="L345" s="1"/>
      <c r="M345" s="18">
        <v>0.67</v>
      </c>
      <c r="N345" s="18">
        <v>7.0000000000000007E-2</v>
      </c>
      <c r="O345" s="18">
        <v>0.93</v>
      </c>
      <c r="P345" s="18">
        <v>0.51</v>
      </c>
      <c r="Q345" s="18">
        <v>0.93</v>
      </c>
      <c r="R345" s="301">
        <v>135</v>
      </c>
      <c r="S345" s="143">
        <v>2.7083333333333334E-2</v>
      </c>
      <c r="T345" s="1">
        <v>6</v>
      </c>
      <c r="U345" s="354" t="str">
        <f t="shared" si="20"/>
        <v>Normal</v>
      </c>
      <c r="V345" s="354" t="str">
        <f t="shared" si="21"/>
        <v>Normal</v>
      </c>
      <c r="W345" s="359">
        <f t="shared" si="22"/>
        <v>1.5544041450777202E-2</v>
      </c>
      <c r="X345" s="359">
        <f t="shared" si="23"/>
        <v>0.17363344051446947</v>
      </c>
      <c r="Y345" s="343"/>
      <c r="Z345" s="343"/>
      <c r="AA345" s="343"/>
      <c r="AB345" s="343"/>
      <c r="AC345" s="343"/>
      <c r="AD345" s="343"/>
      <c r="AE345" s="343"/>
      <c r="AF345" s="343"/>
    </row>
    <row r="346" spans="1:36">
      <c r="A346" s="21">
        <v>45361</v>
      </c>
      <c r="B346" s="17">
        <f>IF(YEAR(Table7[[#This Row],[Date]]) = 2023, WEEKNUM(Table7[[#This Row],[Date]])-13, WEEKNUM(Table7[[#This Row],[Date]])+40)</f>
        <v>51</v>
      </c>
      <c r="C346" s="34" t="s">
        <v>48</v>
      </c>
      <c r="D346" s="34" t="s">
        <v>94</v>
      </c>
      <c r="E346" s="1">
        <v>0</v>
      </c>
      <c r="F346" s="1">
        <v>0</v>
      </c>
      <c r="G346" s="64">
        <v>0</v>
      </c>
      <c r="H346" s="64">
        <v>0</v>
      </c>
      <c r="I346" s="1">
        <v>0</v>
      </c>
      <c r="J346" s="1">
        <v>0</v>
      </c>
      <c r="K346" s="1">
        <v>0</v>
      </c>
      <c r="L346" s="1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301">
        <v>0</v>
      </c>
      <c r="S346" s="143">
        <v>0</v>
      </c>
      <c r="T346" s="1">
        <v>0</v>
      </c>
      <c r="U346" s="354" t="str">
        <f t="shared" si="20"/>
        <v>Normal</v>
      </c>
      <c r="V346" s="354" t="str">
        <f t="shared" si="21"/>
        <v>Normal</v>
      </c>
      <c r="W346" s="359">
        <f t="shared" si="22"/>
        <v>0</v>
      </c>
      <c r="X346" s="359">
        <f t="shared" si="23"/>
        <v>0</v>
      </c>
      <c r="Y346" s="343"/>
      <c r="Z346" s="343"/>
      <c r="AA346" s="343"/>
      <c r="AB346" s="343"/>
      <c r="AC346" s="343"/>
      <c r="AD346" s="343"/>
      <c r="AE346" s="343"/>
      <c r="AF346" s="343"/>
    </row>
    <row r="347" spans="1:36">
      <c r="A347" s="21">
        <v>45362</v>
      </c>
      <c r="B347" s="17">
        <f>IF(YEAR(Table7[[#This Row],[Date]]) = 2023, WEEKNUM(Table7[[#This Row],[Date]])-13, WEEKNUM(Table7[[#This Row],[Date]])+40)</f>
        <v>51</v>
      </c>
      <c r="C347" s="34" t="s">
        <v>49</v>
      </c>
      <c r="D347" s="34" t="s">
        <v>94</v>
      </c>
      <c r="E347" s="1">
        <v>774</v>
      </c>
      <c r="F347" s="1">
        <v>757</v>
      </c>
      <c r="G347" s="64">
        <f>IFERROR((Table7[[#This Row],[Calls Off]]-E340)/E340,0%)</f>
        <v>-4.2079207920792082E-2</v>
      </c>
      <c r="H347" s="64">
        <f>IFERROR((Table7[[#This Row],[Calls Ans]]-F340)/F340,0%)</f>
        <v>0.28087986463620979</v>
      </c>
      <c r="I347" s="1"/>
      <c r="J347" s="1"/>
      <c r="K347" s="1"/>
      <c r="L347" s="1"/>
      <c r="M347" s="18">
        <v>0.92</v>
      </c>
      <c r="N347" s="18">
        <v>0.02</v>
      </c>
      <c r="O347" s="18">
        <v>0.98</v>
      </c>
      <c r="P347" s="18">
        <v>0.32</v>
      </c>
      <c r="Q347" s="18">
        <v>0.98</v>
      </c>
      <c r="R347" s="301">
        <v>114</v>
      </c>
      <c r="S347" s="143">
        <v>4.8611111111111112E-3</v>
      </c>
      <c r="T347" s="1">
        <v>12</v>
      </c>
      <c r="U347" s="354" t="str">
        <f t="shared" si="20"/>
        <v>Normal</v>
      </c>
      <c r="V347" s="354" t="str">
        <f t="shared" si="21"/>
        <v>Outlier</v>
      </c>
      <c r="W347" s="359">
        <f t="shared" si="22"/>
        <v>-4.2079207920792082E-2</v>
      </c>
      <c r="X347" s="359">
        <f t="shared" si="23"/>
        <v>0.28087986463620979</v>
      </c>
      <c r="Y347" s="343"/>
      <c r="Z347" s="343"/>
      <c r="AA347" s="343"/>
      <c r="AB347" s="343"/>
      <c r="AC347" s="343"/>
      <c r="AD347" s="343"/>
      <c r="AE347" s="343"/>
      <c r="AF347" s="343"/>
    </row>
    <row r="348" spans="1:36">
      <c r="A348" s="21">
        <v>45363</v>
      </c>
      <c r="B348" s="17">
        <f>IF(YEAR(Table7[[#This Row],[Date]]) = 2023, WEEKNUM(Table7[[#This Row],[Date]])-13, WEEKNUM(Table7[[#This Row],[Date]])+40)</f>
        <v>51</v>
      </c>
      <c r="C348" s="34" t="s">
        <v>50</v>
      </c>
      <c r="D348" s="34" t="s">
        <v>94</v>
      </c>
      <c r="E348" s="1">
        <v>661</v>
      </c>
      <c r="F348" s="1">
        <v>641</v>
      </c>
      <c r="G348" s="64">
        <f>IFERROR((Table7[[#This Row],[Calls Off]]-E341)/E341,0%)</f>
        <v>-0.13368283093053734</v>
      </c>
      <c r="H348" s="64">
        <f>IFERROR((Table7[[#This Row],[Calls Ans]]-F341)/F341,0%)</f>
        <v>-5.8737151248164463E-2</v>
      </c>
      <c r="I348" s="1"/>
      <c r="J348" s="1"/>
      <c r="K348" s="1"/>
      <c r="L348" s="1"/>
      <c r="M348" s="18">
        <v>0.91</v>
      </c>
      <c r="N348" s="18">
        <v>0.03</v>
      </c>
      <c r="O348" s="18">
        <v>0.97</v>
      </c>
      <c r="P348" s="18">
        <v>0.25</v>
      </c>
      <c r="Q348" s="18">
        <v>1</v>
      </c>
      <c r="R348" s="301">
        <v>114</v>
      </c>
      <c r="S348" s="143">
        <v>6.2499999999999995E-3</v>
      </c>
      <c r="T348" s="1">
        <v>13</v>
      </c>
      <c r="U348" s="354" t="str">
        <f t="shared" si="20"/>
        <v>Normal</v>
      </c>
      <c r="V348" s="354" t="str">
        <f t="shared" si="21"/>
        <v>Normal</v>
      </c>
      <c r="W348" s="359">
        <f t="shared" si="22"/>
        <v>-0.13368283093053734</v>
      </c>
      <c r="X348" s="359">
        <f t="shared" si="23"/>
        <v>-5.8737151248164463E-2</v>
      </c>
      <c r="Y348" s="343"/>
      <c r="Z348" s="343"/>
      <c r="AA348" s="343"/>
      <c r="AB348" s="343"/>
      <c r="AC348" s="343"/>
      <c r="AD348" s="343"/>
      <c r="AE348" s="343"/>
      <c r="AF348" s="343"/>
    </row>
    <row r="349" spans="1:36">
      <c r="A349" s="21">
        <v>45364</v>
      </c>
      <c r="B349" s="17">
        <f>IF(YEAR(Table7[[#This Row],[Date]]) = 2023, WEEKNUM(Table7[[#This Row],[Date]])-13, WEEKNUM(Table7[[#This Row],[Date]])+40)</f>
        <v>51</v>
      </c>
      <c r="C349" s="34" t="s">
        <v>51</v>
      </c>
      <c r="D349" s="34" t="s">
        <v>94</v>
      </c>
      <c r="E349" s="1">
        <v>690</v>
      </c>
      <c r="F349" s="1">
        <v>671</v>
      </c>
      <c r="G349" s="64">
        <f>IFERROR((Table7[[#This Row],[Calls Off]]-E342)/E342,0%)</f>
        <v>2.8315946348733235E-2</v>
      </c>
      <c r="H349" s="64">
        <f>IFERROR((Table7[[#This Row],[Calls Ans]]-F342)/F342,0%)</f>
        <v>3.7094281298299843E-2</v>
      </c>
      <c r="I349" s="1"/>
      <c r="J349" s="1"/>
      <c r="K349" s="1"/>
      <c r="L349" s="1"/>
      <c r="M349" s="18">
        <v>0.92</v>
      </c>
      <c r="N349" s="18">
        <v>0.03</v>
      </c>
      <c r="O349" s="18">
        <v>0.97</v>
      </c>
      <c r="P349" s="18">
        <v>0.28999999999999998</v>
      </c>
      <c r="Q349" s="18">
        <v>0.98</v>
      </c>
      <c r="R349" s="301">
        <v>159</v>
      </c>
      <c r="S349" s="143">
        <v>5.5555555555555558E-3</v>
      </c>
      <c r="T349" s="1">
        <v>14</v>
      </c>
      <c r="U349" s="354" t="str">
        <f t="shared" si="20"/>
        <v>Normal</v>
      </c>
      <c r="V349" s="354" t="str">
        <f t="shared" si="21"/>
        <v>Normal</v>
      </c>
      <c r="W349" s="359">
        <f t="shared" si="22"/>
        <v>2.8315946348733235E-2</v>
      </c>
      <c r="X349" s="359">
        <f t="shared" si="23"/>
        <v>3.7094281298299843E-2</v>
      </c>
      <c r="Y349" s="343"/>
      <c r="Z349" s="343"/>
      <c r="AA349" s="343"/>
      <c r="AB349" s="343"/>
      <c r="AC349" s="343"/>
      <c r="AD349" s="343"/>
      <c r="AE349" s="343"/>
      <c r="AF349" s="343"/>
    </row>
    <row r="350" spans="1:36">
      <c r="A350" s="21">
        <v>45365</v>
      </c>
      <c r="B350" s="17">
        <f>IF(YEAR(Table7[[#This Row],[Date]]) = 2023, WEEKNUM(Table7[[#This Row],[Date]])-13, WEEKNUM(Table7[[#This Row],[Date]])+40)</f>
        <v>51</v>
      </c>
      <c r="C350" s="34" t="s">
        <v>52</v>
      </c>
      <c r="D350" s="34" t="s">
        <v>94</v>
      </c>
      <c r="E350" s="1">
        <v>661</v>
      </c>
      <c r="F350" s="1">
        <v>644</v>
      </c>
      <c r="G350" s="64">
        <f>IFERROR((Table7[[#This Row],[Calls Off]]-E343)/E343,0%)</f>
        <v>7.6547231270358312E-2</v>
      </c>
      <c r="H350" s="64">
        <f>IFERROR((Table7[[#This Row],[Calls Ans]]-F343)/F343,0%)</f>
        <v>7.512520868113523E-2</v>
      </c>
      <c r="I350" s="1"/>
      <c r="J350" s="1"/>
      <c r="K350" s="1"/>
      <c r="L350" s="1"/>
      <c r="M350" s="18">
        <v>0.97</v>
      </c>
      <c r="N350" s="18">
        <v>0.03</v>
      </c>
      <c r="O350" s="18">
        <v>0.97</v>
      </c>
      <c r="P350" s="18">
        <v>0.25</v>
      </c>
      <c r="Q350" s="18">
        <v>0.99</v>
      </c>
      <c r="R350" s="301">
        <v>130</v>
      </c>
      <c r="S350" s="143">
        <v>3.472222222222222E-3</v>
      </c>
      <c r="T350" s="1">
        <v>14</v>
      </c>
      <c r="U350" s="354" t="str">
        <f t="shared" si="20"/>
        <v>Normal</v>
      </c>
      <c r="V350" s="354" t="str">
        <f t="shared" si="21"/>
        <v>Normal</v>
      </c>
      <c r="W350" s="359">
        <f t="shared" si="22"/>
        <v>7.6547231270358312E-2</v>
      </c>
      <c r="X350" s="359">
        <f t="shared" si="23"/>
        <v>7.512520868113523E-2</v>
      </c>
      <c r="Y350" s="343"/>
      <c r="Z350" s="343"/>
      <c r="AA350" s="343"/>
      <c r="AB350" s="343"/>
      <c r="AC350" s="343"/>
      <c r="AD350" s="343"/>
      <c r="AE350" s="343"/>
      <c r="AF350" s="343"/>
    </row>
    <row r="351" spans="1:36">
      <c r="A351" s="21">
        <v>45366</v>
      </c>
      <c r="B351" s="17">
        <f>IF(YEAR(Table7[[#This Row],[Date]]) = 2023, WEEKNUM(Table7[[#This Row],[Date]])-13, WEEKNUM(Table7[[#This Row],[Date]])+40)</f>
        <v>51</v>
      </c>
      <c r="C351" s="34" t="s">
        <v>53</v>
      </c>
      <c r="D351" s="34" t="s">
        <v>94</v>
      </c>
      <c r="E351" s="1">
        <v>533</v>
      </c>
      <c r="F351" s="1">
        <v>517</v>
      </c>
      <c r="G351" s="64">
        <f>IFERROR((Table7[[#This Row],[Calls Off]]-E344)/E344,0%)</f>
        <v>-0.13754045307443366</v>
      </c>
      <c r="H351" s="64">
        <f>IFERROR((Table7[[#This Row],[Calls Ans]]-F344)/F344,0%)</f>
        <v>-0.10862068965517241</v>
      </c>
      <c r="I351" s="1"/>
      <c r="J351" s="1"/>
      <c r="K351" s="1"/>
      <c r="L351" s="1"/>
      <c r="M351" s="18">
        <v>0.88</v>
      </c>
      <c r="N351" s="18">
        <v>0.03</v>
      </c>
      <c r="O351" s="18">
        <v>0.97</v>
      </c>
      <c r="P351" s="18">
        <v>0.22</v>
      </c>
      <c r="Q351" s="18">
        <v>0.99</v>
      </c>
      <c r="R351" s="301">
        <v>124</v>
      </c>
      <c r="S351" s="143">
        <v>8.3333333333333332E-3</v>
      </c>
      <c r="T351" s="1">
        <v>13</v>
      </c>
      <c r="U351" s="354" t="str">
        <f t="shared" si="20"/>
        <v>Normal</v>
      </c>
      <c r="V351" s="354" t="str">
        <f t="shared" si="21"/>
        <v>Normal</v>
      </c>
      <c r="W351" s="359">
        <f t="shared" si="22"/>
        <v>-0.13754045307443366</v>
      </c>
      <c r="X351" s="359">
        <f t="shared" si="23"/>
        <v>-0.10862068965517241</v>
      </c>
      <c r="Y351" s="343"/>
      <c r="Z351" s="343"/>
      <c r="AA351" s="343"/>
      <c r="AB351" s="343"/>
      <c r="AC351" s="343"/>
      <c r="AD351" s="343"/>
      <c r="AE351" s="343"/>
      <c r="AF351" s="343"/>
    </row>
    <row r="352" spans="1:36">
      <c r="A352" s="21">
        <v>45367</v>
      </c>
      <c r="B352" s="17">
        <f>IF(YEAR(Table7[[#This Row],[Date]]) = 2023, WEEKNUM(Table7[[#This Row],[Date]])-13, WEEKNUM(Table7[[#This Row],[Date]])+40)</f>
        <v>51</v>
      </c>
      <c r="C352" s="34" t="s">
        <v>64</v>
      </c>
      <c r="D352" s="34" t="s">
        <v>94</v>
      </c>
      <c r="E352" s="1">
        <v>0</v>
      </c>
      <c r="F352" s="1">
        <v>0</v>
      </c>
      <c r="G352" s="64">
        <v>0</v>
      </c>
      <c r="H352" s="64">
        <v>0</v>
      </c>
      <c r="I352" s="1">
        <v>0</v>
      </c>
      <c r="J352" s="1">
        <v>0</v>
      </c>
      <c r="K352" s="1">
        <v>0</v>
      </c>
      <c r="L352" s="1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R352" s="301">
        <v>0</v>
      </c>
      <c r="S352" s="143">
        <v>0</v>
      </c>
      <c r="T352" s="1">
        <v>0</v>
      </c>
      <c r="U352" s="354" t="str">
        <f t="shared" si="20"/>
        <v>Normal</v>
      </c>
      <c r="V352" s="354" t="str">
        <f t="shared" si="21"/>
        <v>Normal</v>
      </c>
      <c r="W352" s="359">
        <f t="shared" si="22"/>
        <v>0</v>
      </c>
      <c r="X352" s="359">
        <f t="shared" si="23"/>
        <v>0</v>
      </c>
      <c r="Y352" s="343"/>
      <c r="Z352" s="343"/>
      <c r="AA352" s="343"/>
      <c r="AB352" s="343"/>
      <c r="AC352" s="343"/>
      <c r="AD352" s="343"/>
      <c r="AE352" s="343"/>
      <c r="AF352" s="343"/>
    </row>
    <row r="353" spans="1:32">
      <c r="A353" s="21">
        <v>45368</v>
      </c>
      <c r="B353" s="17">
        <f>IF(YEAR(Table7[[#This Row],[Date]]) = 2023, WEEKNUM(Table7[[#This Row],[Date]])-13, WEEKNUM(Table7[[#This Row],[Date]])+40)</f>
        <v>52</v>
      </c>
      <c r="C353" s="34" t="s">
        <v>48</v>
      </c>
      <c r="D353" s="34" t="s">
        <v>94</v>
      </c>
      <c r="E353" s="1">
        <v>0</v>
      </c>
      <c r="F353" s="1">
        <v>0</v>
      </c>
      <c r="G353" s="64">
        <v>0</v>
      </c>
      <c r="H353" s="64">
        <v>0</v>
      </c>
      <c r="I353" s="1">
        <v>0</v>
      </c>
      <c r="J353" s="1">
        <v>0</v>
      </c>
      <c r="K353" s="1">
        <v>0</v>
      </c>
      <c r="L353" s="1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R353" s="301">
        <v>0</v>
      </c>
      <c r="S353" s="143">
        <v>0</v>
      </c>
      <c r="T353" s="1">
        <v>0</v>
      </c>
      <c r="U353" s="354" t="str">
        <f t="shared" si="20"/>
        <v>Normal</v>
      </c>
      <c r="V353" s="354" t="str">
        <f t="shared" si="21"/>
        <v>Normal</v>
      </c>
      <c r="W353" s="359">
        <f t="shared" si="22"/>
        <v>0</v>
      </c>
      <c r="X353" s="359">
        <f t="shared" si="23"/>
        <v>0</v>
      </c>
      <c r="Y353" s="343"/>
      <c r="Z353" s="343"/>
      <c r="AA353" s="343"/>
      <c r="AB353" s="343"/>
      <c r="AC353" s="343"/>
      <c r="AD353" s="343"/>
      <c r="AE353" s="343"/>
      <c r="AF353" s="343"/>
    </row>
    <row r="354" spans="1:32">
      <c r="A354" s="21">
        <v>45369</v>
      </c>
      <c r="B354" s="17">
        <f>IF(YEAR(Table7[[#This Row],[Date]]) = 2023, WEEKNUM(Table7[[#This Row],[Date]])-13, WEEKNUM(Table7[[#This Row],[Date]])+40)</f>
        <v>52</v>
      </c>
      <c r="C354" s="34" t="s">
        <v>49</v>
      </c>
      <c r="D354" s="34" t="s">
        <v>94</v>
      </c>
      <c r="E354" s="1">
        <v>709</v>
      </c>
      <c r="F354" s="1">
        <v>694</v>
      </c>
      <c r="G354" s="64">
        <f>IFERROR((Table7[[#This Row],[Calls Off]]-E347)/E347,0%)</f>
        <v>-8.3979328165374678E-2</v>
      </c>
      <c r="H354" s="64">
        <f>IFERROR((Table7[[#This Row],[Calls Ans]]-F347)/F347,0%)</f>
        <v>-8.3223249669749005E-2</v>
      </c>
      <c r="I354" s="1"/>
      <c r="J354" s="1"/>
      <c r="K354" s="1"/>
      <c r="L354" s="1"/>
      <c r="M354" s="18">
        <v>0.95</v>
      </c>
      <c r="N354" s="18">
        <v>0.02</v>
      </c>
      <c r="O354" s="18">
        <v>0.98</v>
      </c>
      <c r="P354" s="18">
        <v>0.28999999999999998</v>
      </c>
      <c r="Q354" s="18">
        <v>1</v>
      </c>
      <c r="R354" s="301">
        <v>118</v>
      </c>
      <c r="S354" s="143">
        <v>7.6388888888888886E-3</v>
      </c>
      <c r="T354" s="1">
        <v>12</v>
      </c>
      <c r="U354" s="354" t="str">
        <f t="shared" si="20"/>
        <v>Normal</v>
      </c>
      <c r="V354" s="354" t="str">
        <f t="shared" si="21"/>
        <v>Normal</v>
      </c>
      <c r="W354" s="359">
        <f t="shared" si="22"/>
        <v>-8.3979328165374678E-2</v>
      </c>
      <c r="X354" s="359">
        <f t="shared" si="23"/>
        <v>-8.3223249669749005E-2</v>
      </c>
      <c r="Y354" s="343"/>
      <c r="Z354" s="343"/>
      <c r="AA354" s="343"/>
      <c r="AB354" s="343"/>
      <c r="AC354" s="343"/>
      <c r="AD354" s="343"/>
      <c r="AE354" s="343"/>
      <c r="AF354" s="343"/>
    </row>
    <row r="355" spans="1:32">
      <c r="A355" s="21">
        <v>45370</v>
      </c>
      <c r="B355" s="17">
        <f>IF(YEAR(Table7[[#This Row],[Date]]) = 2023, WEEKNUM(Table7[[#This Row],[Date]])-13, WEEKNUM(Table7[[#This Row],[Date]])+40)</f>
        <v>52</v>
      </c>
      <c r="C355" s="34" t="s">
        <v>50</v>
      </c>
      <c r="D355" s="34" t="s">
        <v>94</v>
      </c>
      <c r="E355" s="1">
        <v>714</v>
      </c>
      <c r="F355" s="1">
        <v>604</v>
      </c>
      <c r="G355" s="64">
        <f>IFERROR((Table7[[#This Row],[Calls Off]]-E348)/E348,0%)</f>
        <v>8.0181543116490173E-2</v>
      </c>
      <c r="H355" s="64">
        <f>IFERROR((Table7[[#This Row],[Calls Ans]]-F348)/F348,0%)</f>
        <v>-5.7722308892355696E-2</v>
      </c>
      <c r="I355" s="1"/>
      <c r="J355" s="1"/>
      <c r="K355" s="1"/>
      <c r="L355" s="1"/>
      <c r="M355" s="18">
        <v>0.74</v>
      </c>
      <c r="N355" s="18">
        <v>0.15</v>
      </c>
      <c r="O355" s="18">
        <v>0.85</v>
      </c>
      <c r="P355" s="18">
        <v>0.34</v>
      </c>
      <c r="Q355" s="18">
        <v>1</v>
      </c>
      <c r="R355" s="301">
        <v>124</v>
      </c>
      <c r="S355" s="143">
        <v>1.8749999999999999E-2</v>
      </c>
      <c r="T355" s="1">
        <v>10</v>
      </c>
      <c r="U355" s="354" t="str">
        <f t="shared" si="20"/>
        <v>Normal</v>
      </c>
      <c r="V355" s="354" t="str">
        <f t="shared" si="21"/>
        <v>Normal</v>
      </c>
      <c r="W355" s="359">
        <f t="shared" si="22"/>
        <v>8.0181543116490173E-2</v>
      </c>
      <c r="X355" s="359">
        <f t="shared" si="23"/>
        <v>-5.7722308892355696E-2</v>
      </c>
      <c r="Y355" s="343"/>
      <c r="Z355" s="343"/>
      <c r="AA355" s="343"/>
      <c r="AB355" s="343"/>
      <c r="AC355" s="343"/>
      <c r="AD355" s="343"/>
      <c r="AE355" s="343"/>
      <c r="AF355" s="343"/>
    </row>
    <row r="356" spans="1:32">
      <c r="A356" s="21">
        <v>45371</v>
      </c>
      <c r="B356" s="17">
        <f>IF(YEAR(Table7[[#This Row],[Date]]) = 2023, WEEKNUM(Table7[[#This Row],[Date]])-13, WEEKNUM(Table7[[#This Row],[Date]])+40)</f>
        <v>52</v>
      </c>
      <c r="C356" s="33" t="s">
        <v>51</v>
      </c>
      <c r="D356" s="34" t="s">
        <v>94</v>
      </c>
      <c r="E356" s="1">
        <v>612</v>
      </c>
      <c r="F356" s="1">
        <v>593</v>
      </c>
      <c r="G356" s="64">
        <f>IFERROR((Table7[[#This Row],[Calls Off]]-E349)/E349,0%)</f>
        <v>-0.11304347826086956</v>
      </c>
      <c r="H356" s="64">
        <f>IFERROR((Table7[[#This Row],[Calls Ans]]-F349)/F349,0%)</f>
        <v>-0.11624441132637854</v>
      </c>
      <c r="I356" s="1"/>
      <c r="J356" s="1"/>
      <c r="K356" s="1"/>
      <c r="L356" s="1"/>
      <c r="M356" s="18">
        <v>0.92</v>
      </c>
      <c r="N356" s="18">
        <v>0.03</v>
      </c>
      <c r="O356" s="18">
        <v>0.97</v>
      </c>
      <c r="P356" s="18">
        <v>0.27</v>
      </c>
      <c r="Q356" s="18">
        <v>0.98</v>
      </c>
      <c r="R356" s="301">
        <v>136</v>
      </c>
      <c r="S356" s="143">
        <v>4.1666666666666666E-3</v>
      </c>
      <c r="T356" s="1">
        <v>10</v>
      </c>
      <c r="U356" s="354" t="str">
        <f t="shared" si="20"/>
        <v>Normal</v>
      </c>
      <c r="V356" s="354" t="str">
        <f t="shared" si="21"/>
        <v>Normal</v>
      </c>
      <c r="W356" s="359">
        <f t="shared" si="22"/>
        <v>-0.11304347826086956</v>
      </c>
      <c r="X356" s="359">
        <f t="shared" si="23"/>
        <v>-0.11624441132637854</v>
      </c>
      <c r="Y356" s="343"/>
      <c r="Z356" s="343"/>
      <c r="AA356" s="343"/>
      <c r="AB356" s="343"/>
      <c r="AC356" s="343"/>
      <c r="AD356" s="343"/>
      <c r="AE356" s="343"/>
      <c r="AF356" s="343"/>
    </row>
    <row r="357" spans="1:32">
      <c r="A357" s="21">
        <v>45372</v>
      </c>
      <c r="B357" s="17">
        <f>IF(YEAR(Table7[[#This Row],[Date]]) = 2023, WEEKNUM(Table7[[#This Row],[Date]])-13, WEEKNUM(Table7[[#This Row],[Date]])+40)</f>
        <v>52</v>
      </c>
      <c r="C357" s="34" t="s">
        <v>52</v>
      </c>
      <c r="D357" s="34" t="s">
        <v>94</v>
      </c>
      <c r="E357" s="1">
        <v>568</v>
      </c>
      <c r="F357" s="1">
        <v>566</v>
      </c>
      <c r="G357" s="64">
        <f>IFERROR((Table7[[#This Row],[Calls Off]]-E350)/E350,0%)</f>
        <v>-0.14069591527987896</v>
      </c>
      <c r="H357" s="64">
        <f>IFERROR((Table7[[#This Row],[Calls Ans]]-F350)/F350,0%)</f>
        <v>-0.12111801242236025</v>
      </c>
      <c r="I357" s="1"/>
      <c r="J357" s="1"/>
      <c r="K357" s="1"/>
      <c r="L357" s="1"/>
      <c r="M357" s="18">
        <v>0.99</v>
      </c>
      <c r="N357" s="18">
        <v>0</v>
      </c>
      <c r="O357" s="18">
        <v>1</v>
      </c>
      <c r="P357" s="18">
        <v>0.25</v>
      </c>
      <c r="Q357" s="18">
        <v>0.99</v>
      </c>
      <c r="R357" s="301">
        <v>132</v>
      </c>
      <c r="S357" s="143">
        <v>2.0833333333333333E-3</v>
      </c>
      <c r="T357" s="1">
        <v>12</v>
      </c>
      <c r="U357" s="354" t="str">
        <f t="shared" si="20"/>
        <v>Normal</v>
      </c>
      <c r="V357" s="354" t="str">
        <f t="shared" si="21"/>
        <v>Normal</v>
      </c>
      <c r="W357" s="359">
        <f t="shared" si="22"/>
        <v>-0.14069591527987896</v>
      </c>
      <c r="X357" s="359">
        <f t="shared" si="23"/>
        <v>-0.12111801242236025</v>
      </c>
      <c r="Y357" s="343"/>
      <c r="Z357" s="343"/>
      <c r="AA357" s="343"/>
      <c r="AB357" s="343"/>
      <c r="AC357" s="343"/>
      <c r="AD357" s="343"/>
      <c r="AE357" s="343"/>
      <c r="AF357" s="343"/>
    </row>
    <row r="358" spans="1:32">
      <c r="A358" s="21">
        <v>45373</v>
      </c>
      <c r="B358" s="17">
        <f>IF(YEAR(Table7[[#This Row],[Date]]) = 2023, WEEKNUM(Table7[[#This Row],[Date]])-13, WEEKNUM(Table7[[#This Row],[Date]])+40)</f>
        <v>52</v>
      </c>
      <c r="C358" s="33" t="s">
        <v>53</v>
      </c>
      <c r="D358" s="34" t="s">
        <v>94</v>
      </c>
      <c r="E358" s="1">
        <v>618</v>
      </c>
      <c r="F358" s="1">
        <v>608</v>
      </c>
      <c r="G358" s="64">
        <f>IFERROR((Table7[[#This Row],[Calls Off]]-E351)/E351,0%)</f>
        <v>0.15947467166979362</v>
      </c>
      <c r="H358" s="64">
        <f>IFERROR((Table7[[#This Row],[Calls Ans]]-F351)/F351,0%)</f>
        <v>0.1760154738878143</v>
      </c>
      <c r="I358" s="1"/>
      <c r="J358" s="1"/>
      <c r="K358" s="1"/>
      <c r="L358" s="1"/>
      <c r="M358" s="18">
        <v>0.98</v>
      </c>
      <c r="N358" s="18">
        <v>0.02</v>
      </c>
      <c r="O358" s="18">
        <v>0.98</v>
      </c>
      <c r="P358" s="18">
        <v>0.25</v>
      </c>
      <c r="Q358" s="18">
        <v>0.99</v>
      </c>
      <c r="R358" s="301">
        <v>127</v>
      </c>
      <c r="S358" s="143">
        <v>3.472222222222222E-3</v>
      </c>
      <c r="T358" s="1">
        <v>13</v>
      </c>
      <c r="U358" s="354" t="str">
        <f t="shared" si="20"/>
        <v>Normal</v>
      </c>
      <c r="V358" s="354" t="str">
        <f t="shared" si="21"/>
        <v>Normal</v>
      </c>
      <c r="W358" s="359">
        <f t="shared" si="22"/>
        <v>0.15947467166979362</v>
      </c>
      <c r="X358" s="359">
        <f t="shared" si="23"/>
        <v>0.1760154738878143</v>
      </c>
      <c r="Y358" s="343"/>
      <c r="Z358" s="343"/>
      <c r="AA358" s="343"/>
      <c r="AB358" s="343"/>
      <c r="AC358" s="343"/>
      <c r="AD358" s="343"/>
      <c r="AE358" s="343"/>
      <c r="AF358" s="343"/>
    </row>
    <row r="359" spans="1:32">
      <c r="A359" s="21">
        <v>45374</v>
      </c>
      <c r="B359" s="17">
        <f>IF(YEAR(Table7[[#This Row],[Date]]) = 2023, WEEKNUM(Table7[[#This Row],[Date]])-13, WEEKNUM(Table7[[#This Row],[Date]])+40)</f>
        <v>52</v>
      </c>
      <c r="C359" s="34" t="s">
        <v>54</v>
      </c>
      <c r="D359" s="34" t="s">
        <v>94</v>
      </c>
      <c r="E359" s="1">
        <v>275</v>
      </c>
      <c r="F359" s="1">
        <v>230</v>
      </c>
      <c r="G359" s="64">
        <f>IFERROR((Table7[[#This Row],[Calls Off]]-E352)/E352,0%)</f>
        <v>0</v>
      </c>
      <c r="H359" s="64">
        <f>IFERROR((Table7[[#This Row],[Calls Ans]]-F352)/F352,0%)</f>
        <v>0</v>
      </c>
      <c r="I359" s="1"/>
      <c r="J359" s="1"/>
      <c r="K359" s="1"/>
      <c r="L359" s="1"/>
      <c r="M359" s="18">
        <v>0.6</v>
      </c>
      <c r="N359" s="18">
        <v>0.16</v>
      </c>
      <c r="O359" s="18">
        <v>0.84</v>
      </c>
      <c r="P359" s="18">
        <v>0.47</v>
      </c>
      <c r="Q359" s="18">
        <v>0.95</v>
      </c>
      <c r="R359" s="301">
        <v>129</v>
      </c>
      <c r="S359" s="143">
        <v>3.4722222222222224E-2</v>
      </c>
      <c r="T359" s="1">
        <v>4</v>
      </c>
      <c r="U359" s="354" t="str">
        <f t="shared" si="20"/>
        <v>Normal</v>
      </c>
      <c r="V359" s="354" t="str">
        <f t="shared" si="21"/>
        <v>Normal</v>
      </c>
      <c r="W359" s="359">
        <f t="shared" si="22"/>
        <v>0</v>
      </c>
      <c r="X359" s="359">
        <f t="shared" si="23"/>
        <v>0</v>
      </c>
      <c r="Y359" s="343"/>
      <c r="Z359" s="343"/>
      <c r="AA359" s="343"/>
      <c r="AB359" s="343"/>
      <c r="AC359" s="343"/>
      <c r="AD359" s="343"/>
      <c r="AE359" s="343"/>
      <c r="AF359" s="343"/>
    </row>
    <row r="360" spans="1:32">
      <c r="A360" s="21">
        <v>45375</v>
      </c>
      <c r="B360" s="17">
        <f>IF(YEAR(Table7[[#This Row],[Date]]) = 2023, WEEKNUM(Table7[[#This Row],[Date]])-13, WEEKNUM(Table7[[#This Row],[Date]])+40)</f>
        <v>53</v>
      </c>
      <c r="C360" s="33" t="s">
        <v>48</v>
      </c>
      <c r="D360" s="34" t="s">
        <v>94</v>
      </c>
      <c r="E360" s="1">
        <v>0</v>
      </c>
      <c r="F360" s="1">
        <v>0</v>
      </c>
      <c r="G360" s="64">
        <v>0</v>
      </c>
      <c r="H360" s="64">
        <v>0</v>
      </c>
      <c r="I360" s="1">
        <v>0</v>
      </c>
      <c r="J360" s="1">
        <v>0</v>
      </c>
      <c r="K360" s="1">
        <v>0</v>
      </c>
      <c r="L360" s="1">
        <v>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301">
        <v>0</v>
      </c>
      <c r="S360" s="143">
        <v>0</v>
      </c>
      <c r="T360" s="1">
        <v>0</v>
      </c>
      <c r="U360" s="354" t="str">
        <f t="shared" si="20"/>
        <v>Normal</v>
      </c>
      <c r="V360" s="354" t="str">
        <f t="shared" si="21"/>
        <v>Normal</v>
      </c>
      <c r="W360" s="359">
        <f t="shared" si="22"/>
        <v>0</v>
      </c>
      <c r="X360" s="359">
        <f t="shared" si="23"/>
        <v>0</v>
      </c>
      <c r="Y360" s="343"/>
      <c r="Z360" s="343"/>
      <c r="AA360" s="343"/>
      <c r="AB360" s="343"/>
      <c r="AC360" s="343"/>
      <c r="AD360" s="343"/>
      <c r="AE360" s="343"/>
      <c r="AF360" s="343"/>
    </row>
    <row r="361" spans="1:32">
      <c r="A361" s="21">
        <v>45376</v>
      </c>
      <c r="B361" s="17">
        <f>IF(YEAR(Table7[[#This Row],[Date]]) = 2023, WEEKNUM(Table7[[#This Row],[Date]])-13, WEEKNUM(Table7[[#This Row],[Date]])+40)</f>
        <v>53</v>
      </c>
      <c r="C361" s="34" t="s">
        <v>49</v>
      </c>
      <c r="D361" s="34" t="s">
        <v>94</v>
      </c>
      <c r="E361" s="1">
        <v>743</v>
      </c>
      <c r="F361" s="1">
        <v>696</v>
      </c>
      <c r="G361" s="64">
        <f>IFERROR((Table7[[#This Row],[Calls Off]]-E354)/E354,0%)</f>
        <v>4.7954866008462625E-2</v>
      </c>
      <c r="H361" s="64">
        <f>IFERROR((Table7[[#This Row],[Calls Ans]]-F354)/F354,0%)</f>
        <v>2.881844380403458E-3</v>
      </c>
      <c r="I361" s="1"/>
      <c r="J361" s="1"/>
      <c r="K361" s="1"/>
      <c r="L361" s="1"/>
      <c r="M361" s="18">
        <v>0.84</v>
      </c>
      <c r="N361" s="18">
        <v>0.06</v>
      </c>
      <c r="O361" s="18">
        <v>0.94</v>
      </c>
      <c r="P361" s="18">
        <v>0.4</v>
      </c>
      <c r="Q361" s="18">
        <v>0.98</v>
      </c>
      <c r="R361" s="301">
        <v>130</v>
      </c>
      <c r="S361" s="143">
        <v>1.5972222222222224E-2</v>
      </c>
      <c r="T361" s="1">
        <v>10</v>
      </c>
      <c r="U361" s="354" t="str">
        <f t="shared" si="20"/>
        <v>Normal</v>
      </c>
      <c r="V361" s="354" t="str">
        <f t="shared" si="21"/>
        <v>Normal</v>
      </c>
      <c r="W361" s="359">
        <f t="shared" si="22"/>
        <v>4.7954866008462625E-2</v>
      </c>
      <c r="X361" s="359">
        <f t="shared" si="23"/>
        <v>2.881844380403458E-3</v>
      </c>
      <c r="Y361" s="343"/>
      <c r="Z361" s="343"/>
      <c r="AA361" s="343"/>
      <c r="AB361" s="343"/>
      <c r="AC361" s="343"/>
      <c r="AD361" s="343"/>
      <c r="AE361" s="343"/>
      <c r="AF361" s="343"/>
    </row>
    <row r="362" spans="1:32">
      <c r="A362" s="21">
        <v>45377</v>
      </c>
      <c r="B362" s="17">
        <f>IF(YEAR(Table7[[#This Row],[Date]]) = 2023, WEEKNUM(Table7[[#This Row],[Date]])-13, WEEKNUM(Table7[[#This Row],[Date]])+40)</f>
        <v>53</v>
      </c>
      <c r="C362" s="33" t="s">
        <v>50</v>
      </c>
      <c r="D362" s="34" t="s">
        <v>94</v>
      </c>
      <c r="E362" s="1">
        <v>759</v>
      </c>
      <c r="F362" s="1">
        <v>742</v>
      </c>
      <c r="G362" s="64">
        <f>IFERROR((Table7[[#This Row],[Calls Off]]-E355)/E355,0%)</f>
        <v>6.3025210084033612E-2</v>
      </c>
      <c r="H362" s="64">
        <f>IFERROR((Table7[[#This Row],[Calls Ans]]-F355)/F355,0%)</f>
        <v>0.22847682119205298</v>
      </c>
      <c r="I362" s="1"/>
      <c r="J362" s="1"/>
      <c r="K362" s="1"/>
      <c r="L362" s="1"/>
      <c r="M362" s="18">
        <v>0.93</v>
      </c>
      <c r="N362" s="18">
        <v>0.02</v>
      </c>
      <c r="O362" s="18">
        <v>0.98</v>
      </c>
      <c r="P362" s="18">
        <v>0.33</v>
      </c>
      <c r="Q362" s="18">
        <v>0.99</v>
      </c>
      <c r="R362" s="301">
        <v>126</v>
      </c>
      <c r="S362" s="143">
        <v>4.8611111111111112E-3</v>
      </c>
      <c r="T362" s="1">
        <v>11</v>
      </c>
      <c r="U362" s="354" t="str">
        <f t="shared" si="20"/>
        <v>Normal</v>
      </c>
      <c r="V362" s="354" t="str">
        <f t="shared" si="21"/>
        <v>Normal</v>
      </c>
      <c r="W362" s="359">
        <f t="shared" si="22"/>
        <v>6.3025210084033612E-2</v>
      </c>
      <c r="X362" s="359">
        <f t="shared" si="23"/>
        <v>0.22847682119205298</v>
      </c>
      <c r="Y362" s="343"/>
      <c r="Z362" s="343"/>
      <c r="AA362" s="343"/>
      <c r="AB362" s="343"/>
      <c r="AC362" s="343"/>
      <c r="AD362" s="343"/>
      <c r="AE362" s="343"/>
      <c r="AF362" s="343"/>
    </row>
    <row r="363" spans="1:32">
      <c r="A363" s="21">
        <v>45378</v>
      </c>
      <c r="B363" s="17">
        <f>IF(YEAR(Table7[[#This Row],[Date]]) = 2023, WEEKNUM(Table7[[#This Row],[Date]])-13, WEEKNUM(Table7[[#This Row],[Date]])+40)</f>
        <v>53</v>
      </c>
      <c r="C363" s="34" t="s">
        <v>51</v>
      </c>
      <c r="D363" s="34" t="s">
        <v>94</v>
      </c>
      <c r="E363" s="1">
        <v>5</v>
      </c>
      <c r="F363" s="1">
        <v>5</v>
      </c>
      <c r="G363" s="64">
        <f>IFERROR((Table7[[#This Row],[Calls Off]]-E356)/E356,0%)</f>
        <v>-0.99183006535947715</v>
      </c>
      <c r="H363" s="64">
        <f>IFERROR((Table7[[#This Row],[Calls Ans]]-F356)/F356,0%)</f>
        <v>-0.99156829679595282</v>
      </c>
      <c r="I363" s="1"/>
      <c r="J363" s="1"/>
      <c r="K363" s="1"/>
      <c r="L363" s="1"/>
      <c r="M363" s="18">
        <v>0.8</v>
      </c>
      <c r="N363" s="18">
        <v>0</v>
      </c>
      <c r="O363" s="18">
        <v>1</v>
      </c>
      <c r="P363" s="18">
        <v>0.02</v>
      </c>
      <c r="Q363" s="18">
        <v>1</v>
      </c>
      <c r="R363" s="301">
        <v>136</v>
      </c>
      <c r="S363" s="143">
        <v>5.6250000000000001E-2</v>
      </c>
      <c r="T363" s="1">
        <v>9</v>
      </c>
      <c r="U363" s="354" t="str">
        <f t="shared" si="20"/>
        <v>Outlier</v>
      </c>
      <c r="V363" s="354" t="str">
        <f t="shared" si="21"/>
        <v>Outlier</v>
      </c>
      <c r="W363" s="359">
        <f t="shared" si="22"/>
        <v>-0.99183006535947715</v>
      </c>
      <c r="X363" s="359">
        <f t="shared" si="23"/>
        <v>-0.99156829679595282</v>
      </c>
      <c r="Y363" s="343"/>
      <c r="Z363" s="343"/>
      <c r="AA363" s="343"/>
      <c r="AB363" s="343"/>
      <c r="AC363" s="343"/>
      <c r="AD363" s="343"/>
      <c r="AE363" s="343"/>
      <c r="AF363" s="343"/>
    </row>
    <row r="364" spans="1:32">
      <c r="A364" s="21">
        <v>45379</v>
      </c>
      <c r="B364" s="17">
        <f>IF(YEAR(Table7[[#This Row],[Date]]) = 2023, WEEKNUM(Table7[[#This Row],[Date]])-13, WEEKNUM(Table7[[#This Row],[Date]])+40)</f>
        <v>53</v>
      </c>
      <c r="C364" s="279" t="s">
        <v>52</v>
      </c>
      <c r="D364" s="34" t="s">
        <v>94</v>
      </c>
      <c r="E364" s="1">
        <v>10</v>
      </c>
      <c r="F364" s="1">
        <v>7</v>
      </c>
      <c r="G364" s="64">
        <f>IFERROR((Table7[[#This Row],[Calls Off]]-E357)/E357,0%)</f>
        <v>-0.98239436619718312</v>
      </c>
      <c r="H364" s="64">
        <f>IFERROR((Table7[[#This Row],[Calls Ans]]-F357)/F357,0%)</f>
        <v>-0.98763250883392228</v>
      </c>
      <c r="I364" s="1"/>
      <c r="J364" s="1"/>
      <c r="K364" s="1"/>
      <c r="L364" s="1"/>
      <c r="M364" s="18">
        <v>0.7</v>
      </c>
      <c r="N364" s="18">
        <v>0.3</v>
      </c>
      <c r="O364" s="18">
        <v>0.7</v>
      </c>
      <c r="P364" s="18">
        <v>0</v>
      </c>
      <c r="Q364" s="18">
        <v>1</v>
      </c>
      <c r="R364" s="301">
        <v>78</v>
      </c>
      <c r="S364" s="143">
        <v>1.9444444444444445E-2</v>
      </c>
      <c r="T364" s="1">
        <v>9</v>
      </c>
      <c r="U364" s="354" t="str">
        <f t="shared" si="20"/>
        <v>Outlier</v>
      </c>
      <c r="V364" s="354" t="str">
        <f t="shared" si="21"/>
        <v>Outlier</v>
      </c>
      <c r="W364" s="359">
        <f t="shared" si="22"/>
        <v>-0.98239436619718312</v>
      </c>
      <c r="X364" s="359">
        <f t="shared" si="23"/>
        <v>-0.98763250883392228</v>
      </c>
      <c r="Y364" s="343"/>
      <c r="Z364" s="343"/>
      <c r="AA364" s="343"/>
      <c r="AB364" s="343"/>
      <c r="AC364" s="343"/>
      <c r="AD364" s="343"/>
      <c r="AE364" s="343"/>
      <c r="AF364" s="343"/>
    </row>
    <row r="365" spans="1:32">
      <c r="A365" s="21">
        <v>45380</v>
      </c>
      <c r="B365" s="17">
        <f>IF(YEAR(Table7[[#This Row],[Date]]) = 2023, WEEKNUM(Table7[[#This Row],[Date]])-13, WEEKNUM(Table7[[#This Row],[Date]])+40)</f>
        <v>53</v>
      </c>
      <c r="C365" s="34" t="s">
        <v>64</v>
      </c>
      <c r="D365" s="34" t="s">
        <v>94</v>
      </c>
      <c r="E365" s="1">
        <v>0</v>
      </c>
      <c r="F365" s="1">
        <v>0</v>
      </c>
      <c r="G365" s="64">
        <v>0</v>
      </c>
      <c r="H365" s="64">
        <v>0</v>
      </c>
      <c r="I365" s="1">
        <v>0</v>
      </c>
      <c r="J365" s="1">
        <v>0</v>
      </c>
      <c r="K365" s="1">
        <v>0</v>
      </c>
      <c r="L365" s="1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301">
        <v>0</v>
      </c>
      <c r="S365" s="143">
        <v>0</v>
      </c>
      <c r="T365" s="1">
        <v>0</v>
      </c>
      <c r="U365" s="354" t="str">
        <f t="shared" si="20"/>
        <v>Normal</v>
      </c>
      <c r="V365" s="354" t="str">
        <f t="shared" si="21"/>
        <v>Normal</v>
      </c>
      <c r="W365" s="359">
        <f t="shared" si="22"/>
        <v>0</v>
      </c>
      <c r="X365" s="359">
        <f t="shared" si="23"/>
        <v>0</v>
      </c>
      <c r="Y365" s="343"/>
      <c r="Z365" s="343"/>
      <c r="AA365" s="343"/>
      <c r="AB365" s="343"/>
      <c r="AC365" s="343"/>
      <c r="AD365" s="343"/>
      <c r="AE365" s="343"/>
      <c r="AF365" s="343"/>
    </row>
    <row r="366" spans="1:32">
      <c r="A366" s="21">
        <v>45381</v>
      </c>
      <c r="B366" s="17">
        <f>IF(YEAR(Table7[[#This Row],[Date]]) = 2023, WEEKNUM(Table7[[#This Row],[Date]])-13, WEEKNUM(Table7[[#This Row],[Date]])+40)</f>
        <v>53</v>
      </c>
      <c r="C366" s="33" t="s">
        <v>64</v>
      </c>
      <c r="D366" s="34" t="s">
        <v>94</v>
      </c>
      <c r="E366" s="1">
        <v>0</v>
      </c>
      <c r="F366" s="1">
        <v>0</v>
      </c>
      <c r="G366" s="64">
        <v>0</v>
      </c>
      <c r="H366" s="64">
        <v>0</v>
      </c>
      <c r="I366" s="1">
        <v>0</v>
      </c>
      <c r="J366" s="1">
        <v>0</v>
      </c>
      <c r="K366" s="1">
        <v>0</v>
      </c>
      <c r="L366" s="1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301">
        <v>0</v>
      </c>
      <c r="S366" s="143">
        <v>0</v>
      </c>
      <c r="T366" s="1">
        <v>0</v>
      </c>
      <c r="U366" s="354" t="str">
        <f t="shared" si="20"/>
        <v>Normal</v>
      </c>
      <c r="V366" s="354" t="str">
        <f t="shared" si="21"/>
        <v>Normal</v>
      </c>
      <c r="W366" s="359">
        <f t="shared" si="22"/>
        <v>0</v>
      </c>
      <c r="X366" s="359">
        <f t="shared" si="23"/>
        <v>0</v>
      </c>
      <c r="Y366" s="343"/>
      <c r="Z366" s="343"/>
      <c r="AA366" s="343"/>
      <c r="AB366" s="343"/>
      <c r="AC366" s="343"/>
      <c r="AD366" s="343"/>
      <c r="AE366" s="343"/>
      <c r="AF366" s="343"/>
    </row>
    <row r="367" spans="1:32">
      <c r="A367" s="21">
        <v>45382</v>
      </c>
      <c r="B367" s="17">
        <f>IF(YEAR(Table7[[#This Row],[Date]]) = 2023, WEEKNUM(Table7[[#This Row],[Date]])-13, WEEKNUM(Table7[[#This Row],[Date]])+40)</f>
        <v>54</v>
      </c>
      <c r="C367" s="33" t="s">
        <v>48</v>
      </c>
      <c r="D367" s="34" t="s">
        <v>94</v>
      </c>
      <c r="E367" s="1">
        <v>0</v>
      </c>
      <c r="F367" s="1">
        <v>0</v>
      </c>
      <c r="G367" s="64">
        <v>0</v>
      </c>
      <c r="H367" s="64">
        <v>0</v>
      </c>
      <c r="I367" s="1">
        <v>0</v>
      </c>
      <c r="J367" s="1">
        <v>0</v>
      </c>
      <c r="K367" s="1">
        <v>0</v>
      </c>
      <c r="L367" s="1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R367" s="301">
        <v>0</v>
      </c>
      <c r="S367" s="143">
        <v>0</v>
      </c>
      <c r="T367" s="1">
        <v>0</v>
      </c>
      <c r="U367" s="354" t="str">
        <f t="shared" si="20"/>
        <v>Normal</v>
      </c>
      <c r="V367" s="354" t="str">
        <f t="shared" si="21"/>
        <v>Normal</v>
      </c>
      <c r="W367" s="359">
        <f t="shared" si="22"/>
        <v>0</v>
      </c>
      <c r="X367" s="359">
        <f t="shared" si="23"/>
        <v>0</v>
      </c>
      <c r="Y367" s="343"/>
      <c r="Z367" s="343"/>
      <c r="AA367" s="343"/>
      <c r="AB367" s="343"/>
      <c r="AC367" s="343"/>
      <c r="AD367" s="343"/>
      <c r="AE367" s="343"/>
      <c r="AF367" s="343"/>
    </row>
    <row r="369" spans="13:17">
      <c r="M369" s="154"/>
    </row>
    <row r="370" spans="13:17">
      <c r="M370" s="337">
        <f>AVERAGEIF(M2:M92, "&lt;&gt;0")</f>
        <v>0.68507246376811604</v>
      </c>
      <c r="N370" s="337">
        <f t="shared" ref="N370:Q370" si="24">AVERAGEIF(N2:N92, "&lt;&gt;0")</f>
        <v>0.12942028985507245</v>
      </c>
      <c r="O370" s="337">
        <f t="shared" si="24"/>
        <v>0.87057971014492752</v>
      </c>
      <c r="P370" s="337">
        <f t="shared" si="24"/>
        <v>0.51043478260869579</v>
      </c>
      <c r="Q370" s="337">
        <f t="shared" si="24"/>
        <v>0.80739130434782624</v>
      </c>
    </row>
  </sheetData>
  <mergeCells count="6">
    <mergeCell ref="AI141:AJ141"/>
    <mergeCell ref="Z3:AB3"/>
    <mergeCell ref="AD3:AE3"/>
    <mergeCell ref="AG3:AH3"/>
    <mergeCell ref="Z8:AA8"/>
    <mergeCell ref="AD8:AE8"/>
  </mergeCells>
  <phoneticPr fontId="8" type="noConversion"/>
  <dataValidations disablePrompts="1" count="2">
    <dataValidation type="list" allowBlank="1" showInputMessage="1" showErrorMessage="1" sqref="AO20:AO21 AI120:AI121" xr:uid="{4B0DD217-3BFE-4080-B100-903B8DA6A89D}">
      <formula1>period_TT</formula1>
    </dataValidation>
    <dataValidation type="list" allowBlank="1" showInputMessage="1" showErrorMessage="1" sqref="AL6:AL7" xr:uid="{99CF4F32-FDBA-406A-B66E-6FACCCB4D56D}">
      <formula1>WoW_dates_TT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03D8-B9E4-4B6C-9E6D-FBF14BCC2AFB}">
  <sheetPr codeName="Sheet10"/>
  <dimension ref="A1:BC374"/>
  <sheetViews>
    <sheetView zoomScale="70" zoomScaleNormal="70" workbookViewId="0">
      <pane xSplit="1" ySplit="1" topLeftCell="B326" activePane="bottomRight" state="frozen"/>
      <selection pane="topRight" activeCell="B1" sqref="B1"/>
      <selection pane="bottomLeft" activeCell="A2" sqref="A2"/>
      <selection pane="bottomRight" activeCell="A366" sqref="A366"/>
    </sheetView>
  </sheetViews>
  <sheetFormatPr defaultRowHeight="14.5"/>
  <cols>
    <col min="2" max="2" width="19.26953125" bestFit="1" customWidth="1"/>
    <col min="3" max="3" width="19" style="15" bestFit="1" customWidth="1"/>
    <col min="4" max="4" width="7.36328125" style="15" customWidth="1"/>
    <col min="5" max="5" width="10.36328125" customWidth="1"/>
    <col min="6" max="6" width="10" customWidth="1"/>
    <col min="7" max="7" width="21" customWidth="1"/>
    <col min="8" max="8" width="19.90625" customWidth="1"/>
    <col min="9" max="9" width="21.81640625" bestFit="1" customWidth="1"/>
    <col min="10" max="10" width="18.36328125" customWidth="1"/>
    <col min="11" max="11" width="21.7265625" customWidth="1"/>
    <col min="12" max="12" width="18.453125" customWidth="1"/>
    <col min="13" max="14" width="10.36328125" customWidth="1"/>
    <col min="15" max="16" width="11.36328125" customWidth="1"/>
    <col min="17" max="17" width="11.1796875" bestFit="1" customWidth="1"/>
    <col min="18" max="18" width="12.54296875" bestFit="1" customWidth="1"/>
    <col min="19" max="19" width="12.54296875" customWidth="1"/>
    <col min="20" max="20" width="13.90625" customWidth="1"/>
    <col min="21" max="21" width="52.36328125" bestFit="1" customWidth="1"/>
    <col min="22" max="22" width="48" bestFit="1" customWidth="1"/>
    <col min="23" max="23" width="32.7265625" bestFit="1" customWidth="1"/>
    <col min="24" max="24" width="28.36328125" bestFit="1" customWidth="1"/>
    <col min="25" max="35" width="28.36328125" style="343" customWidth="1"/>
    <col min="36" max="36" width="11" bestFit="1" customWidth="1"/>
    <col min="37" max="37" width="11.81640625" customWidth="1"/>
    <col min="38" max="38" width="10.08984375" customWidth="1"/>
    <col min="40" max="40" width="10.6328125" bestFit="1" customWidth="1"/>
  </cols>
  <sheetData>
    <row r="1" spans="1:41">
      <c r="A1" s="25" t="s">
        <v>36</v>
      </c>
      <c r="B1" s="25" t="s">
        <v>255</v>
      </c>
      <c r="C1" s="28" t="s">
        <v>55</v>
      </c>
      <c r="D1" s="28" t="s">
        <v>60</v>
      </c>
      <c r="E1" s="28" t="s">
        <v>59</v>
      </c>
      <c r="F1" s="28" t="s">
        <v>34</v>
      </c>
      <c r="G1" s="28" t="s">
        <v>234</v>
      </c>
      <c r="H1" s="28" t="s">
        <v>61</v>
      </c>
      <c r="I1" s="28" t="s">
        <v>56</v>
      </c>
      <c r="J1" s="28" t="s">
        <v>57</v>
      </c>
      <c r="K1" s="28" t="s">
        <v>100</v>
      </c>
      <c r="L1" s="28" t="s">
        <v>58</v>
      </c>
      <c r="M1" s="28" t="s">
        <v>32</v>
      </c>
      <c r="N1" s="28" t="s">
        <v>5</v>
      </c>
      <c r="O1" s="28" t="s">
        <v>4</v>
      </c>
      <c r="P1" s="28" t="s">
        <v>119</v>
      </c>
      <c r="Q1" s="28" t="s">
        <v>7</v>
      </c>
      <c r="R1" s="25" t="s">
        <v>79</v>
      </c>
      <c r="S1" s="25" t="s">
        <v>80</v>
      </c>
      <c r="T1" s="25" t="s">
        <v>77</v>
      </c>
      <c r="U1" s="25" t="s">
        <v>236</v>
      </c>
      <c r="V1" s="25" t="s">
        <v>237</v>
      </c>
      <c r="W1" s="25" t="s">
        <v>238</v>
      </c>
      <c r="X1" s="25" t="s">
        <v>239</v>
      </c>
      <c r="Y1" s="341"/>
      <c r="Z1" s="341"/>
      <c r="AA1" s="341"/>
      <c r="AB1" s="341"/>
      <c r="AC1" s="342"/>
      <c r="AD1" s="342"/>
      <c r="AE1" s="342"/>
      <c r="AF1" s="342"/>
      <c r="AG1" s="342"/>
      <c r="AH1" s="342"/>
      <c r="AI1" s="342"/>
    </row>
    <row r="2" spans="1:41">
      <c r="A2" s="21">
        <v>45017</v>
      </c>
      <c r="B2" s="17">
        <f>IF(YEAR(Table7[[#This Row],[Date]]) = 2023, WEEKNUM(Table7[[#This Row],[Date]])-13, WEEKNUM(Table7[[#This Row],[Date]])+40)</f>
        <v>0</v>
      </c>
      <c r="C2" s="35" t="s">
        <v>54</v>
      </c>
      <c r="D2" s="9" t="s">
        <v>94</v>
      </c>
      <c r="E2" s="1">
        <v>132</v>
      </c>
      <c r="F2" s="1">
        <v>128</v>
      </c>
      <c r="G2" s="64">
        <v>-0.131579</v>
      </c>
      <c r="H2" s="64">
        <v>-0.1293</v>
      </c>
      <c r="I2" s="1">
        <v>132</v>
      </c>
      <c r="J2" s="1">
        <v>128</v>
      </c>
      <c r="K2" s="1">
        <v>132</v>
      </c>
      <c r="L2" s="1">
        <v>128</v>
      </c>
      <c r="M2" s="18">
        <v>0.95</v>
      </c>
      <c r="N2" s="18">
        <v>0.03</v>
      </c>
      <c r="O2" s="18">
        <v>0.97</v>
      </c>
      <c r="P2" s="18">
        <v>0</v>
      </c>
      <c r="Q2" s="18">
        <v>1</v>
      </c>
      <c r="R2" s="306">
        <v>159</v>
      </c>
      <c r="S2" s="306">
        <v>0</v>
      </c>
      <c r="T2" s="415">
        <v>4</v>
      </c>
      <c r="U2" s="344" t="str">
        <f>IF(OR(I2&lt;$AA$5,I2&gt;$AB$5), "Outlier", "Normal")</f>
        <v>Outlier</v>
      </c>
      <c r="V2" s="344" t="str">
        <f>IF(OR(J2&lt;$AA$6,J2&gt;$AB$6), "Outlier", "Normal")</f>
        <v>Outlier</v>
      </c>
      <c r="W2" s="348">
        <f>IF(U2="Normal",$G2,IF($G2&lt;150%, $G2, $AA$9))</f>
        <v>-0.131579</v>
      </c>
      <c r="X2" s="349">
        <f>IF(V2="Normal",$H2,IF($H2&lt;150%, $H2, $AE$9))</f>
        <v>-0.1293</v>
      </c>
      <c r="Y2" s="340"/>
      <c r="Z2" s="340"/>
      <c r="AA2" s="340"/>
      <c r="AB2" s="340"/>
      <c r="AC2" s="338"/>
      <c r="AD2" s="338"/>
      <c r="AE2" s="338"/>
      <c r="AF2" s="338"/>
      <c r="AG2" s="338"/>
      <c r="AH2" s="338"/>
      <c r="AI2" s="338"/>
    </row>
    <row r="3" spans="1:41">
      <c r="A3" s="21">
        <v>45018</v>
      </c>
      <c r="B3" s="17">
        <f>IF(YEAR(Table7[[#This Row],[Date]]) = 2023, WEEKNUM(Table7[[#This Row],[Date]])-13, WEEKNUM(Table7[[#This Row],[Date]])+40)</f>
        <v>1</v>
      </c>
      <c r="C3" s="9" t="s">
        <v>48</v>
      </c>
      <c r="D3" s="9" t="s">
        <v>94</v>
      </c>
      <c r="E3" s="1">
        <v>0</v>
      </c>
      <c r="F3" s="1">
        <v>0</v>
      </c>
      <c r="G3" s="64">
        <v>0</v>
      </c>
      <c r="H3" s="64">
        <v>0</v>
      </c>
      <c r="I3" s="1">
        <v>0</v>
      </c>
      <c r="J3" s="1">
        <v>0</v>
      </c>
      <c r="K3" s="1">
        <v>0</v>
      </c>
      <c r="L3" s="1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293">
        <v>0</v>
      </c>
      <c r="S3" s="293">
        <v>0</v>
      </c>
      <c r="T3" s="386">
        <v>0</v>
      </c>
      <c r="U3" s="345" t="str">
        <f t="shared" ref="U3:U66" si="0">IF(OR(I3&lt;$AA$5,I3&gt;$AB$5), "Outlier", "Normal")</f>
        <v>Normal</v>
      </c>
      <c r="V3" s="345" t="str">
        <f t="shared" ref="V3:V66" si="1">IF(OR(J3&lt;$AA$6,J3&gt;$AB$6), "Outlier", "Normal")</f>
        <v>Normal</v>
      </c>
      <c r="W3" s="350">
        <f t="shared" ref="W3:W66" si="2">IF(U3="Normal",$G3,IF($G3&lt;150%, $G3, $AA$9))</f>
        <v>0</v>
      </c>
      <c r="X3" s="351">
        <f t="shared" ref="X3:X66" si="3">IF(V3="Normal",$H3,IF($H3&lt;150%, $H3, $AE$9))</f>
        <v>0</v>
      </c>
      <c r="Y3" s="340"/>
      <c r="Z3" s="431" t="s">
        <v>240</v>
      </c>
      <c r="AA3" s="431"/>
      <c r="AB3" s="431"/>
      <c r="AC3"/>
      <c r="AD3" s="431" t="s">
        <v>241</v>
      </c>
      <c r="AE3" s="431"/>
      <c r="AF3"/>
      <c r="AG3" s="431" t="s">
        <v>242</v>
      </c>
      <c r="AH3" s="431"/>
      <c r="AI3" s="338"/>
    </row>
    <row r="4" spans="1:41">
      <c r="A4" s="21">
        <v>45019</v>
      </c>
      <c r="B4" s="17">
        <f>IF(YEAR(Table7[[#This Row],[Date]]) = 2023, WEEKNUM(Table7[[#This Row],[Date]])-13, WEEKNUM(Table7[[#This Row],[Date]])+40)</f>
        <v>1</v>
      </c>
      <c r="C4" s="35" t="s">
        <v>49</v>
      </c>
      <c r="D4" s="9" t="s">
        <v>94</v>
      </c>
      <c r="E4" s="31">
        <v>490</v>
      </c>
      <c r="F4" s="31">
        <v>461</v>
      </c>
      <c r="G4" s="63">
        <v>-5.7689999999999998E-2</v>
      </c>
      <c r="H4" s="63">
        <v>-5.339E-2</v>
      </c>
      <c r="I4" s="31">
        <f>E4+I2</f>
        <v>622</v>
      </c>
      <c r="J4" s="31">
        <f>F4+J2</f>
        <v>589</v>
      </c>
      <c r="K4" s="31">
        <f>E4+K2</f>
        <v>622</v>
      </c>
      <c r="L4" s="31">
        <f>F4+L2</f>
        <v>589</v>
      </c>
      <c r="M4" s="36">
        <v>0.83</v>
      </c>
      <c r="N4" s="36">
        <v>0.06</v>
      </c>
      <c r="O4" s="36">
        <v>0.94</v>
      </c>
      <c r="P4" s="36">
        <v>0.8</v>
      </c>
      <c r="Q4" s="36">
        <v>1</v>
      </c>
      <c r="R4" s="307">
        <v>181</v>
      </c>
      <c r="S4" s="307">
        <v>0</v>
      </c>
      <c r="T4" s="386">
        <v>4</v>
      </c>
      <c r="U4" s="345" t="str">
        <f t="shared" si="0"/>
        <v>Outlier</v>
      </c>
      <c r="V4" s="345" t="str">
        <f t="shared" si="1"/>
        <v>Outlier</v>
      </c>
      <c r="W4" s="350">
        <f t="shared" si="2"/>
        <v>-5.7689999999999998E-2</v>
      </c>
      <c r="X4" s="351">
        <f t="shared" si="3"/>
        <v>-5.339E-2</v>
      </c>
      <c r="Y4" s="340"/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-9.7836593236161035E-2</v>
      </c>
      <c r="AF4"/>
      <c r="AG4" s="1" t="s">
        <v>246</v>
      </c>
      <c r="AH4" s="346">
        <f>_xlfn.QUARTILE.INC(H:H, 1)</f>
        <v>-8.855852615593654E-2</v>
      </c>
      <c r="AI4" s="338"/>
    </row>
    <row r="5" spans="1:41">
      <c r="A5" s="21">
        <v>45020</v>
      </c>
      <c r="B5" s="17">
        <f>IF(YEAR(Table7[[#This Row],[Date]]) = 2023, WEEKNUM(Table7[[#This Row],[Date]])-13, WEEKNUM(Table7[[#This Row],[Date]])+40)</f>
        <v>1</v>
      </c>
      <c r="C5" s="9" t="s">
        <v>50</v>
      </c>
      <c r="D5" s="9" t="s">
        <v>94</v>
      </c>
      <c r="E5" s="1">
        <v>423</v>
      </c>
      <c r="F5" s="1">
        <v>405</v>
      </c>
      <c r="G5" s="64">
        <v>-5.3691275167785234E-2</v>
      </c>
      <c r="H5" s="64">
        <v>-3.5714285714285712E-2</v>
      </c>
      <c r="I5" s="1">
        <f>E5+I4</f>
        <v>1045</v>
      </c>
      <c r="J5" s="1">
        <f>F5+J4</f>
        <v>994</v>
      </c>
      <c r="K5" s="1">
        <f>E5+K4</f>
        <v>1045</v>
      </c>
      <c r="L5" s="1">
        <f>F5+L4</f>
        <v>994</v>
      </c>
      <c r="M5" s="18">
        <v>0.9</v>
      </c>
      <c r="N5" s="18">
        <v>0.04</v>
      </c>
      <c r="O5" s="18">
        <v>0.96</v>
      </c>
      <c r="P5" s="18">
        <v>0.57999999999999996</v>
      </c>
      <c r="Q5" s="18">
        <v>1</v>
      </c>
      <c r="R5" s="293">
        <v>169</v>
      </c>
      <c r="S5" s="293">
        <v>0</v>
      </c>
      <c r="T5" s="386">
        <v>4</v>
      </c>
      <c r="U5" s="345" t="str">
        <f t="shared" si="0"/>
        <v>Outlier</v>
      </c>
      <c r="V5" s="345" t="str">
        <f t="shared" si="1"/>
        <v>Outlier</v>
      </c>
      <c r="W5" s="350">
        <f t="shared" si="2"/>
        <v>-5.3691275167785234E-2</v>
      </c>
      <c r="X5" s="351">
        <f t="shared" si="3"/>
        <v>-3.5714285714285712E-2</v>
      </c>
      <c r="Y5" s="340"/>
      <c r="Z5" s="218" t="s">
        <v>247</v>
      </c>
      <c r="AA5" s="19">
        <f>AE4-1.5*AE6</f>
        <v>-0.43080899335032052</v>
      </c>
      <c r="AB5" s="19">
        <f>AE5+1.5*AE6</f>
        <v>0.45711740695410474</v>
      </c>
      <c r="AC5"/>
      <c r="AD5" s="1" t="s">
        <v>248</v>
      </c>
      <c r="AE5" s="346">
        <f>_xlfn.QUARTILE.INC(G:G, 3)</f>
        <v>0.12414500683994528</v>
      </c>
      <c r="AF5"/>
      <c r="AG5" s="1" t="s">
        <v>248</v>
      </c>
      <c r="AH5" s="346">
        <f>_xlfn.QUARTILE.INC(H:H, 3)</f>
        <v>9.9187969924812019E-2</v>
      </c>
      <c r="AI5" s="338"/>
    </row>
    <row r="6" spans="1:41">
      <c r="A6" s="21">
        <v>45021</v>
      </c>
      <c r="B6" s="17">
        <f>IF(YEAR(Table7[[#This Row],[Date]]) = 2023, WEEKNUM(Table7[[#This Row],[Date]])-13, WEEKNUM(Table7[[#This Row],[Date]])+40)</f>
        <v>1</v>
      </c>
      <c r="C6" s="35" t="s">
        <v>51</v>
      </c>
      <c r="D6" s="9" t="s">
        <v>94</v>
      </c>
      <c r="E6" s="31">
        <v>367</v>
      </c>
      <c r="F6" s="31">
        <v>351</v>
      </c>
      <c r="G6" s="63">
        <v>-0.21914893617021278</v>
      </c>
      <c r="H6" s="63">
        <v>-0.21651785714285715</v>
      </c>
      <c r="I6" s="1">
        <f t="shared" ref="I6:I7" si="4">E6+I5</f>
        <v>1412</v>
      </c>
      <c r="J6" s="1">
        <f t="shared" ref="J6:J7" si="5">F6+J5</f>
        <v>1345</v>
      </c>
      <c r="K6" s="1">
        <f t="shared" ref="K6:K7" si="6">E6+K5</f>
        <v>1412</v>
      </c>
      <c r="L6" s="1">
        <f t="shared" ref="L6:L7" si="7">F6+L5</f>
        <v>1345</v>
      </c>
      <c r="M6" s="36">
        <v>0.89</v>
      </c>
      <c r="N6" s="36">
        <v>0.04</v>
      </c>
      <c r="O6" s="36">
        <v>0.96</v>
      </c>
      <c r="P6" s="36">
        <v>0.51</v>
      </c>
      <c r="Q6" s="36">
        <v>1</v>
      </c>
      <c r="R6" s="307">
        <v>171</v>
      </c>
      <c r="S6" s="307">
        <v>0</v>
      </c>
      <c r="T6" s="386">
        <v>4</v>
      </c>
      <c r="U6" s="345" t="str">
        <f t="shared" si="0"/>
        <v>Outlier</v>
      </c>
      <c r="V6" s="345" t="str">
        <f t="shared" si="1"/>
        <v>Outlier</v>
      </c>
      <c r="W6" s="350">
        <f t="shared" si="2"/>
        <v>-0.21914893617021278</v>
      </c>
      <c r="X6" s="351">
        <f t="shared" si="3"/>
        <v>-0.21651785714285715</v>
      </c>
      <c r="Y6" s="340"/>
      <c r="Z6" s="218" t="s">
        <v>34</v>
      </c>
      <c r="AA6" s="19">
        <f>AH4-1.5*AH6</f>
        <v>-0.37017827027705941</v>
      </c>
      <c r="AB6" s="19">
        <f>AH5+1.5*AH6</f>
        <v>0.38080771404593483</v>
      </c>
      <c r="AC6"/>
      <c r="AD6" s="65" t="s">
        <v>249</v>
      </c>
      <c r="AE6" s="347">
        <f>AE5-AE4</f>
        <v>0.22198160007610632</v>
      </c>
      <c r="AF6"/>
      <c r="AG6" s="65" t="s">
        <v>249</v>
      </c>
      <c r="AH6" s="347">
        <f>AH5-AH4</f>
        <v>0.18774649608074856</v>
      </c>
      <c r="AI6" s="338"/>
    </row>
    <row r="7" spans="1:41">
      <c r="A7" s="21">
        <v>45022</v>
      </c>
      <c r="B7" s="17">
        <f>IF(YEAR(Table7[[#This Row],[Date]]) = 2023, WEEKNUM(Table7[[#This Row],[Date]])-13, WEEKNUM(Table7[[#This Row],[Date]])+40)</f>
        <v>1</v>
      </c>
      <c r="C7" s="9" t="s">
        <v>52</v>
      </c>
      <c r="D7" s="9" t="s">
        <v>94</v>
      </c>
      <c r="E7" s="1">
        <v>405</v>
      </c>
      <c r="F7" s="1">
        <v>383</v>
      </c>
      <c r="G7" s="64">
        <v>-9.7995545657015584E-2</v>
      </c>
      <c r="H7" s="64">
        <v>-0.12356979405034325</v>
      </c>
      <c r="I7" s="1">
        <f t="shared" si="4"/>
        <v>1817</v>
      </c>
      <c r="J7" s="1">
        <f t="shared" si="5"/>
        <v>1728</v>
      </c>
      <c r="K7" s="1">
        <f t="shared" si="6"/>
        <v>1817</v>
      </c>
      <c r="L7" s="1">
        <f t="shared" si="7"/>
        <v>1728</v>
      </c>
      <c r="M7" s="18">
        <v>0.85</v>
      </c>
      <c r="N7" s="18">
        <v>0.05</v>
      </c>
      <c r="O7" s="18">
        <v>0.95</v>
      </c>
      <c r="P7" s="18">
        <v>0.66</v>
      </c>
      <c r="Q7" s="18">
        <v>1</v>
      </c>
      <c r="R7" s="293">
        <v>181</v>
      </c>
      <c r="S7" s="293">
        <v>0</v>
      </c>
      <c r="T7" s="386">
        <v>4</v>
      </c>
      <c r="U7" s="345" t="str">
        <f t="shared" si="0"/>
        <v>Outlier</v>
      </c>
      <c r="V7" s="345" t="str">
        <f t="shared" si="1"/>
        <v>Outlier</v>
      </c>
      <c r="W7" s="350">
        <f t="shared" si="2"/>
        <v>-9.7995545657015584E-2</v>
      </c>
      <c r="X7" s="351">
        <f t="shared" si="3"/>
        <v>-0.12356979405034325</v>
      </c>
      <c r="Y7" s="340"/>
      <c r="Z7"/>
      <c r="AA7"/>
      <c r="AB7"/>
      <c r="AC7"/>
      <c r="AD7"/>
      <c r="AE7"/>
      <c r="AF7"/>
      <c r="AG7"/>
      <c r="AH7"/>
      <c r="AI7" s="338"/>
      <c r="AJ7" s="6" t="s">
        <v>70</v>
      </c>
      <c r="AK7" s="7" t="s">
        <v>66</v>
      </c>
      <c r="AL7" s="93" t="s">
        <v>67</v>
      </c>
      <c r="AN7" t="s">
        <v>68</v>
      </c>
      <c r="AO7" s="16">
        <v>44655</v>
      </c>
    </row>
    <row r="8" spans="1:41">
      <c r="A8" s="21">
        <v>45023</v>
      </c>
      <c r="B8" s="17">
        <f>IF(YEAR(Table7[[#This Row],[Date]]) = 2023, WEEKNUM(Table7[[#This Row],[Date]])-13, WEEKNUM(Table7[[#This Row],[Date]])+40)</f>
        <v>1</v>
      </c>
      <c r="C8" s="35" t="s">
        <v>64</v>
      </c>
      <c r="D8" s="9" t="s">
        <v>94</v>
      </c>
      <c r="E8" s="31">
        <v>0</v>
      </c>
      <c r="F8" s="31">
        <v>0</v>
      </c>
      <c r="G8" s="63">
        <v>0</v>
      </c>
      <c r="H8" s="63">
        <v>0</v>
      </c>
      <c r="I8" s="31">
        <v>0</v>
      </c>
      <c r="J8" s="31">
        <v>0</v>
      </c>
      <c r="K8" s="31">
        <v>0</v>
      </c>
      <c r="L8" s="31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07">
        <v>0</v>
      </c>
      <c r="S8" s="307">
        <v>0</v>
      </c>
      <c r="T8" s="386">
        <v>0</v>
      </c>
      <c r="U8" s="345" t="str">
        <f t="shared" si="0"/>
        <v>Normal</v>
      </c>
      <c r="V8" s="345" t="str">
        <f t="shared" si="1"/>
        <v>Normal</v>
      </c>
      <c r="W8" s="350">
        <f t="shared" si="2"/>
        <v>0</v>
      </c>
      <c r="X8" s="351">
        <f t="shared" si="3"/>
        <v>0</v>
      </c>
      <c r="Y8" s="340"/>
      <c r="Z8" s="432" t="s">
        <v>250</v>
      </c>
      <c r="AA8" s="433"/>
      <c r="AB8"/>
      <c r="AC8"/>
      <c r="AD8" s="432" t="s">
        <v>251</v>
      </c>
      <c r="AE8" s="433"/>
      <c r="AF8"/>
      <c r="AG8"/>
      <c r="AH8"/>
      <c r="AI8" s="338"/>
      <c r="AJ8" s="27">
        <v>45020</v>
      </c>
      <c r="AK8" s="1">
        <v>1318</v>
      </c>
      <c r="AL8" s="94">
        <v>1260</v>
      </c>
      <c r="AN8" t="s">
        <v>69</v>
      </c>
      <c r="AO8" s="16">
        <v>44696</v>
      </c>
    </row>
    <row r="9" spans="1:41">
      <c r="A9" s="21">
        <v>45024</v>
      </c>
      <c r="B9" s="17">
        <f>IF(YEAR(Table7[[#This Row],[Date]]) = 2023, WEEKNUM(Table7[[#This Row],[Date]])-13, WEEKNUM(Table7[[#This Row],[Date]])+40)</f>
        <v>1</v>
      </c>
      <c r="C9" s="9" t="s">
        <v>54</v>
      </c>
      <c r="D9" s="9" t="s">
        <v>94</v>
      </c>
      <c r="E9" s="1">
        <v>123</v>
      </c>
      <c r="F9" s="1">
        <v>121</v>
      </c>
      <c r="G9" s="64">
        <v>-0.71917808219178081</v>
      </c>
      <c r="H9" s="64">
        <v>-0.70772946859903396</v>
      </c>
      <c r="I9" s="1">
        <f>E9+I7</f>
        <v>1940</v>
      </c>
      <c r="J9" s="1">
        <f>F9+J7</f>
        <v>1849</v>
      </c>
      <c r="K9" s="1">
        <f>E9+K7</f>
        <v>1940</v>
      </c>
      <c r="L9" s="1">
        <f>F9+L7</f>
        <v>1849</v>
      </c>
      <c r="M9" s="18">
        <v>0.98</v>
      </c>
      <c r="N9" s="18">
        <v>0.02</v>
      </c>
      <c r="O9" s="18">
        <v>0.98</v>
      </c>
      <c r="P9" s="18">
        <v>0.31</v>
      </c>
      <c r="Q9" s="18">
        <v>1</v>
      </c>
      <c r="R9" s="293">
        <v>192</v>
      </c>
      <c r="S9" s="293">
        <v>0</v>
      </c>
      <c r="T9" s="386">
        <v>5</v>
      </c>
      <c r="U9" s="345" t="str">
        <f t="shared" si="0"/>
        <v>Outlier</v>
      </c>
      <c r="V9" s="345" t="str">
        <f t="shared" si="1"/>
        <v>Outlier</v>
      </c>
      <c r="W9" s="350">
        <f t="shared" si="2"/>
        <v>-0.71917808219178081</v>
      </c>
      <c r="X9" s="351">
        <f t="shared" si="3"/>
        <v>-0.70772946859903396</v>
      </c>
      <c r="Y9" s="340"/>
      <c r="Z9" s="1" t="s">
        <v>252</v>
      </c>
      <c r="AA9" s="64">
        <f>AVERAGE(G2:G123)</f>
        <v>2.1235189702149145E-3</v>
      </c>
      <c r="AB9"/>
      <c r="AC9"/>
      <c r="AD9" s="1" t="s">
        <v>252</v>
      </c>
      <c r="AE9" s="64">
        <f>AVERAGE(H2:H123)</f>
        <v>1.1380312889696634E-3</v>
      </c>
      <c r="AF9"/>
      <c r="AG9"/>
      <c r="AH9"/>
      <c r="AI9" s="338"/>
      <c r="AJ9" s="27">
        <v>45027</v>
      </c>
      <c r="AK9" s="1">
        <v>2416</v>
      </c>
      <c r="AL9" s="94">
        <v>2301</v>
      </c>
    </row>
    <row r="10" spans="1:41">
      <c r="A10" s="21">
        <v>45025</v>
      </c>
      <c r="B10" s="17">
        <f>IF(YEAR(Table7[[#This Row],[Date]]) = 2023, WEEKNUM(Table7[[#This Row],[Date]])-13, WEEKNUM(Table7[[#This Row],[Date]])+40)</f>
        <v>2</v>
      </c>
      <c r="C10" s="35" t="s">
        <v>48</v>
      </c>
      <c r="D10" s="9" t="s">
        <v>94</v>
      </c>
      <c r="E10" s="31">
        <v>0</v>
      </c>
      <c r="F10" s="31">
        <v>0</v>
      </c>
      <c r="G10" s="63">
        <v>0</v>
      </c>
      <c r="H10" s="63">
        <v>0</v>
      </c>
      <c r="I10" s="31">
        <v>0</v>
      </c>
      <c r="J10" s="31">
        <v>0</v>
      </c>
      <c r="K10" s="31">
        <v>0</v>
      </c>
      <c r="L10" s="31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07">
        <v>0</v>
      </c>
      <c r="S10" s="307">
        <v>0</v>
      </c>
      <c r="T10" s="386">
        <v>0</v>
      </c>
      <c r="U10" s="345" t="str">
        <f t="shared" si="0"/>
        <v>Normal</v>
      </c>
      <c r="V10" s="345" t="str">
        <f t="shared" si="1"/>
        <v>Normal</v>
      </c>
      <c r="W10" s="350">
        <f t="shared" si="2"/>
        <v>0</v>
      </c>
      <c r="X10" s="351">
        <f t="shared" si="3"/>
        <v>0</v>
      </c>
      <c r="Y10" s="340"/>
      <c r="Z10" s="1" t="s">
        <v>253</v>
      </c>
      <c r="AA10" s="19">
        <f>MEDIAN(G2:G123)</f>
        <v>0</v>
      </c>
      <c r="AB10"/>
      <c r="AC10"/>
      <c r="AD10" s="1" t="s">
        <v>253</v>
      </c>
      <c r="AE10" s="19">
        <f>MEDIAN(H2:H123)</f>
        <v>0</v>
      </c>
      <c r="AF10"/>
      <c r="AG10"/>
      <c r="AH10"/>
      <c r="AI10" s="338"/>
      <c r="AJ10" s="27">
        <v>45034</v>
      </c>
      <c r="AK10" s="1">
        <v>2263</v>
      </c>
      <c r="AL10" s="94">
        <v>2178</v>
      </c>
    </row>
    <row r="11" spans="1:41">
      <c r="A11" s="21">
        <v>45026</v>
      </c>
      <c r="B11" s="17">
        <f>IF(YEAR(Table7[[#This Row],[Date]]) = 2023, WEEKNUM(Table7[[#This Row],[Date]])-13, WEEKNUM(Table7[[#This Row],[Date]])+40)</f>
        <v>2</v>
      </c>
      <c r="C11" s="9" t="s">
        <v>64</v>
      </c>
      <c r="D11" s="9" t="s">
        <v>94</v>
      </c>
      <c r="E11" s="1">
        <v>0</v>
      </c>
      <c r="F11" s="1">
        <v>0</v>
      </c>
      <c r="G11" s="64">
        <v>0</v>
      </c>
      <c r="H11" s="64">
        <v>0</v>
      </c>
      <c r="I11" s="1">
        <v>0</v>
      </c>
      <c r="J11" s="1">
        <v>0</v>
      </c>
      <c r="K11" s="1">
        <v>0</v>
      </c>
      <c r="L11" s="1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293">
        <v>0</v>
      </c>
      <c r="S11" s="293">
        <v>0</v>
      </c>
      <c r="T11" s="386">
        <v>0</v>
      </c>
      <c r="U11" s="345" t="str">
        <f t="shared" si="0"/>
        <v>Normal</v>
      </c>
      <c r="V11" s="345" t="str">
        <f t="shared" si="1"/>
        <v>Normal</v>
      </c>
      <c r="W11" s="350">
        <f t="shared" si="2"/>
        <v>0</v>
      </c>
      <c r="X11" s="351">
        <f t="shared" si="3"/>
        <v>0</v>
      </c>
      <c r="Y11" s="340"/>
      <c r="Z11" s="1" t="s">
        <v>254</v>
      </c>
      <c r="AA11" s="17">
        <f>_xlfn.MODE.SNGL(G2:G123)</f>
        <v>0</v>
      </c>
      <c r="AB11"/>
      <c r="AC11"/>
      <c r="AD11" s="1" t="s">
        <v>254</v>
      </c>
      <c r="AE11" s="1">
        <f>_xlfn.MODE.SNGL(I2:I123)</f>
        <v>0</v>
      </c>
      <c r="AF11"/>
      <c r="AG11"/>
      <c r="AH11"/>
      <c r="AI11" s="338"/>
      <c r="AJ11" s="27">
        <v>45041</v>
      </c>
      <c r="AK11" s="1">
        <v>1908</v>
      </c>
      <c r="AL11" s="94">
        <v>1847</v>
      </c>
    </row>
    <row r="12" spans="1:41">
      <c r="A12" s="21">
        <v>45027</v>
      </c>
      <c r="B12" s="17">
        <f>IF(YEAR(Table7[[#This Row],[Date]]) = 2023, WEEKNUM(Table7[[#This Row],[Date]])-13, WEEKNUM(Table7[[#This Row],[Date]])+40)</f>
        <v>2</v>
      </c>
      <c r="C12" s="35" t="s">
        <v>50</v>
      </c>
      <c r="D12" s="9" t="s">
        <v>94</v>
      </c>
      <c r="E12" s="31">
        <v>546</v>
      </c>
      <c r="F12" s="31">
        <v>498</v>
      </c>
      <c r="G12" s="63">
        <f>(E12-E5)/E5</f>
        <v>0.29078014184397161</v>
      </c>
      <c r="H12" s="63">
        <f>(F12-F5)/F5</f>
        <v>0.22962962962962963</v>
      </c>
      <c r="I12" s="31">
        <v>2486</v>
      </c>
      <c r="J12" s="31">
        <v>2347</v>
      </c>
      <c r="K12" s="31">
        <v>2486</v>
      </c>
      <c r="L12" s="31">
        <v>2347</v>
      </c>
      <c r="M12" s="36">
        <v>0.78</v>
      </c>
      <c r="N12" s="36">
        <v>0.09</v>
      </c>
      <c r="O12" s="36">
        <v>0.91</v>
      </c>
      <c r="P12" s="36">
        <v>0.75</v>
      </c>
      <c r="Q12" s="36">
        <v>1</v>
      </c>
      <c r="R12" s="307">
        <v>205</v>
      </c>
      <c r="S12" s="307">
        <v>0</v>
      </c>
      <c r="T12" s="386">
        <v>5</v>
      </c>
      <c r="U12" s="345" t="str">
        <f t="shared" si="0"/>
        <v>Outlier</v>
      </c>
      <c r="V12" s="345" t="str">
        <f t="shared" si="1"/>
        <v>Outlier</v>
      </c>
      <c r="W12" s="350">
        <f t="shared" si="2"/>
        <v>0.29078014184397161</v>
      </c>
      <c r="X12" s="351">
        <f t="shared" si="3"/>
        <v>0.22962962962962963</v>
      </c>
      <c r="Y12" s="340"/>
      <c r="Z12" s="340"/>
      <c r="AA12" s="340"/>
      <c r="AB12" s="340"/>
      <c r="AC12" s="338"/>
      <c r="AD12" s="338"/>
      <c r="AE12" s="338"/>
      <c r="AF12" s="338"/>
      <c r="AG12" s="338"/>
      <c r="AH12" s="338"/>
      <c r="AI12" s="338"/>
      <c r="AJ12" s="27">
        <v>45048</v>
      </c>
      <c r="AK12" s="1">
        <v>2514</v>
      </c>
      <c r="AL12" s="94">
        <v>2383</v>
      </c>
    </row>
    <row r="13" spans="1:41">
      <c r="A13" s="21">
        <v>45028</v>
      </c>
      <c r="B13" s="17">
        <f>IF(YEAR(Table7[[#This Row],[Date]]) = 2023, WEEKNUM(Table7[[#This Row],[Date]])-13, WEEKNUM(Table7[[#This Row],[Date]])+40)</f>
        <v>2</v>
      </c>
      <c r="C13" s="9" t="s">
        <v>51</v>
      </c>
      <c r="D13" s="9" t="s">
        <v>94</v>
      </c>
      <c r="E13" s="1">
        <v>441</v>
      </c>
      <c r="F13" s="1">
        <v>418</v>
      </c>
      <c r="G13" s="64">
        <v>0.20163487738419619</v>
      </c>
      <c r="H13" s="64">
        <v>0.19088319088319089</v>
      </c>
      <c r="I13" s="1">
        <v>2927</v>
      </c>
      <c r="J13" s="1">
        <v>2765</v>
      </c>
      <c r="K13" s="1">
        <v>2927</v>
      </c>
      <c r="L13" s="1">
        <v>2765</v>
      </c>
      <c r="M13" s="18">
        <v>0.87</v>
      </c>
      <c r="N13" s="18">
        <v>0.05</v>
      </c>
      <c r="O13" s="18">
        <v>0.95</v>
      </c>
      <c r="P13" s="18">
        <v>0.62</v>
      </c>
      <c r="Q13" s="18">
        <v>1</v>
      </c>
      <c r="R13" s="293">
        <v>175</v>
      </c>
      <c r="S13" s="293">
        <v>0</v>
      </c>
      <c r="T13" s="386">
        <v>4</v>
      </c>
      <c r="U13" s="345" t="str">
        <f t="shared" si="0"/>
        <v>Outlier</v>
      </c>
      <c r="V13" s="345" t="str">
        <f t="shared" si="1"/>
        <v>Outlier</v>
      </c>
      <c r="W13" s="350">
        <f t="shared" si="2"/>
        <v>0.20163487738419619</v>
      </c>
      <c r="X13" s="351">
        <f t="shared" si="3"/>
        <v>0.19088319088319089</v>
      </c>
      <c r="Y13" s="340"/>
      <c r="Z13" s="340"/>
      <c r="AA13" s="340"/>
      <c r="AB13" s="340"/>
      <c r="AC13" s="338"/>
      <c r="AD13" s="338"/>
      <c r="AE13" s="338"/>
      <c r="AF13" s="338"/>
      <c r="AG13" s="338"/>
      <c r="AH13" s="338"/>
      <c r="AI13" s="338"/>
      <c r="AJ13" s="27">
        <v>45055</v>
      </c>
      <c r="AK13" s="1">
        <v>2286</v>
      </c>
      <c r="AL13" s="94">
        <v>2187</v>
      </c>
    </row>
    <row r="14" spans="1:41">
      <c r="A14" s="21">
        <v>45029</v>
      </c>
      <c r="B14" s="17">
        <f>IF(YEAR(Table7[[#This Row],[Date]]) = 2023, WEEKNUM(Table7[[#This Row],[Date]])-13, WEEKNUM(Table7[[#This Row],[Date]])+40)</f>
        <v>2</v>
      </c>
      <c r="C14" s="35" t="s">
        <v>52</v>
      </c>
      <c r="D14" s="9" t="s">
        <v>94</v>
      </c>
      <c r="E14" s="31">
        <v>453</v>
      </c>
      <c r="F14" s="31">
        <v>441</v>
      </c>
      <c r="G14" s="64">
        <v>0.11851851851851852</v>
      </c>
      <c r="H14" s="64">
        <v>0.1514360313315927</v>
      </c>
      <c r="I14" s="1">
        <v>3380</v>
      </c>
      <c r="J14" s="1">
        <v>3206</v>
      </c>
      <c r="K14" s="1">
        <v>3380</v>
      </c>
      <c r="L14" s="1">
        <v>3206</v>
      </c>
      <c r="M14" s="36">
        <v>0.9</v>
      </c>
      <c r="N14" s="36">
        <v>0.03</v>
      </c>
      <c r="O14" s="36">
        <v>0.97</v>
      </c>
      <c r="P14" s="36">
        <v>0.62</v>
      </c>
      <c r="Q14" s="36">
        <v>1</v>
      </c>
      <c r="R14" s="307">
        <v>167</v>
      </c>
      <c r="S14" s="307">
        <v>0</v>
      </c>
      <c r="T14" s="386">
        <v>4</v>
      </c>
      <c r="U14" s="345" t="str">
        <f t="shared" si="0"/>
        <v>Outlier</v>
      </c>
      <c r="V14" s="345" t="str">
        <f t="shared" si="1"/>
        <v>Outlier</v>
      </c>
      <c r="W14" s="350">
        <f t="shared" si="2"/>
        <v>0.11851851851851852</v>
      </c>
      <c r="X14" s="351">
        <f t="shared" si="3"/>
        <v>0.1514360313315927</v>
      </c>
      <c r="Y14" s="340"/>
      <c r="Z14" s="340"/>
      <c r="AA14" s="340"/>
      <c r="AB14" s="340"/>
      <c r="AC14" s="338"/>
      <c r="AD14" s="338"/>
      <c r="AE14" s="338"/>
      <c r="AF14" s="338"/>
      <c r="AG14" s="338"/>
      <c r="AH14" s="338"/>
      <c r="AI14" s="338"/>
      <c r="AJ14" s="27">
        <v>45062</v>
      </c>
      <c r="AK14" s="1">
        <v>2136</v>
      </c>
      <c r="AL14" s="94">
        <v>2048</v>
      </c>
    </row>
    <row r="15" spans="1:41">
      <c r="A15" s="21">
        <v>45030</v>
      </c>
      <c r="B15" s="17">
        <f>IF(YEAR(Table7[[#This Row],[Date]]) = 2023, WEEKNUM(Table7[[#This Row],[Date]])-13, WEEKNUM(Table7[[#This Row],[Date]])+40)</f>
        <v>2</v>
      </c>
      <c r="C15" s="9" t="s">
        <v>53</v>
      </c>
      <c r="D15" s="9" t="s">
        <v>94</v>
      </c>
      <c r="E15" s="1">
        <v>427</v>
      </c>
      <c r="F15" s="1">
        <v>409</v>
      </c>
      <c r="G15" s="64">
        <v>0</v>
      </c>
      <c r="H15" s="64">
        <v>0</v>
      </c>
      <c r="I15" s="1">
        <v>3807</v>
      </c>
      <c r="J15" s="1">
        <v>3615</v>
      </c>
      <c r="K15" s="1">
        <v>3807</v>
      </c>
      <c r="L15" s="1">
        <v>3615</v>
      </c>
      <c r="M15" s="18">
        <v>0.92</v>
      </c>
      <c r="N15" s="18">
        <v>0.04</v>
      </c>
      <c r="O15" s="18">
        <v>0.96</v>
      </c>
      <c r="P15" s="18">
        <v>0.71</v>
      </c>
      <c r="Q15" s="18">
        <v>1</v>
      </c>
      <c r="R15" s="293">
        <v>167</v>
      </c>
      <c r="S15" s="293">
        <v>0</v>
      </c>
      <c r="T15" s="386">
        <v>4</v>
      </c>
      <c r="U15" s="345" t="str">
        <f t="shared" si="0"/>
        <v>Outlier</v>
      </c>
      <c r="V15" s="345" t="str">
        <f t="shared" si="1"/>
        <v>Outlier</v>
      </c>
      <c r="W15" s="350">
        <f t="shared" si="2"/>
        <v>0</v>
      </c>
      <c r="X15" s="351">
        <f t="shared" si="3"/>
        <v>0</v>
      </c>
      <c r="Y15" s="340"/>
      <c r="Z15" s="340"/>
      <c r="AA15" s="340"/>
      <c r="AB15" s="340"/>
      <c r="AC15" s="338"/>
      <c r="AD15" s="338"/>
      <c r="AE15" s="338"/>
      <c r="AF15" s="338"/>
      <c r="AG15" s="338"/>
      <c r="AH15" s="338"/>
      <c r="AI15" s="338"/>
      <c r="AJ15" s="27">
        <v>45069</v>
      </c>
      <c r="AK15" s="1">
        <v>1842</v>
      </c>
      <c r="AL15" s="94">
        <v>1756</v>
      </c>
    </row>
    <row r="16" spans="1:41">
      <c r="A16" s="21">
        <v>45031</v>
      </c>
      <c r="B16" s="17">
        <f>IF(YEAR(Table7[[#This Row],[Date]]) = 2023, WEEKNUM(Table7[[#This Row],[Date]])-13, WEEKNUM(Table7[[#This Row],[Date]])+40)</f>
        <v>2</v>
      </c>
      <c r="C16" s="35" t="s">
        <v>54</v>
      </c>
      <c r="D16" s="9" t="s">
        <v>94</v>
      </c>
      <c r="E16" s="31">
        <v>114</v>
      </c>
      <c r="F16" s="31">
        <v>113</v>
      </c>
      <c r="G16" s="64">
        <v>-7.3170731707317069E-2</v>
      </c>
      <c r="H16" s="64">
        <v>-6.6115702479338845E-2</v>
      </c>
      <c r="I16" s="1">
        <v>3921</v>
      </c>
      <c r="J16" s="1">
        <v>3728</v>
      </c>
      <c r="K16" s="1">
        <v>3921</v>
      </c>
      <c r="L16" s="1">
        <v>3728</v>
      </c>
      <c r="M16" s="36">
        <v>0.97</v>
      </c>
      <c r="N16" s="36">
        <v>0.01</v>
      </c>
      <c r="O16" s="36">
        <v>0.99</v>
      </c>
      <c r="P16" s="36">
        <v>0.28000000000000003</v>
      </c>
      <c r="Q16" s="36">
        <v>1</v>
      </c>
      <c r="R16" s="307">
        <v>175</v>
      </c>
      <c r="S16" s="307">
        <v>0</v>
      </c>
      <c r="T16" s="386">
        <v>4</v>
      </c>
      <c r="U16" s="345" t="str">
        <f t="shared" si="0"/>
        <v>Outlier</v>
      </c>
      <c r="V16" s="345" t="str">
        <f t="shared" si="1"/>
        <v>Outlier</v>
      </c>
      <c r="W16" s="350">
        <f t="shared" si="2"/>
        <v>-7.3170731707317069E-2</v>
      </c>
      <c r="X16" s="351">
        <f t="shared" si="3"/>
        <v>-6.6115702479338845E-2</v>
      </c>
      <c r="Y16" s="340"/>
      <c r="Z16" s="340"/>
      <c r="AA16" s="340"/>
      <c r="AB16" s="340"/>
      <c r="AC16" s="338"/>
      <c r="AD16" s="338"/>
      <c r="AE16" s="338"/>
      <c r="AF16" s="338"/>
      <c r="AG16" s="338"/>
      <c r="AH16" s="338"/>
      <c r="AI16" s="338"/>
      <c r="AJ16" s="27">
        <v>45076</v>
      </c>
      <c r="AK16" s="1">
        <v>1109</v>
      </c>
      <c r="AL16" s="94">
        <v>1066</v>
      </c>
    </row>
    <row r="17" spans="1:38">
      <c r="A17" s="21">
        <v>45032</v>
      </c>
      <c r="B17" s="17">
        <f>IF(YEAR(Table7[[#This Row],[Date]]) = 2023, WEEKNUM(Table7[[#This Row],[Date]])-13, WEEKNUM(Table7[[#This Row],[Date]])+40)</f>
        <v>3</v>
      </c>
      <c r="C17" s="9" t="s">
        <v>48</v>
      </c>
      <c r="D17" s="9" t="s">
        <v>94</v>
      </c>
      <c r="E17" s="1">
        <v>0</v>
      </c>
      <c r="F17" s="1">
        <v>0</v>
      </c>
      <c r="G17" s="64">
        <v>0</v>
      </c>
      <c r="H17" s="64">
        <v>0</v>
      </c>
      <c r="I17" s="1">
        <v>0</v>
      </c>
      <c r="J17" s="1">
        <v>0</v>
      </c>
      <c r="K17" s="1">
        <v>0</v>
      </c>
      <c r="L17" s="1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293">
        <v>0</v>
      </c>
      <c r="S17" s="293">
        <v>0</v>
      </c>
      <c r="T17" s="386">
        <v>0</v>
      </c>
      <c r="U17" s="345" t="str">
        <f t="shared" si="0"/>
        <v>Normal</v>
      </c>
      <c r="V17" s="345" t="str">
        <f t="shared" si="1"/>
        <v>Normal</v>
      </c>
      <c r="W17" s="350">
        <f t="shared" si="2"/>
        <v>0</v>
      </c>
      <c r="X17" s="351">
        <f t="shared" si="3"/>
        <v>0</v>
      </c>
      <c r="Y17" s="340"/>
      <c r="Z17" s="340"/>
      <c r="AA17" s="340"/>
      <c r="AB17" s="340"/>
      <c r="AC17" s="338"/>
      <c r="AD17" s="338"/>
      <c r="AE17" s="338"/>
      <c r="AF17" s="338"/>
      <c r="AG17" s="338"/>
      <c r="AH17" s="338"/>
      <c r="AI17" s="338"/>
      <c r="AJ17" s="27">
        <v>45083</v>
      </c>
      <c r="AK17" s="1">
        <v>0</v>
      </c>
      <c r="AL17" s="94">
        <v>0</v>
      </c>
    </row>
    <row r="18" spans="1:38">
      <c r="A18" s="21">
        <v>45033</v>
      </c>
      <c r="B18" s="17">
        <f>IF(YEAR(Table7[[#This Row],[Date]]) = 2023, WEEKNUM(Table7[[#This Row],[Date]])-13, WEEKNUM(Table7[[#This Row],[Date]])+40)</f>
        <v>3</v>
      </c>
      <c r="C18" s="35" t="s">
        <v>49</v>
      </c>
      <c r="D18" s="9" t="s">
        <v>94</v>
      </c>
      <c r="E18" s="31">
        <v>435</v>
      </c>
      <c r="F18" s="31">
        <v>422</v>
      </c>
      <c r="G18" s="64">
        <v>0</v>
      </c>
      <c r="H18" s="64">
        <v>0</v>
      </c>
      <c r="I18" s="1">
        <v>4356</v>
      </c>
      <c r="J18" s="1">
        <v>4150</v>
      </c>
      <c r="K18" s="1">
        <v>4356</v>
      </c>
      <c r="L18" s="1">
        <v>4150</v>
      </c>
      <c r="M18" s="36">
        <v>0.92</v>
      </c>
      <c r="N18" s="36">
        <v>0.03</v>
      </c>
      <c r="O18" s="36">
        <v>0.97</v>
      </c>
      <c r="P18" s="36">
        <v>0.6</v>
      </c>
      <c r="Q18" s="36">
        <v>1</v>
      </c>
      <c r="R18" s="307">
        <v>166</v>
      </c>
      <c r="S18" s="307">
        <v>0</v>
      </c>
      <c r="T18" s="386">
        <v>4</v>
      </c>
      <c r="U18" s="345" t="str">
        <f t="shared" si="0"/>
        <v>Outlier</v>
      </c>
      <c r="V18" s="345" t="str">
        <f t="shared" si="1"/>
        <v>Outlier</v>
      </c>
      <c r="W18" s="350">
        <f t="shared" si="2"/>
        <v>0</v>
      </c>
      <c r="X18" s="351">
        <f t="shared" si="3"/>
        <v>0</v>
      </c>
      <c r="Y18" s="340"/>
      <c r="Z18" s="340"/>
      <c r="AA18" s="340"/>
      <c r="AB18" s="340"/>
      <c r="AC18" s="338"/>
      <c r="AD18" s="338"/>
      <c r="AE18" s="338"/>
      <c r="AF18" s="338"/>
      <c r="AG18" s="338"/>
      <c r="AH18" s="338"/>
      <c r="AI18" s="338"/>
      <c r="AJ18" s="27">
        <v>45090</v>
      </c>
      <c r="AK18" s="1">
        <v>0</v>
      </c>
      <c r="AL18" s="94">
        <v>0</v>
      </c>
    </row>
    <row r="19" spans="1:38">
      <c r="A19" s="21">
        <v>45034</v>
      </c>
      <c r="B19" s="17">
        <f>IF(YEAR(Table7[[#This Row],[Date]]) = 2023, WEEKNUM(Table7[[#This Row],[Date]])-13, WEEKNUM(Table7[[#This Row],[Date]])+40)</f>
        <v>3</v>
      </c>
      <c r="C19" s="9" t="s">
        <v>50</v>
      </c>
      <c r="D19" s="9" t="s">
        <v>94</v>
      </c>
      <c r="E19" s="1">
        <v>364</v>
      </c>
      <c r="F19" s="1">
        <v>353</v>
      </c>
      <c r="G19" s="64">
        <v>-0.33333333333333331</v>
      </c>
      <c r="H19" s="64">
        <v>-0.29116465863453816</v>
      </c>
      <c r="I19" s="1">
        <v>4720</v>
      </c>
      <c r="J19" s="1">
        <v>4503</v>
      </c>
      <c r="K19" s="1">
        <v>4720</v>
      </c>
      <c r="L19" s="1">
        <v>4503</v>
      </c>
      <c r="M19" s="18">
        <v>0.89</v>
      </c>
      <c r="N19" s="18">
        <v>0.03</v>
      </c>
      <c r="O19" s="18">
        <v>0.97</v>
      </c>
      <c r="P19" s="18">
        <v>0.63</v>
      </c>
      <c r="Q19" s="18">
        <v>1</v>
      </c>
      <c r="R19" s="293">
        <v>190</v>
      </c>
      <c r="S19" s="293">
        <v>0</v>
      </c>
      <c r="T19" s="386">
        <v>4</v>
      </c>
      <c r="U19" s="345" t="str">
        <f t="shared" si="0"/>
        <v>Outlier</v>
      </c>
      <c r="V19" s="345" t="str">
        <f t="shared" si="1"/>
        <v>Outlier</v>
      </c>
      <c r="W19" s="350">
        <f t="shared" si="2"/>
        <v>-0.33333333333333331</v>
      </c>
      <c r="X19" s="351">
        <f t="shared" si="3"/>
        <v>-0.29116465863453816</v>
      </c>
      <c r="Y19" s="340"/>
      <c r="Z19" s="340"/>
      <c r="AA19" s="340"/>
      <c r="AB19" s="340"/>
      <c r="AC19" s="338"/>
      <c r="AD19" s="338"/>
      <c r="AE19" s="338"/>
      <c r="AF19" s="338"/>
      <c r="AG19" s="338"/>
      <c r="AH19" s="338"/>
      <c r="AI19" s="338"/>
      <c r="AJ19" s="27">
        <v>45097</v>
      </c>
      <c r="AK19" s="1">
        <v>0</v>
      </c>
      <c r="AL19" s="94">
        <v>0</v>
      </c>
    </row>
    <row r="20" spans="1:38">
      <c r="A20" s="21">
        <v>45035</v>
      </c>
      <c r="B20" s="17">
        <f>IF(YEAR(Table7[[#This Row],[Date]]) = 2023, WEEKNUM(Table7[[#This Row],[Date]])-13, WEEKNUM(Table7[[#This Row],[Date]])+40)</f>
        <v>3</v>
      </c>
      <c r="C20" s="35" t="s">
        <v>51</v>
      </c>
      <c r="D20" s="9" t="s">
        <v>94</v>
      </c>
      <c r="E20" s="31">
        <v>412</v>
      </c>
      <c r="F20" s="31">
        <v>398</v>
      </c>
      <c r="G20" s="64">
        <v>-6.5759637188208611E-2</v>
      </c>
      <c r="H20" s="64">
        <v>-4.784688995215311E-2</v>
      </c>
      <c r="I20" s="1">
        <v>5132</v>
      </c>
      <c r="J20" s="1">
        <v>4901</v>
      </c>
      <c r="K20" s="1">
        <v>5132</v>
      </c>
      <c r="L20" s="1">
        <v>4901</v>
      </c>
      <c r="M20" s="36">
        <v>0.9</v>
      </c>
      <c r="N20" s="36">
        <v>0.03</v>
      </c>
      <c r="O20" s="36">
        <v>0.97</v>
      </c>
      <c r="P20" s="36">
        <v>0.56999999999999995</v>
      </c>
      <c r="Q20" s="36">
        <v>1</v>
      </c>
      <c r="R20" s="307">
        <v>177</v>
      </c>
      <c r="S20" s="307">
        <v>0</v>
      </c>
      <c r="T20" s="386">
        <v>4</v>
      </c>
      <c r="U20" s="345" t="str">
        <f t="shared" si="0"/>
        <v>Outlier</v>
      </c>
      <c r="V20" s="345" t="str">
        <f t="shared" si="1"/>
        <v>Outlier</v>
      </c>
      <c r="W20" s="350">
        <f t="shared" si="2"/>
        <v>-6.5759637188208611E-2</v>
      </c>
      <c r="X20" s="351">
        <f t="shared" si="3"/>
        <v>-4.784688995215311E-2</v>
      </c>
      <c r="Y20" s="340"/>
      <c r="Z20" s="340"/>
      <c r="AA20" s="340"/>
      <c r="AB20" s="340"/>
      <c r="AC20" s="338"/>
      <c r="AD20" s="338"/>
      <c r="AE20" s="338"/>
      <c r="AF20" s="338"/>
      <c r="AG20" s="338"/>
      <c r="AH20" s="338"/>
      <c r="AI20" s="338"/>
      <c r="AJ20" s="27">
        <v>45104</v>
      </c>
      <c r="AK20" s="1">
        <v>0</v>
      </c>
      <c r="AL20" s="94">
        <v>0</v>
      </c>
    </row>
    <row r="21" spans="1:38">
      <c r="A21" s="21">
        <v>45036</v>
      </c>
      <c r="B21" s="17">
        <f>IF(YEAR(Table7[[#This Row],[Date]]) = 2023, WEEKNUM(Table7[[#This Row],[Date]])-13, WEEKNUM(Table7[[#This Row],[Date]])+40)</f>
        <v>3</v>
      </c>
      <c r="C21" s="9" t="s">
        <v>52</v>
      </c>
      <c r="D21" s="9" t="s">
        <v>94</v>
      </c>
      <c r="E21" s="1">
        <v>404</v>
      </c>
      <c r="F21" s="1">
        <v>393</v>
      </c>
      <c r="G21" s="64">
        <v>-0.10816777041942605</v>
      </c>
      <c r="H21" s="64">
        <v>-0.10884353741496598</v>
      </c>
      <c r="I21" s="1">
        <v>5536</v>
      </c>
      <c r="J21" s="1">
        <v>5294</v>
      </c>
      <c r="K21" s="1">
        <v>5536</v>
      </c>
      <c r="L21" s="1">
        <v>5294</v>
      </c>
      <c r="M21" s="18">
        <v>0.95</v>
      </c>
      <c r="N21" s="18">
        <v>0.03</v>
      </c>
      <c r="O21" s="18">
        <v>0.97</v>
      </c>
      <c r="P21" s="18">
        <v>0.69</v>
      </c>
      <c r="Q21" s="18">
        <v>1</v>
      </c>
      <c r="R21" s="293">
        <v>186</v>
      </c>
      <c r="S21" s="293">
        <v>0</v>
      </c>
      <c r="T21" s="386">
        <v>4</v>
      </c>
      <c r="U21" s="345" t="str">
        <f t="shared" si="0"/>
        <v>Outlier</v>
      </c>
      <c r="V21" s="345" t="str">
        <f t="shared" si="1"/>
        <v>Outlier</v>
      </c>
      <c r="W21" s="350">
        <f t="shared" si="2"/>
        <v>-0.10816777041942605</v>
      </c>
      <c r="X21" s="351">
        <f t="shared" si="3"/>
        <v>-0.10884353741496598</v>
      </c>
      <c r="Y21" s="340"/>
      <c r="Z21" s="340"/>
      <c r="AA21" s="340"/>
      <c r="AB21" s="340"/>
      <c r="AC21" s="338"/>
      <c r="AD21" s="338"/>
      <c r="AE21" s="338"/>
      <c r="AF21" s="338"/>
      <c r="AG21" s="338"/>
      <c r="AH21" s="338"/>
      <c r="AI21" s="338"/>
      <c r="AJ21" s="27">
        <v>45111</v>
      </c>
      <c r="AK21" s="1">
        <v>0</v>
      </c>
      <c r="AL21" s="94">
        <v>0</v>
      </c>
    </row>
    <row r="22" spans="1:38">
      <c r="A22" s="21">
        <v>45037</v>
      </c>
      <c r="B22" s="17">
        <f>IF(YEAR(Table7[[#This Row],[Date]]) = 2023, WEEKNUM(Table7[[#This Row],[Date]])-13, WEEKNUM(Table7[[#This Row],[Date]])+40)</f>
        <v>3</v>
      </c>
      <c r="C22" s="35" t="s">
        <v>53</v>
      </c>
      <c r="D22" s="9" t="s">
        <v>94</v>
      </c>
      <c r="E22" s="31">
        <v>501</v>
      </c>
      <c r="F22" s="31">
        <v>480</v>
      </c>
      <c r="G22" s="64">
        <v>0.17330210772833723</v>
      </c>
      <c r="H22" s="64">
        <v>0.17359413202933985</v>
      </c>
      <c r="I22" s="1">
        <v>6037</v>
      </c>
      <c r="J22" s="1">
        <v>5774</v>
      </c>
      <c r="K22" s="1">
        <v>6037</v>
      </c>
      <c r="L22" s="1">
        <v>5774</v>
      </c>
      <c r="M22" s="36">
        <v>0.9</v>
      </c>
      <c r="N22" s="36">
        <v>0.04</v>
      </c>
      <c r="O22" s="36">
        <v>0.96</v>
      </c>
      <c r="P22" s="36">
        <v>0.56999999999999995</v>
      </c>
      <c r="Q22" s="36">
        <v>1</v>
      </c>
      <c r="R22" s="307">
        <v>175</v>
      </c>
      <c r="S22" s="307">
        <v>0</v>
      </c>
      <c r="T22" s="386">
        <v>5</v>
      </c>
      <c r="U22" s="345" t="str">
        <f t="shared" si="0"/>
        <v>Outlier</v>
      </c>
      <c r="V22" s="345" t="str">
        <f t="shared" si="1"/>
        <v>Outlier</v>
      </c>
      <c r="W22" s="350">
        <f t="shared" si="2"/>
        <v>0.17330210772833723</v>
      </c>
      <c r="X22" s="351">
        <f t="shared" si="3"/>
        <v>0.17359413202933985</v>
      </c>
      <c r="Y22" s="340"/>
      <c r="Z22" s="340"/>
      <c r="AA22" s="340"/>
      <c r="AB22" s="340"/>
      <c r="AC22" s="338"/>
      <c r="AD22" s="338"/>
      <c r="AE22" s="338"/>
      <c r="AF22" s="338"/>
      <c r="AG22" s="338"/>
      <c r="AH22" s="338"/>
      <c r="AI22" s="338"/>
      <c r="AJ22" s="32">
        <v>45118</v>
      </c>
      <c r="AK22" s="1">
        <v>0</v>
      </c>
      <c r="AL22" s="94">
        <v>0</v>
      </c>
    </row>
    <row r="23" spans="1:38">
      <c r="A23" s="21">
        <v>45038</v>
      </c>
      <c r="B23" s="17">
        <f>IF(YEAR(Table7[[#This Row],[Date]]) = 2023, WEEKNUM(Table7[[#This Row],[Date]])-13, WEEKNUM(Table7[[#This Row],[Date]])+40)</f>
        <v>3</v>
      </c>
      <c r="C23" s="9" t="s">
        <v>54</v>
      </c>
      <c r="D23" s="9" t="s">
        <v>94</v>
      </c>
      <c r="E23" s="1">
        <v>115</v>
      </c>
      <c r="F23" s="1">
        <v>110</v>
      </c>
      <c r="G23" s="64">
        <v>8.771929824561403E-3</v>
      </c>
      <c r="H23" s="64">
        <v>-2.6548672566371681E-2</v>
      </c>
      <c r="I23" s="1">
        <v>6152</v>
      </c>
      <c r="J23" s="1">
        <v>5884</v>
      </c>
      <c r="K23" s="1">
        <v>6152</v>
      </c>
      <c r="L23" s="1">
        <v>5884</v>
      </c>
      <c r="M23" s="18">
        <v>0.89</v>
      </c>
      <c r="N23" s="18">
        <v>0.04</v>
      </c>
      <c r="O23" s="18">
        <v>0.96</v>
      </c>
      <c r="P23" s="18">
        <v>0.38</v>
      </c>
      <c r="Q23" s="18">
        <v>1</v>
      </c>
      <c r="R23" s="293">
        <v>179</v>
      </c>
      <c r="S23" s="293">
        <v>0</v>
      </c>
      <c r="T23" s="386">
        <v>3</v>
      </c>
      <c r="U23" s="345" t="str">
        <f t="shared" si="0"/>
        <v>Outlier</v>
      </c>
      <c r="V23" s="345" t="str">
        <f t="shared" si="1"/>
        <v>Outlier</v>
      </c>
      <c r="W23" s="350">
        <f t="shared" si="2"/>
        <v>8.771929824561403E-3</v>
      </c>
      <c r="X23" s="351">
        <f t="shared" si="3"/>
        <v>-2.6548672566371681E-2</v>
      </c>
      <c r="Y23" s="340"/>
      <c r="Z23" s="340"/>
      <c r="AA23" s="340"/>
      <c r="AB23" s="340"/>
      <c r="AC23" s="338"/>
      <c r="AD23" s="338"/>
      <c r="AE23" s="338"/>
      <c r="AF23" s="338"/>
      <c r="AG23" s="338"/>
      <c r="AH23" s="338"/>
      <c r="AI23" s="338"/>
      <c r="AJ23" s="32">
        <v>45125</v>
      </c>
      <c r="AK23" s="1">
        <v>0</v>
      </c>
      <c r="AL23" s="94">
        <v>0</v>
      </c>
    </row>
    <row r="24" spans="1:38">
      <c r="A24" s="21">
        <v>45039</v>
      </c>
      <c r="B24" s="17">
        <f>IF(YEAR(Table7[[#This Row],[Date]]) = 2023, WEEKNUM(Table7[[#This Row],[Date]])-13, WEEKNUM(Table7[[#This Row],[Date]])+40)</f>
        <v>4</v>
      </c>
      <c r="C24" s="35" t="s">
        <v>48</v>
      </c>
      <c r="D24" s="9" t="s">
        <v>94</v>
      </c>
      <c r="E24" s="31">
        <v>0</v>
      </c>
      <c r="F24" s="31">
        <v>0</v>
      </c>
      <c r="G24" s="63">
        <v>0</v>
      </c>
      <c r="H24" s="63">
        <v>0</v>
      </c>
      <c r="I24" s="31">
        <v>0</v>
      </c>
      <c r="J24" s="31">
        <v>0</v>
      </c>
      <c r="K24" s="31">
        <v>0</v>
      </c>
      <c r="L24" s="31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07">
        <v>0</v>
      </c>
      <c r="S24" s="307">
        <v>0</v>
      </c>
      <c r="T24" s="386">
        <v>0</v>
      </c>
      <c r="U24" s="345" t="str">
        <f t="shared" si="0"/>
        <v>Normal</v>
      </c>
      <c r="V24" s="345" t="str">
        <f t="shared" si="1"/>
        <v>Normal</v>
      </c>
      <c r="W24" s="350">
        <f t="shared" si="2"/>
        <v>0</v>
      </c>
      <c r="X24" s="351">
        <f t="shared" si="3"/>
        <v>0</v>
      </c>
      <c r="Y24" s="340"/>
      <c r="Z24" s="340"/>
      <c r="AA24" s="340"/>
      <c r="AB24" s="340"/>
      <c r="AC24" s="338"/>
      <c r="AD24" s="338"/>
      <c r="AE24" s="338"/>
      <c r="AF24" s="338"/>
      <c r="AG24" s="338"/>
      <c r="AH24" s="338"/>
      <c r="AI24" s="338"/>
      <c r="AJ24" s="32">
        <v>45132</v>
      </c>
      <c r="AK24" s="1">
        <v>0</v>
      </c>
      <c r="AL24" s="94">
        <v>0</v>
      </c>
    </row>
    <row r="25" spans="1:38">
      <c r="A25" s="21">
        <v>45040</v>
      </c>
      <c r="B25" s="17">
        <f>IF(YEAR(Table7[[#This Row],[Date]]) = 2023, WEEKNUM(Table7[[#This Row],[Date]])-13, WEEKNUM(Table7[[#This Row],[Date]])+40)</f>
        <v>4</v>
      </c>
      <c r="C25" s="9" t="s">
        <v>49</v>
      </c>
      <c r="D25" s="9" t="s">
        <v>94</v>
      </c>
      <c r="E25" s="1">
        <v>467</v>
      </c>
      <c r="F25" s="1">
        <v>444</v>
      </c>
      <c r="G25" s="64">
        <v>7.3563218390804597E-2</v>
      </c>
      <c r="H25" s="64">
        <v>5.2132701421800945E-2</v>
      </c>
      <c r="I25" s="1">
        <v>6619</v>
      </c>
      <c r="J25" s="1">
        <v>6328</v>
      </c>
      <c r="K25" s="1">
        <v>6619</v>
      </c>
      <c r="L25" s="1">
        <v>6328</v>
      </c>
      <c r="M25" s="18">
        <v>0.88</v>
      </c>
      <c r="N25" s="18">
        <v>0.05</v>
      </c>
      <c r="O25" s="18">
        <v>0.95</v>
      </c>
      <c r="P25" s="18">
        <v>0.65</v>
      </c>
      <c r="Q25" s="18">
        <v>1</v>
      </c>
      <c r="R25" s="293">
        <v>176</v>
      </c>
      <c r="S25" s="293">
        <v>0</v>
      </c>
      <c r="T25" s="386">
        <v>4</v>
      </c>
      <c r="U25" s="345" t="str">
        <f t="shared" si="0"/>
        <v>Outlier</v>
      </c>
      <c r="V25" s="345" t="str">
        <f t="shared" si="1"/>
        <v>Outlier</v>
      </c>
      <c r="W25" s="350">
        <f t="shared" si="2"/>
        <v>7.3563218390804597E-2</v>
      </c>
      <c r="X25" s="351">
        <f t="shared" si="3"/>
        <v>5.2132701421800945E-2</v>
      </c>
      <c r="Y25" s="340"/>
      <c r="Z25" s="340"/>
      <c r="AA25" s="340"/>
      <c r="AB25" s="340"/>
      <c r="AC25" s="338"/>
      <c r="AD25" s="338"/>
      <c r="AE25" s="338"/>
      <c r="AF25" s="338"/>
      <c r="AG25" s="338"/>
      <c r="AH25" s="338"/>
      <c r="AI25" s="338"/>
      <c r="AJ25" s="32">
        <v>45139</v>
      </c>
      <c r="AK25" s="1">
        <v>0</v>
      </c>
      <c r="AL25" s="94">
        <v>0</v>
      </c>
    </row>
    <row r="26" spans="1:38">
      <c r="A26" s="21">
        <v>45041</v>
      </c>
      <c r="B26" s="17">
        <f>IF(YEAR(Table7[[#This Row],[Date]]) = 2023, WEEKNUM(Table7[[#This Row],[Date]])-13, WEEKNUM(Table7[[#This Row],[Date]])+40)</f>
        <v>4</v>
      </c>
      <c r="C26" s="35" t="s">
        <v>50</v>
      </c>
      <c r="D26" s="9" t="s">
        <v>94</v>
      </c>
      <c r="E26" s="31">
        <v>397</v>
      </c>
      <c r="F26" s="31">
        <v>385</v>
      </c>
      <c r="G26" s="64">
        <v>9.0659340659340656E-2</v>
      </c>
      <c r="H26" s="64">
        <v>9.0651558073654395E-2</v>
      </c>
      <c r="I26" s="1">
        <v>7016</v>
      </c>
      <c r="J26" s="1">
        <v>6713</v>
      </c>
      <c r="K26" s="1">
        <v>7016</v>
      </c>
      <c r="L26" s="1">
        <v>6713</v>
      </c>
      <c r="M26" s="36">
        <v>0.9</v>
      </c>
      <c r="N26" s="36">
        <v>0.03</v>
      </c>
      <c r="O26" s="36">
        <v>0.97</v>
      </c>
      <c r="P26" s="36">
        <v>0.47</v>
      </c>
      <c r="Q26" s="36">
        <v>1</v>
      </c>
      <c r="R26" s="307">
        <v>179</v>
      </c>
      <c r="S26" s="307">
        <v>0</v>
      </c>
      <c r="T26" s="386">
        <v>5</v>
      </c>
      <c r="U26" s="345" t="str">
        <f t="shared" si="0"/>
        <v>Outlier</v>
      </c>
      <c r="V26" s="345" t="str">
        <f t="shared" si="1"/>
        <v>Outlier</v>
      </c>
      <c r="W26" s="350">
        <f t="shared" si="2"/>
        <v>9.0659340659340656E-2</v>
      </c>
      <c r="X26" s="351">
        <f t="shared" si="3"/>
        <v>9.0651558073654395E-2</v>
      </c>
      <c r="Y26" s="340"/>
      <c r="Z26" s="340"/>
      <c r="AA26" s="340"/>
      <c r="AB26" s="340"/>
      <c r="AC26" s="338"/>
      <c r="AD26" s="338"/>
      <c r="AE26" s="338"/>
      <c r="AF26" s="338"/>
      <c r="AG26" s="338"/>
      <c r="AH26" s="338"/>
      <c r="AI26" s="338"/>
      <c r="AJ26" s="32">
        <v>45146</v>
      </c>
      <c r="AK26" s="1">
        <v>0</v>
      </c>
      <c r="AL26" s="94">
        <v>0</v>
      </c>
    </row>
    <row r="27" spans="1:38">
      <c r="A27" s="21">
        <v>45042</v>
      </c>
      <c r="B27" s="17">
        <f>IF(YEAR(Table7[[#This Row],[Date]]) = 2023, WEEKNUM(Table7[[#This Row],[Date]])-13, WEEKNUM(Table7[[#This Row],[Date]])+40)</f>
        <v>4</v>
      </c>
      <c r="C27" s="9" t="s">
        <v>51</v>
      </c>
      <c r="D27" s="9" t="s">
        <v>94</v>
      </c>
      <c r="E27" s="1">
        <v>456</v>
      </c>
      <c r="F27" s="1">
        <v>436</v>
      </c>
      <c r="G27" s="64">
        <v>0.10679611650485436</v>
      </c>
      <c r="H27" s="64">
        <v>9.5477386934673364E-2</v>
      </c>
      <c r="I27" s="1">
        <v>7472</v>
      </c>
      <c r="J27" s="1">
        <v>7149</v>
      </c>
      <c r="K27" s="1">
        <v>7472</v>
      </c>
      <c r="L27" s="1">
        <v>7149</v>
      </c>
      <c r="M27" s="18">
        <v>0.88</v>
      </c>
      <c r="N27" s="18">
        <v>0.04</v>
      </c>
      <c r="O27" s="18">
        <v>0.96</v>
      </c>
      <c r="P27" s="18">
        <v>0.64</v>
      </c>
      <c r="Q27" s="18">
        <v>1</v>
      </c>
      <c r="R27" s="293">
        <v>177</v>
      </c>
      <c r="S27" s="293">
        <v>0</v>
      </c>
      <c r="T27" s="386">
        <v>4</v>
      </c>
      <c r="U27" s="345" t="str">
        <f t="shared" si="0"/>
        <v>Outlier</v>
      </c>
      <c r="V27" s="345" t="str">
        <f t="shared" si="1"/>
        <v>Outlier</v>
      </c>
      <c r="W27" s="350">
        <f t="shared" si="2"/>
        <v>0.10679611650485436</v>
      </c>
      <c r="X27" s="351">
        <f t="shared" si="3"/>
        <v>9.5477386934673364E-2</v>
      </c>
      <c r="Y27" s="340"/>
      <c r="Z27" s="340"/>
      <c r="AA27" s="340"/>
      <c r="AB27" s="340"/>
      <c r="AC27" s="338"/>
      <c r="AD27" s="338"/>
      <c r="AE27" s="338"/>
      <c r="AF27" s="338"/>
      <c r="AG27" s="338"/>
      <c r="AH27" s="338"/>
      <c r="AI27" s="338"/>
      <c r="AJ27" s="32">
        <v>45153</v>
      </c>
      <c r="AK27" s="1">
        <v>0</v>
      </c>
      <c r="AL27" s="94">
        <v>0</v>
      </c>
    </row>
    <row r="28" spans="1:38">
      <c r="A28" s="21">
        <v>45043</v>
      </c>
      <c r="B28" s="17">
        <f>IF(YEAR(Table7[[#This Row],[Date]]) = 2023, WEEKNUM(Table7[[#This Row],[Date]])-13, WEEKNUM(Table7[[#This Row],[Date]])+40)</f>
        <v>4</v>
      </c>
      <c r="C28" s="35" t="s">
        <v>52</v>
      </c>
      <c r="D28" s="9" t="s">
        <v>94</v>
      </c>
      <c r="E28" s="31">
        <v>413</v>
      </c>
      <c r="F28" s="31">
        <v>409</v>
      </c>
      <c r="G28" s="64">
        <v>2.2277227722772276E-2</v>
      </c>
      <c r="H28" s="64">
        <v>4.0712468193384227E-2</v>
      </c>
      <c r="I28" s="1">
        <v>7885</v>
      </c>
      <c r="J28" s="1">
        <v>7558</v>
      </c>
      <c r="K28" s="1">
        <v>7885</v>
      </c>
      <c r="L28" s="1">
        <v>7558</v>
      </c>
      <c r="M28" s="36">
        <v>0.89</v>
      </c>
      <c r="N28" s="36">
        <v>0.01</v>
      </c>
      <c r="O28" s="36">
        <v>0.99</v>
      </c>
      <c r="P28" s="36">
        <v>0.7</v>
      </c>
      <c r="Q28" s="36">
        <v>1</v>
      </c>
      <c r="R28" s="307">
        <v>180</v>
      </c>
      <c r="S28" s="307">
        <v>0</v>
      </c>
      <c r="T28" s="386">
        <v>4</v>
      </c>
      <c r="U28" s="345" t="str">
        <f t="shared" si="0"/>
        <v>Outlier</v>
      </c>
      <c r="V28" s="345" t="str">
        <f t="shared" si="1"/>
        <v>Outlier</v>
      </c>
      <c r="W28" s="350">
        <f t="shared" si="2"/>
        <v>2.2277227722772276E-2</v>
      </c>
      <c r="X28" s="351">
        <f t="shared" si="3"/>
        <v>4.0712468193384227E-2</v>
      </c>
      <c r="Y28" s="340"/>
      <c r="Z28" s="340"/>
      <c r="AA28" s="340"/>
      <c r="AB28" s="340"/>
      <c r="AC28" s="338"/>
      <c r="AD28" s="338"/>
      <c r="AE28" s="338"/>
      <c r="AF28" s="338"/>
      <c r="AG28" s="338"/>
      <c r="AH28" s="338"/>
      <c r="AI28" s="338"/>
      <c r="AJ28" s="32">
        <v>45160</v>
      </c>
      <c r="AK28" s="1">
        <v>0</v>
      </c>
      <c r="AL28" s="94">
        <v>0</v>
      </c>
    </row>
    <row r="29" spans="1:38">
      <c r="A29" s="21">
        <v>45044</v>
      </c>
      <c r="B29" s="17">
        <f>IF(YEAR(Table7[[#This Row],[Date]]) = 2023, WEEKNUM(Table7[[#This Row],[Date]])-13, WEEKNUM(Table7[[#This Row],[Date]])+40)</f>
        <v>4</v>
      </c>
      <c r="C29" s="9" t="s">
        <v>53</v>
      </c>
      <c r="D29" s="9" t="s">
        <v>94</v>
      </c>
      <c r="E29" s="1">
        <v>469</v>
      </c>
      <c r="F29" s="1">
        <v>448</v>
      </c>
      <c r="G29" s="64">
        <v>-6.3872255489021951E-2</v>
      </c>
      <c r="H29" s="64">
        <v>-6.6666666666666666E-2</v>
      </c>
      <c r="I29" s="1">
        <v>8354</v>
      </c>
      <c r="J29" s="1">
        <v>8006</v>
      </c>
      <c r="K29" s="1">
        <v>8354</v>
      </c>
      <c r="L29" s="1">
        <v>8006</v>
      </c>
      <c r="M29" s="18">
        <v>0.89</v>
      </c>
      <c r="N29" s="18">
        <v>0.04</v>
      </c>
      <c r="O29" s="18">
        <v>0.96</v>
      </c>
      <c r="P29" s="18">
        <v>0.5</v>
      </c>
      <c r="Q29" s="18">
        <v>1</v>
      </c>
      <c r="R29" s="293">
        <v>175</v>
      </c>
      <c r="S29" s="293">
        <v>0</v>
      </c>
      <c r="T29" s="386">
        <v>5</v>
      </c>
      <c r="U29" s="345" t="str">
        <f t="shared" si="0"/>
        <v>Outlier</v>
      </c>
      <c r="V29" s="345" t="str">
        <f t="shared" si="1"/>
        <v>Outlier</v>
      </c>
      <c r="W29" s="350">
        <f t="shared" si="2"/>
        <v>-6.3872255489021951E-2</v>
      </c>
      <c r="X29" s="351">
        <f t="shared" si="3"/>
        <v>-6.6666666666666666E-2</v>
      </c>
      <c r="Y29" s="340"/>
      <c r="Z29" s="340"/>
      <c r="AA29" s="340"/>
      <c r="AB29" s="340"/>
      <c r="AC29" s="338"/>
      <c r="AD29" s="338"/>
      <c r="AE29" s="338"/>
      <c r="AF29" s="338"/>
      <c r="AG29" s="338"/>
      <c r="AH29" s="338"/>
      <c r="AI29" s="338"/>
      <c r="AJ29" s="32">
        <v>45167</v>
      </c>
      <c r="AK29" s="1">
        <v>0</v>
      </c>
      <c r="AL29" s="94">
        <v>0</v>
      </c>
    </row>
    <row r="30" spans="1:38">
      <c r="A30" s="21">
        <v>45045</v>
      </c>
      <c r="B30" s="17">
        <f>IF(YEAR(Table7[[#This Row],[Date]]) = 2023, WEEKNUM(Table7[[#This Row],[Date]])-13, WEEKNUM(Table7[[#This Row],[Date]])+40)</f>
        <v>4</v>
      </c>
      <c r="C30" s="35" t="s">
        <v>54</v>
      </c>
      <c r="D30" s="9" t="s">
        <v>94</v>
      </c>
      <c r="E30" s="31">
        <v>173</v>
      </c>
      <c r="F30" s="31">
        <v>169</v>
      </c>
      <c r="G30" s="64">
        <v>0.5043478260869565</v>
      </c>
      <c r="H30" s="64">
        <v>0.53636363636363638</v>
      </c>
      <c r="I30" s="1">
        <v>8527</v>
      </c>
      <c r="J30" s="1">
        <v>8175</v>
      </c>
      <c r="K30" s="1">
        <v>8527</v>
      </c>
      <c r="L30" s="1">
        <v>8175</v>
      </c>
      <c r="M30" s="36">
        <v>0.94</v>
      </c>
      <c r="N30" s="36">
        <v>0.02</v>
      </c>
      <c r="O30" s="36">
        <v>0.98</v>
      </c>
      <c r="P30" s="36">
        <v>0.39</v>
      </c>
      <c r="Q30" s="36">
        <v>1</v>
      </c>
      <c r="R30" s="307">
        <v>157</v>
      </c>
      <c r="S30" s="307">
        <v>0</v>
      </c>
      <c r="T30" s="386">
        <v>4</v>
      </c>
      <c r="U30" s="345" t="str">
        <f t="shared" si="0"/>
        <v>Outlier</v>
      </c>
      <c r="V30" s="345" t="str">
        <f t="shared" si="1"/>
        <v>Outlier</v>
      </c>
      <c r="W30" s="350">
        <f t="shared" si="2"/>
        <v>0.5043478260869565</v>
      </c>
      <c r="X30" s="351">
        <f t="shared" si="3"/>
        <v>0.53636363636363638</v>
      </c>
      <c r="Y30" s="340"/>
      <c r="Z30" s="340"/>
      <c r="AA30" s="340"/>
      <c r="AB30" s="340"/>
      <c r="AC30" s="338"/>
      <c r="AD30" s="338"/>
      <c r="AE30" s="338"/>
      <c r="AF30" s="338"/>
      <c r="AG30" s="338"/>
      <c r="AH30" s="338"/>
      <c r="AI30" s="338"/>
      <c r="AJ30" s="32">
        <v>45174</v>
      </c>
      <c r="AK30" s="1">
        <v>0</v>
      </c>
      <c r="AL30" s="94">
        <v>0</v>
      </c>
    </row>
    <row r="31" spans="1:38">
      <c r="A31" s="21">
        <v>45046</v>
      </c>
      <c r="B31" s="17">
        <f>IF(YEAR(Table7[[#This Row],[Date]]) = 2023, WEEKNUM(Table7[[#This Row],[Date]])-13, WEEKNUM(Table7[[#This Row],[Date]])+40)</f>
        <v>5</v>
      </c>
      <c r="C31" s="9" t="s">
        <v>48</v>
      </c>
      <c r="D31" s="9" t="s">
        <v>94</v>
      </c>
      <c r="E31" s="1">
        <v>0</v>
      </c>
      <c r="F31" s="1">
        <v>0</v>
      </c>
      <c r="G31" s="64">
        <v>0</v>
      </c>
      <c r="H31" s="64">
        <v>0</v>
      </c>
      <c r="I31" s="1">
        <v>0</v>
      </c>
      <c r="J31" s="1">
        <v>0</v>
      </c>
      <c r="K31" s="1">
        <v>0</v>
      </c>
      <c r="L31" s="1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293">
        <v>0</v>
      </c>
      <c r="S31" s="293">
        <v>0</v>
      </c>
      <c r="T31" s="386">
        <v>0</v>
      </c>
      <c r="U31" s="345" t="str">
        <f t="shared" si="0"/>
        <v>Normal</v>
      </c>
      <c r="V31" s="345" t="str">
        <f t="shared" si="1"/>
        <v>Normal</v>
      </c>
      <c r="W31" s="350">
        <f t="shared" si="2"/>
        <v>0</v>
      </c>
      <c r="X31" s="351">
        <f t="shared" si="3"/>
        <v>0</v>
      </c>
      <c r="Y31" s="340"/>
      <c r="Z31" s="340"/>
      <c r="AA31" s="340"/>
      <c r="AB31" s="340"/>
      <c r="AC31" s="338"/>
      <c r="AD31" s="338"/>
      <c r="AE31" s="338"/>
      <c r="AF31" s="338"/>
      <c r="AG31" s="338"/>
      <c r="AH31" s="338"/>
      <c r="AI31" s="338"/>
      <c r="AJ31" s="32">
        <v>45181</v>
      </c>
      <c r="AK31" s="1">
        <v>0</v>
      </c>
      <c r="AL31" s="94">
        <v>0</v>
      </c>
    </row>
    <row r="32" spans="1:38">
      <c r="A32" s="21">
        <v>45047</v>
      </c>
      <c r="B32" s="17">
        <f>IF(YEAR(Table7[[#This Row],[Date]]) = 2023, WEEKNUM(Table7[[#This Row],[Date]])-13, WEEKNUM(Table7[[#This Row],[Date]])+40)</f>
        <v>5</v>
      </c>
      <c r="C32" s="35" t="s">
        <v>64</v>
      </c>
      <c r="D32" s="9" t="s">
        <v>94</v>
      </c>
      <c r="E32" s="31">
        <v>0</v>
      </c>
      <c r="F32" s="31">
        <v>0</v>
      </c>
      <c r="G32" s="63">
        <v>0</v>
      </c>
      <c r="H32" s="63">
        <v>0</v>
      </c>
      <c r="I32" s="31">
        <v>0</v>
      </c>
      <c r="J32" s="31">
        <v>0</v>
      </c>
      <c r="K32" s="31">
        <v>0</v>
      </c>
      <c r="L32" s="31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07">
        <v>0</v>
      </c>
      <c r="S32" s="307">
        <v>0</v>
      </c>
      <c r="T32" s="386">
        <v>0</v>
      </c>
      <c r="U32" s="345" t="str">
        <f t="shared" si="0"/>
        <v>Normal</v>
      </c>
      <c r="V32" s="345" t="str">
        <f t="shared" si="1"/>
        <v>Normal</v>
      </c>
      <c r="W32" s="350">
        <f t="shared" si="2"/>
        <v>0</v>
      </c>
      <c r="X32" s="351">
        <f t="shared" si="3"/>
        <v>0</v>
      </c>
      <c r="Y32" s="340"/>
      <c r="Z32" s="340"/>
      <c r="AA32" s="340"/>
      <c r="AB32" s="340"/>
      <c r="AC32" s="338"/>
      <c r="AD32" s="338"/>
      <c r="AE32" s="338"/>
      <c r="AF32" s="338"/>
      <c r="AG32" s="338"/>
      <c r="AH32" s="338"/>
      <c r="AI32" s="338"/>
      <c r="AJ32" s="32">
        <v>45188</v>
      </c>
      <c r="AK32" s="1">
        <v>0</v>
      </c>
      <c r="AL32" s="94">
        <v>0</v>
      </c>
    </row>
    <row r="33" spans="1:38">
      <c r="A33" s="21">
        <v>45048</v>
      </c>
      <c r="B33" s="17">
        <f>IF(YEAR(Table7[[#This Row],[Date]]) = 2023, WEEKNUM(Table7[[#This Row],[Date]])-13, WEEKNUM(Table7[[#This Row],[Date]])+40)</f>
        <v>5</v>
      </c>
      <c r="C33" s="9" t="s">
        <v>50</v>
      </c>
      <c r="D33" s="9" t="s">
        <v>94</v>
      </c>
      <c r="E33" s="1">
        <v>540</v>
      </c>
      <c r="F33" s="1">
        <v>512</v>
      </c>
      <c r="G33" s="64">
        <v>0.3602015113350126</v>
      </c>
      <c r="H33" s="64">
        <v>0.32987012987012987</v>
      </c>
      <c r="I33" s="1">
        <v>540</v>
      </c>
      <c r="J33" s="1">
        <v>512</v>
      </c>
      <c r="K33" s="1">
        <v>9067</v>
      </c>
      <c r="L33" s="1">
        <v>8687</v>
      </c>
      <c r="M33" s="18">
        <v>0.83</v>
      </c>
      <c r="N33" s="18">
        <v>0.05</v>
      </c>
      <c r="O33" s="18">
        <v>0.95</v>
      </c>
      <c r="P33" s="18">
        <v>0.71</v>
      </c>
      <c r="Q33" s="18">
        <v>1</v>
      </c>
      <c r="R33" s="293">
        <v>181</v>
      </c>
      <c r="S33" s="293">
        <v>0</v>
      </c>
      <c r="T33" s="386">
        <v>5</v>
      </c>
      <c r="U33" s="345" t="str">
        <f t="shared" si="0"/>
        <v>Outlier</v>
      </c>
      <c r="V33" s="345" t="str">
        <f t="shared" si="1"/>
        <v>Outlier</v>
      </c>
      <c r="W33" s="350">
        <f t="shared" si="2"/>
        <v>0.3602015113350126</v>
      </c>
      <c r="X33" s="351">
        <f t="shared" si="3"/>
        <v>0.32987012987012987</v>
      </c>
      <c r="Y33" s="340"/>
      <c r="Z33" s="340"/>
      <c r="AA33" s="340"/>
      <c r="AB33" s="340"/>
      <c r="AC33" s="338"/>
      <c r="AD33" s="338"/>
      <c r="AE33" s="338"/>
      <c r="AF33" s="338"/>
      <c r="AG33" s="338"/>
      <c r="AH33" s="338"/>
      <c r="AI33" s="338"/>
      <c r="AJ33" s="32">
        <v>45195</v>
      </c>
      <c r="AK33" s="1">
        <v>326</v>
      </c>
      <c r="AL33" s="94">
        <v>306</v>
      </c>
    </row>
    <row r="34" spans="1:38">
      <c r="A34" s="21">
        <v>45049</v>
      </c>
      <c r="B34" s="17">
        <f>IF(YEAR(Table7[[#This Row],[Date]]) = 2023, WEEKNUM(Table7[[#This Row],[Date]])-13, WEEKNUM(Table7[[#This Row],[Date]])+40)</f>
        <v>5</v>
      </c>
      <c r="C34" s="35" t="s">
        <v>51</v>
      </c>
      <c r="D34" s="35" t="s">
        <v>94</v>
      </c>
      <c r="E34" s="31">
        <v>484</v>
      </c>
      <c r="F34" s="31">
        <v>457</v>
      </c>
      <c r="G34" s="64">
        <v>6.1403508771929821E-2</v>
      </c>
      <c r="H34" s="64">
        <v>4.8165137614678902E-2</v>
      </c>
      <c r="I34" s="1">
        <v>1024</v>
      </c>
      <c r="J34" s="1">
        <v>969</v>
      </c>
      <c r="K34" s="1">
        <v>9551</v>
      </c>
      <c r="L34" s="1">
        <v>9144</v>
      </c>
      <c r="M34" s="36">
        <v>0.83</v>
      </c>
      <c r="N34" s="36">
        <v>0.06</v>
      </c>
      <c r="O34" s="36">
        <v>0.94</v>
      </c>
      <c r="P34" s="36">
        <v>0.65</v>
      </c>
      <c r="Q34" s="36">
        <v>1</v>
      </c>
      <c r="R34" s="307">
        <v>190</v>
      </c>
      <c r="S34" s="307">
        <v>0</v>
      </c>
      <c r="T34" s="386">
        <v>5</v>
      </c>
      <c r="U34" s="345" t="str">
        <f t="shared" si="0"/>
        <v>Outlier</v>
      </c>
      <c r="V34" s="345" t="str">
        <f t="shared" si="1"/>
        <v>Outlier</v>
      </c>
      <c r="W34" s="350">
        <f t="shared" si="2"/>
        <v>6.1403508771929821E-2</v>
      </c>
      <c r="X34" s="351">
        <f t="shared" si="3"/>
        <v>4.8165137614678902E-2</v>
      </c>
      <c r="Y34" s="340"/>
      <c r="Z34" s="340"/>
      <c r="AA34" s="340"/>
      <c r="AB34" s="340"/>
      <c r="AC34" s="338"/>
      <c r="AD34" s="338"/>
      <c r="AE34" s="338"/>
      <c r="AF34" s="338"/>
      <c r="AG34" s="338"/>
      <c r="AH34" s="338"/>
      <c r="AI34" s="338"/>
      <c r="AJ34" s="32">
        <v>45202</v>
      </c>
      <c r="AK34" s="1">
        <v>1994</v>
      </c>
      <c r="AL34" s="94">
        <v>1902</v>
      </c>
    </row>
    <row r="35" spans="1:38">
      <c r="A35" s="21">
        <v>45050</v>
      </c>
      <c r="B35" s="17">
        <f>IF(YEAR(Table7[[#This Row],[Date]]) = 2023, WEEKNUM(Table7[[#This Row],[Date]])-13, WEEKNUM(Table7[[#This Row],[Date]])+40)</f>
        <v>5</v>
      </c>
      <c r="C35" s="9" t="s">
        <v>52</v>
      </c>
      <c r="D35" s="9" t="s">
        <v>94</v>
      </c>
      <c r="E35" s="1">
        <v>450</v>
      </c>
      <c r="F35" s="1">
        <v>426</v>
      </c>
      <c r="G35" s="64">
        <v>8.9588377723970949E-2</v>
      </c>
      <c r="H35" s="64">
        <v>4.1564792176039117E-2</v>
      </c>
      <c r="I35" s="1">
        <v>1474</v>
      </c>
      <c r="J35" s="1">
        <v>1395</v>
      </c>
      <c r="K35" s="1">
        <v>10001</v>
      </c>
      <c r="L35" s="1">
        <v>9570</v>
      </c>
      <c r="M35" s="18">
        <v>0.9</v>
      </c>
      <c r="N35" s="18">
        <v>0.05</v>
      </c>
      <c r="O35" s="18">
        <v>0.95</v>
      </c>
      <c r="P35" s="18">
        <v>0.59</v>
      </c>
      <c r="Q35" s="18">
        <v>1</v>
      </c>
      <c r="R35" s="293">
        <v>181</v>
      </c>
      <c r="S35" s="293">
        <v>0</v>
      </c>
      <c r="T35" s="386">
        <v>5</v>
      </c>
      <c r="U35" s="345" t="str">
        <f t="shared" si="0"/>
        <v>Outlier</v>
      </c>
      <c r="V35" s="345" t="str">
        <f t="shared" si="1"/>
        <v>Outlier</v>
      </c>
      <c r="W35" s="350">
        <f t="shared" si="2"/>
        <v>8.9588377723970949E-2</v>
      </c>
      <c r="X35" s="351">
        <f t="shared" si="3"/>
        <v>4.1564792176039117E-2</v>
      </c>
      <c r="Y35" s="340"/>
      <c r="Z35" s="340"/>
      <c r="AA35" s="340"/>
      <c r="AB35" s="340"/>
      <c r="AC35" s="338"/>
      <c r="AD35" s="338"/>
      <c r="AE35" s="338"/>
      <c r="AF35" s="338"/>
      <c r="AG35" s="338"/>
      <c r="AH35" s="338"/>
      <c r="AI35" s="338"/>
      <c r="AJ35" s="32">
        <v>45209</v>
      </c>
      <c r="AK35" s="1">
        <v>1836</v>
      </c>
      <c r="AL35" s="94">
        <v>1759</v>
      </c>
    </row>
    <row r="36" spans="1:38">
      <c r="A36" s="21">
        <v>45051</v>
      </c>
      <c r="B36" s="17">
        <f>IF(YEAR(Table7[[#This Row],[Date]]) = 2023, WEEKNUM(Table7[[#This Row],[Date]])-13, WEEKNUM(Table7[[#This Row],[Date]])+40)</f>
        <v>5</v>
      </c>
      <c r="C36" s="35" t="s">
        <v>53</v>
      </c>
      <c r="D36" s="35" t="s">
        <v>94</v>
      </c>
      <c r="E36" s="31">
        <v>454</v>
      </c>
      <c r="F36" s="31">
        <v>429</v>
      </c>
      <c r="G36" s="64">
        <v>-3.1982942430703626E-2</v>
      </c>
      <c r="H36" s="64">
        <v>-4.2410714285714288E-2</v>
      </c>
      <c r="I36" s="1">
        <v>1928</v>
      </c>
      <c r="J36" s="1">
        <v>1824</v>
      </c>
      <c r="K36" s="1">
        <v>10455</v>
      </c>
      <c r="L36" s="1">
        <v>9999</v>
      </c>
      <c r="M36" s="36">
        <v>0.85</v>
      </c>
      <c r="N36" s="36">
        <v>0.06</v>
      </c>
      <c r="O36" s="36">
        <v>0.94</v>
      </c>
      <c r="P36" s="36">
        <v>0.6</v>
      </c>
      <c r="Q36" s="36">
        <v>1</v>
      </c>
      <c r="R36" s="307">
        <v>186</v>
      </c>
      <c r="S36" s="307">
        <v>0</v>
      </c>
      <c r="T36" s="386">
        <v>5</v>
      </c>
      <c r="U36" s="345" t="str">
        <f t="shared" si="0"/>
        <v>Outlier</v>
      </c>
      <c r="V36" s="345" t="str">
        <f t="shared" si="1"/>
        <v>Outlier</v>
      </c>
      <c r="W36" s="350">
        <f t="shared" si="2"/>
        <v>-3.1982942430703626E-2</v>
      </c>
      <c r="X36" s="351">
        <f t="shared" si="3"/>
        <v>-4.2410714285714288E-2</v>
      </c>
      <c r="Y36" s="340"/>
      <c r="Z36" s="340"/>
      <c r="AA36" s="340"/>
      <c r="AB36" s="340"/>
      <c r="AC36" s="338"/>
      <c r="AD36" s="338"/>
      <c r="AE36" s="338"/>
      <c r="AF36" s="338"/>
      <c r="AG36" s="338"/>
      <c r="AH36" s="338"/>
      <c r="AI36" s="338"/>
      <c r="AJ36" s="32">
        <v>45216</v>
      </c>
      <c r="AK36" s="1">
        <v>1913</v>
      </c>
      <c r="AL36" s="94">
        <v>1798</v>
      </c>
    </row>
    <row r="37" spans="1:38">
      <c r="A37" s="21">
        <v>45052</v>
      </c>
      <c r="B37" s="17">
        <f>IF(YEAR(Table7[[#This Row],[Date]]) = 2023, WEEKNUM(Table7[[#This Row],[Date]])-13, WEEKNUM(Table7[[#This Row],[Date]])+40)</f>
        <v>5</v>
      </c>
      <c r="C37" s="9" t="s">
        <v>54</v>
      </c>
      <c r="D37" s="9" t="s">
        <v>94</v>
      </c>
      <c r="E37" s="1">
        <v>157</v>
      </c>
      <c r="F37" s="1">
        <v>151</v>
      </c>
      <c r="G37" s="64">
        <v>-9.2485549132947972E-2</v>
      </c>
      <c r="H37" s="64">
        <v>-0.10650887573964497</v>
      </c>
      <c r="I37" s="1">
        <v>2085</v>
      </c>
      <c r="J37" s="1">
        <v>1975</v>
      </c>
      <c r="K37" s="1">
        <v>10612</v>
      </c>
      <c r="L37" s="1">
        <v>10150</v>
      </c>
      <c r="M37" s="18">
        <v>0.94</v>
      </c>
      <c r="N37" s="18">
        <v>0.04</v>
      </c>
      <c r="O37" s="18">
        <v>0.96</v>
      </c>
      <c r="P37" s="18">
        <v>0.46</v>
      </c>
      <c r="Q37" s="18">
        <v>1</v>
      </c>
      <c r="R37" s="293">
        <v>191</v>
      </c>
      <c r="S37" s="293">
        <v>0</v>
      </c>
      <c r="T37" s="386">
        <v>4</v>
      </c>
      <c r="U37" s="345" t="str">
        <f t="shared" si="0"/>
        <v>Outlier</v>
      </c>
      <c r="V37" s="345" t="str">
        <f t="shared" si="1"/>
        <v>Outlier</v>
      </c>
      <c r="W37" s="350">
        <f t="shared" si="2"/>
        <v>-9.2485549132947972E-2</v>
      </c>
      <c r="X37" s="351">
        <f t="shared" si="3"/>
        <v>-0.10650887573964497</v>
      </c>
      <c r="Y37" s="340"/>
      <c r="Z37" s="340"/>
      <c r="AA37" s="340"/>
      <c r="AB37" s="340"/>
      <c r="AC37" s="338"/>
      <c r="AD37" s="338"/>
      <c r="AE37" s="338"/>
      <c r="AF37" s="338"/>
      <c r="AG37" s="338"/>
      <c r="AH37" s="338"/>
      <c r="AI37" s="338"/>
      <c r="AJ37" s="32">
        <v>45223</v>
      </c>
      <c r="AK37" s="1">
        <v>2051</v>
      </c>
      <c r="AL37" s="94">
        <v>1906</v>
      </c>
    </row>
    <row r="38" spans="1:38">
      <c r="A38" s="21">
        <v>45053</v>
      </c>
      <c r="B38" s="17">
        <f>IF(YEAR(Table7[[#This Row],[Date]]) = 2023, WEEKNUM(Table7[[#This Row],[Date]])-13, WEEKNUM(Table7[[#This Row],[Date]])+40)</f>
        <v>6</v>
      </c>
      <c r="C38" s="35" t="s">
        <v>48</v>
      </c>
      <c r="D38" s="35" t="s">
        <v>94</v>
      </c>
      <c r="E38" s="31">
        <v>0</v>
      </c>
      <c r="F38" s="31">
        <v>0</v>
      </c>
      <c r="G38" s="63">
        <v>0</v>
      </c>
      <c r="H38" s="63">
        <v>0</v>
      </c>
      <c r="I38" s="31">
        <v>0</v>
      </c>
      <c r="J38" s="31">
        <v>0</v>
      </c>
      <c r="K38" s="31">
        <v>0</v>
      </c>
      <c r="L38" s="31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07">
        <v>0</v>
      </c>
      <c r="S38" s="307">
        <v>0</v>
      </c>
      <c r="T38" s="386">
        <v>0</v>
      </c>
      <c r="U38" s="345" t="str">
        <f t="shared" si="0"/>
        <v>Normal</v>
      </c>
      <c r="V38" s="345" t="str">
        <f t="shared" si="1"/>
        <v>Normal</v>
      </c>
      <c r="W38" s="350">
        <f t="shared" si="2"/>
        <v>0</v>
      </c>
      <c r="X38" s="351">
        <f t="shared" si="3"/>
        <v>0</v>
      </c>
      <c r="Y38" s="340"/>
      <c r="Z38" s="340"/>
      <c r="AA38" s="340"/>
      <c r="AB38" s="340"/>
      <c r="AC38" s="338"/>
      <c r="AD38" s="338"/>
      <c r="AE38" s="338"/>
      <c r="AF38" s="338"/>
      <c r="AG38" s="338"/>
      <c r="AH38" s="338"/>
      <c r="AI38" s="338"/>
      <c r="AJ38" s="32">
        <v>45230</v>
      </c>
      <c r="AK38" s="1">
        <v>546</v>
      </c>
      <c r="AL38" s="94">
        <v>498</v>
      </c>
    </row>
    <row r="39" spans="1:38">
      <c r="A39" s="21">
        <v>45054</v>
      </c>
      <c r="B39" s="17">
        <f>IF(YEAR(Table7[[#This Row],[Date]]) = 2023, WEEKNUM(Table7[[#This Row],[Date]])-13, WEEKNUM(Table7[[#This Row],[Date]])+40)</f>
        <v>6</v>
      </c>
      <c r="C39" s="9" t="s">
        <v>49</v>
      </c>
      <c r="D39" s="9" t="s">
        <v>94</v>
      </c>
      <c r="E39" s="1">
        <v>429</v>
      </c>
      <c r="F39" s="1">
        <v>408</v>
      </c>
      <c r="G39" s="64">
        <v>0</v>
      </c>
      <c r="H39" s="64">
        <v>0</v>
      </c>
      <c r="I39" s="1">
        <v>2514</v>
      </c>
      <c r="J39" s="1">
        <v>2383</v>
      </c>
      <c r="K39" s="1">
        <v>11041</v>
      </c>
      <c r="L39" s="1">
        <v>10558</v>
      </c>
      <c r="M39" s="18">
        <v>0.88</v>
      </c>
      <c r="N39" s="18">
        <v>0.05</v>
      </c>
      <c r="O39" s="18">
        <v>0.95</v>
      </c>
      <c r="P39" s="18">
        <v>0.56000000000000005</v>
      </c>
      <c r="Q39" s="18">
        <v>1</v>
      </c>
      <c r="R39" s="293">
        <v>178</v>
      </c>
      <c r="S39" s="293">
        <v>0</v>
      </c>
      <c r="T39" s="386">
        <v>5</v>
      </c>
      <c r="U39" s="345" t="str">
        <f t="shared" si="0"/>
        <v>Outlier</v>
      </c>
      <c r="V39" s="345" t="str">
        <f t="shared" si="1"/>
        <v>Outlier</v>
      </c>
      <c r="W39" s="350">
        <f t="shared" si="2"/>
        <v>0</v>
      </c>
      <c r="X39" s="351">
        <f t="shared" si="3"/>
        <v>0</v>
      </c>
      <c r="Y39" s="340"/>
      <c r="Z39" s="340"/>
      <c r="AA39" s="340"/>
      <c r="AB39" s="340"/>
      <c r="AC39" s="338"/>
      <c r="AD39" s="338"/>
      <c r="AE39" s="338"/>
      <c r="AF39" s="338"/>
      <c r="AG39" s="338"/>
      <c r="AH39" s="338"/>
      <c r="AI39" s="338"/>
      <c r="AJ39" s="32">
        <v>45237</v>
      </c>
      <c r="AK39" s="1">
        <v>0</v>
      </c>
      <c r="AL39" s="94">
        <v>0</v>
      </c>
    </row>
    <row r="40" spans="1:38">
      <c r="A40" s="21">
        <v>45055</v>
      </c>
      <c r="B40" s="17">
        <f>IF(YEAR(Table7[[#This Row],[Date]]) = 2023, WEEKNUM(Table7[[#This Row],[Date]])-13, WEEKNUM(Table7[[#This Row],[Date]])+40)</f>
        <v>6</v>
      </c>
      <c r="C40" s="35" t="s">
        <v>50</v>
      </c>
      <c r="D40" s="35" t="s">
        <v>94</v>
      </c>
      <c r="E40" s="31">
        <v>453</v>
      </c>
      <c r="F40" s="31">
        <v>425</v>
      </c>
      <c r="G40" s="64">
        <v>-0.16111111111111112</v>
      </c>
      <c r="H40" s="64">
        <v>-0.169921875</v>
      </c>
      <c r="I40" s="1">
        <v>2967</v>
      </c>
      <c r="J40" s="1">
        <v>2808</v>
      </c>
      <c r="K40" s="1">
        <v>11494</v>
      </c>
      <c r="L40" s="1">
        <v>10983</v>
      </c>
      <c r="M40" s="36">
        <v>0.86</v>
      </c>
      <c r="N40" s="36">
        <v>0.06</v>
      </c>
      <c r="O40" s="36">
        <v>0.94</v>
      </c>
      <c r="P40" s="36">
        <v>0.62</v>
      </c>
      <c r="Q40" s="36">
        <v>1</v>
      </c>
      <c r="R40" s="307">
        <v>184</v>
      </c>
      <c r="S40" s="307">
        <v>0</v>
      </c>
      <c r="T40" s="386">
        <v>5</v>
      </c>
      <c r="U40" s="345" t="str">
        <f t="shared" si="0"/>
        <v>Outlier</v>
      </c>
      <c r="V40" s="345" t="str">
        <f t="shared" si="1"/>
        <v>Outlier</v>
      </c>
      <c r="W40" s="350">
        <f t="shared" si="2"/>
        <v>-0.16111111111111112</v>
      </c>
      <c r="X40" s="351">
        <f t="shared" si="3"/>
        <v>-0.169921875</v>
      </c>
      <c r="Y40" s="340"/>
      <c r="Z40" s="340"/>
      <c r="AA40" s="340"/>
      <c r="AB40" s="340"/>
      <c r="AC40" s="338"/>
      <c r="AD40" s="338"/>
      <c r="AE40" s="338"/>
      <c r="AF40" s="338"/>
      <c r="AG40" s="338"/>
      <c r="AH40" s="338"/>
      <c r="AI40" s="338"/>
      <c r="AJ40" s="32">
        <v>45244</v>
      </c>
      <c r="AK40" s="1">
        <v>0</v>
      </c>
      <c r="AL40" s="94">
        <v>0</v>
      </c>
    </row>
    <row r="41" spans="1:38">
      <c r="A41" s="21">
        <v>45056</v>
      </c>
      <c r="B41" s="17">
        <f>IF(YEAR(Table7[[#This Row],[Date]]) = 2023, WEEKNUM(Table7[[#This Row],[Date]])-13, WEEKNUM(Table7[[#This Row],[Date]])+40)</f>
        <v>6</v>
      </c>
      <c r="C41" s="9" t="s">
        <v>51</v>
      </c>
      <c r="D41" s="9" t="s">
        <v>94</v>
      </c>
      <c r="E41" s="1">
        <v>442</v>
      </c>
      <c r="F41" s="1">
        <v>420</v>
      </c>
      <c r="G41" s="64">
        <v>-8.6776859504132234E-2</v>
      </c>
      <c r="H41" s="64">
        <v>-8.0962800875273522E-2</v>
      </c>
      <c r="I41" s="1">
        <v>3409</v>
      </c>
      <c r="J41" s="1">
        <v>3228</v>
      </c>
      <c r="K41" s="1">
        <v>11936</v>
      </c>
      <c r="L41" s="1">
        <v>11403</v>
      </c>
      <c r="M41" s="18">
        <v>0.89</v>
      </c>
      <c r="N41" s="18">
        <v>0.05</v>
      </c>
      <c r="O41" s="18">
        <v>0.95</v>
      </c>
      <c r="P41" s="18">
        <v>0.61</v>
      </c>
      <c r="Q41" s="18">
        <v>1</v>
      </c>
      <c r="R41" s="293">
        <v>198</v>
      </c>
      <c r="S41" s="293">
        <v>0</v>
      </c>
      <c r="T41" s="386">
        <v>5</v>
      </c>
      <c r="U41" s="345" t="str">
        <f t="shared" si="0"/>
        <v>Outlier</v>
      </c>
      <c r="V41" s="345" t="str">
        <f t="shared" si="1"/>
        <v>Outlier</v>
      </c>
      <c r="W41" s="350">
        <f t="shared" si="2"/>
        <v>-8.6776859504132234E-2</v>
      </c>
      <c r="X41" s="351">
        <f t="shared" si="3"/>
        <v>-8.0962800875273522E-2</v>
      </c>
      <c r="Y41" s="340"/>
      <c r="Z41" s="340"/>
      <c r="AA41" s="340"/>
      <c r="AB41" s="340"/>
      <c r="AC41" s="338"/>
      <c r="AD41" s="338"/>
      <c r="AE41" s="338"/>
      <c r="AF41" s="338"/>
      <c r="AG41" s="338"/>
      <c r="AH41" s="338"/>
      <c r="AI41" s="338"/>
      <c r="AJ41" s="32">
        <v>45251</v>
      </c>
      <c r="AK41" s="1">
        <v>0</v>
      </c>
      <c r="AL41" s="94">
        <v>0</v>
      </c>
    </row>
    <row r="42" spans="1:38">
      <c r="A42" s="21">
        <v>45057</v>
      </c>
      <c r="B42" s="17">
        <f>IF(YEAR(Table7[[#This Row],[Date]]) = 2023, WEEKNUM(Table7[[#This Row],[Date]])-13, WEEKNUM(Table7[[#This Row],[Date]])+40)</f>
        <v>6</v>
      </c>
      <c r="C42" s="35" t="s">
        <v>52</v>
      </c>
      <c r="D42" s="35" t="s">
        <v>94</v>
      </c>
      <c r="E42" s="31">
        <v>365</v>
      </c>
      <c r="F42" s="31">
        <v>352</v>
      </c>
      <c r="G42" s="64">
        <v>-0.18888888888888888</v>
      </c>
      <c r="H42" s="64">
        <v>-0.17370892018779344</v>
      </c>
      <c r="I42" s="1">
        <v>3774</v>
      </c>
      <c r="J42" s="1">
        <v>3580</v>
      </c>
      <c r="K42" s="1">
        <v>12301</v>
      </c>
      <c r="L42" s="1">
        <v>11755</v>
      </c>
      <c r="M42" s="36">
        <v>0.96</v>
      </c>
      <c r="N42" s="36">
        <v>0.04</v>
      </c>
      <c r="O42" s="36">
        <v>0.96</v>
      </c>
      <c r="P42" s="36">
        <v>0.5</v>
      </c>
      <c r="Q42" s="36">
        <v>1</v>
      </c>
      <c r="R42" s="307">
        <v>167</v>
      </c>
      <c r="S42" s="307">
        <v>0</v>
      </c>
      <c r="T42" s="386">
        <v>4</v>
      </c>
      <c r="U42" s="345" t="str">
        <f t="shared" si="0"/>
        <v>Outlier</v>
      </c>
      <c r="V42" s="345" t="str">
        <f t="shared" si="1"/>
        <v>Outlier</v>
      </c>
      <c r="W42" s="350">
        <f t="shared" si="2"/>
        <v>-0.18888888888888888</v>
      </c>
      <c r="X42" s="351">
        <f t="shared" si="3"/>
        <v>-0.17370892018779344</v>
      </c>
      <c r="Y42" s="340"/>
      <c r="Z42" s="340"/>
      <c r="AA42" s="340"/>
      <c r="AB42" s="340"/>
      <c r="AC42" s="338"/>
      <c r="AD42" s="338"/>
      <c r="AE42" s="338"/>
      <c r="AF42" s="338"/>
      <c r="AG42" s="338"/>
      <c r="AH42" s="338"/>
      <c r="AI42" s="338"/>
      <c r="AJ42" s="32">
        <v>45258</v>
      </c>
      <c r="AK42" s="1">
        <v>0</v>
      </c>
      <c r="AL42" s="94">
        <v>0</v>
      </c>
    </row>
    <row r="43" spans="1:38">
      <c r="A43" s="21">
        <v>45058</v>
      </c>
      <c r="B43" s="17">
        <f>IF(YEAR(Table7[[#This Row],[Date]]) = 2023, WEEKNUM(Table7[[#This Row],[Date]])-13, WEEKNUM(Table7[[#This Row],[Date]])+40)</f>
        <v>6</v>
      </c>
      <c r="C43" s="9" t="s">
        <v>53</v>
      </c>
      <c r="D43" s="9" t="s">
        <v>94</v>
      </c>
      <c r="E43" s="1">
        <v>402</v>
      </c>
      <c r="F43" s="1">
        <v>390</v>
      </c>
      <c r="G43" s="64">
        <v>-0.11453744493392071</v>
      </c>
      <c r="H43" s="64">
        <v>-9.0909090909090912E-2</v>
      </c>
      <c r="I43" s="1">
        <v>4176</v>
      </c>
      <c r="J43" s="1">
        <v>3970</v>
      </c>
      <c r="K43" s="1">
        <v>12703</v>
      </c>
      <c r="L43" s="1">
        <v>12145</v>
      </c>
      <c r="M43" s="18">
        <v>0.93</v>
      </c>
      <c r="N43" s="18">
        <v>0.03</v>
      </c>
      <c r="O43" s="18">
        <v>0.97</v>
      </c>
      <c r="P43" s="18">
        <v>0.56999999999999995</v>
      </c>
      <c r="Q43" s="18">
        <v>1</v>
      </c>
      <c r="R43" s="293">
        <v>175</v>
      </c>
      <c r="S43" s="293">
        <v>0</v>
      </c>
      <c r="T43" s="386">
        <v>4</v>
      </c>
      <c r="U43" s="345" t="str">
        <f t="shared" si="0"/>
        <v>Outlier</v>
      </c>
      <c r="V43" s="345" t="str">
        <f t="shared" si="1"/>
        <v>Outlier</v>
      </c>
      <c r="W43" s="350">
        <f t="shared" si="2"/>
        <v>-0.11453744493392071</v>
      </c>
      <c r="X43" s="351">
        <f t="shared" si="3"/>
        <v>-9.0909090909090912E-2</v>
      </c>
      <c r="Y43" s="340"/>
      <c r="Z43" s="340"/>
      <c r="AA43" s="340"/>
      <c r="AB43" s="340"/>
      <c r="AC43" s="338"/>
      <c r="AD43" s="338"/>
      <c r="AE43" s="338"/>
      <c r="AF43" s="338"/>
      <c r="AG43" s="338"/>
      <c r="AH43" s="338"/>
      <c r="AI43" s="338"/>
      <c r="AJ43" s="32">
        <v>45265</v>
      </c>
      <c r="AK43" s="1">
        <v>0</v>
      </c>
      <c r="AL43" s="94">
        <v>0</v>
      </c>
    </row>
    <row r="44" spans="1:38">
      <c r="A44" s="21">
        <v>45059</v>
      </c>
      <c r="B44" s="17">
        <f>IF(YEAR(Table7[[#This Row],[Date]]) = 2023, WEEKNUM(Table7[[#This Row],[Date]])-13, WEEKNUM(Table7[[#This Row],[Date]])+40)</f>
        <v>6</v>
      </c>
      <c r="C44" s="35" t="s">
        <v>54</v>
      </c>
      <c r="D44" s="35" t="s">
        <v>94</v>
      </c>
      <c r="E44" s="31">
        <v>158</v>
      </c>
      <c r="F44" s="31">
        <v>150</v>
      </c>
      <c r="G44" s="64">
        <v>6.369426751592357E-3</v>
      </c>
      <c r="H44" s="64">
        <v>-6.6225165562913907E-3</v>
      </c>
      <c r="I44" s="1">
        <v>4334</v>
      </c>
      <c r="J44" s="1">
        <v>4120</v>
      </c>
      <c r="K44" s="1">
        <v>12861</v>
      </c>
      <c r="L44" s="1">
        <v>12295</v>
      </c>
      <c r="M44" s="36">
        <v>0.92</v>
      </c>
      <c r="N44" s="36">
        <v>0.05</v>
      </c>
      <c r="O44" s="36">
        <v>0.95</v>
      </c>
      <c r="P44" s="36">
        <v>0.47</v>
      </c>
      <c r="Q44" s="36">
        <v>1</v>
      </c>
      <c r="R44" s="307">
        <v>194</v>
      </c>
      <c r="S44" s="307">
        <v>0</v>
      </c>
      <c r="T44" s="386">
        <v>4</v>
      </c>
      <c r="U44" s="345" t="str">
        <f t="shared" si="0"/>
        <v>Outlier</v>
      </c>
      <c r="V44" s="345" t="str">
        <f t="shared" si="1"/>
        <v>Outlier</v>
      </c>
      <c r="W44" s="350">
        <f t="shared" si="2"/>
        <v>6.369426751592357E-3</v>
      </c>
      <c r="X44" s="351">
        <f t="shared" si="3"/>
        <v>-6.6225165562913907E-3</v>
      </c>
      <c r="Y44" s="340"/>
      <c r="Z44" s="340"/>
      <c r="AA44" s="340"/>
      <c r="AB44" s="340"/>
      <c r="AC44" s="338"/>
      <c r="AD44" s="338"/>
      <c r="AE44" s="338"/>
      <c r="AF44" s="338"/>
      <c r="AG44" s="338"/>
      <c r="AH44" s="338"/>
      <c r="AI44" s="338"/>
      <c r="AJ44" s="32">
        <v>45272</v>
      </c>
      <c r="AK44" s="1">
        <v>0</v>
      </c>
      <c r="AL44" s="94">
        <v>0</v>
      </c>
    </row>
    <row r="45" spans="1:38">
      <c r="A45" s="21">
        <v>45060</v>
      </c>
      <c r="B45" s="17">
        <f>IF(YEAR(Table7[[#This Row],[Date]]) = 2023, WEEKNUM(Table7[[#This Row],[Date]])-13, WEEKNUM(Table7[[#This Row],[Date]])+40)</f>
        <v>7</v>
      </c>
      <c r="C45" s="9" t="s">
        <v>48</v>
      </c>
      <c r="D45" s="9" t="s">
        <v>94</v>
      </c>
      <c r="E45" s="1">
        <v>0</v>
      </c>
      <c r="F45" s="1">
        <v>0</v>
      </c>
      <c r="G45" s="64">
        <v>0</v>
      </c>
      <c r="H45" s="64">
        <v>0</v>
      </c>
      <c r="I45" s="1">
        <v>0</v>
      </c>
      <c r="J45" s="1">
        <v>0</v>
      </c>
      <c r="K45" s="1">
        <v>0</v>
      </c>
      <c r="L45" s="1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293">
        <v>0</v>
      </c>
      <c r="S45" s="293">
        <v>0</v>
      </c>
      <c r="T45" s="386">
        <v>0</v>
      </c>
      <c r="U45" s="345" t="str">
        <f t="shared" si="0"/>
        <v>Normal</v>
      </c>
      <c r="V45" s="345" t="str">
        <f t="shared" si="1"/>
        <v>Normal</v>
      </c>
      <c r="W45" s="350">
        <f t="shared" si="2"/>
        <v>0</v>
      </c>
      <c r="X45" s="351">
        <f t="shared" si="3"/>
        <v>0</v>
      </c>
      <c r="Y45" s="340"/>
      <c r="Z45" s="340"/>
      <c r="AA45" s="340"/>
      <c r="AB45" s="340"/>
      <c r="AC45" s="338"/>
      <c r="AD45" s="338"/>
      <c r="AE45" s="338"/>
      <c r="AF45" s="338"/>
      <c r="AG45" s="338"/>
      <c r="AH45" s="338"/>
      <c r="AI45" s="338"/>
      <c r="AJ45" s="32">
        <v>45279</v>
      </c>
      <c r="AK45" s="1">
        <v>0</v>
      </c>
      <c r="AL45" s="94">
        <v>0</v>
      </c>
    </row>
    <row r="46" spans="1:38">
      <c r="A46" s="21">
        <v>45061</v>
      </c>
      <c r="B46" s="17">
        <f>IF(YEAR(Table7[[#This Row],[Date]]) = 2023, WEEKNUM(Table7[[#This Row],[Date]])-13, WEEKNUM(Table7[[#This Row],[Date]])+40)</f>
        <v>7</v>
      </c>
      <c r="C46" s="35" t="s">
        <v>49</v>
      </c>
      <c r="D46" s="35" t="s">
        <v>94</v>
      </c>
      <c r="E46" s="31">
        <v>466</v>
      </c>
      <c r="F46" s="31">
        <v>450</v>
      </c>
      <c r="G46" s="64">
        <v>8.6247086247086241E-2</v>
      </c>
      <c r="H46" s="64">
        <v>0.10294117647058823</v>
      </c>
      <c r="I46" s="1">
        <v>4800</v>
      </c>
      <c r="J46" s="1">
        <v>4570</v>
      </c>
      <c r="K46" s="1">
        <v>13327</v>
      </c>
      <c r="L46" s="1">
        <v>12745</v>
      </c>
      <c r="M46" s="36">
        <v>0.9</v>
      </c>
      <c r="N46" s="36">
        <v>0.03</v>
      </c>
      <c r="O46" s="36">
        <v>0.97</v>
      </c>
      <c r="P46" s="36">
        <v>0.55000000000000004</v>
      </c>
      <c r="Q46" s="36">
        <v>1</v>
      </c>
      <c r="R46" s="307">
        <v>198</v>
      </c>
      <c r="S46" s="307">
        <v>0</v>
      </c>
      <c r="T46" s="386">
        <v>5</v>
      </c>
      <c r="U46" s="345" t="str">
        <f t="shared" si="0"/>
        <v>Outlier</v>
      </c>
      <c r="V46" s="345" t="str">
        <f t="shared" si="1"/>
        <v>Outlier</v>
      </c>
      <c r="W46" s="350">
        <f t="shared" si="2"/>
        <v>8.6247086247086241E-2</v>
      </c>
      <c r="X46" s="351">
        <f t="shared" si="3"/>
        <v>0.10294117647058823</v>
      </c>
      <c r="Y46" s="340"/>
      <c r="Z46" s="340"/>
      <c r="AA46" s="340"/>
      <c r="AB46" s="340"/>
      <c r="AC46" s="338"/>
      <c r="AD46" s="338"/>
      <c r="AE46" s="338"/>
      <c r="AF46" s="338"/>
      <c r="AG46" s="338"/>
      <c r="AH46" s="338"/>
      <c r="AI46" s="338"/>
      <c r="AJ46" s="32">
        <v>45286</v>
      </c>
      <c r="AK46" s="1">
        <v>0</v>
      </c>
      <c r="AL46" s="94">
        <v>0</v>
      </c>
    </row>
    <row r="47" spans="1:38">
      <c r="A47" s="21">
        <v>45062</v>
      </c>
      <c r="B47" s="17">
        <f>IF(YEAR(Table7[[#This Row],[Date]]) = 2023, WEEKNUM(Table7[[#This Row],[Date]])-13, WEEKNUM(Table7[[#This Row],[Date]])+40)</f>
        <v>7</v>
      </c>
      <c r="C47" s="9" t="s">
        <v>50</v>
      </c>
      <c r="D47" s="9" t="s">
        <v>94</v>
      </c>
      <c r="E47" s="1">
        <v>406</v>
      </c>
      <c r="F47" s="1">
        <v>390</v>
      </c>
      <c r="G47" s="64">
        <v>-0.10375275938189846</v>
      </c>
      <c r="H47" s="64">
        <v>-8.2352941176470587E-2</v>
      </c>
      <c r="I47" s="1">
        <v>5206</v>
      </c>
      <c r="J47" s="1">
        <v>4960</v>
      </c>
      <c r="K47" s="1">
        <v>13733</v>
      </c>
      <c r="L47" s="1">
        <v>13135</v>
      </c>
      <c r="M47" s="18">
        <v>0.92</v>
      </c>
      <c r="N47" s="18">
        <v>0.04</v>
      </c>
      <c r="O47" s="18">
        <v>0.96</v>
      </c>
      <c r="P47" s="18">
        <v>0.56999999999999995</v>
      </c>
      <c r="Q47" s="18">
        <v>1</v>
      </c>
      <c r="R47" s="293">
        <v>187</v>
      </c>
      <c r="S47" s="293">
        <v>0</v>
      </c>
      <c r="T47" s="386">
        <v>5</v>
      </c>
      <c r="U47" s="345" t="str">
        <f t="shared" si="0"/>
        <v>Outlier</v>
      </c>
      <c r="V47" s="345" t="str">
        <f t="shared" si="1"/>
        <v>Outlier</v>
      </c>
      <c r="W47" s="350">
        <f t="shared" si="2"/>
        <v>-0.10375275938189846</v>
      </c>
      <c r="X47" s="351">
        <f t="shared" si="3"/>
        <v>-8.2352941176470587E-2</v>
      </c>
      <c r="Y47" s="340"/>
      <c r="Z47" s="340"/>
      <c r="AA47" s="340"/>
      <c r="AB47" s="340"/>
      <c r="AC47" s="338"/>
      <c r="AD47" s="338"/>
      <c r="AE47" s="338"/>
      <c r="AF47" s="338"/>
      <c r="AG47" s="338"/>
      <c r="AH47" s="338"/>
      <c r="AI47" s="338"/>
      <c r="AJ47" s="32">
        <v>45293</v>
      </c>
      <c r="AK47" s="1">
        <v>0</v>
      </c>
      <c r="AL47" s="94">
        <v>0</v>
      </c>
    </row>
    <row r="48" spans="1:38">
      <c r="A48" s="21">
        <v>45063</v>
      </c>
      <c r="B48" s="17">
        <f>IF(YEAR(Table7[[#This Row],[Date]]) = 2023, WEEKNUM(Table7[[#This Row],[Date]])-13, WEEKNUM(Table7[[#This Row],[Date]])+40)</f>
        <v>7</v>
      </c>
      <c r="C48" s="35" t="s">
        <v>51</v>
      </c>
      <c r="D48" s="35" t="s">
        <v>94</v>
      </c>
      <c r="E48" s="31">
        <v>416</v>
      </c>
      <c r="F48" s="31">
        <v>397</v>
      </c>
      <c r="G48" s="64">
        <v>-5.8823529411764705E-2</v>
      </c>
      <c r="H48" s="64">
        <v>-5.4761904761904762E-2</v>
      </c>
      <c r="I48" s="1">
        <v>5622</v>
      </c>
      <c r="J48" s="1">
        <v>5357</v>
      </c>
      <c r="K48" s="1">
        <v>14149</v>
      </c>
      <c r="L48" s="1">
        <v>13532</v>
      </c>
      <c r="M48" s="36">
        <v>0.91</v>
      </c>
      <c r="N48" s="36">
        <v>0.05</v>
      </c>
      <c r="O48" s="36">
        <v>0.95</v>
      </c>
      <c r="P48" s="36">
        <v>0.47</v>
      </c>
      <c r="Q48" s="36">
        <v>1</v>
      </c>
      <c r="R48" s="307">
        <v>177</v>
      </c>
      <c r="S48" s="307">
        <v>0</v>
      </c>
      <c r="T48" s="386">
        <v>5</v>
      </c>
      <c r="U48" s="345" t="str">
        <f t="shared" si="0"/>
        <v>Outlier</v>
      </c>
      <c r="V48" s="345" t="str">
        <f t="shared" si="1"/>
        <v>Outlier</v>
      </c>
      <c r="W48" s="350">
        <f t="shared" si="2"/>
        <v>-5.8823529411764705E-2</v>
      </c>
      <c r="X48" s="351">
        <f t="shared" si="3"/>
        <v>-5.4761904761904762E-2</v>
      </c>
      <c r="Y48" s="340"/>
      <c r="Z48" s="340"/>
      <c r="AA48" s="340"/>
      <c r="AB48" s="340"/>
      <c r="AC48" s="338"/>
      <c r="AD48" s="338"/>
      <c r="AE48" s="338"/>
      <c r="AF48" s="338"/>
      <c r="AG48" s="338"/>
      <c r="AH48" s="338"/>
      <c r="AI48" s="338"/>
      <c r="AJ48" s="32">
        <v>45300</v>
      </c>
      <c r="AK48" s="1">
        <v>0</v>
      </c>
      <c r="AL48" s="94">
        <v>0</v>
      </c>
    </row>
    <row r="49" spans="1:38">
      <c r="A49" s="21">
        <v>45064</v>
      </c>
      <c r="B49" s="17">
        <f>IF(YEAR(Table7[[#This Row],[Date]]) = 2023, WEEKNUM(Table7[[#This Row],[Date]])-13, WEEKNUM(Table7[[#This Row],[Date]])+40)</f>
        <v>7</v>
      </c>
      <c r="C49" s="9" t="s">
        <v>52</v>
      </c>
      <c r="D49" s="9" t="s">
        <v>94</v>
      </c>
      <c r="E49" s="1">
        <v>366</v>
      </c>
      <c r="F49" s="1">
        <v>353</v>
      </c>
      <c r="G49" s="64">
        <v>2.7397260273972599E-3</v>
      </c>
      <c r="H49" s="64">
        <v>2.840909090909091E-3</v>
      </c>
      <c r="I49" s="1">
        <v>5988</v>
      </c>
      <c r="J49" s="1">
        <v>5710</v>
      </c>
      <c r="K49" s="1">
        <v>14515</v>
      </c>
      <c r="L49" s="1">
        <v>13885</v>
      </c>
      <c r="M49" s="18">
        <v>0.93</v>
      </c>
      <c r="N49" s="18">
        <v>0.04</v>
      </c>
      <c r="O49" s="18">
        <v>0.96</v>
      </c>
      <c r="P49" s="18">
        <v>0.5</v>
      </c>
      <c r="Q49" s="18">
        <v>1</v>
      </c>
      <c r="R49" s="293">
        <v>188</v>
      </c>
      <c r="S49" s="293">
        <v>0</v>
      </c>
      <c r="T49" s="386">
        <v>5</v>
      </c>
      <c r="U49" s="345" t="str">
        <f t="shared" si="0"/>
        <v>Outlier</v>
      </c>
      <c r="V49" s="345" t="str">
        <f t="shared" si="1"/>
        <v>Outlier</v>
      </c>
      <c r="W49" s="350">
        <f t="shared" si="2"/>
        <v>2.7397260273972599E-3</v>
      </c>
      <c r="X49" s="351">
        <f t="shared" si="3"/>
        <v>2.840909090909091E-3</v>
      </c>
      <c r="Y49" s="340"/>
      <c r="Z49" s="340"/>
      <c r="AA49" s="340"/>
      <c r="AB49" s="340"/>
      <c r="AC49" s="338"/>
      <c r="AD49" s="338"/>
      <c r="AE49" s="338"/>
      <c r="AF49" s="338"/>
      <c r="AG49" s="338"/>
      <c r="AH49" s="338"/>
      <c r="AI49" s="338"/>
      <c r="AJ49" s="32">
        <v>45307</v>
      </c>
      <c r="AK49" s="1">
        <v>0</v>
      </c>
      <c r="AL49" s="94">
        <v>0</v>
      </c>
    </row>
    <row r="50" spans="1:38">
      <c r="A50" s="21">
        <v>45065</v>
      </c>
      <c r="B50" s="17">
        <f>IF(YEAR(Table7[[#This Row],[Date]]) = 2023, WEEKNUM(Table7[[#This Row],[Date]])-13, WEEKNUM(Table7[[#This Row],[Date]])+40)</f>
        <v>7</v>
      </c>
      <c r="C50" s="35" t="s">
        <v>53</v>
      </c>
      <c r="D50" s="35" t="s">
        <v>94</v>
      </c>
      <c r="E50" s="31">
        <v>377</v>
      </c>
      <c r="F50" s="31">
        <v>359</v>
      </c>
      <c r="G50" s="64">
        <v>-6.2189054726368161E-2</v>
      </c>
      <c r="H50" s="64">
        <v>-7.9487179487179482E-2</v>
      </c>
      <c r="I50" s="1">
        <v>6365</v>
      </c>
      <c r="J50" s="1">
        <v>6069</v>
      </c>
      <c r="K50" s="1">
        <v>14892</v>
      </c>
      <c r="L50" s="1">
        <v>14244</v>
      </c>
      <c r="M50" s="36">
        <v>0.92</v>
      </c>
      <c r="N50" s="36">
        <v>0.05</v>
      </c>
      <c r="O50" s="36">
        <v>0.95</v>
      </c>
      <c r="P50" s="36">
        <v>0.63</v>
      </c>
      <c r="Q50" s="36">
        <v>1</v>
      </c>
      <c r="R50" s="307">
        <v>183</v>
      </c>
      <c r="S50" s="307">
        <v>0</v>
      </c>
      <c r="T50" s="386">
        <v>5</v>
      </c>
      <c r="U50" s="345" t="str">
        <f t="shared" si="0"/>
        <v>Outlier</v>
      </c>
      <c r="V50" s="345" t="str">
        <f t="shared" si="1"/>
        <v>Outlier</v>
      </c>
      <c r="W50" s="350">
        <f t="shared" si="2"/>
        <v>-6.2189054726368161E-2</v>
      </c>
      <c r="X50" s="351">
        <f t="shared" si="3"/>
        <v>-7.9487179487179482E-2</v>
      </c>
      <c r="Y50" s="340"/>
      <c r="Z50" s="340"/>
      <c r="AA50" s="340"/>
      <c r="AB50" s="340"/>
      <c r="AC50" s="338"/>
      <c r="AD50" s="338"/>
      <c r="AE50" s="338"/>
      <c r="AF50" s="338"/>
      <c r="AG50" s="338"/>
      <c r="AH50" s="338"/>
      <c r="AI50" s="338"/>
      <c r="AJ50" s="32">
        <v>45314</v>
      </c>
      <c r="AK50" s="1">
        <v>0</v>
      </c>
      <c r="AL50" s="94">
        <v>0</v>
      </c>
    </row>
    <row r="51" spans="1:38">
      <c r="A51" s="21">
        <v>45066</v>
      </c>
      <c r="B51" s="17">
        <f>IF(YEAR(Table7[[#This Row],[Date]]) = 2023, WEEKNUM(Table7[[#This Row],[Date]])-13, WEEKNUM(Table7[[#This Row],[Date]])+40)</f>
        <v>7</v>
      </c>
      <c r="C51" s="9" t="s">
        <v>54</v>
      </c>
      <c r="D51" s="9" t="s">
        <v>94</v>
      </c>
      <c r="E51" s="1">
        <v>135</v>
      </c>
      <c r="F51" s="1">
        <v>132</v>
      </c>
      <c r="G51" s="64">
        <v>-0.14556962025316456</v>
      </c>
      <c r="H51" s="64">
        <v>-0.12</v>
      </c>
      <c r="I51" s="1">
        <v>6500</v>
      </c>
      <c r="J51" s="1">
        <v>6201</v>
      </c>
      <c r="K51" s="1">
        <v>15027</v>
      </c>
      <c r="L51" s="1">
        <v>14376</v>
      </c>
      <c r="M51" s="18">
        <v>0.95</v>
      </c>
      <c r="N51" s="18">
        <v>0.02</v>
      </c>
      <c r="O51" s="18">
        <v>0.98</v>
      </c>
      <c r="P51" s="18">
        <v>0.43</v>
      </c>
      <c r="Q51" s="18">
        <v>1</v>
      </c>
      <c r="R51" s="293">
        <v>167</v>
      </c>
      <c r="S51" s="293">
        <v>0</v>
      </c>
      <c r="T51" s="386">
        <v>5</v>
      </c>
      <c r="U51" s="345" t="str">
        <f t="shared" si="0"/>
        <v>Outlier</v>
      </c>
      <c r="V51" s="345" t="str">
        <f t="shared" si="1"/>
        <v>Outlier</v>
      </c>
      <c r="W51" s="350">
        <f t="shared" si="2"/>
        <v>-0.14556962025316456</v>
      </c>
      <c r="X51" s="351">
        <f t="shared" si="3"/>
        <v>-0.12</v>
      </c>
      <c r="Y51" s="340"/>
      <c r="Z51" s="340"/>
      <c r="AA51" s="340"/>
      <c r="AB51" s="340"/>
      <c r="AC51" s="338"/>
      <c r="AD51" s="338"/>
      <c r="AE51" s="338"/>
      <c r="AF51" s="338"/>
      <c r="AG51" s="338"/>
      <c r="AH51" s="338"/>
      <c r="AI51" s="338"/>
      <c r="AJ51" s="32">
        <v>45321</v>
      </c>
      <c r="AK51" s="1">
        <v>0</v>
      </c>
      <c r="AL51" s="94">
        <v>0</v>
      </c>
    </row>
    <row r="52" spans="1:38">
      <c r="A52" s="21">
        <v>45067</v>
      </c>
      <c r="B52" s="17">
        <f>IF(YEAR(Table7[[#This Row],[Date]]) = 2023, WEEKNUM(Table7[[#This Row],[Date]])-13, WEEKNUM(Table7[[#This Row],[Date]])+40)</f>
        <v>8</v>
      </c>
      <c r="C52" s="35" t="s">
        <v>48</v>
      </c>
      <c r="D52" s="35" t="s">
        <v>94</v>
      </c>
      <c r="E52" s="31">
        <v>0</v>
      </c>
      <c r="F52" s="31">
        <v>0</v>
      </c>
      <c r="G52" s="63">
        <v>0</v>
      </c>
      <c r="H52" s="63">
        <v>0</v>
      </c>
      <c r="I52" s="31">
        <v>0</v>
      </c>
      <c r="J52" s="31">
        <v>0</v>
      </c>
      <c r="K52" s="31">
        <v>0</v>
      </c>
      <c r="L52" s="31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07">
        <v>0</v>
      </c>
      <c r="S52" s="307">
        <v>0</v>
      </c>
      <c r="T52" s="386">
        <v>0</v>
      </c>
      <c r="U52" s="345" t="str">
        <f t="shared" si="0"/>
        <v>Normal</v>
      </c>
      <c r="V52" s="345" t="str">
        <f t="shared" si="1"/>
        <v>Normal</v>
      </c>
      <c r="W52" s="350">
        <f t="shared" si="2"/>
        <v>0</v>
      </c>
      <c r="X52" s="351">
        <f t="shared" si="3"/>
        <v>0</v>
      </c>
      <c r="Y52" s="340"/>
      <c r="Z52" s="340"/>
      <c r="AA52" s="340"/>
      <c r="AB52" s="340"/>
      <c r="AC52" s="338"/>
      <c r="AD52" s="338"/>
      <c r="AE52" s="338"/>
      <c r="AF52" s="338"/>
      <c r="AG52" s="338"/>
      <c r="AH52" s="338"/>
      <c r="AI52" s="338"/>
      <c r="AJ52" s="32">
        <v>45328</v>
      </c>
      <c r="AK52" s="1">
        <v>0</v>
      </c>
      <c r="AL52" s="94">
        <v>0</v>
      </c>
    </row>
    <row r="53" spans="1:38">
      <c r="A53" s="21">
        <v>45068</v>
      </c>
      <c r="B53" s="17">
        <f>IF(YEAR(Table7[[#This Row],[Date]]) = 2023, WEEKNUM(Table7[[#This Row],[Date]])-13, WEEKNUM(Table7[[#This Row],[Date]])+40)</f>
        <v>8</v>
      </c>
      <c r="C53" s="9" t="s">
        <v>49</v>
      </c>
      <c r="D53" s="9" t="s">
        <v>94</v>
      </c>
      <c r="E53" s="1">
        <v>436</v>
      </c>
      <c r="F53" s="1">
        <v>417</v>
      </c>
      <c r="G53" s="64">
        <v>-6.4377682403433473E-2</v>
      </c>
      <c r="H53" s="64">
        <v>-7.3333333333333334E-2</v>
      </c>
      <c r="I53" s="1">
        <v>6936</v>
      </c>
      <c r="J53" s="1">
        <v>6618</v>
      </c>
      <c r="K53" s="1">
        <v>15463</v>
      </c>
      <c r="L53" s="1">
        <v>14793</v>
      </c>
      <c r="M53" s="18">
        <v>0.87</v>
      </c>
      <c r="N53" s="18">
        <v>0.05</v>
      </c>
      <c r="O53" s="18">
        <v>0.95</v>
      </c>
      <c r="P53" s="18">
        <v>0.3</v>
      </c>
      <c r="Q53" s="18">
        <v>1</v>
      </c>
      <c r="R53" s="293">
        <v>185</v>
      </c>
      <c r="S53" s="293">
        <v>0</v>
      </c>
      <c r="T53" s="386">
        <v>5</v>
      </c>
      <c r="U53" s="345" t="str">
        <f t="shared" si="0"/>
        <v>Outlier</v>
      </c>
      <c r="V53" s="345" t="str">
        <f t="shared" si="1"/>
        <v>Outlier</v>
      </c>
      <c r="W53" s="350">
        <f t="shared" si="2"/>
        <v>-6.4377682403433473E-2</v>
      </c>
      <c r="X53" s="351">
        <f t="shared" si="3"/>
        <v>-7.3333333333333334E-2</v>
      </c>
      <c r="Y53" s="340"/>
      <c r="Z53" s="340"/>
      <c r="AA53" s="340"/>
      <c r="AB53" s="340"/>
      <c r="AC53" s="338"/>
      <c r="AD53" s="338"/>
      <c r="AE53" s="338"/>
      <c r="AF53" s="338"/>
      <c r="AG53" s="338"/>
      <c r="AH53" s="338"/>
      <c r="AI53" s="338"/>
      <c r="AJ53" s="32">
        <v>45335</v>
      </c>
      <c r="AK53" s="1">
        <v>0</v>
      </c>
      <c r="AL53" s="94">
        <v>0</v>
      </c>
    </row>
    <row r="54" spans="1:38">
      <c r="A54" s="21">
        <v>45069</v>
      </c>
      <c r="B54" s="17">
        <f>IF(YEAR(Table7[[#This Row],[Date]]) = 2023, WEEKNUM(Table7[[#This Row],[Date]])-13, WEEKNUM(Table7[[#This Row],[Date]])+40)</f>
        <v>8</v>
      </c>
      <c r="C54" s="35" t="s">
        <v>50</v>
      </c>
      <c r="D54" s="35" t="s">
        <v>94</v>
      </c>
      <c r="E54" s="31">
        <v>475</v>
      </c>
      <c r="F54" s="31">
        <v>448</v>
      </c>
      <c r="G54" s="64">
        <v>0.16995073891625614</v>
      </c>
      <c r="H54" s="64">
        <v>0.14871794871794872</v>
      </c>
      <c r="I54" s="1">
        <v>7411</v>
      </c>
      <c r="J54" s="1">
        <v>7066</v>
      </c>
      <c r="K54" s="1">
        <v>15938</v>
      </c>
      <c r="L54" s="1">
        <v>15241</v>
      </c>
      <c r="M54" s="36">
        <v>0.83</v>
      </c>
      <c r="N54" s="36">
        <v>0.06</v>
      </c>
      <c r="O54" s="36">
        <v>0.94</v>
      </c>
      <c r="P54" s="36">
        <v>0.68</v>
      </c>
      <c r="Q54" s="36">
        <v>1</v>
      </c>
      <c r="R54" s="307">
        <v>198</v>
      </c>
      <c r="S54" s="307">
        <v>0</v>
      </c>
      <c r="T54" s="386">
        <v>5</v>
      </c>
      <c r="U54" s="345" t="str">
        <f t="shared" si="0"/>
        <v>Outlier</v>
      </c>
      <c r="V54" s="345" t="str">
        <f t="shared" si="1"/>
        <v>Outlier</v>
      </c>
      <c r="W54" s="350">
        <f t="shared" si="2"/>
        <v>0.16995073891625614</v>
      </c>
      <c r="X54" s="351">
        <f t="shared" si="3"/>
        <v>0.14871794871794872</v>
      </c>
      <c r="Y54" s="340"/>
      <c r="Z54" s="340"/>
      <c r="AA54" s="340"/>
      <c r="AB54" s="340"/>
      <c r="AC54" s="338"/>
      <c r="AD54" s="338"/>
      <c r="AE54" s="338"/>
      <c r="AF54" s="338"/>
      <c r="AG54" s="338"/>
      <c r="AH54" s="338"/>
      <c r="AI54" s="338"/>
      <c r="AJ54" s="32">
        <v>45342</v>
      </c>
      <c r="AK54" s="1">
        <v>0</v>
      </c>
      <c r="AL54" s="94">
        <v>0</v>
      </c>
    </row>
    <row r="55" spans="1:38">
      <c r="A55" s="21">
        <v>45070</v>
      </c>
      <c r="B55" s="17">
        <f>IF(YEAR(Table7[[#This Row],[Date]]) = 2023, WEEKNUM(Table7[[#This Row],[Date]])-13, WEEKNUM(Table7[[#This Row],[Date]])+40)</f>
        <v>8</v>
      </c>
      <c r="C55" s="9" t="s">
        <v>51</v>
      </c>
      <c r="D55" s="9" t="s">
        <v>94</v>
      </c>
      <c r="E55" s="1">
        <v>397</v>
      </c>
      <c r="F55" s="1">
        <v>375</v>
      </c>
      <c r="G55" s="64">
        <v>-4.567307692307692E-2</v>
      </c>
      <c r="H55" s="64">
        <v>-5.5415617128463476E-2</v>
      </c>
      <c r="I55" s="1">
        <v>7808</v>
      </c>
      <c r="J55" s="1">
        <v>7441</v>
      </c>
      <c r="K55" s="1">
        <v>16335</v>
      </c>
      <c r="L55" s="1">
        <v>15616</v>
      </c>
      <c r="M55" s="18">
        <v>0.9</v>
      </c>
      <c r="N55" s="18">
        <v>0.06</v>
      </c>
      <c r="O55" s="18">
        <v>0.94</v>
      </c>
      <c r="P55" s="18">
        <v>0.66</v>
      </c>
      <c r="Q55" s="18">
        <v>1</v>
      </c>
      <c r="R55" s="293">
        <v>255</v>
      </c>
      <c r="S55" s="293">
        <v>0</v>
      </c>
      <c r="T55" s="386">
        <v>5</v>
      </c>
      <c r="U55" s="345" t="str">
        <f t="shared" si="0"/>
        <v>Outlier</v>
      </c>
      <c r="V55" s="345" t="str">
        <f t="shared" si="1"/>
        <v>Outlier</v>
      </c>
      <c r="W55" s="350">
        <f t="shared" si="2"/>
        <v>-4.567307692307692E-2</v>
      </c>
      <c r="X55" s="351">
        <f t="shared" si="3"/>
        <v>-5.5415617128463476E-2</v>
      </c>
      <c r="Y55" s="340"/>
      <c r="Z55" s="340"/>
      <c r="AA55" s="340"/>
      <c r="AB55" s="340"/>
      <c r="AC55" s="338"/>
      <c r="AD55" s="338"/>
      <c r="AE55" s="338"/>
      <c r="AF55" s="338"/>
      <c r="AG55" s="338"/>
      <c r="AH55" s="338"/>
      <c r="AI55" s="338"/>
      <c r="AJ55" s="32">
        <v>45349</v>
      </c>
      <c r="AK55" s="1">
        <v>0</v>
      </c>
      <c r="AL55" s="94">
        <v>0</v>
      </c>
    </row>
    <row r="56" spans="1:38">
      <c r="A56" s="21">
        <v>45071</v>
      </c>
      <c r="B56" s="17">
        <f>IF(YEAR(Table7[[#This Row],[Date]]) = 2023, WEEKNUM(Table7[[#This Row],[Date]])-13, WEEKNUM(Table7[[#This Row],[Date]])+40)</f>
        <v>8</v>
      </c>
      <c r="C56" s="35" t="s">
        <v>52</v>
      </c>
      <c r="D56" s="35" t="s">
        <v>94</v>
      </c>
      <c r="E56" s="31">
        <v>388</v>
      </c>
      <c r="F56" s="31">
        <v>373</v>
      </c>
      <c r="G56" s="64">
        <v>6.0109289617486336E-2</v>
      </c>
      <c r="H56" s="64">
        <v>5.6657223796033995E-2</v>
      </c>
      <c r="I56" s="1">
        <v>8196</v>
      </c>
      <c r="J56" s="1">
        <v>7814</v>
      </c>
      <c r="K56" s="1">
        <v>16723</v>
      </c>
      <c r="L56" s="1">
        <v>15989</v>
      </c>
      <c r="M56" s="36">
        <v>0.88</v>
      </c>
      <c r="N56" s="36">
        <v>0.04</v>
      </c>
      <c r="O56" s="36">
        <v>0.96</v>
      </c>
      <c r="P56" s="36">
        <v>0.65</v>
      </c>
      <c r="Q56" s="36">
        <v>1</v>
      </c>
      <c r="R56" s="307">
        <v>182</v>
      </c>
      <c r="S56" s="307">
        <v>0</v>
      </c>
      <c r="T56" s="386">
        <v>4</v>
      </c>
      <c r="U56" s="345" t="str">
        <f t="shared" si="0"/>
        <v>Outlier</v>
      </c>
      <c r="V56" s="345" t="str">
        <f t="shared" si="1"/>
        <v>Outlier</v>
      </c>
      <c r="W56" s="350">
        <f t="shared" si="2"/>
        <v>6.0109289617486336E-2</v>
      </c>
      <c r="X56" s="351">
        <f t="shared" si="3"/>
        <v>5.6657223796033995E-2</v>
      </c>
      <c r="Y56" s="340"/>
      <c r="Z56" s="340"/>
      <c r="AA56" s="340"/>
      <c r="AB56" s="340"/>
      <c r="AC56" s="338"/>
      <c r="AD56" s="338"/>
      <c r="AE56" s="338"/>
      <c r="AF56" s="338"/>
      <c r="AG56" s="338"/>
      <c r="AH56" s="338"/>
      <c r="AI56" s="338"/>
      <c r="AJ56" s="32">
        <v>45356</v>
      </c>
      <c r="AK56" s="1">
        <v>0</v>
      </c>
      <c r="AL56" s="94">
        <v>0</v>
      </c>
    </row>
    <row r="57" spans="1:38">
      <c r="A57" s="21">
        <v>45072</v>
      </c>
      <c r="B57" s="17">
        <f>IF(YEAR(Table7[[#This Row],[Date]]) = 2023, WEEKNUM(Table7[[#This Row],[Date]])-13, WEEKNUM(Table7[[#This Row],[Date]])+40)</f>
        <v>8</v>
      </c>
      <c r="C57" s="9" t="s">
        <v>53</v>
      </c>
      <c r="D57" s="9" t="s">
        <v>94</v>
      </c>
      <c r="E57" s="1">
        <v>456</v>
      </c>
      <c r="F57" s="1">
        <v>436</v>
      </c>
      <c r="G57" s="64">
        <v>0.20954907161803712</v>
      </c>
      <c r="H57" s="64">
        <v>0.21448467966573817</v>
      </c>
      <c r="I57" s="1">
        <v>8652</v>
      </c>
      <c r="J57" s="1">
        <v>8250</v>
      </c>
      <c r="K57" s="1">
        <v>17179</v>
      </c>
      <c r="L57" s="1">
        <v>16425</v>
      </c>
      <c r="M57" s="18">
        <v>0.89</v>
      </c>
      <c r="N57" s="18">
        <v>0.04</v>
      </c>
      <c r="O57" s="18">
        <v>0.96</v>
      </c>
      <c r="P57" s="18">
        <v>0.64</v>
      </c>
      <c r="Q57" s="18">
        <v>1</v>
      </c>
      <c r="R57" s="293">
        <v>175</v>
      </c>
      <c r="S57" s="293">
        <v>0</v>
      </c>
      <c r="T57" s="386">
        <v>4</v>
      </c>
      <c r="U57" s="345" t="str">
        <f t="shared" si="0"/>
        <v>Outlier</v>
      </c>
      <c r="V57" s="345" t="str">
        <f t="shared" si="1"/>
        <v>Outlier</v>
      </c>
      <c r="W57" s="350">
        <f t="shared" si="2"/>
        <v>0.20954907161803712</v>
      </c>
      <c r="X57" s="351">
        <f t="shared" si="3"/>
        <v>0.21448467966573817</v>
      </c>
      <c r="Y57" s="340"/>
      <c r="Z57" s="340"/>
      <c r="AA57" s="340"/>
      <c r="AB57" s="340"/>
      <c r="AC57" s="338"/>
      <c r="AD57" s="338"/>
      <c r="AE57" s="338"/>
      <c r="AF57" s="338"/>
      <c r="AG57" s="338"/>
      <c r="AH57" s="338"/>
      <c r="AI57" s="338"/>
      <c r="AJ57" s="32">
        <v>45363</v>
      </c>
      <c r="AK57" s="1">
        <v>0</v>
      </c>
      <c r="AL57" s="94">
        <v>0</v>
      </c>
    </row>
    <row r="58" spans="1:38">
      <c r="A58" s="21">
        <v>45073</v>
      </c>
      <c r="B58" s="17">
        <f>IF(YEAR(Table7[[#This Row],[Date]]) = 2023, WEEKNUM(Table7[[#This Row],[Date]])-13, WEEKNUM(Table7[[#This Row],[Date]])+40)</f>
        <v>8</v>
      </c>
      <c r="C58" s="35" t="s">
        <v>54</v>
      </c>
      <c r="D58" s="35" t="s">
        <v>94</v>
      </c>
      <c r="E58" s="31">
        <v>126</v>
      </c>
      <c r="F58" s="31">
        <v>124</v>
      </c>
      <c r="G58" s="64">
        <v>-6.6666666666666666E-2</v>
      </c>
      <c r="H58" s="64">
        <v>-6.0606060606060608E-2</v>
      </c>
      <c r="I58" s="1">
        <v>8778</v>
      </c>
      <c r="J58" s="1">
        <v>8374</v>
      </c>
      <c r="K58" s="1">
        <v>17305</v>
      </c>
      <c r="L58" s="1">
        <v>16549</v>
      </c>
      <c r="M58" s="36">
        <v>0.98</v>
      </c>
      <c r="N58" s="36">
        <v>0.02</v>
      </c>
      <c r="O58" s="36">
        <v>0.98</v>
      </c>
      <c r="P58" s="36">
        <v>0.37</v>
      </c>
      <c r="Q58" s="36">
        <v>1</v>
      </c>
      <c r="R58" s="307">
        <v>181</v>
      </c>
      <c r="S58" s="307">
        <v>0</v>
      </c>
      <c r="T58" s="386">
        <v>4</v>
      </c>
      <c r="U58" s="345" t="str">
        <f t="shared" si="0"/>
        <v>Outlier</v>
      </c>
      <c r="V58" s="345" t="str">
        <f t="shared" si="1"/>
        <v>Outlier</v>
      </c>
      <c r="W58" s="350">
        <f t="shared" si="2"/>
        <v>-6.6666666666666666E-2</v>
      </c>
      <c r="X58" s="351">
        <f t="shared" si="3"/>
        <v>-6.0606060606060608E-2</v>
      </c>
      <c r="Y58" s="340"/>
      <c r="Z58" s="340"/>
      <c r="AA58" s="340"/>
      <c r="AB58" s="340"/>
      <c r="AC58" s="338"/>
      <c r="AD58" s="338"/>
      <c r="AE58" s="338"/>
      <c r="AF58" s="338"/>
      <c r="AG58" s="338"/>
      <c r="AH58" s="338"/>
      <c r="AI58" s="338"/>
      <c r="AJ58" s="32">
        <v>45370</v>
      </c>
      <c r="AK58" s="1">
        <v>0</v>
      </c>
      <c r="AL58" s="94">
        <v>0</v>
      </c>
    </row>
    <row r="59" spans="1:38">
      <c r="A59" s="21">
        <v>45074</v>
      </c>
      <c r="B59" s="17">
        <f>IF(YEAR(Table7[[#This Row],[Date]]) = 2023, WEEKNUM(Table7[[#This Row],[Date]])-13, WEEKNUM(Table7[[#This Row],[Date]])+40)</f>
        <v>9</v>
      </c>
      <c r="C59" s="9" t="s">
        <v>48</v>
      </c>
      <c r="D59" s="9" t="s">
        <v>94</v>
      </c>
      <c r="E59" s="1">
        <v>0</v>
      </c>
      <c r="F59" s="1">
        <v>0</v>
      </c>
      <c r="G59" s="64">
        <v>0</v>
      </c>
      <c r="H59" s="64">
        <v>0</v>
      </c>
      <c r="I59" s="1">
        <v>0</v>
      </c>
      <c r="J59" s="1">
        <v>0</v>
      </c>
      <c r="K59" s="1">
        <v>0</v>
      </c>
      <c r="L59" s="1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293">
        <v>0</v>
      </c>
      <c r="S59" s="293">
        <v>0</v>
      </c>
      <c r="T59" s="386">
        <v>0</v>
      </c>
      <c r="U59" s="345" t="str">
        <f t="shared" si="0"/>
        <v>Normal</v>
      </c>
      <c r="V59" s="345" t="str">
        <f t="shared" si="1"/>
        <v>Normal</v>
      </c>
      <c r="W59" s="350">
        <f t="shared" si="2"/>
        <v>0</v>
      </c>
      <c r="X59" s="351">
        <f t="shared" si="3"/>
        <v>0</v>
      </c>
      <c r="Y59" s="340"/>
      <c r="Z59" s="340"/>
      <c r="AA59" s="340"/>
      <c r="AB59" s="340"/>
      <c r="AC59" s="338"/>
      <c r="AD59" s="338"/>
      <c r="AE59" s="338"/>
      <c r="AF59" s="338"/>
      <c r="AG59" s="338"/>
      <c r="AH59" s="338"/>
      <c r="AI59" s="338"/>
      <c r="AJ59" s="32">
        <v>45377</v>
      </c>
      <c r="AK59" s="1">
        <v>0</v>
      </c>
      <c r="AL59" s="94">
        <v>0</v>
      </c>
    </row>
    <row r="60" spans="1:38">
      <c r="A60" s="21">
        <v>45075</v>
      </c>
      <c r="B60" s="17">
        <f>IF(YEAR(Table7[[#This Row],[Date]]) = 2023, WEEKNUM(Table7[[#This Row],[Date]])-13, WEEKNUM(Table7[[#This Row],[Date]])+40)</f>
        <v>9</v>
      </c>
      <c r="C60" s="35" t="s">
        <v>64</v>
      </c>
      <c r="D60" s="35" t="s">
        <v>94</v>
      </c>
      <c r="E60" s="31">
        <v>0</v>
      </c>
      <c r="F60" s="31">
        <v>0</v>
      </c>
      <c r="G60" s="63">
        <v>0</v>
      </c>
      <c r="H60" s="63">
        <v>0</v>
      </c>
      <c r="I60" s="31">
        <v>0</v>
      </c>
      <c r="J60" s="31">
        <v>0</v>
      </c>
      <c r="K60" s="31">
        <v>0</v>
      </c>
      <c r="L60" s="31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07">
        <v>0</v>
      </c>
      <c r="S60" s="307">
        <v>0</v>
      </c>
      <c r="T60" s="386">
        <v>0</v>
      </c>
      <c r="U60" s="345" t="str">
        <f t="shared" si="0"/>
        <v>Normal</v>
      </c>
      <c r="V60" s="345" t="str">
        <f t="shared" si="1"/>
        <v>Normal</v>
      </c>
      <c r="W60" s="350">
        <f t="shared" si="2"/>
        <v>0</v>
      </c>
      <c r="X60" s="351">
        <f t="shared" si="3"/>
        <v>0</v>
      </c>
      <c r="Y60" s="340"/>
      <c r="Z60" s="340"/>
      <c r="AA60" s="340"/>
      <c r="AB60" s="340"/>
      <c r="AC60" s="338"/>
      <c r="AD60" s="338"/>
      <c r="AE60" s="338"/>
      <c r="AF60" s="338"/>
      <c r="AG60" s="338"/>
      <c r="AH60" s="338"/>
      <c r="AI60" s="338"/>
    </row>
    <row r="61" spans="1:38">
      <c r="A61" s="21">
        <v>45076</v>
      </c>
      <c r="B61" s="17">
        <f>IF(YEAR(Table7[[#This Row],[Date]]) = 2023, WEEKNUM(Table7[[#This Row],[Date]])-13, WEEKNUM(Table7[[#This Row],[Date]])+40)</f>
        <v>9</v>
      </c>
      <c r="C61" s="9" t="s">
        <v>50</v>
      </c>
      <c r="D61" s="9" t="s">
        <v>94</v>
      </c>
      <c r="E61" s="1">
        <v>597</v>
      </c>
      <c r="F61" s="1">
        <v>573</v>
      </c>
      <c r="G61" s="64">
        <v>0.25684210526315787</v>
      </c>
      <c r="H61" s="64">
        <v>0.27901785714285715</v>
      </c>
      <c r="I61" s="1">
        <v>9375</v>
      </c>
      <c r="J61" s="1">
        <v>8947</v>
      </c>
      <c r="K61" s="1">
        <v>17902</v>
      </c>
      <c r="L61" s="1">
        <v>17122</v>
      </c>
      <c r="M61" s="18">
        <v>0.88</v>
      </c>
      <c r="N61" s="18">
        <v>0.04</v>
      </c>
      <c r="O61" s="18">
        <v>0.96</v>
      </c>
      <c r="P61" s="18">
        <v>0.8</v>
      </c>
      <c r="Q61" s="18">
        <v>1</v>
      </c>
      <c r="R61" s="293">
        <v>181</v>
      </c>
      <c r="S61" s="293">
        <v>0</v>
      </c>
      <c r="T61" s="386">
        <v>5</v>
      </c>
      <c r="U61" s="345" t="str">
        <f t="shared" si="0"/>
        <v>Outlier</v>
      </c>
      <c r="V61" s="345" t="str">
        <f t="shared" si="1"/>
        <v>Outlier</v>
      </c>
      <c r="W61" s="350">
        <f t="shared" si="2"/>
        <v>0.25684210526315787</v>
      </c>
      <c r="X61" s="351">
        <f t="shared" si="3"/>
        <v>0.27901785714285715</v>
      </c>
      <c r="Y61" s="340"/>
      <c r="Z61" s="340"/>
      <c r="AA61" s="340"/>
      <c r="AB61" s="340"/>
      <c r="AC61" s="338"/>
      <c r="AD61" s="338"/>
      <c r="AE61" s="338"/>
      <c r="AF61" s="338"/>
      <c r="AG61" s="338"/>
      <c r="AH61" s="338"/>
      <c r="AI61" s="338"/>
    </row>
    <row r="62" spans="1:38">
      <c r="A62" s="21">
        <v>45077</v>
      </c>
      <c r="B62" s="17">
        <f>IF(YEAR(Table7[[#This Row],[Date]]) = 2023, WEEKNUM(Table7[[#This Row],[Date]])-13, WEEKNUM(Table7[[#This Row],[Date]])+40)</f>
        <v>9</v>
      </c>
      <c r="C62" s="35" t="s">
        <v>51</v>
      </c>
      <c r="D62" s="35" t="s">
        <v>94</v>
      </c>
      <c r="E62" s="31">
        <v>512</v>
      </c>
      <c r="F62" s="31">
        <v>493</v>
      </c>
      <c r="G62" s="64">
        <v>0.28967254408060455</v>
      </c>
      <c r="H62" s="64">
        <v>0.31466666666666665</v>
      </c>
      <c r="I62" s="1">
        <v>9887</v>
      </c>
      <c r="J62" s="1">
        <v>9440</v>
      </c>
      <c r="K62" s="1">
        <v>18414</v>
      </c>
      <c r="L62" s="1">
        <v>17615</v>
      </c>
      <c r="M62" s="36">
        <v>0.88</v>
      </c>
      <c r="N62" s="36">
        <v>0.04</v>
      </c>
      <c r="O62" s="36">
        <v>0.96</v>
      </c>
      <c r="P62" s="36">
        <v>0.7</v>
      </c>
      <c r="Q62" s="36">
        <v>1</v>
      </c>
      <c r="R62" s="307">
        <v>189</v>
      </c>
      <c r="S62" s="307">
        <v>0</v>
      </c>
      <c r="T62" s="386">
        <v>5</v>
      </c>
      <c r="U62" s="345" t="str">
        <f t="shared" si="0"/>
        <v>Outlier</v>
      </c>
      <c r="V62" s="345" t="str">
        <f t="shared" si="1"/>
        <v>Outlier</v>
      </c>
      <c r="W62" s="350">
        <f t="shared" si="2"/>
        <v>0.28967254408060455</v>
      </c>
      <c r="X62" s="351">
        <f t="shared" si="3"/>
        <v>0.31466666666666665</v>
      </c>
      <c r="Y62" s="340"/>
      <c r="Z62" s="340"/>
      <c r="AA62" s="340"/>
      <c r="AB62" s="340"/>
      <c r="AC62" s="338"/>
      <c r="AD62" s="338"/>
      <c r="AE62" s="338"/>
      <c r="AF62" s="338"/>
      <c r="AG62" s="338"/>
      <c r="AH62" s="338"/>
      <c r="AI62" s="338"/>
    </row>
    <row r="63" spans="1:38">
      <c r="A63" s="21">
        <v>45078</v>
      </c>
      <c r="B63" s="17">
        <f>IF(YEAR(Table7[[#This Row],[Date]]) = 2023, WEEKNUM(Table7[[#This Row],[Date]])-13, WEEKNUM(Table7[[#This Row],[Date]])+40)</f>
        <v>9</v>
      </c>
      <c r="C63" s="9" t="s">
        <v>52</v>
      </c>
      <c r="D63" s="35" t="s">
        <v>94</v>
      </c>
      <c r="E63" s="1">
        <v>495</v>
      </c>
      <c r="F63" s="1">
        <v>456</v>
      </c>
      <c r="G63" s="64">
        <f>IFERROR((E63-E56)/E56,0%)</f>
        <v>0.27577319587628868</v>
      </c>
      <c r="H63" s="64">
        <f>IFERROR((F63-F56)/F56,0%)</f>
        <v>0.22252010723860591</v>
      </c>
      <c r="I63" s="1"/>
      <c r="J63" s="1"/>
      <c r="K63" s="1"/>
      <c r="L63" s="1"/>
      <c r="M63" s="18">
        <v>0.84</v>
      </c>
      <c r="N63" s="18">
        <v>0.08</v>
      </c>
      <c r="O63" s="18">
        <v>0.92</v>
      </c>
      <c r="P63" s="18">
        <v>0.67</v>
      </c>
      <c r="Q63" s="18">
        <v>1</v>
      </c>
      <c r="R63" s="293">
        <v>198</v>
      </c>
      <c r="S63" s="293">
        <v>0</v>
      </c>
      <c r="T63" s="386">
        <v>5</v>
      </c>
      <c r="U63" s="345" t="str">
        <f t="shared" si="0"/>
        <v>Normal</v>
      </c>
      <c r="V63" s="345" t="str">
        <f t="shared" si="1"/>
        <v>Normal</v>
      </c>
      <c r="W63" s="350">
        <f t="shared" si="2"/>
        <v>0.27577319587628868</v>
      </c>
      <c r="X63" s="351">
        <f t="shared" si="3"/>
        <v>0.22252010723860591</v>
      </c>
      <c r="Y63" s="340"/>
      <c r="Z63" s="340"/>
      <c r="AA63" s="340"/>
      <c r="AB63" s="340"/>
      <c r="AC63" s="338"/>
      <c r="AD63" s="338"/>
      <c r="AE63" s="338"/>
      <c r="AF63" s="338"/>
      <c r="AG63" s="338"/>
      <c r="AH63" s="338"/>
      <c r="AI63" s="338"/>
      <c r="AK63">
        <v>1</v>
      </c>
    </row>
    <row r="64" spans="1:38">
      <c r="A64" s="21">
        <v>45079</v>
      </c>
      <c r="B64" s="17">
        <f>IF(YEAR(Table7[[#This Row],[Date]]) = 2023, WEEKNUM(Table7[[#This Row],[Date]])-13, WEEKNUM(Table7[[#This Row],[Date]])+40)</f>
        <v>9</v>
      </c>
      <c r="C64" s="35" t="s">
        <v>53</v>
      </c>
      <c r="D64" s="35" t="s">
        <v>94</v>
      </c>
      <c r="E64" s="31">
        <v>492</v>
      </c>
      <c r="F64" s="31">
        <v>470</v>
      </c>
      <c r="G64" s="64">
        <f t="shared" ref="G64:H64" si="8">IFERROR((E64-E57)/E57,0%)</f>
        <v>7.8947368421052627E-2</v>
      </c>
      <c r="H64" s="64">
        <f t="shared" si="8"/>
        <v>7.7981651376146793E-2</v>
      </c>
      <c r="I64" s="1"/>
      <c r="J64" s="1"/>
      <c r="K64" s="1"/>
      <c r="L64" s="1"/>
      <c r="M64" s="36">
        <v>0.88</v>
      </c>
      <c r="N64" s="36">
        <v>0.04</v>
      </c>
      <c r="O64" s="36">
        <v>0.96</v>
      </c>
      <c r="P64" s="36">
        <v>0.67</v>
      </c>
      <c r="Q64" s="36">
        <v>1</v>
      </c>
      <c r="R64" s="307">
        <v>188</v>
      </c>
      <c r="S64" s="307">
        <v>0</v>
      </c>
      <c r="T64" s="386">
        <v>5</v>
      </c>
      <c r="U64" s="345" t="str">
        <f t="shared" si="0"/>
        <v>Normal</v>
      </c>
      <c r="V64" s="345" t="str">
        <f t="shared" si="1"/>
        <v>Normal</v>
      </c>
      <c r="W64" s="350">
        <f t="shared" si="2"/>
        <v>7.8947368421052627E-2</v>
      </c>
      <c r="X64" s="351">
        <f t="shared" si="3"/>
        <v>7.7981651376146793E-2</v>
      </c>
      <c r="Y64" s="340"/>
      <c r="Z64" s="340"/>
      <c r="AA64" s="340"/>
      <c r="AB64" s="340"/>
      <c r="AC64" s="338"/>
      <c r="AD64" s="338"/>
      <c r="AE64" s="338"/>
      <c r="AF64" s="338"/>
      <c r="AG64" s="338"/>
      <c r="AH64" s="338"/>
      <c r="AI64" s="338"/>
    </row>
    <row r="65" spans="1:35">
      <c r="A65" s="21">
        <v>45080</v>
      </c>
      <c r="B65" s="17">
        <f>IF(YEAR(Table7[[#This Row],[Date]]) = 2023, WEEKNUM(Table7[[#This Row],[Date]])-13, WEEKNUM(Table7[[#This Row],[Date]])+40)</f>
        <v>9</v>
      </c>
      <c r="C65" s="9" t="s">
        <v>54</v>
      </c>
      <c r="D65" s="35" t="s">
        <v>94</v>
      </c>
      <c r="E65" s="1">
        <v>147</v>
      </c>
      <c r="F65" s="1">
        <v>142</v>
      </c>
      <c r="G65" s="64">
        <f t="shared" ref="G65:H65" si="9">IFERROR((E65-E58)/E58,0%)</f>
        <v>0.16666666666666666</v>
      </c>
      <c r="H65" s="64">
        <f t="shared" si="9"/>
        <v>0.14516129032258066</v>
      </c>
      <c r="I65" s="1"/>
      <c r="J65" s="1"/>
      <c r="K65" s="1"/>
      <c r="L65" s="1"/>
      <c r="M65" s="18">
        <v>0.93</v>
      </c>
      <c r="N65" s="18">
        <v>0.03</v>
      </c>
      <c r="O65" s="18">
        <v>0.97</v>
      </c>
      <c r="P65" s="18">
        <v>0.34</v>
      </c>
      <c r="Q65" s="18">
        <v>1</v>
      </c>
      <c r="R65" s="293">
        <v>194</v>
      </c>
      <c r="S65" s="293">
        <v>0</v>
      </c>
      <c r="T65" s="386">
        <v>5</v>
      </c>
      <c r="U65" s="345" t="str">
        <f t="shared" si="0"/>
        <v>Normal</v>
      </c>
      <c r="V65" s="345" t="str">
        <f t="shared" si="1"/>
        <v>Normal</v>
      </c>
      <c r="W65" s="350">
        <f t="shared" si="2"/>
        <v>0.16666666666666666</v>
      </c>
      <c r="X65" s="351">
        <f t="shared" si="3"/>
        <v>0.14516129032258066</v>
      </c>
      <c r="Y65" s="340"/>
      <c r="Z65" s="340"/>
      <c r="AA65" s="340"/>
      <c r="AB65" s="340"/>
      <c r="AC65" s="338"/>
      <c r="AD65" s="338"/>
      <c r="AE65" s="338"/>
      <c r="AF65" s="338"/>
      <c r="AG65" s="338"/>
      <c r="AH65" s="338"/>
      <c r="AI65" s="338"/>
    </row>
    <row r="66" spans="1:35">
      <c r="A66" s="21">
        <v>45081</v>
      </c>
      <c r="B66" s="17">
        <f>IF(YEAR(Table7[[#This Row],[Date]]) = 2023, WEEKNUM(Table7[[#This Row],[Date]])-13, WEEKNUM(Table7[[#This Row],[Date]])+40)</f>
        <v>10</v>
      </c>
      <c r="C66" s="35" t="s">
        <v>48</v>
      </c>
      <c r="D66" s="35" t="s">
        <v>94</v>
      </c>
      <c r="E66" s="31">
        <v>0</v>
      </c>
      <c r="F66" s="31">
        <v>0</v>
      </c>
      <c r="G66" s="64">
        <f>IFERROR((E66-E59)/E59,0%)</f>
        <v>0</v>
      </c>
      <c r="H66" s="64">
        <f>IFERROR((F66-F59)/F59,0%)</f>
        <v>0</v>
      </c>
      <c r="I66" s="31">
        <v>0</v>
      </c>
      <c r="J66" s="31">
        <v>0</v>
      </c>
      <c r="K66" s="31">
        <v>0</v>
      </c>
      <c r="L66" s="31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07">
        <v>0</v>
      </c>
      <c r="S66" s="307">
        <v>0</v>
      </c>
      <c r="T66" s="386">
        <v>0</v>
      </c>
      <c r="U66" s="345" t="str">
        <f t="shared" si="0"/>
        <v>Normal</v>
      </c>
      <c r="V66" s="345" t="str">
        <f t="shared" si="1"/>
        <v>Normal</v>
      </c>
      <c r="W66" s="350">
        <f t="shared" si="2"/>
        <v>0</v>
      </c>
      <c r="X66" s="351">
        <f t="shared" si="3"/>
        <v>0</v>
      </c>
      <c r="Y66" s="340"/>
      <c r="Z66" s="340"/>
      <c r="AA66" s="340"/>
      <c r="AB66" s="340"/>
      <c r="AC66" s="338"/>
      <c r="AD66" s="338"/>
      <c r="AE66" s="338"/>
      <c r="AF66" s="338"/>
      <c r="AG66" s="338"/>
      <c r="AH66" s="338"/>
      <c r="AI66" s="338"/>
    </row>
    <row r="67" spans="1:35">
      <c r="A67" s="21">
        <v>45082</v>
      </c>
      <c r="B67" s="17">
        <f>IF(YEAR(Table7[[#This Row],[Date]]) = 2023, WEEKNUM(Table7[[#This Row],[Date]])-13, WEEKNUM(Table7[[#This Row],[Date]])+40)</f>
        <v>10</v>
      </c>
      <c r="C67" s="9" t="s">
        <v>49</v>
      </c>
      <c r="D67" s="35" t="s">
        <v>94</v>
      </c>
      <c r="E67" s="1">
        <v>606</v>
      </c>
      <c r="F67" s="1">
        <v>564</v>
      </c>
      <c r="G67" s="64">
        <f t="shared" ref="G67:H69" si="10">IFERROR((E67-E60)/E60,0%)</f>
        <v>0</v>
      </c>
      <c r="H67" s="64">
        <f t="shared" si="10"/>
        <v>0</v>
      </c>
      <c r="I67" s="1"/>
      <c r="J67" s="1"/>
      <c r="K67" s="1"/>
      <c r="L67" s="1"/>
      <c r="M67" s="18">
        <v>0.82</v>
      </c>
      <c r="N67" s="18">
        <v>7.0000000000000007E-2</v>
      </c>
      <c r="O67" s="18">
        <v>0.93</v>
      </c>
      <c r="P67" s="18">
        <v>0.67</v>
      </c>
      <c r="Q67" s="18">
        <v>1</v>
      </c>
      <c r="R67" s="293">
        <v>177</v>
      </c>
      <c r="S67" s="293">
        <v>0</v>
      </c>
      <c r="T67" s="386">
        <v>5</v>
      </c>
      <c r="U67" s="345" t="str">
        <f t="shared" ref="U67:U130" si="11">IF(OR(I67&lt;$AA$5,I67&gt;$AB$5), "Outlier", "Normal")</f>
        <v>Normal</v>
      </c>
      <c r="V67" s="345" t="str">
        <f t="shared" ref="V67:V130" si="12">IF(OR(J67&lt;$AA$6,J67&gt;$AB$6), "Outlier", "Normal")</f>
        <v>Normal</v>
      </c>
      <c r="W67" s="350">
        <f t="shared" ref="W67:W130" si="13">IF(U67="Normal",$G67,IF($G67&lt;150%, $G67, $AA$9))</f>
        <v>0</v>
      </c>
      <c r="X67" s="351">
        <f t="shared" ref="X67:X130" si="14">IF(V67="Normal",$H67,IF($H67&lt;150%, $H67, $AE$9))</f>
        <v>0</v>
      </c>
      <c r="Y67" s="340"/>
      <c r="Z67" s="340"/>
      <c r="AA67" s="340"/>
      <c r="AB67" s="340"/>
      <c r="AC67" s="338"/>
      <c r="AD67" s="338"/>
      <c r="AE67" s="338"/>
      <c r="AF67" s="338"/>
      <c r="AG67" s="338"/>
      <c r="AH67" s="338"/>
      <c r="AI67" s="338"/>
    </row>
    <row r="68" spans="1:35">
      <c r="A68" s="21">
        <v>45083</v>
      </c>
      <c r="B68" s="17">
        <f>IF(YEAR(Table7[[#This Row],[Date]]) = 2023, WEEKNUM(Table7[[#This Row],[Date]])-13, WEEKNUM(Table7[[#This Row],[Date]])+40)</f>
        <v>10</v>
      </c>
      <c r="C68" s="35" t="s">
        <v>50</v>
      </c>
      <c r="D68" s="35" t="s">
        <v>94</v>
      </c>
      <c r="E68" s="31">
        <v>481</v>
      </c>
      <c r="F68" s="31">
        <v>459</v>
      </c>
      <c r="G68" s="64">
        <f t="shared" si="10"/>
        <v>-0.19430485762144054</v>
      </c>
      <c r="H68" s="64">
        <f t="shared" si="10"/>
        <v>-0.19895287958115182</v>
      </c>
      <c r="I68" s="31"/>
      <c r="J68" s="31"/>
      <c r="K68" s="31"/>
      <c r="L68" s="31"/>
      <c r="M68" s="36">
        <v>0.88</v>
      </c>
      <c r="N68" s="36">
        <v>0.05</v>
      </c>
      <c r="O68" s="36">
        <v>0.95</v>
      </c>
      <c r="P68" s="36">
        <v>0.7</v>
      </c>
      <c r="Q68" s="36">
        <v>1</v>
      </c>
      <c r="R68" s="307">
        <v>199</v>
      </c>
      <c r="S68" s="307">
        <v>0</v>
      </c>
      <c r="T68" s="386">
        <v>5</v>
      </c>
      <c r="U68" s="345" t="str">
        <f t="shared" si="11"/>
        <v>Normal</v>
      </c>
      <c r="V68" s="345" t="str">
        <f t="shared" si="12"/>
        <v>Normal</v>
      </c>
      <c r="W68" s="350">
        <f t="shared" si="13"/>
        <v>-0.19430485762144054</v>
      </c>
      <c r="X68" s="351">
        <f t="shared" si="14"/>
        <v>-0.19895287958115182</v>
      </c>
      <c r="Y68" s="340"/>
      <c r="Z68" s="340"/>
      <c r="AA68" s="340"/>
      <c r="AB68" s="340"/>
      <c r="AC68" s="338"/>
      <c r="AD68" s="338"/>
      <c r="AE68" s="338"/>
      <c r="AF68" s="338"/>
      <c r="AG68" s="338"/>
      <c r="AH68" s="338"/>
      <c r="AI68" s="338"/>
    </row>
    <row r="69" spans="1:35">
      <c r="A69" s="21">
        <v>45084</v>
      </c>
      <c r="B69" s="17">
        <f>IF(YEAR(Table7[[#This Row],[Date]]) = 2023, WEEKNUM(Table7[[#This Row],[Date]])-13, WEEKNUM(Table7[[#This Row],[Date]])+40)</f>
        <v>10</v>
      </c>
      <c r="C69" s="9" t="s">
        <v>51</v>
      </c>
      <c r="D69" s="35" t="s">
        <v>94</v>
      </c>
      <c r="E69" s="1">
        <v>471</v>
      </c>
      <c r="F69" s="1">
        <v>451</v>
      </c>
      <c r="G69" s="64">
        <f t="shared" si="10"/>
        <v>-8.0078125E-2</v>
      </c>
      <c r="H69" s="64">
        <f t="shared" si="10"/>
        <v>-8.5192697768762676E-2</v>
      </c>
      <c r="I69" s="1"/>
      <c r="J69" s="1"/>
      <c r="K69" s="1"/>
      <c r="L69" s="1"/>
      <c r="M69" s="18">
        <v>0.89</v>
      </c>
      <c r="N69" s="18">
        <v>0.04</v>
      </c>
      <c r="O69" s="18">
        <v>0.96</v>
      </c>
      <c r="P69" s="18">
        <v>0.66</v>
      </c>
      <c r="Q69" s="18">
        <v>1</v>
      </c>
      <c r="R69" s="293">
        <v>198</v>
      </c>
      <c r="S69" s="293">
        <v>0</v>
      </c>
      <c r="T69" s="386">
        <v>5</v>
      </c>
      <c r="U69" s="345" t="str">
        <f t="shared" si="11"/>
        <v>Normal</v>
      </c>
      <c r="V69" s="345" t="str">
        <f t="shared" si="12"/>
        <v>Normal</v>
      </c>
      <c r="W69" s="350">
        <f t="shared" si="13"/>
        <v>-8.0078125E-2</v>
      </c>
      <c r="X69" s="351">
        <f t="shared" si="14"/>
        <v>-8.5192697768762676E-2</v>
      </c>
      <c r="Y69" s="340"/>
      <c r="Z69" s="340"/>
      <c r="AA69" s="340"/>
      <c r="AB69" s="340"/>
      <c r="AC69" s="338"/>
      <c r="AD69" s="338"/>
      <c r="AE69" s="338"/>
      <c r="AF69" s="338"/>
      <c r="AG69" s="338"/>
      <c r="AH69" s="338"/>
      <c r="AI69" s="338"/>
    </row>
    <row r="70" spans="1:35">
      <c r="A70" s="21">
        <v>45085</v>
      </c>
      <c r="B70" s="17">
        <f>IF(YEAR(Table7[[#This Row],[Date]]) = 2023, WEEKNUM(Table7[[#This Row],[Date]])-13, WEEKNUM(Table7[[#This Row],[Date]])+40)</f>
        <v>10</v>
      </c>
      <c r="C70" s="35" t="s">
        <v>52</v>
      </c>
      <c r="D70" s="35" t="s">
        <v>94</v>
      </c>
      <c r="E70" s="31">
        <v>273</v>
      </c>
      <c r="F70" s="31">
        <v>265</v>
      </c>
      <c r="G70" s="64">
        <f t="shared" ref="G70:H70" si="15">IFERROR((E70-E63)/E63,0%)</f>
        <v>-0.44848484848484849</v>
      </c>
      <c r="H70" s="64">
        <f t="shared" si="15"/>
        <v>-0.41885964912280704</v>
      </c>
      <c r="I70" s="31"/>
      <c r="J70" s="31"/>
      <c r="K70" s="31"/>
      <c r="L70" s="31"/>
      <c r="M70" s="36">
        <v>0.96</v>
      </c>
      <c r="N70" s="36">
        <v>0.03</v>
      </c>
      <c r="O70" s="36">
        <v>0.97</v>
      </c>
      <c r="P70" s="36">
        <v>0.39</v>
      </c>
      <c r="Q70" s="36">
        <v>1</v>
      </c>
      <c r="R70" s="307">
        <v>197</v>
      </c>
      <c r="S70" s="307">
        <v>0</v>
      </c>
      <c r="T70" s="386">
        <v>5</v>
      </c>
      <c r="U70" s="345" t="str">
        <f t="shared" si="11"/>
        <v>Normal</v>
      </c>
      <c r="V70" s="345" t="str">
        <f t="shared" si="12"/>
        <v>Normal</v>
      </c>
      <c r="W70" s="350">
        <f t="shared" si="13"/>
        <v>-0.44848484848484849</v>
      </c>
      <c r="X70" s="351">
        <f t="shared" si="14"/>
        <v>-0.41885964912280704</v>
      </c>
      <c r="Y70" s="340"/>
      <c r="Z70" s="340"/>
      <c r="AA70" s="340"/>
      <c r="AB70" s="340"/>
      <c r="AC70" s="338"/>
      <c r="AD70" s="338"/>
      <c r="AE70" s="338"/>
      <c r="AF70" s="338"/>
      <c r="AG70" s="338"/>
      <c r="AH70" s="338"/>
      <c r="AI70" s="338"/>
    </row>
    <row r="71" spans="1:35">
      <c r="A71" s="21">
        <v>45086</v>
      </c>
      <c r="B71" s="17">
        <f>IF(YEAR(Table7[[#This Row],[Date]]) = 2023, WEEKNUM(Table7[[#This Row],[Date]])-13, WEEKNUM(Table7[[#This Row],[Date]])+40)</f>
        <v>10</v>
      </c>
      <c r="C71" s="9" t="s">
        <v>53</v>
      </c>
      <c r="D71" s="35" t="s">
        <v>94</v>
      </c>
      <c r="E71" s="1">
        <v>440</v>
      </c>
      <c r="F71" s="1">
        <v>416</v>
      </c>
      <c r="G71" s="64">
        <f t="shared" ref="G71:H73" si="16">IFERROR((E71-E64)/E64,0%)</f>
        <v>-0.10569105691056911</v>
      </c>
      <c r="H71" s="64">
        <f t="shared" si="16"/>
        <v>-0.1148936170212766</v>
      </c>
      <c r="I71" s="1"/>
      <c r="J71" s="1"/>
      <c r="K71" s="1"/>
      <c r="L71" s="1"/>
      <c r="M71" s="18">
        <v>0.9</v>
      </c>
      <c r="N71" s="18">
        <v>0.05</v>
      </c>
      <c r="O71" s="18">
        <v>0.95</v>
      </c>
      <c r="P71" s="18">
        <v>0.6</v>
      </c>
      <c r="Q71" s="18">
        <v>1</v>
      </c>
      <c r="R71" s="293">
        <v>192</v>
      </c>
      <c r="S71" s="293">
        <v>0</v>
      </c>
      <c r="T71" s="386">
        <v>5</v>
      </c>
      <c r="U71" s="345" t="str">
        <f t="shared" si="11"/>
        <v>Normal</v>
      </c>
      <c r="V71" s="345" t="str">
        <f t="shared" si="12"/>
        <v>Normal</v>
      </c>
      <c r="W71" s="350">
        <f t="shared" si="13"/>
        <v>-0.10569105691056911</v>
      </c>
      <c r="X71" s="351">
        <f t="shared" si="14"/>
        <v>-0.1148936170212766</v>
      </c>
      <c r="Y71" s="340"/>
      <c r="Z71" s="340"/>
      <c r="AA71" s="340"/>
      <c r="AB71" s="340"/>
      <c r="AC71" s="338"/>
      <c r="AD71" s="338"/>
      <c r="AE71" s="338"/>
      <c r="AF71" s="338"/>
      <c r="AG71" s="338"/>
      <c r="AH71" s="338"/>
      <c r="AI71" s="338"/>
    </row>
    <row r="72" spans="1:35">
      <c r="A72" s="21">
        <v>45087</v>
      </c>
      <c r="B72" s="17">
        <f>IF(YEAR(Table7[[#This Row],[Date]]) = 2023, WEEKNUM(Table7[[#This Row],[Date]])-13, WEEKNUM(Table7[[#This Row],[Date]])+40)</f>
        <v>10</v>
      </c>
      <c r="C72" s="35" t="s">
        <v>54</v>
      </c>
      <c r="D72" s="35" t="s">
        <v>94</v>
      </c>
      <c r="E72" s="31">
        <v>172</v>
      </c>
      <c r="F72" s="31">
        <v>166</v>
      </c>
      <c r="G72" s="64">
        <f t="shared" si="16"/>
        <v>0.17006802721088435</v>
      </c>
      <c r="H72" s="64">
        <f t="shared" si="16"/>
        <v>0.16901408450704225</v>
      </c>
      <c r="I72" s="31"/>
      <c r="J72" s="31"/>
      <c r="K72" s="31"/>
      <c r="L72" s="31"/>
      <c r="M72" s="36">
        <v>0.9</v>
      </c>
      <c r="N72" s="36">
        <v>0.03</v>
      </c>
      <c r="O72" s="36">
        <v>0.97</v>
      </c>
      <c r="P72" s="36">
        <v>0.33</v>
      </c>
      <c r="Q72" s="36">
        <v>1</v>
      </c>
      <c r="R72" s="307">
        <v>176</v>
      </c>
      <c r="S72" s="307">
        <v>0</v>
      </c>
      <c r="T72" s="386">
        <v>5</v>
      </c>
      <c r="U72" s="345" t="str">
        <f t="shared" si="11"/>
        <v>Normal</v>
      </c>
      <c r="V72" s="345" t="str">
        <f t="shared" si="12"/>
        <v>Normal</v>
      </c>
      <c r="W72" s="350">
        <f t="shared" si="13"/>
        <v>0.17006802721088435</v>
      </c>
      <c r="X72" s="351">
        <f t="shared" si="14"/>
        <v>0.16901408450704225</v>
      </c>
      <c r="Y72" s="340"/>
      <c r="Z72" s="340"/>
      <c r="AA72" s="340"/>
      <c r="AB72" s="340"/>
      <c r="AC72" s="338"/>
      <c r="AD72" s="338"/>
      <c r="AE72" s="338"/>
      <c r="AF72" s="338"/>
      <c r="AG72" s="338"/>
      <c r="AH72" s="338"/>
      <c r="AI72" s="338"/>
    </row>
    <row r="73" spans="1:35">
      <c r="A73" s="21">
        <v>45088</v>
      </c>
      <c r="B73" s="17">
        <f>IF(YEAR(Table7[[#This Row],[Date]]) = 2023, WEEKNUM(Table7[[#This Row],[Date]])-13, WEEKNUM(Table7[[#This Row],[Date]])+40)</f>
        <v>11</v>
      </c>
      <c r="C73" s="9" t="s">
        <v>48</v>
      </c>
      <c r="D73" s="35" t="s">
        <v>94</v>
      </c>
      <c r="E73" s="1">
        <v>0</v>
      </c>
      <c r="F73" s="1">
        <v>0</v>
      </c>
      <c r="G73" s="64">
        <f t="shared" si="16"/>
        <v>0</v>
      </c>
      <c r="H73" s="64">
        <f t="shared" si="16"/>
        <v>0</v>
      </c>
      <c r="I73" s="1">
        <v>0</v>
      </c>
      <c r="J73" s="1">
        <v>0</v>
      </c>
      <c r="K73" s="1">
        <v>0</v>
      </c>
      <c r="L73" s="1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293">
        <v>0</v>
      </c>
      <c r="S73" s="293">
        <v>0</v>
      </c>
      <c r="T73" s="386">
        <v>0</v>
      </c>
      <c r="U73" s="345" t="str">
        <f t="shared" si="11"/>
        <v>Normal</v>
      </c>
      <c r="V73" s="345" t="str">
        <f t="shared" si="12"/>
        <v>Normal</v>
      </c>
      <c r="W73" s="350">
        <f t="shared" si="13"/>
        <v>0</v>
      </c>
      <c r="X73" s="351">
        <f t="shared" si="14"/>
        <v>0</v>
      </c>
      <c r="Y73" s="340"/>
      <c r="Z73" s="340"/>
      <c r="AA73" s="340"/>
      <c r="AB73" s="340"/>
      <c r="AC73" s="338"/>
      <c r="AD73" s="338"/>
      <c r="AE73" s="338"/>
      <c r="AF73" s="338"/>
      <c r="AG73" s="338"/>
      <c r="AH73" s="338"/>
      <c r="AI73" s="338"/>
    </row>
    <row r="74" spans="1:35">
      <c r="A74" s="21">
        <v>45089</v>
      </c>
      <c r="B74" s="17">
        <f>IF(YEAR(Table7[[#This Row],[Date]]) = 2023, WEEKNUM(Table7[[#This Row],[Date]])-13, WEEKNUM(Table7[[#This Row],[Date]])+40)</f>
        <v>11</v>
      </c>
      <c r="C74" s="35" t="s">
        <v>49</v>
      </c>
      <c r="D74" s="35" t="s">
        <v>94</v>
      </c>
      <c r="E74" s="31">
        <v>547</v>
      </c>
      <c r="F74" s="31">
        <v>493</v>
      </c>
      <c r="G74" s="64">
        <f t="shared" ref="G74:H74" si="17">IFERROR((E74-E67)/E67,0%)</f>
        <v>-9.7359735973597358E-2</v>
      </c>
      <c r="H74" s="64">
        <f t="shared" si="17"/>
        <v>-0.12588652482269502</v>
      </c>
      <c r="I74" s="31"/>
      <c r="J74" s="31"/>
      <c r="K74" s="31"/>
      <c r="L74" s="31"/>
      <c r="M74" s="36">
        <v>0.79</v>
      </c>
      <c r="N74" s="36">
        <v>0.1</v>
      </c>
      <c r="O74" s="36">
        <v>0.9</v>
      </c>
      <c r="P74" s="36">
        <v>0.87</v>
      </c>
      <c r="Q74" s="36">
        <v>1</v>
      </c>
      <c r="R74" s="307">
        <v>189</v>
      </c>
      <c r="S74" s="307">
        <v>0</v>
      </c>
      <c r="T74" s="386">
        <v>4</v>
      </c>
      <c r="U74" s="345" t="str">
        <f t="shared" si="11"/>
        <v>Normal</v>
      </c>
      <c r="V74" s="345" t="str">
        <f t="shared" si="12"/>
        <v>Normal</v>
      </c>
      <c r="W74" s="350">
        <f t="shared" si="13"/>
        <v>-9.7359735973597358E-2</v>
      </c>
      <c r="X74" s="351">
        <f t="shared" si="14"/>
        <v>-0.12588652482269502</v>
      </c>
      <c r="Y74" s="340"/>
      <c r="Z74" s="340"/>
      <c r="AA74" s="340"/>
      <c r="AB74" s="340"/>
      <c r="AC74" s="338"/>
      <c r="AD74" s="338"/>
      <c r="AE74" s="338"/>
      <c r="AF74" s="338"/>
      <c r="AG74" s="338"/>
      <c r="AH74" s="338"/>
      <c r="AI74" s="338"/>
    </row>
    <row r="75" spans="1:35">
      <c r="A75" s="21">
        <v>45090</v>
      </c>
      <c r="B75" s="17">
        <f>IF(YEAR(Table7[[#This Row],[Date]]) = 2023, WEEKNUM(Table7[[#This Row],[Date]])-13, WEEKNUM(Table7[[#This Row],[Date]])+40)</f>
        <v>11</v>
      </c>
      <c r="C75" s="9" t="s">
        <v>50</v>
      </c>
      <c r="D75" s="35" t="s">
        <v>94</v>
      </c>
      <c r="E75" s="1">
        <v>452</v>
      </c>
      <c r="F75" s="1">
        <v>432</v>
      </c>
      <c r="G75" s="64">
        <f t="shared" ref="G75:H77" si="18">IFERROR((E75-E68)/E68,0%)</f>
        <v>-6.0291060291060294E-2</v>
      </c>
      <c r="H75" s="64">
        <f t="shared" si="18"/>
        <v>-5.8823529411764705E-2</v>
      </c>
      <c r="I75" s="1"/>
      <c r="J75" s="1"/>
      <c r="K75" s="1"/>
      <c r="L75" s="1"/>
      <c r="M75" s="18">
        <v>0.88</v>
      </c>
      <c r="N75" s="18">
        <v>0.04</v>
      </c>
      <c r="O75" s="18">
        <v>0.96</v>
      </c>
      <c r="P75" s="18">
        <v>0.6</v>
      </c>
      <c r="Q75" s="18">
        <v>1</v>
      </c>
      <c r="R75" s="293">
        <v>183</v>
      </c>
      <c r="S75" s="293">
        <v>0</v>
      </c>
      <c r="T75" s="386">
        <v>5</v>
      </c>
      <c r="U75" s="345" t="str">
        <f t="shared" si="11"/>
        <v>Normal</v>
      </c>
      <c r="V75" s="345" t="str">
        <f t="shared" si="12"/>
        <v>Normal</v>
      </c>
      <c r="W75" s="350">
        <f t="shared" si="13"/>
        <v>-6.0291060291060294E-2</v>
      </c>
      <c r="X75" s="351">
        <f t="shared" si="14"/>
        <v>-5.8823529411764705E-2</v>
      </c>
      <c r="Y75" s="340"/>
      <c r="Z75" s="340"/>
      <c r="AA75" s="340"/>
      <c r="AB75" s="340"/>
      <c r="AC75" s="338"/>
      <c r="AD75" s="338"/>
      <c r="AE75" s="338"/>
      <c r="AF75" s="338"/>
      <c r="AG75" s="338"/>
      <c r="AH75" s="338"/>
      <c r="AI75" s="338"/>
    </row>
    <row r="76" spans="1:35">
      <c r="A76" s="21">
        <v>45091</v>
      </c>
      <c r="B76" s="17">
        <f>IF(YEAR(Table7[[#This Row],[Date]]) = 2023, WEEKNUM(Table7[[#This Row],[Date]])-13, WEEKNUM(Table7[[#This Row],[Date]])+40)</f>
        <v>11</v>
      </c>
      <c r="C76" s="35" t="s">
        <v>51</v>
      </c>
      <c r="D76" s="35" t="s">
        <v>94</v>
      </c>
      <c r="E76" s="31">
        <v>473</v>
      </c>
      <c r="F76" s="31">
        <v>458</v>
      </c>
      <c r="G76" s="64">
        <f t="shared" si="18"/>
        <v>4.246284501061571E-3</v>
      </c>
      <c r="H76" s="64">
        <f t="shared" si="18"/>
        <v>1.5521064301552107E-2</v>
      </c>
      <c r="I76" s="31"/>
      <c r="J76" s="31"/>
      <c r="K76" s="31"/>
      <c r="L76" s="31"/>
      <c r="M76" s="36">
        <v>0.92</v>
      </c>
      <c r="N76" s="36">
        <v>0.03</v>
      </c>
      <c r="O76" s="36">
        <v>0.97</v>
      </c>
      <c r="P76" s="36">
        <v>0.64</v>
      </c>
      <c r="Q76" s="36">
        <v>1</v>
      </c>
      <c r="R76" s="307">
        <v>184</v>
      </c>
      <c r="S76" s="307">
        <v>0</v>
      </c>
      <c r="T76" s="386">
        <v>5</v>
      </c>
      <c r="U76" s="345" t="str">
        <f t="shared" si="11"/>
        <v>Normal</v>
      </c>
      <c r="V76" s="345" t="str">
        <f t="shared" si="12"/>
        <v>Normal</v>
      </c>
      <c r="W76" s="350">
        <f t="shared" si="13"/>
        <v>4.246284501061571E-3</v>
      </c>
      <c r="X76" s="351">
        <f t="shared" si="14"/>
        <v>1.5521064301552107E-2</v>
      </c>
      <c r="Y76" s="340"/>
      <c r="Z76" s="340"/>
      <c r="AA76" s="340"/>
      <c r="AB76" s="340"/>
      <c r="AC76" s="338"/>
      <c r="AD76" s="338"/>
      <c r="AE76" s="338"/>
      <c r="AF76" s="338"/>
      <c r="AG76" s="338"/>
      <c r="AH76" s="338"/>
      <c r="AI76" s="338"/>
    </row>
    <row r="77" spans="1:35">
      <c r="A77" s="21">
        <v>45092</v>
      </c>
      <c r="B77" s="17">
        <f>IF(YEAR(Table7[[#This Row],[Date]]) = 2023, WEEKNUM(Table7[[#This Row],[Date]])-13, WEEKNUM(Table7[[#This Row],[Date]])+40)</f>
        <v>11</v>
      </c>
      <c r="C77" s="9" t="s">
        <v>52</v>
      </c>
      <c r="D77" s="35" t="s">
        <v>94</v>
      </c>
      <c r="E77" s="1">
        <v>395</v>
      </c>
      <c r="F77" s="1">
        <v>388</v>
      </c>
      <c r="G77" s="64">
        <f t="shared" si="18"/>
        <v>0.44688644688644691</v>
      </c>
      <c r="H77" s="64">
        <f t="shared" si="18"/>
        <v>0.46415094339622642</v>
      </c>
      <c r="I77" s="1"/>
      <c r="J77" s="1"/>
      <c r="K77" s="1"/>
      <c r="L77" s="1"/>
      <c r="M77" s="18">
        <v>0.95</v>
      </c>
      <c r="N77" s="18">
        <v>0.02</v>
      </c>
      <c r="O77" s="18">
        <v>0.98</v>
      </c>
      <c r="P77" s="18">
        <v>0.53</v>
      </c>
      <c r="Q77" s="18">
        <v>1</v>
      </c>
      <c r="R77" s="293">
        <v>180</v>
      </c>
      <c r="S77" s="293">
        <v>0</v>
      </c>
      <c r="T77" s="386">
        <v>5</v>
      </c>
      <c r="U77" s="345" t="str">
        <f t="shared" si="11"/>
        <v>Normal</v>
      </c>
      <c r="V77" s="345" t="str">
        <f t="shared" si="12"/>
        <v>Normal</v>
      </c>
      <c r="W77" s="350">
        <f t="shared" si="13"/>
        <v>0.44688644688644691</v>
      </c>
      <c r="X77" s="351">
        <f t="shared" si="14"/>
        <v>0.46415094339622642</v>
      </c>
      <c r="Y77" s="340"/>
      <c r="Z77" s="340"/>
      <c r="AA77" s="340"/>
      <c r="AB77" s="340"/>
      <c r="AC77" s="338"/>
      <c r="AD77" s="338"/>
      <c r="AE77" s="338"/>
      <c r="AF77" s="338"/>
      <c r="AG77" s="338"/>
      <c r="AH77" s="338"/>
      <c r="AI77" s="338"/>
    </row>
    <row r="78" spans="1:35">
      <c r="A78" s="21">
        <v>45093</v>
      </c>
      <c r="B78" s="17">
        <f>IF(YEAR(Table7[[#This Row],[Date]]) = 2023, WEEKNUM(Table7[[#This Row],[Date]])-13, WEEKNUM(Table7[[#This Row],[Date]])+40)</f>
        <v>11</v>
      </c>
      <c r="C78" s="35" t="s">
        <v>53</v>
      </c>
      <c r="D78" s="35" t="s">
        <v>94</v>
      </c>
      <c r="E78" s="31">
        <v>385</v>
      </c>
      <c r="F78" s="31">
        <v>375</v>
      </c>
      <c r="G78" s="64">
        <f t="shared" ref="G78:H78" si="19">IFERROR((E78-E71)/E71,0%)</f>
        <v>-0.125</v>
      </c>
      <c r="H78" s="64">
        <f t="shared" si="19"/>
        <v>-9.8557692307692304E-2</v>
      </c>
      <c r="I78" s="31"/>
      <c r="J78" s="31"/>
      <c r="K78" s="31"/>
      <c r="L78" s="31"/>
      <c r="M78" s="36">
        <v>0.95</v>
      </c>
      <c r="N78" s="36">
        <v>0.03</v>
      </c>
      <c r="O78" s="36">
        <v>0.97</v>
      </c>
      <c r="P78" s="36">
        <v>0.43</v>
      </c>
      <c r="Q78" s="36">
        <v>1</v>
      </c>
      <c r="R78" s="307">
        <v>168</v>
      </c>
      <c r="S78" s="307">
        <v>0</v>
      </c>
      <c r="T78" s="386">
        <v>5</v>
      </c>
      <c r="U78" s="345" t="str">
        <f t="shared" si="11"/>
        <v>Normal</v>
      </c>
      <c r="V78" s="345" t="str">
        <f t="shared" si="12"/>
        <v>Normal</v>
      </c>
      <c r="W78" s="350">
        <f t="shared" si="13"/>
        <v>-0.125</v>
      </c>
      <c r="X78" s="351">
        <f t="shared" si="14"/>
        <v>-9.8557692307692304E-2</v>
      </c>
      <c r="Y78" s="340"/>
      <c r="Z78" s="340"/>
      <c r="AA78" s="340"/>
      <c r="AB78" s="340"/>
      <c r="AC78" s="338"/>
      <c r="AD78" s="338"/>
      <c r="AE78" s="338"/>
      <c r="AF78" s="338"/>
      <c r="AG78" s="338"/>
      <c r="AH78" s="338"/>
      <c r="AI78" s="338"/>
    </row>
    <row r="79" spans="1:35">
      <c r="A79" s="21">
        <v>45094</v>
      </c>
      <c r="B79" s="17">
        <f>IF(YEAR(Table7[[#This Row],[Date]]) = 2023, WEEKNUM(Table7[[#This Row],[Date]])-13, WEEKNUM(Table7[[#This Row],[Date]])+40)</f>
        <v>11</v>
      </c>
      <c r="C79" s="9" t="s">
        <v>54</v>
      </c>
      <c r="D79" s="35" t="s">
        <v>94</v>
      </c>
      <c r="E79" s="1">
        <v>111</v>
      </c>
      <c r="F79" s="1">
        <v>110</v>
      </c>
      <c r="G79" s="64">
        <f t="shared" ref="G79:H81" si="20">IFERROR((E79-E72)/E72,0%)</f>
        <v>-0.35465116279069769</v>
      </c>
      <c r="H79" s="64">
        <f t="shared" si="20"/>
        <v>-0.33734939759036142</v>
      </c>
      <c r="I79" s="1"/>
      <c r="J79" s="1"/>
      <c r="K79" s="1"/>
      <c r="L79" s="1"/>
      <c r="M79" s="18">
        <v>0.96</v>
      </c>
      <c r="N79" s="18">
        <v>0.01</v>
      </c>
      <c r="O79" s="18">
        <v>0.99</v>
      </c>
      <c r="P79" s="18">
        <v>0.34</v>
      </c>
      <c r="Q79" s="18">
        <v>1</v>
      </c>
      <c r="R79" s="293">
        <v>218</v>
      </c>
      <c r="S79" s="293">
        <v>0</v>
      </c>
      <c r="T79" s="386">
        <v>4</v>
      </c>
      <c r="U79" s="345" t="str">
        <f t="shared" si="11"/>
        <v>Normal</v>
      </c>
      <c r="V79" s="345" t="str">
        <f t="shared" si="12"/>
        <v>Normal</v>
      </c>
      <c r="W79" s="350">
        <f t="shared" si="13"/>
        <v>-0.35465116279069769</v>
      </c>
      <c r="X79" s="351">
        <f t="shared" si="14"/>
        <v>-0.33734939759036142</v>
      </c>
      <c r="Y79" s="340"/>
      <c r="Z79" s="340"/>
      <c r="AA79" s="340"/>
      <c r="AB79" s="340"/>
      <c r="AC79" s="338"/>
      <c r="AD79" s="338"/>
      <c r="AE79" s="338"/>
      <c r="AF79" s="338"/>
      <c r="AG79" s="338"/>
      <c r="AH79" s="338"/>
      <c r="AI79" s="338"/>
    </row>
    <row r="80" spans="1:35">
      <c r="A80" s="21">
        <v>45095</v>
      </c>
      <c r="B80" s="17">
        <f>IF(YEAR(Table7[[#This Row],[Date]]) = 2023, WEEKNUM(Table7[[#This Row],[Date]])-13, WEEKNUM(Table7[[#This Row],[Date]])+40)</f>
        <v>12</v>
      </c>
      <c r="C80" s="35" t="s">
        <v>48</v>
      </c>
      <c r="D80" s="35" t="s">
        <v>94</v>
      </c>
      <c r="E80" s="31">
        <v>0</v>
      </c>
      <c r="F80" s="31">
        <v>0</v>
      </c>
      <c r="G80" s="64">
        <f t="shared" si="20"/>
        <v>0</v>
      </c>
      <c r="H80" s="64">
        <f t="shared" si="20"/>
        <v>0</v>
      </c>
      <c r="I80" s="31">
        <v>0</v>
      </c>
      <c r="J80" s="31">
        <v>0</v>
      </c>
      <c r="K80" s="31">
        <v>0</v>
      </c>
      <c r="L80" s="31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07">
        <v>0</v>
      </c>
      <c r="S80" s="307">
        <v>0</v>
      </c>
      <c r="T80" s="386">
        <v>0</v>
      </c>
      <c r="U80" s="345" t="str">
        <f t="shared" si="11"/>
        <v>Normal</v>
      </c>
      <c r="V80" s="345" t="str">
        <f t="shared" si="12"/>
        <v>Normal</v>
      </c>
      <c r="W80" s="350">
        <f t="shared" si="13"/>
        <v>0</v>
      </c>
      <c r="X80" s="351">
        <f t="shared" si="14"/>
        <v>0</v>
      </c>
      <c r="Y80" s="340"/>
      <c r="Z80" s="340"/>
      <c r="AA80" s="340"/>
      <c r="AB80" s="340"/>
      <c r="AC80" s="338"/>
      <c r="AD80" s="338"/>
      <c r="AE80" s="338"/>
      <c r="AF80" s="338"/>
      <c r="AG80" s="338"/>
      <c r="AH80" s="338"/>
      <c r="AI80" s="338"/>
    </row>
    <row r="81" spans="1:35">
      <c r="A81" s="21">
        <v>45096</v>
      </c>
      <c r="B81" s="17">
        <f>IF(YEAR(Table7[[#This Row],[Date]]) = 2023, WEEKNUM(Table7[[#This Row],[Date]])-13, WEEKNUM(Table7[[#This Row],[Date]])+40)</f>
        <v>12</v>
      </c>
      <c r="C81" s="9" t="s">
        <v>49</v>
      </c>
      <c r="D81" s="35" t="s">
        <v>94</v>
      </c>
      <c r="E81" s="1">
        <v>392</v>
      </c>
      <c r="F81" s="1">
        <v>382</v>
      </c>
      <c r="G81" s="64">
        <f t="shared" si="20"/>
        <v>-0.28336380255941501</v>
      </c>
      <c r="H81" s="64">
        <f t="shared" si="20"/>
        <v>-0.22515212981744423</v>
      </c>
      <c r="I81" s="1"/>
      <c r="J81" s="1"/>
      <c r="K81" s="1"/>
      <c r="L81" s="1"/>
      <c r="M81" s="18">
        <v>0.96</v>
      </c>
      <c r="N81" s="18">
        <v>0.03</v>
      </c>
      <c r="O81" s="18">
        <v>0.97</v>
      </c>
      <c r="P81" s="18">
        <v>0.53</v>
      </c>
      <c r="Q81" s="18">
        <v>1</v>
      </c>
      <c r="R81" s="293">
        <v>183</v>
      </c>
      <c r="S81" s="293">
        <v>0</v>
      </c>
      <c r="T81" s="386">
        <v>5</v>
      </c>
      <c r="U81" s="345" t="str">
        <f t="shared" si="11"/>
        <v>Normal</v>
      </c>
      <c r="V81" s="345" t="str">
        <f t="shared" si="12"/>
        <v>Normal</v>
      </c>
      <c r="W81" s="350">
        <f t="shared" si="13"/>
        <v>-0.28336380255941501</v>
      </c>
      <c r="X81" s="351">
        <f t="shared" si="14"/>
        <v>-0.22515212981744423</v>
      </c>
      <c r="Y81" s="340"/>
      <c r="Z81" s="340"/>
      <c r="AA81" s="340"/>
      <c r="AB81" s="340"/>
      <c r="AC81" s="338"/>
      <c r="AD81" s="338"/>
      <c r="AE81" s="338"/>
      <c r="AF81" s="338"/>
      <c r="AG81" s="338"/>
      <c r="AH81" s="338"/>
      <c r="AI81" s="338"/>
    </row>
    <row r="82" spans="1:35">
      <c r="A82" s="21">
        <v>45097</v>
      </c>
      <c r="B82" s="17">
        <f>IF(YEAR(Table7[[#This Row],[Date]]) = 2023, WEEKNUM(Table7[[#This Row],[Date]])-13, WEEKNUM(Table7[[#This Row],[Date]])+40)</f>
        <v>12</v>
      </c>
      <c r="C82" s="35" t="s">
        <v>50</v>
      </c>
      <c r="D82" s="35" t="s">
        <v>94</v>
      </c>
      <c r="E82" s="31">
        <v>335</v>
      </c>
      <c r="F82" s="31">
        <v>324</v>
      </c>
      <c r="G82" s="64">
        <f t="shared" ref="G82:H82" si="21">IFERROR((E82-E75)/E75,0%)</f>
        <v>-0.25884955752212391</v>
      </c>
      <c r="H82" s="64">
        <f t="shared" si="21"/>
        <v>-0.25</v>
      </c>
      <c r="I82" s="31"/>
      <c r="J82" s="31"/>
      <c r="K82" s="31"/>
      <c r="L82" s="31"/>
      <c r="M82" s="36">
        <v>0.95</v>
      </c>
      <c r="N82" s="36">
        <v>0.03</v>
      </c>
      <c r="O82" s="36">
        <v>0.97</v>
      </c>
      <c r="P82" s="36">
        <v>0.39</v>
      </c>
      <c r="Q82" s="36">
        <v>1</v>
      </c>
      <c r="R82" s="307">
        <v>179</v>
      </c>
      <c r="S82" s="307">
        <v>0</v>
      </c>
      <c r="T82" s="386">
        <v>5</v>
      </c>
      <c r="U82" s="345" t="str">
        <f t="shared" si="11"/>
        <v>Normal</v>
      </c>
      <c r="V82" s="345" t="str">
        <f t="shared" si="12"/>
        <v>Normal</v>
      </c>
      <c r="W82" s="350">
        <f t="shared" si="13"/>
        <v>-0.25884955752212391</v>
      </c>
      <c r="X82" s="351">
        <f t="shared" si="14"/>
        <v>-0.25</v>
      </c>
      <c r="Y82" s="340"/>
      <c r="Z82" s="340"/>
      <c r="AA82" s="340"/>
      <c r="AB82" s="340"/>
      <c r="AC82" s="338"/>
      <c r="AD82" s="338"/>
      <c r="AE82" s="338"/>
      <c r="AF82" s="338"/>
      <c r="AG82" s="338"/>
      <c r="AH82" s="338"/>
      <c r="AI82" s="338"/>
    </row>
    <row r="83" spans="1:35">
      <c r="A83" s="21">
        <v>45098</v>
      </c>
      <c r="B83" s="17">
        <f>IF(YEAR(Table7[[#This Row],[Date]]) = 2023, WEEKNUM(Table7[[#This Row],[Date]])-13, WEEKNUM(Table7[[#This Row],[Date]])+40)</f>
        <v>12</v>
      </c>
      <c r="C83" s="9" t="s">
        <v>51</v>
      </c>
      <c r="D83" s="35" t="s">
        <v>94</v>
      </c>
      <c r="E83" s="1">
        <v>315</v>
      </c>
      <c r="F83" s="1">
        <v>310</v>
      </c>
      <c r="G83" s="64">
        <f t="shared" ref="G83:H84" si="22">IFERROR((E83-E76)/E76,0%)</f>
        <v>-0.33403805496828753</v>
      </c>
      <c r="H83" s="64">
        <f t="shared" si="22"/>
        <v>-0.32314410480349343</v>
      </c>
      <c r="I83" s="1"/>
      <c r="J83" s="1"/>
      <c r="K83" s="1"/>
      <c r="L83" s="1"/>
      <c r="M83" s="18">
        <v>0.95</v>
      </c>
      <c r="N83" s="18">
        <v>0.02</v>
      </c>
      <c r="O83" s="18">
        <v>0.98</v>
      </c>
      <c r="P83" s="18">
        <v>0.36</v>
      </c>
      <c r="Q83" s="18">
        <v>1</v>
      </c>
      <c r="R83" s="293">
        <v>171</v>
      </c>
      <c r="S83" s="293">
        <v>0</v>
      </c>
      <c r="T83" s="386">
        <v>5</v>
      </c>
      <c r="U83" s="345" t="str">
        <f t="shared" si="11"/>
        <v>Normal</v>
      </c>
      <c r="V83" s="345" t="str">
        <f t="shared" si="12"/>
        <v>Normal</v>
      </c>
      <c r="W83" s="350">
        <f t="shared" si="13"/>
        <v>-0.33403805496828753</v>
      </c>
      <c r="X83" s="351">
        <f t="shared" si="14"/>
        <v>-0.32314410480349343</v>
      </c>
      <c r="Y83" s="340"/>
      <c r="Z83" s="340"/>
      <c r="AA83" s="340"/>
      <c r="AB83" s="340"/>
      <c r="AC83" s="338"/>
      <c r="AD83" s="338"/>
      <c r="AE83" s="338"/>
      <c r="AF83" s="338"/>
      <c r="AG83" s="338"/>
      <c r="AH83" s="338"/>
      <c r="AI83" s="338"/>
    </row>
    <row r="84" spans="1:35">
      <c r="A84" s="21">
        <v>45099</v>
      </c>
      <c r="B84" s="17">
        <f>IF(YEAR(Table7[[#This Row],[Date]]) = 2023, WEEKNUM(Table7[[#This Row],[Date]])-13, WEEKNUM(Table7[[#This Row],[Date]])+40)</f>
        <v>12</v>
      </c>
      <c r="C84" s="35" t="s">
        <v>52</v>
      </c>
      <c r="D84" s="35" t="s">
        <v>94</v>
      </c>
      <c r="E84" s="31">
        <v>189</v>
      </c>
      <c r="F84" s="31">
        <v>181</v>
      </c>
      <c r="G84" s="64">
        <f t="shared" si="22"/>
        <v>-0.52151898734177216</v>
      </c>
      <c r="H84" s="64">
        <f t="shared" si="22"/>
        <v>-0.53350515463917525</v>
      </c>
      <c r="I84" s="31"/>
      <c r="J84" s="31"/>
      <c r="K84" s="31"/>
      <c r="L84" s="31"/>
      <c r="M84" s="36">
        <v>0.92</v>
      </c>
      <c r="N84" s="36">
        <v>0.04</v>
      </c>
      <c r="O84" s="36">
        <v>0.96</v>
      </c>
      <c r="P84" s="36">
        <v>0.43</v>
      </c>
      <c r="Q84" s="36">
        <v>1</v>
      </c>
      <c r="R84" s="307">
        <v>182</v>
      </c>
      <c r="S84" s="307">
        <v>0</v>
      </c>
      <c r="T84" s="386">
        <v>5</v>
      </c>
      <c r="U84" s="345" t="str">
        <f t="shared" si="11"/>
        <v>Normal</v>
      </c>
      <c r="V84" s="345" t="str">
        <f t="shared" si="12"/>
        <v>Normal</v>
      </c>
      <c r="W84" s="350">
        <f t="shared" si="13"/>
        <v>-0.52151898734177216</v>
      </c>
      <c r="X84" s="351">
        <f t="shared" si="14"/>
        <v>-0.53350515463917525</v>
      </c>
      <c r="Y84" s="340"/>
      <c r="Z84" s="340"/>
      <c r="AA84" s="340"/>
      <c r="AB84" s="340"/>
      <c r="AC84" s="338"/>
      <c r="AD84" s="338"/>
      <c r="AE84" s="338"/>
      <c r="AF84" s="338"/>
      <c r="AG84" s="338"/>
      <c r="AH84" s="338"/>
      <c r="AI84" s="338"/>
    </row>
    <row r="85" spans="1:35">
      <c r="A85" s="21">
        <v>45100</v>
      </c>
      <c r="B85" s="17">
        <f>IF(YEAR(Table7[[#This Row],[Date]]) = 2023, WEEKNUM(Table7[[#This Row],[Date]])-13, WEEKNUM(Table7[[#This Row],[Date]])+40)</f>
        <v>12</v>
      </c>
      <c r="C85" s="9" t="s">
        <v>64</v>
      </c>
      <c r="D85" s="35" t="s">
        <v>94</v>
      </c>
      <c r="E85" s="1">
        <v>0</v>
      </c>
      <c r="F85" s="1">
        <v>0</v>
      </c>
      <c r="G85" s="64">
        <v>0</v>
      </c>
      <c r="H85" s="64">
        <v>0</v>
      </c>
      <c r="I85" s="1">
        <v>0</v>
      </c>
      <c r="J85" s="1">
        <v>0</v>
      </c>
      <c r="K85" s="1">
        <v>0</v>
      </c>
      <c r="L85" s="1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293">
        <v>0</v>
      </c>
      <c r="S85" s="293">
        <v>0</v>
      </c>
      <c r="T85" s="386">
        <v>0</v>
      </c>
      <c r="U85" s="345" t="str">
        <f t="shared" si="11"/>
        <v>Normal</v>
      </c>
      <c r="V85" s="345" t="str">
        <f t="shared" si="12"/>
        <v>Normal</v>
      </c>
      <c r="W85" s="350">
        <f t="shared" si="13"/>
        <v>0</v>
      </c>
      <c r="X85" s="351">
        <f t="shared" si="14"/>
        <v>0</v>
      </c>
      <c r="Y85" s="340"/>
      <c r="Z85" s="340"/>
      <c r="AA85" s="340"/>
      <c r="AB85" s="340"/>
      <c r="AC85" s="338"/>
      <c r="AD85" s="338"/>
      <c r="AE85" s="338"/>
      <c r="AF85" s="338"/>
      <c r="AG85" s="338"/>
      <c r="AH85" s="338"/>
      <c r="AI85" s="338"/>
    </row>
    <row r="86" spans="1:35">
      <c r="A86" s="21">
        <v>45101</v>
      </c>
      <c r="B86" s="17">
        <f>IF(YEAR(Table7[[#This Row],[Date]]) = 2023, WEEKNUM(Table7[[#This Row],[Date]])-13, WEEKNUM(Table7[[#This Row],[Date]])+40)</f>
        <v>12</v>
      </c>
      <c r="C86" s="35" t="s">
        <v>54</v>
      </c>
      <c r="D86" s="35" t="s">
        <v>94</v>
      </c>
      <c r="E86" s="31">
        <v>129</v>
      </c>
      <c r="F86" s="31">
        <v>126</v>
      </c>
      <c r="G86" s="64">
        <f t="shared" ref="G86:H86" si="23">IFERROR((E86-E79)/E79,0%)</f>
        <v>0.16216216216216217</v>
      </c>
      <c r="H86" s="64">
        <f t="shared" si="23"/>
        <v>0.14545454545454545</v>
      </c>
      <c r="I86" s="31"/>
      <c r="J86" s="31"/>
      <c r="K86" s="31"/>
      <c r="L86" s="31"/>
      <c r="M86" s="36">
        <v>0.9</v>
      </c>
      <c r="N86" s="36">
        <v>0.02</v>
      </c>
      <c r="O86" s="36">
        <v>0.98</v>
      </c>
      <c r="P86" s="36">
        <v>0.54</v>
      </c>
      <c r="Q86" s="36">
        <v>1</v>
      </c>
      <c r="R86" s="307">
        <v>207</v>
      </c>
      <c r="S86" s="307">
        <v>0</v>
      </c>
      <c r="T86" s="386">
        <v>3</v>
      </c>
      <c r="U86" s="345" t="str">
        <f t="shared" si="11"/>
        <v>Normal</v>
      </c>
      <c r="V86" s="345" t="str">
        <f t="shared" si="12"/>
        <v>Normal</v>
      </c>
      <c r="W86" s="350">
        <f t="shared" si="13"/>
        <v>0.16216216216216217</v>
      </c>
      <c r="X86" s="351">
        <f t="shared" si="14"/>
        <v>0.14545454545454545</v>
      </c>
      <c r="Y86" s="340"/>
      <c r="Z86" s="340"/>
      <c r="AA86" s="340"/>
      <c r="AB86" s="340"/>
      <c r="AC86" s="338"/>
      <c r="AD86" s="338"/>
      <c r="AE86" s="338"/>
      <c r="AF86" s="338"/>
      <c r="AG86" s="338"/>
      <c r="AH86" s="338"/>
      <c r="AI86" s="338"/>
    </row>
    <row r="87" spans="1:35">
      <c r="A87" s="21">
        <v>45102</v>
      </c>
      <c r="B87" s="17">
        <f>IF(YEAR(Table7[[#This Row],[Date]]) = 2023, WEEKNUM(Table7[[#This Row],[Date]])-13, WEEKNUM(Table7[[#This Row],[Date]])+40)</f>
        <v>13</v>
      </c>
      <c r="C87" s="9" t="s">
        <v>48</v>
      </c>
      <c r="D87" s="35" t="s">
        <v>94</v>
      </c>
      <c r="E87" s="1">
        <v>0</v>
      </c>
      <c r="F87" s="1">
        <v>0</v>
      </c>
      <c r="G87" s="64">
        <f t="shared" ref="G87:H89" si="24">IFERROR((E87-E80)/E80,0%)</f>
        <v>0</v>
      </c>
      <c r="H87" s="64">
        <f t="shared" si="24"/>
        <v>0</v>
      </c>
      <c r="I87" s="1">
        <v>0</v>
      </c>
      <c r="J87" s="1">
        <v>0</v>
      </c>
      <c r="K87" s="1">
        <v>0</v>
      </c>
      <c r="L87" s="1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293">
        <v>0</v>
      </c>
      <c r="S87" s="293">
        <v>0</v>
      </c>
      <c r="T87" s="386">
        <v>0</v>
      </c>
      <c r="U87" s="345" t="str">
        <f t="shared" si="11"/>
        <v>Normal</v>
      </c>
      <c r="V87" s="345" t="str">
        <f t="shared" si="12"/>
        <v>Normal</v>
      </c>
      <c r="W87" s="350">
        <f t="shared" si="13"/>
        <v>0</v>
      </c>
      <c r="X87" s="351">
        <f t="shared" si="14"/>
        <v>0</v>
      </c>
      <c r="Y87" s="340"/>
      <c r="Z87" s="340"/>
      <c r="AA87" s="340"/>
      <c r="AB87" s="340"/>
      <c r="AC87" s="338"/>
      <c r="AD87" s="338"/>
      <c r="AE87" s="338"/>
      <c r="AF87" s="338"/>
      <c r="AG87" s="338"/>
      <c r="AH87" s="338"/>
      <c r="AI87" s="338"/>
    </row>
    <row r="88" spans="1:35">
      <c r="A88" s="21">
        <v>45103</v>
      </c>
      <c r="B88" s="17">
        <f>IF(YEAR(Table7[[#This Row],[Date]]) = 2023, WEEKNUM(Table7[[#This Row],[Date]])-13, WEEKNUM(Table7[[#This Row],[Date]])+40)</f>
        <v>13</v>
      </c>
      <c r="C88" s="35" t="s">
        <v>49</v>
      </c>
      <c r="D88" s="35" t="s">
        <v>94</v>
      </c>
      <c r="E88" s="31">
        <v>452</v>
      </c>
      <c r="F88" s="31">
        <v>437</v>
      </c>
      <c r="G88" s="64">
        <f t="shared" si="24"/>
        <v>0.15306122448979592</v>
      </c>
      <c r="H88" s="64">
        <f t="shared" si="24"/>
        <v>0.14397905759162305</v>
      </c>
      <c r="I88" s="31"/>
      <c r="J88" s="31"/>
      <c r="K88" s="31"/>
      <c r="L88" s="31"/>
      <c r="M88" s="36">
        <v>0.9</v>
      </c>
      <c r="N88" s="36">
        <v>0.03</v>
      </c>
      <c r="O88" s="36">
        <v>0.97</v>
      </c>
      <c r="P88" s="36">
        <v>0.62</v>
      </c>
      <c r="Q88" s="36">
        <v>1</v>
      </c>
      <c r="R88" s="307">
        <v>192</v>
      </c>
      <c r="S88" s="307">
        <v>0</v>
      </c>
      <c r="T88" s="386">
        <v>5</v>
      </c>
      <c r="U88" s="345" t="str">
        <f t="shared" si="11"/>
        <v>Normal</v>
      </c>
      <c r="V88" s="345" t="str">
        <f t="shared" si="12"/>
        <v>Normal</v>
      </c>
      <c r="W88" s="350">
        <f t="shared" si="13"/>
        <v>0.15306122448979592</v>
      </c>
      <c r="X88" s="351">
        <f t="shared" si="14"/>
        <v>0.14397905759162305</v>
      </c>
      <c r="Y88" s="340"/>
      <c r="Z88" s="340"/>
      <c r="AA88" s="340"/>
      <c r="AB88" s="340"/>
      <c r="AC88" s="338"/>
      <c r="AD88" s="338"/>
      <c r="AE88" s="338"/>
      <c r="AF88" s="338"/>
      <c r="AG88" s="338"/>
      <c r="AH88" s="338"/>
      <c r="AI88" s="338"/>
    </row>
    <row r="89" spans="1:35">
      <c r="A89" s="21">
        <v>45104</v>
      </c>
      <c r="B89" s="17">
        <f>IF(YEAR(Table7[[#This Row],[Date]]) = 2023, WEEKNUM(Table7[[#This Row],[Date]])-13, WEEKNUM(Table7[[#This Row],[Date]])+40)</f>
        <v>13</v>
      </c>
      <c r="C89" s="9" t="s">
        <v>50</v>
      </c>
      <c r="D89" s="35" t="s">
        <v>94</v>
      </c>
      <c r="E89" s="1">
        <v>407</v>
      </c>
      <c r="F89" s="1">
        <v>394</v>
      </c>
      <c r="G89" s="64">
        <f t="shared" si="24"/>
        <v>0.21492537313432836</v>
      </c>
      <c r="H89" s="64">
        <f t="shared" si="24"/>
        <v>0.21604938271604937</v>
      </c>
      <c r="I89" s="1"/>
      <c r="J89" s="1"/>
      <c r="K89" s="1"/>
      <c r="L89" s="1"/>
      <c r="M89" s="18">
        <v>0.92</v>
      </c>
      <c r="N89" s="18">
        <v>0.03</v>
      </c>
      <c r="O89" s="18">
        <v>0.97</v>
      </c>
      <c r="P89" s="18">
        <v>0.54</v>
      </c>
      <c r="Q89" s="18">
        <v>1</v>
      </c>
      <c r="R89" s="293">
        <v>192</v>
      </c>
      <c r="S89" s="293">
        <v>0</v>
      </c>
      <c r="T89" s="386">
        <v>5</v>
      </c>
      <c r="U89" s="345" t="str">
        <f t="shared" si="11"/>
        <v>Normal</v>
      </c>
      <c r="V89" s="345" t="str">
        <f t="shared" si="12"/>
        <v>Normal</v>
      </c>
      <c r="W89" s="350">
        <f t="shared" si="13"/>
        <v>0.21492537313432836</v>
      </c>
      <c r="X89" s="351">
        <f t="shared" si="14"/>
        <v>0.21604938271604937</v>
      </c>
      <c r="Y89" s="340"/>
      <c r="Z89" s="340"/>
      <c r="AA89" s="340"/>
      <c r="AB89" s="340"/>
      <c r="AC89" s="338"/>
      <c r="AD89" s="338"/>
      <c r="AE89" s="338"/>
      <c r="AF89" s="338"/>
      <c r="AG89" s="338"/>
      <c r="AH89" s="338"/>
      <c r="AI89" s="338"/>
    </row>
    <row r="90" spans="1:35">
      <c r="A90" s="21">
        <v>45105</v>
      </c>
      <c r="B90" s="17">
        <f>IF(YEAR(Table7[[#This Row],[Date]]) = 2023, WEEKNUM(Table7[[#This Row],[Date]])-13, WEEKNUM(Table7[[#This Row],[Date]])+40)</f>
        <v>13</v>
      </c>
      <c r="C90" s="35" t="s">
        <v>51</v>
      </c>
      <c r="D90" s="35" t="s">
        <v>94</v>
      </c>
      <c r="E90" s="31">
        <v>381</v>
      </c>
      <c r="F90" s="31">
        <v>370</v>
      </c>
      <c r="G90" s="64">
        <f t="shared" ref="G90:H90" si="25">IFERROR((E90-E83)/E83,0%)</f>
        <v>0.20952380952380953</v>
      </c>
      <c r="H90" s="64">
        <f t="shared" si="25"/>
        <v>0.19354838709677419</v>
      </c>
      <c r="I90" s="31"/>
      <c r="J90" s="31"/>
      <c r="K90" s="31"/>
      <c r="L90" s="31"/>
      <c r="M90" s="36">
        <v>0.95</v>
      </c>
      <c r="N90" s="36">
        <v>0.03</v>
      </c>
      <c r="O90" s="36">
        <v>0.97</v>
      </c>
      <c r="P90" s="36">
        <v>0.43</v>
      </c>
      <c r="Q90" s="36">
        <v>1</v>
      </c>
      <c r="R90" s="307">
        <v>170</v>
      </c>
      <c r="S90" s="307">
        <v>0</v>
      </c>
      <c r="T90" s="386">
        <v>5</v>
      </c>
      <c r="U90" s="345" t="str">
        <f t="shared" si="11"/>
        <v>Normal</v>
      </c>
      <c r="V90" s="345" t="str">
        <f t="shared" si="12"/>
        <v>Normal</v>
      </c>
      <c r="W90" s="350">
        <f t="shared" si="13"/>
        <v>0.20952380952380953</v>
      </c>
      <c r="X90" s="351">
        <f t="shared" si="14"/>
        <v>0.19354838709677419</v>
      </c>
      <c r="Y90" s="340"/>
      <c r="Z90" s="340"/>
      <c r="AA90" s="340"/>
      <c r="AB90" s="340"/>
      <c r="AC90" s="338"/>
      <c r="AD90" s="338"/>
      <c r="AE90" s="338"/>
      <c r="AF90" s="338"/>
      <c r="AG90" s="338"/>
      <c r="AH90" s="338"/>
      <c r="AI90" s="338"/>
    </row>
    <row r="91" spans="1:35">
      <c r="A91" s="21">
        <v>45106</v>
      </c>
      <c r="B91" s="17">
        <f>IF(YEAR(Table7[[#This Row],[Date]]) = 2023, WEEKNUM(Table7[[#This Row],[Date]])-13, WEEKNUM(Table7[[#This Row],[Date]])+40)</f>
        <v>13</v>
      </c>
      <c r="C91" s="9" t="s">
        <v>52</v>
      </c>
      <c r="D91" s="35" t="s">
        <v>94</v>
      </c>
      <c r="E91" s="1">
        <v>408</v>
      </c>
      <c r="F91" s="1">
        <v>389</v>
      </c>
      <c r="G91" s="64">
        <f t="shared" ref="G91:H93" si="26">IFERROR((E91-E84)/E84,0%)</f>
        <v>1.1587301587301588</v>
      </c>
      <c r="H91" s="64">
        <f t="shared" si="26"/>
        <v>1.149171270718232</v>
      </c>
      <c r="I91" s="1"/>
      <c r="J91" s="1"/>
      <c r="K91" s="1"/>
      <c r="L91" s="1"/>
      <c r="M91" s="18">
        <v>0.93</v>
      </c>
      <c r="N91" s="18">
        <v>0.05</v>
      </c>
      <c r="O91" s="18">
        <v>0.95</v>
      </c>
      <c r="P91" s="18">
        <v>0.55000000000000004</v>
      </c>
      <c r="Q91" s="18">
        <v>1</v>
      </c>
      <c r="R91" s="293">
        <v>189</v>
      </c>
      <c r="S91" s="293">
        <v>0</v>
      </c>
      <c r="T91" s="386">
        <v>5</v>
      </c>
      <c r="U91" s="345" t="str">
        <f t="shared" si="11"/>
        <v>Normal</v>
      </c>
      <c r="V91" s="345" t="str">
        <f t="shared" si="12"/>
        <v>Normal</v>
      </c>
      <c r="W91" s="350">
        <f t="shared" si="13"/>
        <v>1.1587301587301588</v>
      </c>
      <c r="X91" s="351">
        <f t="shared" si="14"/>
        <v>1.149171270718232</v>
      </c>
      <c r="Y91" s="340"/>
      <c r="Z91" s="340"/>
      <c r="AA91" s="340"/>
      <c r="AB91" s="340"/>
      <c r="AC91" s="338"/>
      <c r="AD91" s="338"/>
      <c r="AE91" s="338"/>
      <c r="AF91" s="338"/>
      <c r="AG91" s="338"/>
      <c r="AH91" s="338"/>
      <c r="AI91" s="338"/>
    </row>
    <row r="92" spans="1:35">
      <c r="A92" s="21">
        <v>45107</v>
      </c>
      <c r="B92" s="17">
        <f>IF(YEAR(Table7[[#This Row],[Date]]) = 2023, WEEKNUM(Table7[[#This Row],[Date]])-13, WEEKNUM(Table7[[#This Row],[Date]])+40)</f>
        <v>13</v>
      </c>
      <c r="C92" s="82" t="s">
        <v>53</v>
      </c>
      <c r="D92" s="35" t="s">
        <v>94</v>
      </c>
      <c r="E92" s="77">
        <v>380</v>
      </c>
      <c r="F92" s="77">
        <v>363</v>
      </c>
      <c r="G92" s="64">
        <f t="shared" si="26"/>
        <v>0</v>
      </c>
      <c r="H92" s="64">
        <f t="shared" si="26"/>
        <v>0</v>
      </c>
      <c r="I92" s="77"/>
      <c r="J92" s="77"/>
      <c r="K92" s="77"/>
      <c r="L92" s="77"/>
      <c r="M92" s="83">
        <v>0.91</v>
      </c>
      <c r="N92" s="83">
        <v>0.05</v>
      </c>
      <c r="O92" s="83">
        <v>0.95</v>
      </c>
      <c r="P92" s="83">
        <v>0.59</v>
      </c>
      <c r="Q92" s="83">
        <v>1</v>
      </c>
      <c r="R92" s="307">
        <v>183</v>
      </c>
      <c r="S92" s="307">
        <v>0</v>
      </c>
      <c r="T92" s="386">
        <v>5</v>
      </c>
      <c r="U92" s="345" t="str">
        <f t="shared" si="11"/>
        <v>Normal</v>
      </c>
      <c r="V92" s="345" t="str">
        <f t="shared" si="12"/>
        <v>Normal</v>
      </c>
      <c r="W92" s="350">
        <f t="shared" si="13"/>
        <v>0</v>
      </c>
      <c r="X92" s="351">
        <f t="shared" si="14"/>
        <v>0</v>
      </c>
      <c r="Y92" s="340"/>
      <c r="Z92" s="340"/>
      <c r="AA92" s="340"/>
      <c r="AB92" s="340"/>
      <c r="AC92" s="338"/>
      <c r="AD92" s="338"/>
      <c r="AE92" s="338"/>
      <c r="AF92" s="338"/>
      <c r="AG92" s="338"/>
      <c r="AH92" s="338"/>
      <c r="AI92" s="338"/>
    </row>
    <row r="93" spans="1:35">
      <c r="A93" s="21">
        <v>45108</v>
      </c>
      <c r="B93" s="17">
        <f>IF(YEAR(Table7[[#This Row],[Date]]) = 2023, WEEKNUM(Table7[[#This Row],[Date]])-13, WEEKNUM(Table7[[#This Row],[Date]])+40)</f>
        <v>13</v>
      </c>
      <c r="C93" s="9" t="s">
        <v>54</v>
      </c>
      <c r="D93" s="35" t="s">
        <v>94</v>
      </c>
      <c r="E93" s="1">
        <v>148</v>
      </c>
      <c r="F93" s="1">
        <v>145</v>
      </c>
      <c r="G93" s="64">
        <f t="shared" si="26"/>
        <v>0.14728682170542637</v>
      </c>
      <c r="H93" s="64">
        <f t="shared" si="26"/>
        <v>0.15079365079365079</v>
      </c>
      <c r="I93" s="1"/>
      <c r="J93" s="1"/>
      <c r="K93" s="1"/>
      <c r="L93" s="1"/>
      <c r="M93" s="18">
        <v>0.94</v>
      </c>
      <c r="N93" s="18">
        <v>0.02</v>
      </c>
      <c r="O93" s="18">
        <v>0.98</v>
      </c>
      <c r="P93" s="18">
        <v>0.36</v>
      </c>
      <c r="Q93" s="18">
        <v>1</v>
      </c>
      <c r="R93" s="293">
        <v>174</v>
      </c>
      <c r="S93" s="293">
        <v>0</v>
      </c>
      <c r="T93" s="386">
        <v>4</v>
      </c>
      <c r="U93" s="345" t="str">
        <f t="shared" si="11"/>
        <v>Normal</v>
      </c>
      <c r="V93" s="345" t="str">
        <f t="shared" si="12"/>
        <v>Normal</v>
      </c>
      <c r="W93" s="345">
        <f t="shared" si="13"/>
        <v>0.14728682170542637</v>
      </c>
      <c r="X93" s="416">
        <f t="shared" si="14"/>
        <v>0.15079365079365079</v>
      </c>
      <c r="Y93" s="340"/>
      <c r="Z93" s="340"/>
      <c r="AA93" s="340"/>
      <c r="AB93" s="340"/>
      <c r="AC93" s="338"/>
      <c r="AD93" s="338"/>
      <c r="AE93" s="338"/>
      <c r="AF93" s="338"/>
      <c r="AG93" s="338"/>
      <c r="AH93" s="338"/>
      <c r="AI93" s="338"/>
    </row>
    <row r="94" spans="1:35">
      <c r="A94" s="21">
        <v>45109</v>
      </c>
      <c r="B94" s="17">
        <f>IF(YEAR(Table7[[#This Row],[Date]]) = 2023, WEEKNUM(Table7[[#This Row],[Date]])-13, WEEKNUM(Table7[[#This Row],[Date]])+40)</f>
        <v>14</v>
      </c>
      <c r="C94" s="35" t="s">
        <v>48</v>
      </c>
      <c r="D94" s="35" t="s">
        <v>94</v>
      </c>
      <c r="E94" s="31">
        <v>0</v>
      </c>
      <c r="F94" s="31">
        <v>0</v>
      </c>
      <c r="G94" s="64">
        <f t="shared" ref="G94:H94" si="27">IFERROR((E94-E87)/E87,0%)</f>
        <v>0</v>
      </c>
      <c r="H94" s="64">
        <f t="shared" si="27"/>
        <v>0</v>
      </c>
      <c r="I94" s="31">
        <v>0</v>
      </c>
      <c r="J94" s="31">
        <v>0</v>
      </c>
      <c r="K94" s="31">
        <v>0</v>
      </c>
      <c r="L94" s="31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07">
        <v>0</v>
      </c>
      <c r="S94" s="307">
        <v>0</v>
      </c>
      <c r="T94" s="386">
        <v>0</v>
      </c>
      <c r="U94" s="345" t="str">
        <f t="shared" si="11"/>
        <v>Normal</v>
      </c>
      <c r="V94" s="345" t="str">
        <f t="shared" si="12"/>
        <v>Normal</v>
      </c>
      <c r="W94" s="345">
        <f t="shared" si="13"/>
        <v>0</v>
      </c>
      <c r="X94" s="416">
        <f t="shared" si="14"/>
        <v>0</v>
      </c>
      <c r="Y94" s="340"/>
      <c r="Z94" s="340"/>
      <c r="AA94" s="340"/>
      <c r="AB94" s="340"/>
      <c r="AC94" s="338"/>
      <c r="AD94" s="338"/>
      <c r="AE94" s="338"/>
      <c r="AF94" s="338"/>
      <c r="AG94" s="338"/>
      <c r="AH94" s="338"/>
      <c r="AI94" s="338"/>
    </row>
    <row r="95" spans="1:35">
      <c r="A95" s="21">
        <v>45110</v>
      </c>
      <c r="B95" s="17">
        <f>IF(YEAR(Table7[[#This Row],[Date]]) = 2023, WEEKNUM(Table7[[#This Row],[Date]])-13, WEEKNUM(Table7[[#This Row],[Date]])+40)</f>
        <v>14</v>
      </c>
      <c r="C95" s="9" t="s">
        <v>49</v>
      </c>
      <c r="D95" s="35" t="s">
        <v>94</v>
      </c>
      <c r="E95" s="1">
        <v>427</v>
      </c>
      <c r="F95" s="1">
        <v>414</v>
      </c>
      <c r="G95" s="64">
        <f t="shared" ref="G95:H97" si="28">IFERROR((E95-E88)/E88,0%)</f>
        <v>-5.5309734513274339E-2</v>
      </c>
      <c r="H95" s="64">
        <f t="shared" si="28"/>
        <v>-5.2631578947368418E-2</v>
      </c>
      <c r="I95" s="1"/>
      <c r="J95" s="1"/>
      <c r="K95" s="1"/>
      <c r="L95" s="1"/>
      <c r="M95" s="18">
        <v>0.92</v>
      </c>
      <c r="N95" s="18">
        <v>0.03</v>
      </c>
      <c r="O95" s="18">
        <v>0.97</v>
      </c>
      <c r="P95" s="18">
        <v>0.61</v>
      </c>
      <c r="Q95" s="18">
        <v>1</v>
      </c>
      <c r="R95" s="293">
        <v>199</v>
      </c>
      <c r="S95" s="293">
        <v>0</v>
      </c>
      <c r="T95" s="386">
        <v>5</v>
      </c>
      <c r="U95" s="345" t="str">
        <f t="shared" si="11"/>
        <v>Normal</v>
      </c>
      <c r="V95" s="345" t="str">
        <f t="shared" si="12"/>
        <v>Normal</v>
      </c>
      <c r="W95" s="345">
        <f t="shared" si="13"/>
        <v>-5.5309734513274339E-2</v>
      </c>
      <c r="X95" s="416">
        <f t="shared" si="14"/>
        <v>-5.2631578947368418E-2</v>
      </c>
      <c r="Y95" s="340"/>
      <c r="Z95" s="340"/>
      <c r="AA95" s="340"/>
      <c r="AB95" s="340"/>
      <c r="AC95" s="338"/>
      <c r="AD95" s="338"/>
      <c r="AE95" s="338"/>
      <c r="AF95" s="338"/>
      <c r="AG95" s="338"/>
      <c r="AH95" s="338"/>
      <c r="AI95" s="338"/>
    </row>
    <row r="96" spans="1:35">
      <c r="A96" s="21">
        <v>45111</v>
      </c>
      <c r="B96" s="17">
        <f>IF(YEAR(Table7[[#This Row],[Date]]) = 2023, WEEKNUM(Table7[[#This Row],[Date]])-13, WEEKNUM(Table7[[#This Row],[Date]])+40)</f>
        <v>14</v>
      </c>
      <c r="C96" s="35" t="s">
        <v>50</v>
      </c>
      <c r="D96" s="35" t="s">
        <v>94</v>
      </c>
      <c r="E96" s="31">
        <v>247</v>
      </c>
      <c r="F96" s="31">
        <v>239</v>
      </c>
      <c r="G96" s="64">
        <f t="shared" si="28"/>
        <v>-0.3931203931203931</v>
      </c>
      <c r="H96" s="64">
        <f t="shared" si="28"/>
        <v>-0.39340101522842641</v>
      </c>
      <c r="I96" s="31"/>
      <c r="J96" s="31"/>
      <c r="K96" s="31"/>
      <c r="L96" s="31"/>
      <c r="M96" s="36">
        <v>0.94</v>
      </c>
      <c r="N96" s="36">
        <v>0.03</v>
      </c>
      <c r="O96" s="36">
        <v>0.97</v>
      </c>
      <c r="P96" s="36">
        <v>0.37</v>
      </c>
      <c r="Q96" s="36">
        <v>1</v>
      </c>
      <c r="R96" s="307">
        <v>205</v>
      </c>
      <c r="S96" s="307">
        <v>0</v>
      </c>
      <c r="T96" s="386">
        <v>5</v>
      </c>
      <c r="U96" s="345" t="str">
        <f t="shared" si="11"/>
        <v>Normal</v>
      </c>
      <c r="V96" s="345" t="str">
        <f t="shared" si="12"/>
        <v>Normal</v>
      </c>
      <c r="W96" s="345">
        <f t="shared" si="13"/>
        <v>-0.3931203931203931</v>
      </c>
      <c r="X96" s="416">
        <f t="shared" si="14"/>
        <v>-0.39340101522842641</v>
      </c>
      <c r="Y96" s="340"/>
      <c r="Z96" s="340"/>
      <c r="AA96" s="340"/>
      <c r="AB96" s="340"/>
      <c r="AC96" s="338"/>
      <c r="AD96" s="338"/>
      <c r="AE96" s="338"/>
      <c r="AF96" s="338"/>
      <c r="AG96" s="338"/>
      <c r="AH96" s="338"/>
      <c r="AI96" s="338"/>
    </row>
    <row r="97" spans="1:35">
      <c r="A97" s="21">
        <v>45112</v>
      </c>
      <c r="B97" s="17">
        <f>IF(YEAR(Table7[[#This Row],[Date]]) = 2023, WEEKNUM(Table7[[#This Row],[Date]])-13, WEEKNUM(Table7[[#This Row],[Date]])+40)</f>
        <v>14</v>
      </c>
      <c r="C97" s="34" t="s">
        <v>51</v>
      </c>
      <c r="D97" s="35" t="s">
        <v>94</v>
      </c>
      <c r="E97" s="42">
        <v>389</v>
      </c>
      <c r="F97" s="1">
        <v>380</v>
      </c>
      <c r="G97" s="64">
        <f t="shared" si="28"/>
        <v>2.0997375328083989E-2</v>
      </c>
      <c r="H97" s="64">
        <f t="shared" si="28"/>
        <v>2.7027027027027029E-2</v>
      </c>
      <c r="I97" s="1"/>
      <c r="J97" s="1"/>
      <c r="K97" s="1"/>
      <c r="L97" s="1"/>
      <c r="M97" s="18">
        <v>0.94</v>
      </c>
      <c r="N97" s="18">
        <v>0.02</v>
      </c>
      <c r="O97" s="18">
        <v>0.98</v>
      </c>
      <c r="P97" s="18">
        <v>0.56000000000000005</v>
      </c>
      <c r="Q97" s="18">
        <v>1</v>
      </c>
      <c r="R97" s="293">
        <v>198</v>
      </c>
      <c r="S97" s="293">
        <v>0</v>
      </c>
      <c r="T97" s="386">
        <v>5</v>
      </c>
      <c r="U97" s="345" t="str">
        <f t="shared" si="11"/>
        <v>Normal</v>
      </c>
      <c r="V97" s="345" t="str">
        <f t="shared" si="12"/>
        <v>Normal</v>
      </c>
      <c r="W97" s="345">
        <f t="shared" si="13"/>
        <v>2.0997375328083989E-2</v>
      </c>
      <c r="X97" s="416">
        <f t="shared" si="14"/>
        <v>2.7027027027027029E-2</v>
      </c>
      <c r="Y97" s="340"/>
      <c r="Z97" s="340"/>
      <c r="AA97" s="340"/>
      <c r="AB97" s="340"/>
      <c r="AC97" s="338"/>
      <c r="AD97" s="338"/>
      <c r="AE97" s="338"/>
      <c r="AF97" s="338"/>
      <c r="AG97" s="338"/>
      <c r="AH97" s="338"/>
      <c r="AI97" s="338"/>
    </row>
    <row r="98" spans="1:35">
      <c r="A98" s="21">
        <v>45113</v>
      </c>
      <c r="B98" s="17">
        <f>IF(YEAR(Table7[[#This Row],[Date]]) = 2023, WEEKNUM(Table7[[#This Row],[Date]])-13, WEEKNUM(Table7[[#This Row],[Date]])+40)</f>
        <v>14</v>
      </c>
      <c r="C98" s="33" t="s">
        <v>52</v>
      </c>
      <c r="D98" s="35" t="s">
        <v>94</v>
      </c>
      <c r="E98" s="41">
        <v>411</v>
      </c>
      <c r="F98" s="31">
        <v>400</v>
      </c>
      <c r="G98" s="64">
        <f t="shared" ref="G98:H98" si="29">IFERROR((E98-E91)/E91,0%)</f>
        <v>7.3529411764705881E-3</v>
      </c>
      <c r="H98" s="64">
        <f t="shared" si="29"/>
        <v>2.8277634961439587E-2</v>
      </c>
      <c r="I98" s="31"/>
      <c r="J98" s="31"/>
      <c r="K98" s="31"/>
      <c r="L98" s="31"/>
      <c r="M98" s="36">
        <v>0.95</v>
      </c>
      <c r="N98" s="36">
        <v>0.03</v>
      </c>
      <c r="O98" s="36">
        <v>0.97</v>
      </c>
      <c r="P98" s="36">
        <v>0.57999999999999996</v>
      </c>
      <c r="Q98" s="36">
        <v>1</v>
      </c>
      <c r="R98" s="307">
        <v>197</v>
      </c>
      <c r="S98" s="307">
        <v>0</v>
      </c>
      <c r="T98" s="386">
        <v>5</v>
      </c>
      <c r="U98" s="345" t="str">
        <f t="shared" si="11"/>
        <v>Normal</v>
      </c>
      <c r="V98" s="345" t="str">
        <f t="shared" si="12"/>
        <v>Normal</v>
      </c>
      <c r="W98" s="345">
        <f t="shared" si="13"/>
        <v>7.3529411764705881E-3</v>
      </c>
      <c r="X98" s="416">
        <f t="shared" si="14"/>
        <v>2.8277634961439587E-2</v>
      </c>
      <c r="Y98" s="340"/>
      <c r="Z98" s="340"/>
      <c r="AA98" s="340"/>
      <c r="AB98" s="340"/>
      <c r="AC98" s="338"/>
      <c r="AD98" s="338"/>
      <c r="AE98" s="338"/>
      <c r="AF98" s="338"/>
      <c r="AG98" s="338"/>
      <c r="AH98" s="338"/>
      <c r="AI98" s="338"/>
    </row>
    <row r="99" spans="1:35">
      <c r="A99" s="21">
        <v>45114</v>
      </c>
      <c r="B99" s="17">
        <f>IF(YEAR(Table7[[#This Row],[Date]]) = 2023, WEEKNUM(Table7[[#This Row],[Date]])-13, WEEKNUM(Table7[[#This Row],[Date]])+40)</f>
        <v>14</v>
      </c>
      <c r="C99" s="34" t="s">
        <v>53</v>
      </c>
      <c r="D99" s="35" t="s">
        <v>94</v>
      </c>
      <c r="E99" s="42">
        <v>431</v>
      </c>
      <c r="F99" s="1">
        <v>414</v>
      </c>
      <c r="G99" s="64">
        <f t="shared" ref="G99:H101" si="30">IFERROR((E99-E92)/E92,0%)</f>
        <v>0.13421052631578947</v>
      </c>
      <c r="H99" s="64">
        <f t="shared" si="30"/>
        <v>0.14049586776859505</v>
      </c>
      <c r="I99" s="1"/>
      <c r="J99" s="1"/>
      <c r="K99" s="1"/>
      <c r="L99" s="1"/>
      <c r="M99" s="18">
        <v>0.9</v>
      </c>
      <c r="N99" s="18">
        <v>0.04</v>
      </c>
      <c r="O99" s="18">
        <v>0.96</v>
      </c>
      <c r="P99" s="18">
        <v>0.59</v>
      </c>
      <c r="Q99" s="18">
        <v>1</v>
      </c>
      <c r="R99" s="293">
        <v>188</v>
      </c>
      <c r="S99" s="293">
        <v>0</v>
      </c>
      <c r="T99" s="386">
        <v>5</v>
      </c>
      <c r="U99" s="345" t="str">
        <f t="shared" si="11"/>
        <v>Normal</v>
      </c>
      <c r="V99" s="345" t="str">
        <f t="shared" si="12"/>
        <v>Normal</v>
      </c>
      <c r="W99" s="345">
        <f t="shared" si="13"/>
        <v>0.13421052631578947</v>
      </c>
      <c r="X99" s="416">
        <f t="shared" si="14"/>
        <v>0.14049586776859505</v>
      </c>
      <c r="Y99" s="340"/>
      <c r="Z99" s="340"/>
      <c r="AA99" s="340"/>
      <c r="AB99" s="340"/>
      <c r="AC99" s="338"/>
      <c r="AD99" s="338"/>
      <c r="AE99" s="338"/>
      <c r="AF99" s="338"/>
      <c r="AG99" s="338"/>
      <c r="AH99" s="338"/>
      <c r="AI99" s="338"/>
    </row>
    <row r="100" spans="1:35">
      <c r="A100" s="21">
        <v>45115</v>
      </c>
      <c r="B100" s="17">
        <f>IF(YEAR(Table7[[#This Row],[Date]]) = 2023, WEEKNUM(Table7[[#This Row],[Date]])-13, WEEKNUM(Table7[[#This Row],[Date]])+40)</f>
        <v>14</v>
      </c>
      <c r="C100" s="33" t="s">
        <v>54</v>
      </c>
      <c r="D100" s="35" t="s">
        <v>94</v>
      </c>
      <c r="E100" s="41">
        <v>142</v>
      </c>
      <c r="F100" s="31">
        <v>135</v>
      </c>
      <c r="G100" s="64">
        <f t="shared" si="30"/>
        <v>-4.0540540540540543E-2</v>
      </c>
      <c r="H100" s="64">
        <f t="shared" si="30"/>
        <v>-6.8965517241379309E-2</v>
      </c>
      <c r="I100" s="31"/>
      <c r="J100" s="31"/>
      <c r="K100" s="31"/>
      <c r="L100" s="31"/>
      <c r="M100" s="36">
        <v>0.95</v>
      </c>
      <c r="N100" s="36">
        <v>0.05</v>
      </c>
      <c r="O100" s="36">
        <v>0.95</v>
      </c>
      <c r="P100" s="36">
        <v>0.33</v>
      </c>
      <c r="Q100" s="36">
        <v>1</v>
      </c>
      <c r="R100" s="307">
        <v>166</v>
      </c>
      <c r="S100" s="307">
        <v>0</v>
      </c>
      <c r="T100" s="386">
        <v>4</v>
      </c>
      <c r="U100" s="345" t="str">
        <f t="shared" si="11"/>
        <v>Normal</v>
      </c>
      <c r="V100" s="345" t="str">
        <f t="shared" si="12"/>
        <v>Normal</v>
      </c>
      <c r="W100" s="345">
        <f t="shared" si="13"/>
        <v>-4.0540540540540543E-2</v>
      </c>
      <c r="X100" s="416">
        <f t="shared" si="14"/>
        <v>-6.8965517241379309E-2</v>
      </c>
      <c r="Y100" s="340"/>
      <c r="Z100" s="340"/>
      <c r="AA100" s="340"/>
      <c r="AB100" s="340"/>
      <c r="AC100" s="338"/>
      <c r="AD100" s="338"/>
      <c r="AE100" s="338"/>
      <c r="AF100" s="338"/>
      <c r="AG100" s="338"/>
      <c r="AH100" s="338"/>
      <c r="AI100" s="338"/>
    </row>
    <row r="101" spans="1:35">
      <c r="A101" s="21">
        <v>45116</v>
      </c>
      <c r="B101" s="17">
        <f>IF(YEAR(Table7[[#This Row],[Date]]) = 2023, WEEKNUM(Table7[[#This Row],[Date]])-13, WEEKNUM(Table7[[#This Row],[Date]])+40)</f>
        <v>15</v>
      </c>
      <c r="C101" s="34" t="s">
        <v>48</v>
      </c>
      <c r="D101" s="35" t="s">
        <v>94</v>
      </c>
      <c r="E101" s="42">
        <v>0</v>
      </c>
      <c r="F101" s="1">
        <v>0</v>
      </c>
      <c r="G101" s="64">
        <f t="shared" si="30"/>
        <v>0</v>
      </c>
      <c r="H101" s="64">
        <f t="shared" si="30"/>
        <v>0</v>
      </c>
      <c r="I101" s="1">
        <v>0</v>
      </c>
      <c r="J101" s="1">
        <v>0</v>
      </c>
      <c r="K101" s="1">
        <v>0</v>
      </c>
      <c r="L101" s="1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293">
        <v>0</v>
      </c>
      <c r="S101" s="293">
        <v>0</v>
      </c>
      <c r="T101" s="386">
        <v>0</v>
      </c>
      <c r="U101" s="345" t="str">
        <f t="shared" si="11"/>
        <v>Normal</v>
      </c>
      <c r="V101" s="345" t="str">
        <f t="shared" si="12"/>
        <v>Normal</v>
      </c>
      <c r="W101" s="345">
        <f t="shared" si="13"/>
        <v>0</v>
      </c>
      <c r="X101" s="416">
        <f t="shared" si="14"/>
        <v>0</v>
      </c>
      <c r="Y101" s="340"/>
      <c r="Z101" s="340"/>
      <c r="AA101" s="340"/>
      <c r="AB101" s="340"/>
      <c r="AC101" s="338"/>
      <c r="AD101" s="338"/>
      <c r="AE101" s="338"/>
      <c r="AF101" s="338"/>
      <c r="AG101" s="338"/>
      <c r="AH101" s="338"/>
      <c r="AI101" s="338"/>
    </row>
    <row r="102" spans="1:35">
      <c r="A102" s="21">
        <v>45117</v>
      </c>
      <c r="B102" s="17">
        <f>IF(YEAR(Table7[[#This Row],[Date]]) = 2023, WEEKNUM(Table7[[#This Row],[Date]])-13, WEEKNUM(Table7[[#This Row],[Date]])+40)</f>
        <v>15</v>
      </c>
      <c r="C102" s="33" t="s">
        <v>49</v>
      </c>
      <c r="D102" s="35" t="s">
        <v>94</v>
      </c>
      <c r="E102" s="41">
        <v>317</v>
      </c>
      <c r="F102" s="31">
        <v>313</v>
      </c>
      <c r="G102" s="64">
        <f t="shared" ref="G102:H102" si="31">IFERROR((E102-E95)/E95,0%)</f>
        <v>-0.2576112412177986</v>
      </c>
      <c r="H102" s="64">
        <f t="shared" si="31"/>
        <v>-0.24396135265700483</v>
      </c>
      <c r="I102" s="31"/>
      <c r="J102" s="31"/>
      <c r="K102" s="31"/>
      <c r="L102" s="31"/>
      <c r="M102" s="36">
        <v>0.97</v>
      </c>
      <c r="N102" s="36">
        <v>0.01</v>
      </c>
      <c r="O102" s="36">
        <v>0.99</v>
      </c>
      <c r="P102" s="36">
        <v>0.45</v>
      </c>
      <c r="Q102" s="36">
        <v>1</v>
      </c>
      <c r="R102" s="307">
        <v>189</v>
      </c>
      <c r="S102" s="307">
        <v>0</v>
      </c>
      <c r="T102" s="386">
        <v>5</v>
      </c>
      <c r="U102" s="345" t="str">
        <f t="shared" si="11"/>
        <v>Normal</v>
      </c>
      <c r="V102" s="345" t="str">
        <f t="shared" si="12"/>
        <v>Normal</v>
      </c>
      <c r="W102" s="345">
        <f t="shared" si="13"/>
        <v>-0.2576112412177986</v>
      </c>
      <c r="X102" s="416">
        <f t="shared" si="14"/>
        <v>-0.24396135265700483</v>
      </c>
      <c r="Y102" s="340"/>
      <c r="Z102" s="340"/>
      <c r="AA102" s="340"/>
      <c r="AB102" s="340"/>
      <c r="AC102" s="338"/>
      <c r="AD102" s="338"/>
      <c r="AE102" s="338"/>
      <c r="AF102" s="338"/>
      <c r="AG102" s="338"/>
      <c r="AH102" s="338"/>
      <c r="AI102" s="338"/>
    </row>
    <row r="103" spans="1:35">
      <c r="A103" s="21">
        <v>45118</v>
      </c>
      <c r="B103" s="17">
        <f>IF(YEAR(Table7[[#This Row],[Date]]) = 2023, WEEKNUM(Table7[[#This Row],[Date]])-13, WEEKNUM(Table7[[#This Row],[Date]])+40)</f>
        <v>15</v>
      </c>
      <c r="C103" s="34" t="s">
        <v>50</v>
      </c>
      <c r="D103" s="35" t="s">
        <v>94</v>
      </c>
      <c r="E103" s="42">
        <v>255</v>
      </c>
      <c r="F103" s="42">
        <v>247</v>
      </c>
      <c r="G103" s="64">
        <f t="shared" ref="G103:H105" si="32">IFERROR((E103-E96)/E96,0%)</f>
        <v>3.2388663967611336E-2</v>
      </c>
      <c r="H103" s="64">
        <f t="shared" si="32"/>
        <v>3.3472803347280332E-2</v>
      </c>
      <c r="I103" s="1"/>
      <c r="J103" s="1"/>
      <c r="K103" s="1"/>
      <c r="L103" s="1"/>
      <c r="M103" s="84">
        <v>0.97</v>
      </c>
      <c r="N103" s="84">
        <v>0.03</v>
      </c>
      <c r="O103" s="84">
        <v>0.97</v>
      </c>
      <c r="P103" s="84">
        <v>0.45</v>
      </c>
      <c r="Q103" s="84">
        <v>1</v>
      </c>
      <c r="R103" s="293">
        <v>188</v>
      </c>
      <c r="S103" s="293">
        <v>0</v>
      </c>
      <c r="T103" s="386">
        <v>4</v>
      </c>
      <c r="U103" s="345" t="str">
        <f t="shared" si="11"/>
        <v>Normal</v>
      </c>
      <c r="V103" s="345" t="str">
        <f t="shared" si="12"/>
        <v>Normal</v>
      </c>
      <c r="W103" s="345">
        <f t="shared" si="13"/>
        <v>3.2388663967611336E-2</v>
      </c>
      <c r="X103" s="416">
        <f t="shared" si="14"/>
        <v>3.3472803347280332E-2</v>
      </c>
      <c r="Y103" s="340"/>
      <c r="Z103" s="340"/>
      <c r="AA103" s="340"/>
      <c r="AB103" s="340"/>
      <c r="AC103" s="338"/>
      <c r="AD103" s="338"/>
      <c r="AE103" s="338"/>
      <c r="AF103" s="338"/>
      <c r="AG103" s="338"/>
      <c r="AH103" s="338"/>
      <c r="AI103" s="338"/>
    </row>
    <row r="104" spans="1:35">
      <c r="A104" s="21">
        <v>45119</v>
      </c>
      <c r="B104" s="17">
        <f>IF(YEAR(Table7[[#This Row],[Date]]) = 2023, WEEKNUM(Table7[[#This Row],[Date]])-13, WEEKNUM(Table7[[#This Row],[Date]])+40)</f>
        <v>15</v>
      </c>
      <c r="C104" s="33" t="s">
        <v>51</v>
      </c>
      <c r="D104" s="35" t="s">
        <v>94</v>
      </c>
      <c r="E104" s="41">
        <v>380</v>
      </c>
      <c r="F104" s="41">
        <v>370</v>
      </c>
      <c r="G104" s="64">
        <f t="shared" si="32"/>
        <v>-2.313624678663239E-2</v>
      </c>
      <c r="H104" s="64">
        <f t="shared" si="32"/>
        <v>-2.6315789473684209E-2</v>
      </c>
      <c r="I104" s="1"/>
      <c r="J104" s="1"/>
      <c r="K104" s="1"/>
      <c r="L104" s="1"/>
      <c r="M104" s="85">
        <v>0.95</v>
      </c>
      <c r="N104" s="85">
        <v>0.03</v>
      </c>
      <c r="O104" s="85">
        <v>0.97</v>
      </c>
      <c r="P104" s="85">
        <v>0.54</v>
      </c>
      <c r="Q104" s="85">
        <v>1</v>
      </c>
      <c r="R104" s="307">
        <v>191</v>
      </c>
      <c r="S104" s="307">
        <v>0</v>
      </c>
      <c r="T104" s="386">
        <v>5</v>
      </c>
      <c r="U104" s="345" t="str">
        <f t="shared" si="11"/>
        <v>Normal</v>
      </c>
      <c r="V104" s="345" t="str">
        <f t="shared" si="12"/>
        <v>Normal</v>
      </c>
      <c r="W104" s="345">
        <f t="shared" si="13"/>
        <v>-2.313624678663239E-2</v>
      </c>
      <c r="X104" s="416">
        <f t="shared" si="14"/>
        <v>-2.6315789473684209E-2</v>
      </c>
      <c r="Y104" s="340"/>
      <c r="Z104" s="340"/>
      <c r="AA104" s="340"/>
      <c r="AB104" s="340"/>
      <c r="AC104" s="338"/>
      <c r="AD104" s="338"/>
      <c r="AE104" s="338"/>
      <c r="AF104" s="338"/>
      <c r="AG104" s="338"/>
      <c r="AH104" s="338"/>
      <c r="AI104" s="338"/>
    </row>
    <row r="105" spans="1:35">
      <c r="A105" s="21">
        <v>45120</v>
      </c>
      <c r="B105" s="17">
        <f>IF(YEAR(Table7[[#This Row],[Date]]) = 2023, WEEKNUM(Table7[[#This Row],[Date]])-13, WEEKNUM(Table7[[#This Row],[Date]])+40)</f>
        <v>15</v>
      </c>
      <c r="C105" s="34" t="s">
        <v>52</v>
      </c>
      <c r="D105" s="35" t="s">
        <v>94</v>
      </c>
      <c r="E105" s="42">
        <v>327</v>
      </c>
      <c r="F105" s="42">
        <v>312</v>
      </c>
      <c r="G105" s="64">
        <f t="shared" si="32"/>
        <v>-0.20437956204379562</v>
      </c>
      <c r="H105" s="64">
        <f t="shared" si="32"/>
        <v>-0.22</v>
      </c>
      <c r="I105" s="1"/>
      <c r="J105" s="1"/>
      <c r="K105" s="1"/>
      <c r="L105" s="1"/>
      <c r="M105" s="84">
        <v>0.92</v>
      </c>
      <c r="N105" s="84">
        <v>0.05</v>
      </c>
      <c r="O105" s="84">
        <v>0.95</v>
      </c>
      <c r="P105" s="84">
        <v>0.56000000000000005</v>
      </c>
      <c r="Q105" s="84">
        <v>1</v>
      </c>
      <c r="R105" s="293">
        <v>192</v>
      </c>
      <c r="S105" s="293">
        <v>0</v>
      </c>
      <c r="T105" s="386">
        <v>4</v>
      </c>
      <c r="U105" s="345" t="str">
        <f t="shared" si="11"/>
        <v>Normal</v>
      </c>
      <c r="V105" s="345" t="str">
        <f t="shared" si="12"/>
        <v>Normal</v>
      </c>
      <c r="W105" s="345">
        <f t="shared" si="13"/>
        <v>-0.20437956204379562</v>
      </c>
      <c r="X105" s="416">
        <f t="shared" si="14"/>
        <v>-0.22</v>
      </c>
      <c r="Y105" s="340"/>
      <c r="Z105" s="340"/>
      <c r="AA105" s="340"/>
      <c r="AB105" s="340"/>
      <c r="AC105" s="338"/>
      <c r="AD105" s="338"/>
      <c r="AE105" s="338"/>
      <c r="AF105" s="338"/>
      <c r="AG105" s="338"/>
      <c r="AH105" s="338"/>
      <c r="AI105" s="338"/>
    </row>
    <row r="106" spans="1:35">
      <c r="A106" s="21">
        <v>45121</v>
      </c>
      <c r="B106" s="17">
        <f>IF(YEAR(Table7[[#This Row],[Date]]) = 2023, WEEKNUM(Table7[[#This Row],[Date]])-13, WEEKNUM(Table7[[#This Row],[Date]])+40)</f>
        <v>15</v>
      </c>
      <c r="C106" s="33" t="s">
        <v>53</v>
      </c>
      <c r="D106" s="35" t="s">
        <v>94</v>
      </c>
      <c r="E106" s="41">
        <v>370</v>
      </c>
      <c r="F106" s="41">
        <v>357</v>
      </c>
      <c r="G106" s="64">
        <f t="shared" ref="G106:H106" si="33">IFERROR((E106-E99)/E99,0%)</f>
        <v>-0.14153132250580047</v>
      </c>
      <c r="H106" s="64">
        <f t="shared" si="33"/>
        <v>-0.13768115942028986</v>
      </c>
      <c r="I106" s="1"/>
      <c r="J106" s="1"/>
      <c r="K106" s="1"/>
      <c r="L106" s="1"/>
      <c r="M106" s="85">
        <v>0.9</v>
      </c>
      <c r="N106" s="85">
        <v>0.04</v>
      </c>
      <c r="O106" s="85">
        <v>0.96</v>
      </c>
      <c r="P106" s="85">
        <v>0.62</v>
      </c>
      <c r="Q106" s="85">
        <v>1</v>
      </c>
      <c r="R106" s="307">
        <v>182</v>
      </c>
      <c r="S106" s="307">
        <v>0</v>
      </c>
      <c r="T106" s="386">
        <v>4</v>
      </c>
      <c r="U106" s="345" t="str">
        <f t="shared" si="11"/>
        <v>Normal</v>
      </c>
      <c r="V106" s="345" t="str">
        <f t="shared" si="12"/>
        <v>Normal</v>
      </c>
      <c r="W106" s="345">
        <f t="shared" si="13"/>
        <v>-0.14153132250580047</v>
      </c>
      <c r="X106" s="416">
        <f t="shared" si="14"/>
        <v>-0.13768115942028986</v>
      </c>
      <c r="Y106" s="340"/>
      <c r="Z106" s="340"/>
      <c r="AA106" s="340"/>
      <c r="AB106" s="340"/>
      <c r="AC106" s="338"/>
      <c r="AD106" s="338"/>
      <c r="AE106" s="338"/>
      <c r="AF106" s="338"/>
      <c r="AG106" s="338"/>
      <c r="AH106" s="338"/>
      <c r="AI106" s="338"/>
    </row>
    <row r="107" spans="1:35">
      <c r="A107" s="21">
        <v>45122</v>
      </c>
      <c r="B107" s="17">
        <f>IF(YEAR(Table7[[#This Row],[Date]]) = 2023, WEEKNUM(Table7[[#This Row],[Date]])-13, WEEKNUM(Table7[[#This Row],[Date]])+40)</f>
        <v>15</v>
      </c>
      <c r="C107" s="34" t="s">
        <v>54</v>
      </c>
      <c r="D107" s="35" t="s">
        <v>94</v>
      </c>
      <c r="E107" s="42">
        <v>113</v>
      </c>
      <c r="F107" s="42">
        <v>112</v>
      </c>
      <c r="G107" s="64">
        <f t="shared" ref="G107:H109" si="34">IFERROR((E107-E100)/E100,0%)</f>
        <v>-0.20422535211267606</v>
      </c>
      <c r="H107" s="64">
        <f t="shared" si="34"/>
        <v>-0.17037037037037037</v>
      </c>
      <c r="I107" s="1"/>
      <c r="J107" s="1"/>
      <c r="K107" s="1"/>
      <c r="L107" s="1"/>
      <c r="M107" s="84">
        <v>0.95</v>
      </c>
      <c r="N107" s="84">
        <v>0.01</v>
      </c>
      <c r="O107" s="84">
        <v>0.99</v>
      </c>
      <c r="P107" s="84">
        <v>0.37</v>
      </c>
      <c r="Q107" s="84">
        <v>1</v>
      </c>
      <c r="R107" s="293">
        <v>219</v>
      </c>
      <c r="S107" s="293">
        <v>0</v>
      </c>
      <c r="T107" s="386">
        <v>4</v>
      </c>
      <c r="U107" s="345" t="str">
        <f t="shared" si="11"/>
        <v>Normal</v>
      </c>
      <c r="V107" s="345" t="str">
        <f t="shared" si="12"/>
        <v>Normal</v>
      </c>
      <c r="W107" s="345">
        <f t="shared" si="13"/>
        <v>-0.20422535211267606</v>
      </c>
      <c r="X107" s="416">
        <f t="shared" si="14"/>
        <v>-0.17037037037037037</v>
      </c>
      <c r="Y107" s="340"/>
      <c r="Z107" s="340"/>
      <c r="AA107" s="340"/>
      <c r="AB107" s="340"/>
      <c r="AC107" s="338"/>
      <c r="AD107" s="338"/>
      <c r="AE107" s="338"/>
      <c r="AF107" s="338"/>
      <c r="AG107" s="338"/>
      <c r="AH107" s="338"/>
      <c r="AI107" s="338"/>
    </row>
    <row r="108" spans="1:35">
      <c r="A108" s="21">
        <v>45123</v>
      </c>
      <c r="B108" s="17">
        <f>IF(YEAR(Table7[[#This Row],[Date]]) = 2023, WEEKNUM(Table7[[#This Row],[Date]])-13, WEEKNUM(Table7[[#This Row],[Date]])+40)</f>
        <v>16</v>
      </c>
      <c r="C108" s="33" t="s">
        <v>48</v>
      </c>
      <c r="D108" s="35" t="s">
        <v>94</v>
      </c>
      <c r="E108" s="41">
        <v>0</v>
      </c>
      <c r="F108" s="41">
        <v>0</v>
      </c>
      <c r="G108" s="64">
        <f t="shared" si="34"/>
        <v>0</v>
      </c>
      <c r="H108" s="64">
        <f t="shared" si="34"/>
        <v>0</v>
      </c>
      <c r="I108" s="1">
        <v>0</v>
      </c>
      <c r="J108" s="1">
        <v>0</v>
      </c>
      <c r="K108" s="1">
        <v>0</v>
      </c>
      <c r="L108" s="1">
        <v>0</v>
      </c>
      <c r="M108" s="85">
        <v>0</v>
      </c>
      <c r="N108" s="85">
        <v>0</v>
      </c>
      <c r="O108" s="85">
        <v>0</v>
      </c>
      <c r="P108" s="85">
        <v>0</v>
      </c>
      <c r="Q108" s="85">
        <v>0</v>
      </c>
      <c r="R108" s="307">
        <v>0</v>
      </c>
      <c r="S108" s="307">
        <v>0</v>
      </c>
      <c r="T108" s="386">
        <v>0</v>
      </c>
      <c r="U108" s="345" t="str">
        <f t="shared" si="11"/>
        <v>Normal</v>
      </c>
      <c r="V108" s="345" t="str">
        <f t="shared" si="12"/>
        <v>Normal</v>
      </c>
      <c r="W108" s="345">
        <f t="shared" si="13"/>
        <v>0</v>
      </c>
      <c r="X108" s="416">
        <f t="shared" si="14"/>
        <v>0</v>
      </c>
      <c r="Y108" s="340"/>
      <c r="Z108" s="340"/>
      <c r="AA108" s="340"/>
      <c r="AB108" s="340"/>
      <c r="AC108" s="338"/>
      <c r="AD108" s="338"/>
      <c r="AE108" s="338"/>
      <c r="AF108" s="338"/>
      <c r="AG108" s="338"/>
      <c r="AH108" s="338"/>
      <c r="AI108" s="338"/>
    </row>
    <row r="109" spans="1:35">
      <c r="A109" s="21">
        <v>45124</v>
      </c>
      <c r="B109" s="17">
        <f>IF(YEAR(Table7[[#This Row],[Date]]) = 2023, WEEKNUM(Table7[[#This Row],[Date]])-13, WEEKNUM(Table7[[#This Row],[Date]])+40)</f>
        <v>16</v>
      </c>
      <c r="C109" s="34" t="s">
        <v>49</v>
      </c>
      <c r="D109" s="35" t="s">
        <v>94</v>
      </c>
      <c r="E109" s="42">
        <v>367</v>
      </c>
      <c r="F109" s="42">
        <v>352</v>
      </c>
      <c r="G109" s="64">
        <f t="shared" si="34"/>
        <v>0.15772870662460567</v>
      </c>
      <c r="H109" s="64">
        <f t="shared" si="34"/>
        <v>0.12460063897763578</v>
      </c>
      <c r="I109" s="42"/>
      <c r="J109" s="42"/>
      <c r="K109" s="42"/>
      <c r="L109" s="42"/>
      <c r="M109" s="84">
        <v>0.93</v>
      </c>
      <c r="N109" s="84">
        <v>0.04</v>
      </c>
      <c r="O109" s="84">
        <v>0.96</v>
      </c>
      <c r="P109" s="84">
        <v>0.61</v>
      </c>
      <c r="Q109" s="84">
        <v>1</v>
      </c>
      <c r="R109" s="293">
        <v>180</v>
      </c>
      <c r="S109" s="293">
        <v>0</v>
      </c>
      <c r="T109" s="386">
        <v>4</v>
      </c>
      <c r="U109" s="345" t="str">
        <f t="shared" si="11"/>
        <v>Normal</v>
      </c>
      <c r="V109" s="345" t="str">
        <f t="shared" si="12"/>
        <v>Normal</v>
      </c>
      <c r="W109" s="345">
        <f t="shared" si="13"/>
        <v>0.15772870662460567</v>
      </c>
      <c r="X109" s="416">
        <f t="shared" si="14"/>
        <v>0.12460063897763578</v>
      </c>
      <c r="Y109" s="340"/>
      <c r="Z109" s="340"/>
      <c r="AA109" s="340"/>
      <c r="AB109" s="340"/>
      <c r="AC109" s="338"/>
      <c r="AD109" s="338"/>
      <c r="AE109" s="338"/>
      <c r="AF109" s="338"/>
      <c r="AG109" s="338"/>
      <c r="AH109" s="338"/>
      <c r="AI109" s="338"/>
    </row>
    <row r="110" spans="1:35">
      <c r="A110" s="21">
        <v>45125</v>
      </c>
      <c r="B110" s="17">
        <f>IF(YEAR(Table7[[#This Row],[Date]]) = 2023, WEEKNUM(Table7[[#This Row],[Date]])-13, WEEKNUM(Table7[[#This Row],[Date]])+40)</f>
        <v>16</v>
      </c>
      <c r="C110" s="34" t="s">
        <v>50</v>
      </c>
      <c r="D110" s="35" t="s">
        <v>94</v>
      </c>
      <c r="E110" s="42">
        <v>290</v>
      </c>
      <c r="F110" s="42">
        <v>286</v>
      </c>
      <c r="G110" s="64">
        <f t="shared" ref="G110:H110" si="35">IFERROR((E110-E103)/E103,0%)</f>
        <v>0.13725490196078433</v>
      </c>
      <c r="H110" s="64">
        <f t="shared" si="35"/>
        <v>0.15789473684210525</v>
      </c>
      <c r="I110" s="1"/>
      <c r="J110" s="1"/>
      <c r="K110" s="1"/>
      <c r="L110" s="1"/>
      <c r="M110" s="84">
        <v>0.95</v>
      </c>
      <c r="N110" s="84">
        <v>0.01</v>
      </c>
      <c r="O110" s="84">
        <v>0.99</v>
      </c>
      <c r="P110" s="84">
        <v>0.43</v>
      </c>
      <c r="Q110" s="84">
        <v>1</v>
      </c>
      <c r="R110" s="307">
        <v>178</v>
      </c>
      <c r="S110" s="307">
        <v>0</v>
      </c>
      <c r="T110" s="386">
        <v>4</v>
      </c>
      <c r="U110" s="345" t="str">
        <f t="shared" si="11"/>
        <v>Normal</v>
      </c>
      <c r="V110" s="345" t="str">
        <f t="shared" si="12"/>
        <v>Normal</v>
      </c>
      <c r="W110" s="345">
        <f t="shared" si="13"/>
        <v>0.13725490196078433</v>
      </c>
      <c r="X110" s="416">
        <f t="shared" si="14"/>
        <v>0.15789473684210525</v>
      </c>
      <c r="Y110" s="340"/>
      <c r="Z110" s="340"/>
      <c r="AA110" s="340"/>
      <c r="AB110" s="340"/>
      <c r="AC110" s="338"/>
      <c r="AD110" s="338"/>
      <c r="AE110" s="338"/>
      <c r="AF110" s="338"/>
      <c r="AG110" s="338"/>
      <c r="AH110" s="338"/>
      <c r="AI110" s="338"/>
    </row>
    <row r="111" spans="1:35">
      <c r="A111" s="21">
        <v>45126</v>
      </c>
      <c r="B111" s="17">
        <f>IF(YEAR(Table7[[#This Row],[Date]]) = 2023, WEEKNUM(Table7[[#This Row],[Date]])-13, WEEKNUM(Table7[[#This Row],[Date]])+40)</f>
        <v>16</v>
      </c>
      <c r="C111" s="34" t="s">
        <v>51</v>
      </c>
      <c r="D111" s="35" t="s">
        <v>94</v>
      </c>
      <c r="E111" s="42">
        <v>401</v>
      </c>
      <c r="F111" s="42">
        <v>385</v>
      </c>
      <c r="G111" s="64">
        <f t="shared" ref="G111:H113" si="36">IFERROR((E111-E104)/E104,0%)</f>
        <v>5.526315789473684E-2</v>
      </c>
      <c r="H111" s="64">
        <f t="shared" si="36"/>
        <v>4.0540540540540543E-2</v>
      </c>
      <c r="I111" s="1"/>
      <c r="J111" s="1"/>
      <c r="K111" s="1"/>
      <c r="L111" s="1"/>
      <c r="M111" s="84">
        <v>0.89</v>
      </c>
      <c r="N111" s="84">
        <v>0.04</v>
      </c>
      <c r="O111" s="84">
        <v>0.96</v>
      </c>
      <c r="P111" s="84">
        <v>0.67</v>
      </c>
      <c r="Q111" s="84">
        <v>1</v>
      </c>
      <c r="R111" s="293">
        <v>185</v>
      </c>
      <c r="S111" s="293">
        <v>0</v>
      </c>
      <c r="T111" s="386">
        <v>4</v>
      </c>
      <c r="U111" s="345" t="str">
        <f t="shared" si="11"/>
        <v>Normal</v>
      </c>
      <c r="V111" s="345" t="str">
        <f t="shared" si="12"/>
        <v>Normal</v>
      </c>
      <c r="W111" s="345">
        <f t="shared" si="13"/>
        <v>5.526315789473684E-2</v>
      </c>
      <c r="X111" s="416">
        <f t="shared" si="14"/>
        <v>4.0540540540540543E-2</v>
      </c>
      <c r="Y111" s="340"/>
      <c r="Z111" s="340"/>
      <c r="AA111" s="340"/>
      <c r="AB111" s="340"/>
      <c r="AC111" s="338"/>
      <c r="AD111" s="338"/>
      <c r="AE111" s="338"/>
      <c r="AF111" s="338"/>
      <c r="AG111" s="338"/>
      <c r="AH111" s="338"/>
      <c r="AI111" s="338"/>
    </row>
    <row r="112" spans="1:35">
      <c r="A112" s="21">
        <v>45127</v>
      </c>
      <c r="B112" s="17">
        <f>IF(YEAR(Table7[[#This Row],[Date]]) = 2023, WEEKNUM(Table7[[#This Row],[Date]])-13, WEEKNUM(Table7[[#This Row],[Date]])+40)</f>
        <v>16</v>
      </c>
      <c r="C112" s="34" t="s">
        <v>52</v>
      </c>
      <c r="D112" s="35" t="s">
        <v>94</v>
      </c>
      <c r="E112" s="42">
        <v>325</v>
      </c>
      <c r="F112" s="42">
        <v>315</v>
      </c>
      <c r="G112" s="64">
        <f t="shared" si="36"/>
        <v>-6.1162079510703364E-3</v>
      </c>
      <c r="H112" s="64">
        <f t="shared" si="36"/>
        <v>9.6153846153846159E-3</v>
      </c>
      <c r="I112" s="1"/>
      <c r="J112" s="1"/>
      <c r="K112" s="1"/>
      <c r="L112" s="1"/>
      <c r="M112" s="84">
        <v>0.93</v>
      </c>
      <c r="N112" s="84">
        <v>0.03</v>
      </c>
      <c r="O112" s="84">
        <v>0.97</v>
      </c>
      <c r="P112" s="84">
        <v>0.57999999999999996</v>
      </c>
      <c r="Q112" s="84">
        <v>1</v>
      </c>
      <c r="R112" s="307">
        <v>198</v>
      </c>
      <c r="S112" s="307">
        <v>0</v>
      </c>
      <c r="T112" s="386">
        <v>4</v>
      </c>
      <c r="U112" s="345" t="str">
        <f t="shared" si="11"/>
        <v>Normal</v>
      </c>
      <c r="V112" s="345" t="str">
        <f t="shared" si="12"/>
        <v>Normal</v>
      </c>
      <c r="W112" s="345">
        <f t="shared" si="13"/>
        <v>-6.1162079510703364E-3</v>
      </c>
      <c r="X112" s="416">
        <f t="shared" si="14"/>
        <v>9.6153846153846159E-3</v>
      </c>
      <c r="Y112" s="340"/>
      <c r="Z112" s="340"/>
      <c r="AA112" s="340"/>
      <c r="AB112" s="340"/>
      <c r="AC112" s="338"/>
      <c r="AD112" s="338"/>
      <c r="AE112" s="338"/>
      <c r="AF112" s="338"/>
      <c r="AG112" s="338"/>
      <c r="AH112" s="338"/>
      <c r="AI112" s="338"/>
    </row>
    <row r="113" spans="1:38">
      <c r="A113" s="21">
        <v>45128</v>
      </c>
      <c r="B113" s="17">
        <f>IF(YEAR(Table7[[#This Row],[Date]]) = 2023, WEEKNUM(Table7[[#This Row],[Date]])-13, WEEKNUM(Table7[[#This Row],[Date]])+40)</f>
        <v>16</v>
      </c>
      <c r="C113" s="34" t="s">
        <v>53</v>
      </c>
      <c r="D113" s="35" t="s">
        <v>94</v>
      </c>
      <c r="E113" s="42">
        <v>342</v>
      </c>
      <c r="F113" s="42">
        <v>331</v>
      </c>
      <c r="G113" s="64">
        <f t="shared" si="36"/>
        <v>-7.567567567567568E-2</v>
      </c>
      <c r="H113" s="64">
        <f t="shared" si="36"/>
        <v>-7.2829131652661069E-2</v>
      </c>
      <c r="I113" s="1"/>
      <c r="J113" s="1"/>
      <c r="K113" s="1"/>
      <c r="L113" s="1"/>
      <c r="M113" s="84">
        <v>0.92</v>
      </c>
      <c r="N113" s="84">
        <v>0.03</v>
      </c>
      <c r="O113" s="84">
        <v>0.97</v>
      </c>
      <c r="P113" s="84">
        <v>0.6</v>
      </c>
      <c r="Q113" s="84">
        <v>1</v>
      </c>
      <c r="R113" s="293">
        <v>182</v>
      </c>
      <c r="S113" s="293">
        <v>0</v>
      </c>
      <c r="T113" s="386">
        <v>4</v>
      </c>
      <c r="U113" s="345" t="str">
        <f t="shared" si="11"/>
        <v>Normal</v>
      </c>
      <c r="V113" s="345" t="str">
        <f t="shared" si="12"/>
        <v>Normal</v>
      </c>
      <c r="W113" s="345">
        <f t="shared" si="13"/>
        <v>-7.567567567567568E-2</v>
      </c>
      <c r="X113" s="416">
        <f t="shared" si="14"/>
        <v>-7.2829131652661069E-2</v>
      </c>
      <c r="Y113" s="340"/>
      <c r="Z113" s="340"/>
      <c r="AA113" s="340"/>
      <c r="AB113" s="340"/>
      <c r="AC113" s="338"/>
      <c r="AD113" s="338"/>
      <c r="AE113" s="338"/>
      <c r="AF113" s="338"/>
      <c r="AG113" s="338"/>
      <c r="AH113" s="338"/>
      <c r="AI113" s="338"/>
    </row>
    <row r="114" spans="1:38">
      <c r="A114" s="21">
        <v>45129</v>
      </c>
      <c r="B114" s="17">
        <f>IF(YEAR(Table7[[#This Row],[Date]]) = 2023, WEEKNUM(Table7[[#This Row],[Date]])-13, WEEKNUM(Table7[[#This Row],[Date]])+40)</f>
        <v>16</v>
      </c>
      <c r="C114" s="34" t="s">
        <v>54</v>
      </c>
      <c r="D114" s="35" t="s">
        <v>94</v>
      </c>
      <c r="E114" s="42">
        <v>112</v>
      </c>
      <c r="F114" s="42">
        <v>109</v>
      </c>
      <c r="G114" s="64">
        <f t="shared" ref="G114:H114" si="37">IFERROR((E114-E107)/E107,0%)</f>
        <v>-8.8495575221238937E-3</v>
      </c>
      <c r="H114" s="64">
        <f t="shared" si="37"/>
        <v>-2.6785714285714284E-2</v>
      </c>
      <c r="I114" s="1"/>
      <c r="J114" s="1"/>
      <c r="K114" s="1"/>
      <c r="L114" s="1"/>
      <c r="M114" s="84">
        <v>0.97</v>
      </c>
      <c r="N114" s="84">
        <v>0.03</v>
      </c>
      <c r="O114" s="84">
        <v>0.97</v>
      </c>
      <c r="P114" s="84">
        <v>0.35</v>
      </c>
      <c r="Q114" s="84">
        <v>1</v>
      </c>
      <c r="R114" s="307">
        <v>202</v>
      </c>
      <c r="S114" s="307">
        <v>0</v>
      </c>
      <c r="T114" s="386">
        <v>4</v>
      </c>
      <c r="U114" s="345" t="str">
        <f t="shared" si="11"/>
        <v>Normal</v>
      </c>
      <c r="V114" s="345" t="str">
        <f t="shared" si="12"/>
        <v>Normal</v>
      </c>
      <c r="W114" s="345">
        <f t="shared" si="13"/>
        <v>-8.8495575221238937E-3</v>
      </c>
      <c r="X114" s="416">
        <f t="shared" si="14"/>
        <v>-2.6785714285714284E-2</v>
      </c>
      <c r="Y114" s="340"/>
      <c r="Z114" s="340"/>
      <c r="AA114" s="340"/>
      <c r="AB114" s="340"/>
      <c r="AC114" s="338"/>
      <c r="AD114" s="338"/>
      <c r="AE114" s="338"/>
      <c r="AF114" s="338"/>
      <c r="AG114" s="338"/>
      <c r="AH114" s="338"/>
      <c r="AI114" s="338"/>
    </row>
    <row r="115" spans="1:38">
      <c r="A115" s="21">
        <v>45130</v>
      </c>
      <c r="B115" s="17">
        <f>IF(YEAR(Table7[[#This Row],[Date]]) = 2023, WEEKNUM(Table7[[#This Row],[Date]])-13, WEEKNUM(Table7[[#This Row],[Date]])+40)</f>
        <v>17</v>
      </c>
      <c r="C115" s="34" t="s">
        <v>48</v>
      </c>
      <c r="D115" s="35" t="s">
        <v>94</v>
      </c>
      <c r="E115" s="42">
        <v>0</v>
      </c>
      <c r="F115" s="42">
        <v>0</v>
      </c>
      <c r="G115" s="64">
        <f t="shared" ref="G115:H117" si="38">IFERROR((E115-E108)/E108,0%)</f>
        <v>0</v>
      </c>
      <c r="H115" s="64">
        <f t="shared" si="38"/>
        <v>0</v>
      </c>
      <c r="I115" s="1">
        <v>0</v>
      </c>
      <c r="J115" s="1">
        <v>0</v>
      </c>
      <c r="K115" s="1">
        <v>0</v>
      </c>
      <c r="L115" s="1">
        <v>0</v>
      </c>
      <c r="M115" s="84">
        <v>0</v>
      </c>
      <c r="N115" s="84">
        <v>0</v>
      </c>
      <c r="O115" s="84">
        <v>0</v>
      </c>
      <c r="P115" s="84">
        <v>0</v>
      </c>
      <c r="Q115" s="84">
        <v>0</v>
      </c>
      <c r="R115" s="293">
        <v>0</v>
      </c>
      <c r="S115" s="293">
        <v>0</v>
      </c>
      <c r="T115" s="386">
        <v>0</v>
      </c>
      <c r="U115" s="345" t="str">
        <f t="shared" si="11"/>
        <v>Normal</v>
      </c>
      <c r="V115" s="345" t="str">
        <f t="shared" si="12"/>
        <v>Normal</v>
      </c>
      <c r="W115" s="345">
        <f t="shared" si="13"/>
        <v>0</v>
      </c>
      <c r="X115" s="416">
        <f t="shared" si="14"/>
        <v>0</v>
      </c>
      <c r="Y115" s="340"/>
      <c r="Z115" s="340"/>
      <c r="AA115" s="340"/>
      <c r="AB115" s="340"/>
      <c r="AC115" s="338"/>
      <c r="AD115" s="338"/>
      <c r="AE115" s="338"/>
      <c r="AF115" s="338"/>
      <c r="AG115" s="338"/>
      <c r="AH115" s="338"/>
      <c r="AI115" s="338"/>
    </row>
    <row r="116" spans="1:38">
      <c r="A116" s="21">
        <v>45131</v>
      </c>
      <c r="B116" s="17">
        <f>IF(YEAR(Table7[[#This Row],[Date]]) = 2023, WEEKNUM(Table7[[#This Row],[Date]])-13, WEEKNUM(Table7[[#This Row],[Date]])+40)</f>
        <v>17</v>
      </c>
      <c r="C116" s="34" t="s">
        <v>49</v>
      </c>
      <c r="D116" s="35" t="s">
        <v>94</v>
      </c>
      <c r="E116" s="42">
        <v>414</v>
      </c>
      <c r="F116" s="42">
        <v>396</v>
      </c>
      <c r="G116" s="64">
        <f t="shared" si="38"/>
        <v>0.12806539509536785</v>
      </c>
      <c r="H116" s="64">
        <f t="shared" si="38"/>
        <v>0.125</v>
      </c>
      <c r="I116" s="42"/>
      <c r="J116" s="42"/>
      <c r="K116" s="42"/>
      <c r="L116" s="42"/>
      <c r="M116" s="84">
        <v>0.89</v>
      </c>
      <c r="N116" s="84">
        <v>0.04</v>
      </c>
      <c r="O116" s="84">
        <v>0.96</v>
      </c>
      <c r="P116" s="84">
        <v>0.7</v>
      </c>
      <c r="Q116" s="84">
        <v>1</v>
      </c>
      <c r="R116" s="307">
        <v>187</v>
      </c>
      <c r="S116" s="307">
        <v>0</v>
      </c>
      <c r="T116" s="386">
        <v>4</v>
      </c>
      <c r="U116" s="345" t="str">
        <f t="shared" si="11"/>
        <v>Normal</v>
      </c>
      <c r="V116" s="345" t="str">
        <f t="shared" si="12"/>
        <v>Normal</v>
      </c>
      <c r="W116" s="345">
        <f t="shared" si="13"/>
        <v>0.12806539509536785</v>
      </c>
      <c r="X116" s="416">
        <f t="shared" si="14"/>
        <v>0.125</v>
      </c>
      <c r="Y116" s="340"/>
      <c r="Z116" s="340"/>
      <c r="AA116" s="340"/>
      <c r="AB116" s="340"/>
      <c r="AC116" s="338"/>
      <c r="AD116" s="338"/>
      <c r="AE116" s="338"/>
      <c r="AF116" s="338"/>
      <c r="AG116" s="338"/>
      <c r="AH116" s="338"/>
      <c r="AI116" s="338"/>
    </row>
    <row r="117" spans="1:38">
      <c r="A117" s="21">
        <v>45132</v>
      </c>
      <c r="B117" s="17">
        <f>IF(YEAR(Table7[[#This Row],[Date]]) = 2023, WEEKNUM(Table7[[#This Row],[Date]])-13, WEEKNUM(Table7[[#This Row],[Date]])+40)</f>
        <v>17</v>
      </c>
      <c r="C117" s="34" t="s">
        <v>50</v>
      </c>
      <c r="D117" s="35" t="s">
        <v>94</v>
      </c>
      <c r="E117" s="42">
        <v>332</v>
      </c>
      <c r="F117" s="42">
        <v>309</v>
      </c>
      <c r="G117" s="64">
        <f t="shared" si="38"/>
        <v>0.14482758620689656</v>
      </c>
      <c r="H117" s="64">
        <f t="shared" si="38"/>
        <v>8.0419580419580416E-2</v>
      </c>
      <c r="I117" s="1"/>
      <c r="J117" s="1"/>
      <c r="K117" s="1"/>
      <c r="L117" s="1"/>
      <c r="M117" s="84">
        <v>0.88</v>
      </c>
      <c r="N117" s="84">
        <v>7.0000000000000007E-2</v>
      </c>
      <c r="O117" s="84">
        <v>0.93</v>
      </c>
      <c r="P117" s="84">
        <v>0.43</v>
      </c>
      <c r="Q117" s="84">
        <v>1</v>
      </c>
      <c r="R117" s="293">
        <v>183</v>
      </c>
      <c r="S117" s="293">
        <v>0</v>
      </c>
      <c r="T117" s="386">
        <v>5</v>
      </c>
      <c r="U117" s="345" t="str">
        <f t="shared" si="11"/>
        <v>Normal</v>
      </c>
      <c r="V117" s="345" t="str">
        <f t="shared" si="12"/>
        <v>Normal</v>
      </c>
      <c r="W117" s="345">
        <f t="shared" si="13"/>
        <v>0.14482758620689656</v>
      </c>
      <c r="X117" s="416">
        <f t="shared" si="14"/>
        <v>8.0419580419580416E-2</v>
      </c>
      <c r="Y117" s="340"/>
      <c r="Z117" s="340"/>
      <c r="AA117" s="340"/>
      <c r="AB117" s="340"/>
      <c r="AC117" s="338"/>
      <c r="AD117" s="338"/>
      <c r="AE117" s="338"/>
      <c r="AF117" s="338"/>
      <c r="AG117" s="338"/>
      <c r="AH117" s="338"/>
      <c r="AI117" s="338"/>
    </row>
    <row r="118" spans="1:38">
      <c r="A118" s="21">
        <v>45133</v>
      </c>
      <c r="B118" s="17">
        <f>IF(YEAR(Table7[[#This Row],[Date]]) = 2023, WEEKNUM(Table7[[#This Row],[Date]])-13, WEEKNUM(Table7[[#This Row],[Date]])+40)</f>
        <v>17</v>
      </c>
      <c r="C118" s="34" t="s">
        <v>51</v>
      </c>
      <c r="D118" s="35" t="s">
        <v>94</v>
      </c>
      <c r="E118" s="42">
        <v>385</v>
      </c>
      <c r="F118" s="42">
        <v>372</v>
      </c>
      <c r="G118" s="64">
        <f t="shared" ref="G118:H118" si="39">IFERROR((E118-E111)/E111,0%)</f>
        <v>-3.9900249376558602E-2</v>
      </c>
      <c r="H118" s="64">
        <f t="shared" si="39"/>
        <v>-3.3766233766233764E-2</v>
      </c>
      <c r="I118" s="1"/>
      <c r="J118" s="1"/>
      <c r="K118" s="1"/>
      <c r="L118" s="1"/>
      <c r="M118" s="84">
        <v>0.9</v>
      </c>
      <c r="N118" s="84">
        <v>0.03</v>
      </c>
      <c r="O118" s="84">
        <v>0.97</v>
      </c>
      <c r="P118" s="84">
        <v>0.65</v>
      </c>
      <c r="Q118" s="84">
        <v>1</v>
      </c>
      <c r="R118" s="307">
        <v>183</v>
      </c>
      <c r="S118" s="307">
        <v>0</v>
      </c>
      <c r="T118" s="386">
        <v>4</v>
      </c>
      <c r="U118" s="345" t="str">
        <f t="shared" si="11"/>
        <v>Normal</v>
      </c>
      <c r="V118" s="345" t="str">
        <f t="shared" si="12"/>
        <v>Normal</v>
      </c>
      <c r="W118" s="345">
        <f t="shared" si="13"/>
        <v>-3.9900249376558602E-2</v>
      </c>
      <c r="X118" s="416">
        <f t="shared" si="14"/>
        <v>-3.3766233766233764E-2</v>
      </c>
      <c r="Y118" s="340"/>
      <c r="Z118" s="340"/>
      <c r="AA118" s="340"/>
      <c r="AB118" s="340"/>
      <c r="AC118" s="338"/>
      <c r="AD118" s="338"/>
      <c r="AE118" s="338"/>
      <c r="AF118" s="338"/>
      <c r="AG118" s="338"/>
      <c r="AH118" s="338"/>
      <c r="AI118" s="338"/>
    </row>
    <row r="119" spans="1:38">
      <c r="A119" s="21">
        <v>45134</v>
      </c>
      <c r="B119" s="17">
        <f>IF(YEAR(Table7[[#This Row],[Date]]) = 2023, WEEKNUM(Table7[[#This Row],[Date]])-13, WEEKNUM(Table7[[#This Row],[Date]])+40)</f>
        <v>17</v>
      </c>
      <c r="C119" s="34" t="s">
        <v>52</v>
      </c>
      <c r="D119" s="35" t="s">
        <v>94</v>
      </c>
      <c r="E119" s="42">
        <v>367</v>
      </c>
      <c r="F119" s="42">
        <v>347</v>
      </c>
      <c r="G119" s="64">
        <f t="shared" ref="G119:H121" si="40">IFERROR((E119-E112)/E112,0%)</f>
        <v>0.12923076923076923</v>
      </c>
      <c r="H119" s="64">
        <f t="shared" si="40"/>
        <v>0.10158730158730159</v>
      </c>
      <c r="I119" s="1"/>
      <c r="J119" s="1"/>
      <c r="K119" s="1"/>
      <c r="L119" s="1"/>
      <c r="M119" s="84">
        <v>0.83</v>
      </c>
      <c r="N119" s="84">
        <v>0.05</v>
      </c>
      <c r="O119" s="84">
        <v>0.95</v>
      </c>
      <c r="P119" s="84">
        <v>0.5</v>
      </c>
      <c r="Q119" s="84">
        <v>1</v>
      </c>
      <c r="R119" s="293">
        <v>172</v>
      </c>
      <c r="S119" s="293">
        <v>0</v>
      </c>
      <c r="T119" s="386">
        <v>4</v>
      </c>
      <c r="U119" s="345" t="str">
        <f t="shared" si="11"/>
        <v>Normal</v>
      </c>
      <c r="V119" s="345" t="str">
        <f t="shared" si="12"/>
        <v>Normal</v>
      </c>
      <c r="W119" s="345">
        <f t="shared" si="13"/>
        <v>0.12923076923076923</v>
      </c>
      <c r="X119" s="416">
        <f t="shared" si="14"/>
        <v>0.10158730158730159</v>
      </c>
      <c r="Y119" s="340"/>
      <c r="Z119" s="340"/>
      <c r="AA119" s="340"/>
      <c r="AB119" s="340"/>
      <c r="AC119" s="338"/>
      <c r="AD119" s="338"/>
      <c r="AE119" s="338"/>
      <c r="AF119" s="338"/>
      <c r="AG119" s="338"/>
      <c r="AH119" s="338"/>
      <c r="AI119" s="338"/>
    </row>
    <row r="120" spans="1:38">
      <c r="A120" s="21">
        <v>45135</v>
      </c>
      <c r="B120" s="17">
        <f>IF(YEAR(Table7[[#This Row],[Date]]) = 2023, WEEKNUM(Table7[[#This Row],[Date]])-13, WEEKNUM(Table7[[#This Row],[Date]])+40)</f>
        <v>17</v>
      </c>
      <c r="C120" s="34" t="s">
        <v>53</v>
      </c>
      <c r="D120" s="35" t="s">
        <v>94</v>
      </c>
      <c r="E120" s="42">
        <v>359</v>
      </c>
      <c r="F120" s="42">
        <v>353</v>
      </c>
      <c r="G120" s="64">
        <f t="shared" si="40"/>
        <v>4.9707602339181284E-2</v>
      </c>
      <c r="H120" s="64">
        <f t="shared" si="40"/>
        <v>6.6465256797583083E-2</v>
      </c>
      <c r="I120" s="1"/>
      <c r="J120" s="1"/>
      <c r="K120" s="1"/>
      <c r="L120" s="1"/>
      <c r="M120" s="84">
        <v>0.96</v>
      </c>
      <c r="N120" s="84">
        <v>0.02</v>
      </c>
      <c r="O120" s="84">
        <v>0.98</v>
      </c>
      <c r="P120" s="84">
        <v>0.5</v>
      </c>
      <c r="Q120" s="84">
        <v>1</v>
      </c>
      <c r="R120" s="307">
        <v>184</v>
      </c>
      <c r="S120" s="307">
        <v>0</v>
      </c>
      <c r="T120" s="386">
        <v>5</v>
      </c>
      <c r="U120" s="345" t="str">
        <f t="shared" si="11"/>
        <v>Normal</v>
      </c>
      <c r="V120" s="345" t="str">
        <f t="shared" si="12"/>
        <v>Normal</v>
      </c>
      <c r="W120" s="345">
        <f t="shared" si="13"/>
        <v>4.9707602339181284E-2</v>
      </c>
      <c r="X120" s="416">
        <f t="shared" si="14"/>
        <v>6.6465256797583083E-2</v>
      </c>
      <c r="Y120" s="340"/>
      <c r="Z120" s="340"/>
      <c r="AA120" s="340"/>
      <c r="AB120" s="340"/>
      <c r="AC120" s="338"/>
      <c r="AD120" s="338"/>
      <c r="AE120" s="338"/>
      <c r="AF120" s="338"/>
      <c r="AG120" s="338"/>
      <c r="AH120" s="338"/>
      <c r="AI120" s="338"/>
    </row>
    <row r="121" spans="1:38">
      <c r="A121" s="21">
        <v>45136</v>
      </c>
      <c r="B121" s="17">
        <f>IF(YEAR(Table7[[#This Row],[Date]]) = 2023, WEEKNUM(Table7[[#This Row],[Date]])-13, WEEKNUM(Table7[[#This Row],[Date]])+40)</f>
        <v>17</v>
      </c>
      <c r="C121" s="34" t="s">
        <v>54</v>
      </c>
      <c r="D121" s="35" t="s">
        <v>94</v>
      </c>
      <c r="E121" s="42">
        <v>121</v>
      </c>
      <c r="F121" s="42">
        <v>112</v>
      </c>
      <c r="G121" s="64">
        <f t="shared" si="40"/>
        <v>8.0357142857142863E-2</v>
      </c>
      <c r="H121" s="64">
        <f t="shared" si="40"/>
        <v>2.7522935779816515E-2</v>
      </c>
      <c r="I121" s="1"/>
      <c r="J121" s="1"/>
      <c r="K121" s="1"/>
      <c r="L121" s="1"/>
      <c r="M121" s="84">
        <v>0.98</v>
      </c>
      <c r="N121" s="84">
        <v>0.01</v>
      </c>
      <c r="O121" s="84">
        <v>0.99</v>
      </c>
      <c r="P121" s="84">
        <v>0.28000000000000003</v>
      </c>
      <c r="Q121" s="84">
        <v>1</v>
      </c>
      <c r="R121" s="293">
        <v>178</v>
      </c>
      <c r="S121" s="293">
        <v>0</v>
      </c>
      <c r="T121" s="386">
        <v>4</v>
      </c>
      <c r="U121" s="345" t="str">
        <f t="shared" si="11"/>
        <v>Normal</v>
      </c>
      <c r="V121" s="345" t="str">
        <f t="shared" si="12"/>
        <v>Normal</v>
      </c>
      <c r="W121" s="345">
        <f t="shared" si="13"/>
        <v>8.0357142857142863E-2</v>
      </c>
      <c r="X121" s="416">
        <f t="shared" si="14"/>
        <v>2.7522935779816515E-2</v>
      </c>
      <c r="Y121" s="340"/>
      <c r="Z121" s="340"/>
      <c r="AA121" s="340"/>
      <c r="AB121" s="340"/>
      <c r="AC121" s="338"/>
      <c r="AD121" s="338"/>
      <c r="AE121" s="338"/>
      <c r="AF121" s="338"/>
      <c r="AG121" s="338"/>
      <c r="AH121" s="338"/>
      <c r="AI121" s="338"/>
    </row>
    <row r="122" spans="1:38">
      <c r="A122" s="21">
        <v>45137</v>
      </c>
      <c r="B122" s="17">
        <f>IF(YEAR(Table7[[#This Row],[Date]]) = 2023, WEEKNUM(Table7[[#This Row],[Date]])-13, WEEKNUM(Table7[[#This Row],[Date]])+40)</f>
        <v>18</v>
      </c>
      <c r="C122" s="34" t="s">
        <v>48</v>
      </c>
      <c r="D122" s="35" t="s">
        <v>94</v>
      </c>
      <c r="E122" s="42">
        <v>0</v>
      </c>
      <c r="F122" s="42">
        <v>0</v>
      </c>
      <c r="G122" s="64">
        <f t="shared" ref="G122:H122" si="41">IFERROR((E122-E115)/E115,0%)</f>
        <v>0</v>
      </c>
      <c r="H122" s="64">
        <f t="shared" si="41"/>
        <v>0</v>
      </c>
      <c r="I122" s="1">
        <v>0</v>
      </c>
      <c r="J122" s="1">
        <v>0</v>
      </c>
      <c r="K122" s="1">
        <v>0</v>
      </c>
      <c r="L122" s="1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307">
        <v>0</v>
      </c>
      <c r="S122" s="307">
        <v>0</v>
      </c>
      <c r="T122" s="386">
        <v>0</v>
      </c>
      <c r="U122" s="345" t="str">
        <f t="shared" si="11"/>
        <v>Normal</v>
      </c>
      <c r="V122" s="345" t="str">
        <f t="shared" si="12"/>
        <v>Normal</v>
      </c>
      <c r="W122" s="345">
        <f t="shared" si="13"/>
        <v>0</v>
      </c>
      <c r="X122" s="416">
        <f t="shared" si="14"/>
        <v>0</v>
      </c>
      <c r="Y122" s="340"/>
      <c r="Z122" s="340"/>
      <c r="AA122" s="340"/>
      <c r="AB122" s="340"/>
      <c r="AC122" s="338"/>
      <c r="AD122" s="338"/>
      <c r="AE122" s="338"/>
      <c r="AF122" s="338"/>
      <c r="AG122" s="338"/>
      <c r="AH122" s="338"/>
      <c r="AI122" s="338"/>
    </row>
    <row r="123" spans="1:38">
      <c r="A123" s="21">
        <v>45138</v>
      </c>
      <c r="B123" s="17">
        <f>IF(YEAR(Table7[[#This Row],[Date]]) = 2023, WEEKNUM(Table7[[#This Row],[Date]])-13, WEEKNUM(Table7[[#This Row],[Date]])+40)</f>
        <v>18</v>
      </c>
      <c r="C123" s="34" t="s">
        <v>49</v>
      </c>
      <c r="D123" s="35" t="s">
        <v>94</v>
      </c>
      <c r="E123" s="42">
        <v>526</v>
      </c>
      <c r="F123" s="42">
        <v>503</v>
      </c>
      <c r="G123" s="64">
        <f t="shared" ref="G123:H125" si="42">IFERROR((E123-E116)/E116,0%)</f>
        <v>0.27053140096618356</v>
      </c>
      <c r="H123" s="64">
        <f t="shared" si="42"/>
        <v>0.27020202020202022</v>
      </c>
      <c r="I123" s="42"/>
      <c r="J123" s="42"/>
      <c r="K123" s="42"/>
      <c r="L123" s="42"/>
      <c r="M123" s="84">
        <v>0.88</v>
      </c>
      <c r="N123" s="84">
        <v>0.04</v>
      </c>
      <c r="O123" s="84">
        <v>0.96</v>
      </c>
      <c r="P123" s="84">
        <v>0.57999999999999996</v>
      </c>
      <c r="Q123" s="84">
        <v>1</v>
      </c>
      <c r="R123" s="293">
        <v>171</v>
      </c>
      <c r="S123" s="293">
        <v>0</v>
      </c>
      <c r="T123" s="386">
        <v>5</v>
      </c>
      <c r="U123" s="345" t="str">
        <f t="shared" si="11"/>
        <v>Normal</v>
      </c>
      <c r="V123" s="345" t="str">
        <f t="shared" si="12"/>
        <v>Normal</v>
      </c>
      <c r="W123" s="345">
        <f t="shared" si="13"/>
        <v>0.27053140096618356</v>
      </c>
      <c r="X123" s="416">
        <f t="shared" si="14"/>
        <v>0.27020202020202022</v>
      </c>
      <c r="Y123" s="340"/>
      <c r="Z123" s="340"/>
      <c r="AA123" s="340"/>
      <c r="AB123" s="340"/>
      <c r="AC123" s="338"/>
      <c r="AD123" s="338"/>
      <c r="AE123" s="338"/>
      <c r="AF123" s="338"/>
      <c r="AG123" s="338"/>
      <c r="AH123" s="338"/>
      <c r="AI123" s="338"/>
    </row>
    <row r="124" spans="1:38">
      <c r="A124" s="21">
        <v>45139</v>
      </c>
      <c r="B124" s="17">
        <f>IF(YEAR(Table7[[#This Row],[Date]]) = 2023, WEEKNUM(Table7[[#This Row],[Date]])-13, WEEKNUM(Table7[[#This Row],[Date]])+40)</f>
        <v>18</v>
      </c>
      <c r="C124" s="49" t="s">
        <v>50</v>
      </c>
      <c r="D124" s="35" t="s">
        <v>94</v>
      </c>
      <c r="E124" s="95">
        <v>237</v>
      </c>
      <c r="F124" s="95">
        <v>230</v>
      </c>
      <c r="G124" s="64">
        <f t="shared" si="42"/>
        <v>-0.28614457831325302</v>
      </c>
      <c r="H124" s="64">
        <f t="shared" si="42"/>
        <v>-0.25566343042071199</v>
      </c>
      <c r="I124" s="50"/>
      <c r="J124" s="50"/>
      <c r="K124" s="50"/>
      <c r="L124" s="50"/>
      <c r="M124" s="111">
        <v>0.91</v>
      </c>
      <c r="N124" s="111">
        <v>0.03</v>
      </c>
      <c r="O124" s="111">
        <v>0.97</v>
      </c>
      <c r="P124" s="111">
        <v>0.31</v>
      </c>
      <c r="Q124" s="111">
        <v>1</v>
      </c>
      <c r="R124" s="308">
        <v>152</v>
      </c>
      <c r="S124" s="308">
        <v>0</v>
      </c>
      <c r="T124" s="386">
        <v>4</v>
      </c>
      <c r="U124" s="345" t="str">
        <f t="shared" si="11"/>
        <v>Normal</v>
      </c>
      <c r="V124" s="345" t="str">
        <f t="shared" si="12"/>
        <v>Normal</v>
      </c>
      <c r="W124" s="345">
        <f t="shared" si="13"/>
        <v>-0.28614457831325302</v>
      </c>
      <c r="X124" s="416">
        <f t="shared" si="14"/>
        <v>-0.25566343042071199</v>
      </c>
      <c r="Y124" s="340"/>
      <c r="Z124" s="340"/>
      <c r="AA124" s="340"/>
      <c r="AB124" s="340"/>
      <c r="AC124" s="338"/>
      <c r="AD124" s="338"/>
      <c r="AE124" s="338"/>
      <c r="AF124" s="338"/>
      <c r="AG124" s="338"/>
      <c r="AH124" s="338"/>
      <c r="AI124" s="338"/>
    </row>
    <row r="125" spans="1:38">
      <c r="A125" s="21">
        <v>45140</v>
      </c>
      <c r="B125" s="17">
        <f>IF(YEAR(Table7[[#This Row],[Date]]) = 2023, WEEKNUM(Table7[[#This Row],[Date]])-13, WEEKNUM(Table7[[#This Row],[Date]])+40)</f>
        <v>18</v>
      </c>
      <c r="C125" s="34" t="s">
        <v>51</v>
      </c>
      <c r="D125" s="35" t="s">
        <v>94</v>
      </c>
      <c r="E125" s="42">
        <v>509</v>
      </c>
      <c r="F125" s="42">
        <v>473</v>
      </c>
      <c r="G125" s="64">
        <f t="shared" si="42"/>
        <v>0.32207792207792207</v>
      </c>
      <c r="H125" s="64">
        <f t="shared" si="42"/>
        <v>0.271505376344086</v>
      </c>
      <c r="I125" s="1"/>
      <c r="J125" s="1"/>
      <c r="K125" s="1"/>
      <c r="L125" s="1"/>
      <c r="M125" s="84">
        <v>0.81</v>
      </c>
      <c r="N125" s="84">
        <v>7.0000000000000007E-2</v>
      </c>
      <c r="O125" s="84">
        <v>0.93</v>
      </c>
      <c r="P125" s="84">
        <v>0.66</v>
      </c>
      <c r="Q125" s="84">
        <v>1</v>
      </c>
      <c r="R125" s="293">
        <v>182</v>
      </c>
      <c r="S125" s="293">
        <v>0</v>
      </c>
      <c r="T125" s="386">
        <v>5</v>
      </c>
      <c r="U125" s="345" t="str">
        <f t="shared" si="11"/>
        <v>Normal</v>
      </c>
      <c r="V125" s="345" t="str">
        <f t="shared" si="12"/>
        <v>Normal</v>
      </c>
      <c r="W125" s="345">
        <f t="shared" si="13"/>
        <v>0.32207792207792207</v>
      </c>
      <c r="X125" s="416">
        <f t="shared" si="14"/>
        <v>0.271505376344086</v>
      </c>
      <c r="Y125" s="340"/>
      <c r="Z125" s="340"/>
      <c r="AA125" s="340"/>
      <c r="AB125" s="340"/>
      <c r="AC125" s="338"/>
      <c r="AD125" s="338"/>
      <c r="AE125" s="338"/>
      <c r="AF125" s="338"/>
      <c r="AG125" s="338"/>
      <c r="AH125" s="338"/>
      <c r="AI125" s="338"/>
    </row>
    <row r="126" spans="1:38">
      <c r="A126" s="21">
        <v>45141</v>
      </c>
      <c r="B126" s="17">
        <f>IF(YEAR(Table7[[#This Row],[Date]]) = 2023, WEEKNUM(Table7[[#This Row],[Date]])-13, WEEKNUM(Table7[[#This Row],[Date]])+40)</f>
        <v>18</v>
      </c>
      <c r="C126" s="34" t="s">
        <v>52</v>
      </c>
      <c r="D126" s="35" t="s">
        <v>94</v>
      </c>
      <c r="E126" s="42">
        <v>437</v>
      </c>
      <c r="F126" s="42">
        <v>413</v>
      </c>
      <c r="G126" s="64">
        <f t="shared" ref="G126:H126" si="43">IFERROR((E126-E119)/E119,0%)</f>
        <v>0.1907356948228883</v>
      </c>
      <c r="H126" s="64">
        <f t="shared" si="43"/>
        <v>0.19020172910662825</v>
      </c>
      <c r="I126" s="42"/>
      <c r="J126" s="42"/>
      <c r="K126" s="42"/>
      <c r="L126" s="42"/>
      <c r="M126" s="84">
        <v>0.9</v>
      </c>
      <c r="N126" s="84">
        <v>0.05</v>
      </c>
      <c r="O126" s="84">
        <v>0.95</v>
      </c>
      <c r="P126" s="84">
        <v>0.49</v>
      </c>
      <c r="Q126" s="84">
        <v>1</v>
      </c>
      <c r="R126" s="307">
        <v>179</v>
      </c>
      <c r="S126" s="307">
        <v>0</v>
      </c>
      <c r="T126" s="386">
        <v>5</v>
      </c>
      <c r="U126" s="345" t="str">
        <f t="shared" si="11"/>
        <v>Normal</v>
      </c>
      <c r="V126" s="345" t="str">
        <f t="shared" si="12"/>
        <v>Normal</v>
      </c>
      <c r="W126" s="345">
        <f t="shared" si="13"/>
        <v>0.1907356948228883</v>
      </c>
      <c r="X126" s="416">
        <f t="shared" si="14"/>
        <v>0.19020172910662825</v>
      </c>
      <c r="Y126" s="340"/>
      <c r="Z126" s="340"/>
      <c r="AA126" s="340"/>
      <c r="AB126" s="340"/>
      <c r="AC126" s="338"/>
      <c r="AD126" s="338"/>
      <c r="AE126" s="338"/>
      <c r="AF126" s="338"/>
      <c r="AG126" s="338"/>
      <c r="AH126" s="338"/>
      <c r="AI126" s="338"/>
    </row>
    <row r="127" spans="1:38">
      <c r="A127" s="21">
        <v>45142</v>
      </c>
      <c r="B127" s="17">
        <f>IF(YEAR(Table7[[#This Row],[Date]]) = 2023, WEEKNUM(Table7[[#This Row],[Date]])-13, WEEKNUM(Table7[[#This Row],[Date]])+40)</f>
        <v>18</v>
      </c>
      <c r="C127" s="34" t="s">
        <v>53</v>
      </c>
      <c r="D127" s="35" t="s">
        <v>94</v>
      </c>
      <c r="E127" s="42">
        <v>396</v>
      </c>
      <c r="F127" s="42">
        <v>383</v>
      </c>
      <c r="G127" s="64">
        <f t="shared" ref="G127:H129" si="44">IFERROR((E127-E120)/E120,0%)</f>
        <v>0.10306406685236769</v>
      </c>
      <c r="H127" s="64">
        <f t="shared" si="44"/>
        <v>8.4985835694050993E-2</v>
      </c>
      <c r="I127" s="1"/>
      <c r="J127" s="1"/>
      <c r="K127" s="1"/>
      <c r="L127" s="1"/>
      <c r="M127" s="84">
        <v>0.92</v>
      </c>
      <c r="N127" s="84">
        <v>0.03</v>
      </c>
      <c r="O127" s="84">
        <v>0.97</v>
      </c>
      <c r="P127" s="84">
        <v>0.67</v>
      </c>
      <c r="Q127" s="84">
        <v>1</v>
      </c>
      <c r="R127" s="293">
        <v>185</v>
      </c>
      <c r="S127" s="293">
        <v>0</v>
      </c>
      <c r="T127" s="386">
        <v>4</v>
      </c>
      <c r="U127" s="345" t="str">
        <f t="shared" si="11"/>
        <v>Normal</v>
      </c>
      <c r="V127" s="345" t="str">
        <f t="shared" si="12"/>
        <v>Normal</v>
      </c>
      <c r="W127" s="345">
        <f t="shared" si="13"/>
        <v>0.10306406685236769</v>
      </c>
      <c r="X127" s="416">
        <f t="shared" si="14"/>
        <v>8.4985835694050993E-2</v>
      </c>
      <c r="Y127" s="340"/>
      <c r="Z127" s="340"/>
      <c r="AA127" s="340"/>
      <c r="AB127" s="340"/>
      <c r="AC127" s="338"/>
      <c r="AD127" s="338"/>
      <c r="AE127" s="338"/>
      <c r="AF127" s="338"/>
      <c r="AG127" s="338"/>
      <c r="AH127" s="338"/>
      <c r="AI127" s="338"/>
      <c r="AK127" t="s">
        <v>62</v>
      </c>
      <c r="AL127" s="16">
        <v>44682</v>
      </c>
    </row>
    <row r="128" spans="1:38">
      <c r="A128" s="21">
        <v>45143</v>
      </c>
      <c r="B128" s="17">
        <f>IF(YEAR(Table7[[#This Row],[Date]]) = 2023, WEEKNUM(Table7[[#This Row],[Date]])-13, WEEKNUM(Table7[[#This Row],[Date]])+40)</f>
        <v>18</v>
      </c>
      <c r="C128" s="34" t="s">
        <v>54</v>
      </c>
      <c r="D128" s="35" t="s">
        <v>94</v>
      </c>
      <c r="E128" s="42">
        <v>132</v>
      </c>
      <c r="F128" s="42">
        <v>131</v>
      </c>
      <c r="G128" s="64">
        <f t="shared" si="44"/>
        <v>9.0909090909090912E-2</v>
      </c>
      <c r="H128" s="64">
        <f t="shared" si="44"/>
        <v>0.16964285714285715</v>
      </c>
      <c r="I128" s="1"/>
      <c r="J128" s="1"/>
      <c r="K128" s="1"/>
      <c r="L128" s="1"/>
      <c r="M128" s="84">
        <v>0.9</v>
      </c>
      <c r="N128" s="84">
        <v>0.01</v>
      </c>
      <c r="O128" s="84">
        <v>0.99</v>
      </c>
      <c r="P128" s="84">
        <v>0.44</v>
      </c>
      <c r="Q128" s="84">
        <v>1</v>
      </c>
      <c r="R128" s="307">
        <v>176</v>
      </c>
      <c r="S128" s="307">
        <v>0</v>
      </c>
      <c r="T128" s="386">
        <v>2</v>
      </c>
      <c r="U128" s="345" t="str">
        <f t="shared" si="11"/>
        <v>Normal</v>
      </c>
      <c r="V128" s="345" t="str">
        <f t="shared" si="12"/>
        <v>Normal</v>
      </c>
      <c r="W128" s="345">
        <f t="shared" si="13"/>
        <v>9.0909090909090912E-2</v>
      </c>
      <c r="X128" s="416">
        <f t="shared" si="14"/>
        <v>0.16964285714285715</v>
      </c>
      <c r="Y128" s="340"/>
      <c r="Z128" s="340"/>
      <c r="AA128" s="340"/>
      <c r="AB128" s="340"/>
      <c r="AC128" s="338"/>
      <c r="AD128" s="338"/>
      <c r="AE128" s="338"/>
      <c r="AF128" s="338"/>
      <c r="AG128" s="338"/>
      <c r="AH128" s="338"/>
      <c r="AI128" s="338"/>
      <c r="AK128" t="s">
        <v>63</v>
      </c>
      <c r="AL128" s="16">
        <v>44704</v>
      </c>
    </row>
    <row r="129" spans="1:55">
      <c r="A129" s="21">
        <v>45144</v>
      </c>
      <c r="B129" s="17">
        <f>IF(YEAR(Table7[[#This Row],[Date]]) = 2023, WEEKNUM(Table7[[#This Row],[Date]])-13, WEEKNUM(Table7[[#This Row],[Date]])+40)</f>
        <v>19</v>
      </c>
      <c r="C129" s="34" t="s">
        <v>48</v>
      </c>
      <c r="D129" s="35" t="s">
        <v>94</v>
      </c>
      <c r="E129" s="42">
        <v>0</v>
      </c>
      <c r="F129" s="42">
        <v>0</v>
      </c>
      <c r="G129" s="64">
        <f t="shared" si="44"/>
        <v>0</v>
      </c>
      <c r="H129" s="64">
        <f t="shared" si="44"/>
        <v>0</v>
      </c>
      <c r="I129" s="42">
        <v>0</v>
      </c>
      <c r="J129" s="42">
        <v>0</v>
      </c>
      <c r="K129" s="42">
        <v>0</v>
      </c>
      <c r="L129" s="42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293">
        <v>0</v>
      </c>
      <c r="S129" s="293">
        <v>0</v>
      </c>
      <c r="T129" s="386">
        <v>0</v>
      </c>
      <c r="U129" s="345" t="str">
        <f t="shared" si="11"/>
        <v>Normal</v>
      </c>
      <c r="V129" s="345" t="str">
        <f t="shared" si="12"/>
        <v>Normal</v>
      </c>
      <c r="W129" s="345">
        <f t="shared" si="13"/>
        <v>0</v>
      </c>
      <c r="X129" s="416">
        <f t="shared" si="14"/>
        <v>0</v>
      </c>
      <c r="Y129" s="340"/>
      <c r="Z129" s="340"/>
      <c r="AA129" s="340"/>
      <c r="AB129" s="340"/>
      <c r="AC129" s="338"/>
      <c r="AD129" s="338"/>
      <c r="AE129" s="338"/>
      <c r="AF129" s="338"/>
      <c r="AG129" s="338"/>
      <c r="AH129" s="338"/>
      <c r="AI129" s="338"/>
    </row>
    <row r="130" spans="1:55">
      <c r="A130" s="21">
        <v>45145</v>
      </c>
      <c r="B130" s="17">
        <f>IF(YEAR(Table7[[#This Row],[Date]]) = 2023, WEEKNUM(Table7[[#This Row],[Date]])-13, WEEKNUM(Table7[[#This Row],[Date]])+40)</f>
        <v>19</v>
      </c>
      <c r="C130" s="34" t="s">
        <v>49</v>
      </c>
      <c r="D130" s="35" t="s">
        <v>94</v>
      </c>
      <c r="E130" s="42">
        <v>209</v>
      </c>
      <c r="F130" s="42">
        <v>208</v>
      </c>
      <c r="G130" s="64">
        <f t="shared" ref="G130:H130" si="45">IFERROR((E130-E123)/E123,0%)</f>
        <v>-0.60266159695817489</v>
      </c>
      <c r="H130" s="64">
        <f t="shared" si="45"/>
        <v>-0.58648111332007957</v>
      </c>
      <c r="I130" s="1"/>
      <c r="J130" s="1"/>
      <c r="K130" s="1"/>
      <c r="L130" s="1"/>
      <c r="M130" s="84">
        <v>0.97</v>
      </c>
      <c r="N130" s="84">
        <v>0</v>
      </c>
      <c r="O130" s="84">
        <v>1</v>
      </c>
      <c r="P130" s="84">
        <v>0.38</v>
      </c>
      <c r="Q130" s="84">
        <v>1</v>
      </c>
      <c r="R130" s="307">
        <v>195</v>
      </c>
      <c r="S130" s="307">
        <v>0</v>
      </c>
      <c r="T130" s="386">
        <v>4</v>
      </c>
      <c r="U130" s="345" t="str">
        <f t="shared" si="11"/>
        <v>Normal</v>
      </c>
      <c r="V130" s="345" t="str">
        <f t="shared" si="12"/>
        <v>Normal</v>
      </c>
      <c r="W130" s="345">
        <f t="shared" si="13"/>
        <v>-0.60266159695817489</v>
      </c>
      <c r="X130" s="416">
        <f t="shared" si="14"/>
        <v>-0.58648111332007957</v>
      </c>
      <c r="Y130" s="340"/>
      <c r="Z130" s="340"/>
      <c r="AA130" s="340"/>
      <c r="AB130" s="340"/>
      <c r="AC130" s="338"/>
      <c r="AD130" s="338"/>
      <c r="AE130" s="338"/>
      <c r="AF130" s="338"/>
      <c r="AG130" s="338"/>
      <c r="AH130" s="338"/>
      <c r="AI130" s="338"/>
    </row>
    <row r="131" spans="1:55">
      <c r="A131" s="21">
        <v>45146</v>
      </c>
      <c r="B131" s="17">
        <f>IF(YEAR(Table7[[#This Row],[Date]]) = 2023, WEEKNUM(Table7[[#This Row],[Date]])-13, WEEKNUM(Table7[[#This Row],[Date]])+40)</f>
        <v>19</v>
      </c>
      <c r="C131" s="34" t="s">
        <v>50</v>
      </c>
      <c r="D131" s="35" t="s">
        <v>94</v>
      </c>
      <c r="E131" s="42">
        <v>297</v>
      </c>
      <c r="F131" s="42">
        <v>288</v>
      </c>
      <c r="G131" s="64">
        <f t="shared" ref="G131:H133" si="46">IFERROR((E131-E124)/E124,0%)</f>
        <v>0.25316455696202533</v>
      </c>
      <c r="H131" s="64">
        <f t="shared" si="46"/>
        <v>0.25217391304347825</v>
      </c>
      <c r="I131" s="42"/>
      <c r="J131" s="42"/>
      <c r="K131" s="42"/>
      <c r="L131" s="42"/>
      <c r="M131" s="84">
        <v>0.92</v>
      </c>
      <c r="N131" s="84">
        <v>0.03</v>
      </c>
      <c r="O131" s="84">
        <v>0.97</v>
      </c>
      <c r="P131" s="84">
        <v>0.52</v>
      </c>
      <c r="Q131" s="84">
        <v>1</v>
      </c>
      <c r="R131" s="293">
        <v>185</v>
      </c>
      <c r="S131" s="293">
        <v>0</v>
      </c>
      <c r="T131" s="386">
        <v>4</v>
      </c>
      <c r="U131" s="345" t="str">
        <f t="shared" ref="U131:U194" si="47">IF(OR(I131&lt;$AA$5,I131&gt;$AB$5), "Outlier", "Normal")</f>
        <v>Normal</v>
      </c>
      <c r="V131" s="345" t="str">
        <f t="shared" ref="V131:V194" si="48">IF(OR(J131&lt;$AA$6,J131&gt;$AB$6), "Outlier", "Normal")</f>
        <v>Normal</v>
      </c>
      <c r="W131" s="345">
        <f t="shared" ref="W131:W194" si="49">IF(U131="Normal",$G131,IF($G131&lt;150%, $G131, $AA$9))</f>
        <v>0.25316455696202533</v>
      </c>
      <c r="X131" s="416">
        <f t="shared" ref="X131:X194" si="50">IF(V131="Normal",$H131,IF($H131&lt;150%, $H131, $AE$9))</f>
        <v>0.25217391304347825</v>
      </c>
      <c r="Y131" s="340"/>
      <c r="Z131" s="340"/>
      <c r="AA131" s="340"/>
      <c r="AB131" s="340"/>
      <c r="AC131" s="338"/>
      <c r="AD131" s="338"/>
      <c r="AE131" s="338"/>
      <c r="AF131" s="338"/>
      <c r="AG131" s="338"/>
      <c r="AH131" s="338"/>
      <c r="AI131" s="338"/>
    </row>
    <row r="132" spans="1:55">
      <c r="A132" s="21">
        <v>45147</v>
      </c>
      <c r="B132" s="17">
        <f>IF(YEAR(Table7[[#This Row],[Date]]) = 2023, WEEKNUM(Table7[[#This Row],[Date]])-13, WEEKNUM(Table7[[#This Row],[Date]])+40)</f>
        <v>19</v>
      </c>
      <c r="C132" s="34" t="s">
        <v>51</v>
      </c>
      <c r="D132" s="35" t="s">
        <v>94</v>
      </c>
      <c r="E132" s="42">
        <v>393</v>
      </c>
      <c r="F132" s="42">
        <v>369</v>
      </c>
      <c r="G132" s="64">
        <f t="shared" si="46"/>
        <v>-0.22789783889980353</v>
      </c>
      <c r="H132" s="64">
        <f t="shared" si="46"/>
        <v>-0.21987315010570824</v>
      </c>
      <c r="I132" s="42"/>
      <c r="J132" s="1"/>
      <c r="K132" s="1"/>
      <c r="L132" s="1"/>
      <c r="M132" s="18">
        <v>0.85</v>
      </c>
      <c r="N132" s="84">
        <v>0.06</v>
      </c>
      <c r="O132" s="84">
        <v>0.94</v>
      </c>
      <c r="P132" s="84">
        <v>0.68</v>
      </c>
      <c r="Q132" s="84">
        <v>1</v>
      </c>
      <c r="R132" s="307">
        <v>200</v>
      </c>
      <c r="S132" s="307">
        <v>0</v>
      </c>
      <c r="T132" s="386">
        <v>4</v>
      </c>
      <c r="U132" s="345" t="str">
        <f t="shared" si="47"/>
        <v>Normal</v>
      </c>
      <c r="V132" s="345" t="str">
        <f t="shared" si="48"/>
        <v>Normal</v>
      </c>
      <c r="W132" s="345">
        <f t="shared" si="49"/>
        <v>-0.22789783889980353</v>
      </c>
      <c r="X132" s="416">
        <f t="shared" si="50"/>
        <v>-0.21987315010570824</v>
      </c>
      <c r="Y132" s="340"/>
      <c r="Z132" s="340"/>
      <c r="AA132" s="340"/>
      <c r="AB132" s="340"/>
      <c r="AC132" s="338"/>
      <c r="AD132" s="338"/>
      <c r="AE132" s="338"/>
      <c r="AF132" s="338"/>
      <c r="AG132" s="338"/>
      <c r="AH132" s="338"/>
      <c r="AI132" s="338"/>
    </row>
    <row r="133" spans="1:55">
      <c r="A133" s="21">
        <v>45148</v>
      </c>
      <c r="B133" s="17">
        <f>IF(YEAR(Table7[[#This Row],[Date]]) = 2023, WEEKNUM(Table7[[#This Row],[Date]])-13, WEEKNUM(Table7[[#This Row],[Date]])+40)</f>
        <v>19</v>
      </c>
      <c r="C133" s="34" t="s">
        <v>52</v>
      </c>
      <c r="D133" s="35" t="s">
        <v>94</v>
      </c>
      <c r="E133" s="42">
        <v>388</v>
      </c>
      <c r="F133" s="42">
        <v>370</v>
      </c>
      <c r="G133" s="64">
        <f t="shared" si="46"/>
        <v>-0.11212814645308924</v>
      </c>
      <c r="H133" s="64">
        <f t="shared" si="46"/>
        <v>-0.10411622276029056</v>
      </c>
      <c r="I133" s="42"/>
      <c r="J133" s="1"/>
      <c r="K133" s="1"/>
      <c r="L133" s="1"/>
      <c r="M133" s="18">
        <v>0.87</v>
      </c>
      <c r="N133" s="84">
        <v>0.05</v>
      </c>
      <c r="O133" s="84">
        <v>0.95</v>
      </c>
      <c r="P133" s="84">
        <v>0.67</v>
      </c>
      <c r="Q133" s="84">
        <v>1</v>
      </c>
      <c r="R133" s="293">
        <v>192</v>
      </c>
      <c r="S133" s="293">
        <v>0</v>
      </c>
      <c r="T133" s="386">
        <v>4</v>
      </c>
      <c r="U133" s="345" t="str">
        <f t="shared" si="47"/>
        <v>Normal</v>
      </c>
      <c r="V133" s="345" t="str">
        <f t="shared" si="48"/>
        <v>Normal</v>
      </c>
      <c r="W133" s="345">
        <f t="shared" si="49"/>
        <v>-0.11212814645308924</v>
      </c>
      <c r="X133" s="416">
        <f t="shared" si="50"/>
        <v>-0.10411622276029056</v>
      </c>
      <c r="Y133" s="340"/>
      <c r="Z133" s="340"/>
      <c r="AA133" s="340"/>
      <c r="AB133" s="340"/>
      <c r="AC133" s="338"/>
      <c r="AD133" s="338"/>
      <c r="AE133" s="338"/>
      <c r="AF133" s="338"/>
      <c r="AG133" s="338"/>
      <c r="AH133" s="338"/>
      <c r="AI133" s="338"/>
    </row>
    <row r="134" spans="1:55">
      <c r="A134" s="21">
        <v>45149</v>
      </c>
      <c r="B134" s="17">
        <f>IF(YEAR(Table7[[#This Row],[Date]]) = 2023, WEEKNUM(Table7[[#This Row],[Date]])-13, WEEKNUM(Table7[[#This Row],[Date]])+40)</f>
        <v>19</v>
      </c>
      <c r="C134" s="34" t="s">
        <v>53</v>
      </c>
      <c r="D134" s="35" t="s">
        <v>94</v>
      </c>
      <c r="E134" s="42">
        <v>400</v>
      </c>
      <c r="F134" s="42">
        <v>376</v>
      </c>
      <c r="G134" s="64">
        <f t="shared" ref="G134:H134" si="51">IFERROR((E134-E127)/E127,0%)</f>
        <v>1.0101010101010102E-2</v>
      </c>
      <c r="H134" s="64">
        <f t="shared" si="51"/>
        <v>-1.8276762402088774E-2</v>
      </c>
      <c r="I134" s="42"/>
      <c r="J134" s="1"/>
      <c r="K134" s="1"/>
      <c r="L134" s="1"/>
      <c r="M134" s="18">
        <v>0.85</v>
      </c>
      <c r="N134" s="84">
        <v>0.06</v>
      </c>
      <c r="O134" s="84">
        <v>0.94</v>
      </c>
      <c r="P134" s="84">
        <v>0.68</v>
      </c>
      <c r="Q134" s="84">
        <v>1</v>
      </c>
      <c r="R134" s="307">
        <v>194</v>
      </c>
      <c r="S134" s="307">
        <v>0</v>
      </c>
      <c r="T134" s="386">
        <v>4</v>
      </c>
      <c r="U134" s="345" t="str">
        <f t="shared" si="47"/>
        <v>Normal</v>
      </c>
      <c r="V134" s="345" t="str">
        <f t="shared" si="48"/>
        <v>Normal</v>
      </c>
      <c r="W134" s="345">
        <f t="shared" si="49"/>
        <v>1.0101010101010102E-2</v>
      </c>
      <c r="X134" s="416">
        <f t="shared" si="50"/>
        <v>-1.8276762402088774E-2</v>
      </c>
      <c r="Y134" s="340"/>
      <c r="Z134" s="340"/>
      <c r="AA134" s="340"/>
      <c r="AB134" s="340"/>
      <c r="AC134" s="338"/>
      <c r="AD134" s="338"/>
      <c r="AE134" s="338"/>
      <c r="AF134" s="338"/>
      <c r="AG134" s="338"/>
      <c r="AH134" s="338"/>
      <c r="AI134" s="338"/>
      <c r="BB134" s="430" t="s">
        <v>83</v>
      </c>
      <c r="BC134" s="430"/>
    </row>
    <row r="135" spans="1:55">
      <c r="A135" s="21">
        <v>45150</v>
      </c>
      <c r="B135" s="17">
        <f>IF(YEAR(Table7[[#This Row],[Date]]) = 2023, WEEKNUM(Table7[[#This Row],[Date]])-13, WEEKNUM(Table7[[#This Row],[Date]])+40)</f>
        <v>19</v>
      </c>
      <c r="C135" s="34" t="s">
        <v>54</v>
      </c>
      <c r="D135" s="35" t="s">
        <v>94</v>
      </c>
      <c r="E135" s="42">
        <v>128</v>
      </c>
      <c r="F135" s="42">
        <v>125</v>
      </c>
      <c r="G135" s="64">
        <f t="shared" ref="G135:H137" si="52">IFERROR((E135-E128)/E128,0%)</f>
        <v>-3.0303030303030304E-2</v>
      </c>
      <c r="H135" s="64">
        <f t="shared" si="52"/>
        <v>-4.5801526717557252E-2</v>
      </c>
      <c r="I135" s="42"/>
      <c r="J135" s="1"/>
      <c r="K135" s="1"/>
      <c r="L135" s="1"/>
      <c r="M135" s="18">
        <v>0.93</v>
      </c>
      <c r="N135" s="84">
        <v>0.02</v>
      </c>
      <c r="O135" s="84">
        <v>0.98</v>
      </c>
      <c r="P135" s="84">
        <v>0.42</v>
      </c>
      <c r="Q135" s="84">
        <v>1</v>
      </c>
      <c r="R135" s="293">
        <v>212</v>
      </c>
      <c r="S135" s="293">
        <v>0</v>
      </c>
      <c r="T135" s="386">
        <v>4</v>
      </c>
      <c r="U135" s="345" t="str">
        <f t="shared" si="47"/>
        <v>Normal</v>
      </c>
      <c r="V135" s="345" t="str">
        <f t="shared" si="48"/>
        <v>Normal</v>
      </c>
      <c r="W135" s="345">
        <f t="shared" si="49"/>
        <v>-3.0303030303030304E-2</v>
      </c>
      <c r="X135" s="416">
        <f t="shared" si="50"/>
        <v>-4.5801526717557252E-2</v>
      </c>
      <c r="Y135" s="340"/>
      <c r="Z135" s="340"/>
      <c r="AA135" s="340"/>
      <c r="AB135" s="340"/>
      <c r="AC135" s="338"/>
      <c r="AD135" s="338"/>
      <c r="AE135" s="338"/>
      <c r="AF135" s="338"/>
      <c r="AG135" s="338"/>
      <c r="AH135" s="338"/>
      <c r="AI135" s="338"/>
      <c r="BB135" t="s">
        <v>84</v>
      </c>
      <c r="BC135" t="s">
        <v>85</v>
      </c>
    </row>
    <row r="136" spans="1:55">
      <c r="A136" s="21">
        <v>45151</v>
      </c>
      <c r="B136" s="17">
        <f>IF(YEAR(Table7[[#This Row],[Date]]) = 2023, WEEKNUM(Table7[[#This Row],[Date]])-13, WEEKNUM(Table7[[#This Row],[Date]])+40)</f>
        <v>20</v>
      </c>
      <c r="C136" s="34" t="s">
        <v>48</v>
      </c>
      <c r="D136" s="35" t="s">
        <v>94</v>
      </c>
      <c r="E136" s="42">
        <v>0</v>
      </c>
      <c r="F136" s="42">
        <v>0</v>
      </c>
      <c r="G136" s="64">
        <f t="shared" si="52"/>
        <v>0</v>
      </c>
      <c r="H136" s="64">
        <f t="shared" si="52"/>
        <v>0</v>
      </c>
      <c r="I136" s="42">
        <v>0</v>
      </c>
      <c r="J136" s="1">
        <v>0</v>
      </c>
      <c r="K136" s="1">
        <v>0</v>
      </c>
      <c r="L136" s="1">
        <v>0</v>
      </c>
      <c r="M136" s="18">
        <v>0</v>
      </c>
      <c r="N136" s="84">
        <v>0</v>
      </c>
      <c r="O136" s="84">
        <v>0</v>
      </c>
      <c r="P136" s="84">
        <v>0</v>
      </c>
      <c r="Q136" s="84">
        <v>0</v>
      </c>
      <c r="R136" s="307">
        <v>0</v>
      </c>
      <c r="S136" s="307">
        <v>0</v>
      </c>
      <c r="T136" s="386">
        <v>0</v>
      </c>
      <c r="U136" s="345" t="str">
        <f t="shared" si="47"/>
        <v>Normal</v>
      </c>
      <c r="V136" s="345" t="str">
        <f t="shared" si="48"/>
        <v>Normal</v>
      </c>
      <c r="W136" s="345">
        <f t="shared" si="49"/>
        <v>0</v>
      </c>
      <c r="X136" s="416">
        <f t="shared" si="50"/>
        <v>0</v>
      </c>
      <c r="Y136" s="340"/>
      <c r="Z136" s="340"/>
      <c r="AA136" s="340"/>
      <c r="AB136" s="340"/>
      <c r="AC136" s="338"/>
      <c r="AD136" s="338"/>
      <c r="AE136" s="338"/>
      <c r="AF136" s="338"/>
      <c r="AG136" s="338"/>
      <c r="AH136" s="338"/>
      <c r="AI136" s="338"/>
      <c r="BB136" t="s">
        <v>86</v>
      </c>
      <c r="BC136" s="147">
        <v>0</v>
      </c>
    </row>
    <row r="137" spans="1:55">
      <c r="A137" s="21">
        <v>45152</v>
      </c>
      <c r="B137" s="17">
        <f>IF(YEAR(Table7[[#This Row],[Date]]) = 2023, WEEKNUM(Table7[[#This Row],[Date]])-13, WEEKNUM(Table7[[#This Row],[Date]])+40)</f>
        <v>20</v>
      </c>
      <c r="C137" s="34" t="s">
        <v>49</v>
      </c>
      <c r="D137" s="35" t="s">
        <v>94</v>
      </c>
      <c r="E137" s="42">
        <v>457</v>
      </c>
      <c r="F137" s="42">
        <v>436</v>
      </c>
      <c r="G137" s="64">
        <f t="shared" si="52"/>
        <v>1.1866028708133971</v>
      </c>
      <c r="H137" s="64">
        <f t="shared" si="52"/>
        <v>1.0961538461538463</v>
      </c>
      <c r="I137" s="1"/>
      <c r="J137" s="1"/>
      <c r="K137" s="1"/>
      <c r="L137" s="1"/>
      <c r="M137" s="84">
        <v>0.87</v>
      </c>
      <c r="N137" s="84">
        <v>0.05</v>
      </c>
      <c r="O137" s="84">
        <v>0.95</v>
      </c>
      <c r="P137" s="84">
        <v>0.51</v>
      </c>
      <c r="Q137" s="84">
        <v>1</v>
      </c>
      <c r="R137" s="293">
        <v>176</v>
      </c>
      <c r="S137" s="293">
        <v>0</v>
      </c>
      <c r="T137" s="386">
        <v>5</v>
      </c>
      <c r="U137" s="345" t="str">
        <f t="shared" si="47"/>
        <v>Normal</v>
      </c>
      <c r="V137" s="345" t="str">
        <f t="shared" si="48"/>
        <v>Normal</v>
      </c>
      <c r="W137" s="345">
        <f t="shared" si="49"/>
        <v>1.1866028708133971</v>
      </c>
      <c r="X137" s="416">
        <f t="shared" si="50"/>
        <v>1.0961538461538463</v>
      </c>
      <c r="Y137" s="340"/>
      <c r="Z137" s="340"/>
      <c r="AA137" s="340"/>
      <c r="AB137" s="340"/>
      <c r="AC137" s="338"/>
      <c r="AD137" s="338"/>
      <c r="AE137" s="338"/>
      <c r="AF137" s="338"/>
      <c r="AG137" s="338"/>
      <c r="AH137" s="338"/>
      <c r="AI137" s="338"/>
      <c r="BB137" t="s">
        <v>87</v>
      </c>
      <c r="BC137" s="147">
        <v>0.10416666666666667</v>
      </c>
    </row>
    <row r="138" spans="1:55">
      <c r="A138" s="21">
        <v>45153</v>
      </c>
      <c r="B138" s="17">
        <f>IF(YEAR(Table7[[#This Row],[Date]]) = 2023, WEEKNUM(Table7[[#This Row],[Date]])-13, WEEKNUM(Table7[[#This Row],[Date]])+40)</f>
        <v>20</v>
      </c>
      <c r="C138" s="34" t="s">
        <v>50</v>
      </c>
      <c r="D138" s="35" t="s">
        <v>94</v>
      </c>
      <c r="E138" s="42">
        <v>355</v>
      </c>
      <c r="F138" s="42">
        <v>340</v>
      </c>
      <c r="G138" s="64">
        <f t="shared" ref="G138:H138" si="53">IFERROR((E138-E131)/E131,0%)</f>
        <v>0.19528619528619529</v>
      </c>
      <c r="H138" s="64">
        <f t="shared" si="53"/>
        <v>0.18055555555555555</v>
      </c>
      <c r="I138" s="42"/>
      <c r="J138" s="1"/>
      <c r="K138" s="1"/>
      <c r="L138" s="1"/>
      <c r="M138" s="18">
        <v>0.92</v>
      </c>
      <c r="N138" s="84">
        <v>0.04</v>
      </c>
      <c r="O138" s="84">
        <v>0.96</v>
      </c>
      <c r="P138" s="84">
        <v>0.41</v>
      </c>
      <c r="Q138" s="84">
        <v>1</v>
      </c>
      <c r="R138" s="307">
        <v>171</v>
      </c>
      <c r="S138" s="307">
        <v>0</v>
      </c>
      <c r="T138" s="386">
        <v>5</v>
      </c>
      <c r="U138" s="345" t="str">
        <f t="shared" si="47"/>
        <v>Normal</v>
      </c>
      <c r="V138" s="345" t="str">
        <f t="shared" si="48"/>
        <v>Normal</v>
      </c>
      <c r="W138" s="345">
        <f t="shared" si="49"/>
        <v>0.19528619528619529</v>
      </c>
      <c r="X138" s="416">
        <f t="shared" si="50"/>
        <v>0.18055555555555555</v>
      </c>
      <c r="Y138" s="340"/>
      <c r="Z138" s="340"/>
      <c r="AA138" s="340"/>
      <c r="AB138" s="340"/>
      <c r="AC138" s="338"/>
      <c r="AD138" s="338"/>
      <c r="AE138" s="338"/>
      <c r="AF138" s="338"/>
      <c r="AG138" s="338"/>
      <c r="AH138" s="338"/>
      <c r="AI138" s="338"/>
      <c r="BB138" t="s">
        <v>88</v>
      </c>
      <c r="BC138" s="147">
        <v>0.10416666666666667</v>
      </c>
    </row>
    <row r="139" spans="1:55">
      <c r="A139" s="21">
        <v>45154</v>
      </c>
      <c r="B139" s="17">
        <f>IF(YEAR(Table7[[#This Row],[Date]]) = 2023, WEEKNUM(Table7[[#This Row],[Date]])-13, WEEKNUM(Table7[[#This Row],[Date]])+40)</f>
        <v>20</v>
      </c>
      <c r="C139" s="34" t="s">
        <v>51</v>
      </c>
      <c r="D139" s="35" t="s">
        <v>94</v>
      </c>
      <c r="E139" s="42">
        <v>376</v>
      </c>
      <c r="F139" s="42">
        <v>369</v>
      </c>
      <c r="G139" s="64">
        <f t="shared" ref="G139:H141" si="54">IFERROR((E139-E132)/E132,0%)</f>
        <v>-4.3256997455470736E-2</v>
      </c>
      <c r="H139" s="64">
        <f t="shared" si="54"/>
        <v>0</v>
      </c>
      <c r="I139" s="42"/>
      <c r="J139" s="1"/>
      <c r="K139" s="1"/>
      <c r="L139" s="1"/>
      <c r="M139" s="84">
        <v>0.96</v>
      </c>
      <c r="N139" s="84">
        <v>0.02</v>
      </c>
      <c r="O139" s="84">
        <v>0.98</v>
      </c>
      <c r="P139" s="84">
        <v>0.52</v>
      </c>
      <c r="Q139" s="84">
        <v>1</v>
      </c>
      <c r="R139" s="293">
        <v>184</v>
      </c>
      <c r="S139" s="293">
        <v>0</v>
      </c>
      <c r="T139" s="386">
        <v>5</v>
      </c>
      <c r="U139" s="345" t="str">
        <f t="shared" si="47"/>
        <v>Normal</v>
      </c>
      <c r="V139" s="345" t="str">
        <f t="shared" si="48"/>
        <v>Normal</v>
      </c>
      <c r="W139" s="345">
        <f t="shared" si="49"/>
        <v>-4.3256997455470736E-2</v>
      </c>
      <c r="X139" s="416">
        <f t="shared" si="50"/>
        <v>0</v>
      </c>
      <c r="Y139" s="340"/>
      <c r="Z139" s="340"/>
      <c r="AA139" s="340"/>
      <c r="AB139" s="340"/>
      <c r="AC139" s="338"/>
      <c r="AD139" s="338"/>
      <c r="AE139" s="338"/>
      <c r="AF139" s="338"/>
      <c r="AG139" s="338"/>
      <c r="AH139" s="338"/>
      <c r="AI139" s="338"/>
      <c r="BB139" t="s">
        <v>89</v>
      </c>
      <c r="BC139" s="147">
        <v>0.20833333333333334</v>
      </c>
    </row>
    <row r="140" spans="1:55">
      <c r="A140" s="21">
        <v>45155</v>
      </c>
      <c r="B140" s="17">
        <f>IF(YEAR(Table7[[#This Row],[Date]]) = 2023, WEEKNUM(Table7[[#This Row],[Date]])-13, WEEKNUM(Table7[[#This Row],[Date]])+40)</f>
        <v>20</v>
      </c>
      <c r="C140" s="34" t="s">
        <v>52</v>
      </c>
      <c r="D140" s="35" t="s">
        <v>94</v>
      </c>
      <c r="E140" s="42">
        <v>478</v>
      </c>
      <c r="F140" s="42">
        <v>458</v>
      </c>
      <c r="G140" s="64">
        <f t="shared" si="54"/>
        <v>0.23195876288659795</v>
      </c>
      <c r="H140" s="64">
        <f t="shared" si="54"/>
        <v>0.23783783783783785</v>
      </c>
      <c r="I140" s="42"/>
      <c r="J140" s="1"/>
      <c r="K140" s="1"/>
      <c r="L140" s="1"/>
      <c r="M140" s="18">
        <v>0.89</v>
      </c>
      <c r="N140" s="84">
        <v>0.04</v>
      </c>
      <c r="O140" s="84">
        <v>0.96</v>
      </c>
      <c r="P140" s="84">
        <v>0.65</v>
      </c>
      <c r="Q140" s="84">
        <v>1</v>
      </c>
      <c r="R140" s="307">
        <v>189</v>
      </c>
      <c r="S140" s="307">
        <v>0</v>
      </c>
      <c r="T140" s="386">
        <v>5</v>
      </c>
      <c r="U140" s="345" t="str">
        <f t="shared" si="47"/>
        <v>Normal</v>
      </c>
      <c r="V140" s="345" t="str">
        <f t="shared" si="48"/>
        <v>Normal</v>
      </c>
      <c r="W140" s="345">
        <f t="shared" si="49"/>
        <v>0.23195876288659795</v>
      </c>
      <c r="X140" s="416">
        <f t="shared" si="50"/>
        <v>0.23783783783783785</v>
      </c>
      <c r="Y140" s="340"/>
      <c r="Z140" s="340"/>
      <c r="AA140" s="340"/>
      <c r="AB140" s="340"/>
      <c r="AC140" s="338"/>
      <c r="AD140" s="338"/>
      <c r="AE140" s="338"/>
      <c r="AF140" s="338"/>
      <c r="AG140" s="338"/>
      <c r="AH140" s="338"/>
      <c r="AI140" s="338"/>
      <c r="BB140" t="s">
        <v>85</v>
      </c>
      <c r="BC140" s="147" t="e">
        <v>#N/A</v>
      </c>
    </row>
    <row r="141" spans="1:55">
      <c r="A141" s="21">
        <v>45156</v>
      </c>
      <c r="B141" s="17">
        <f>IF(YEAR(Table7[[#This Row],[Date]]) = 2023, WEEKNUM(Table7[[#This Row],[Date]])-13, WEEKNUM(Table7[[#This Row],[Date]])+40)</f>
        <v>20</v>
      </c>
      <c r="C141" s="34" t="s">
        <v>53</v>
      </c>
      <c r="D141" s="35" t="s">
        <v>94</v>
      </c>
      <c r="E141" s="42">
        <v>422</v>
      </c>
      <c r="F141" s="42">
        <v>409</v>
      </c>
      <c r="G141" s="64">
        <f t="shared" si="54"/>
        <v>5.5E-2</v>
      </c>
      <c r="H141" s="64">
        <f t="shared" si="54"/>
        <v>8.7765957446808512E-2</v>
      </c>
      <c r="I141" s="1"/>
      <c r="J141" s="1"/>
      <c r="K141" s="1"/>
      <c r="L141" s="1"/>
      <c r="M141" s="84">
        <v>0.9</v>
      </c>
      <c r="N141" s="84">
        <v>0.03</v>
      </c>
      <c r="O141" s="84">
        <v>0.97</v>
      </c>
      <c r="P141" s="84">
        <v>0.74</v>
      </c>
      <c r="Q141" s="84">
        <v>1</v>
      </c>
      <c r="R141" s="293">
        <v>191</v>
      </c>
      <c r="S141" s="293">
        <v>0</v>
      </c>
      <c r="T141" s="386">
        <v>4</v>
      </c>
      <c r="U141" s="345" t="str">
        <f t="shared" si="47"/>
        <v>Normal</v>
      </c>
      <c r="V141" s="345" t="str">
        <f t="shared" si="48"/>
        <v>Normal</v>
      </c>
      <c r="W141" s="345">
        <f t="shared" si="49"/>
        <v>5.5E-2</v>
      </c>
      <c r="X141" s="416">
        <f t="shared" si="50"/>
        <v>8.7765957446808512E-2</v>
      </c>
      <c r="Y141" s="340"/>
      <c r="Z141" s="340"/>
      <c r="AA141" s="340"/>
      <c r="AB141" s="340"/>
      <c r="AC141" s="338"/>
      <c r="AD141" s="338"/>
      <c r="AE141" s="338"/>
      <c r="AF141" s="338"/>
      <c r="AG141" s="338"/>
      <c r="AH141" s="338"/>
      <c r="AI141" s="338"/>
    </row>
    <row r="142" spans="1:55">
      <c r="A142" s="21">
        <v>45157</v>
      </c>
      <c r="B142" s="17">
        <f>IF(YEAR(Table7[[#This Row],[Date]]) = 2023, WEEKNUM(Table7[[#This Row],[Date]])-13, WEEKNUM(Table7[[#This Row],[Date]])+40)</f>
        <v>20</v>
      </c>
      <c r="C142" s="34" t="s">
        <v>54</v>
      </c>
      <c r="D142" s="35" t="s">
        <v>94</v>
      </c>
      <c r="E142" s="42">
        <v>145</v>
      </c>
      <c r="F142" s="42">
        <v>137</v>
      </c>
      <c r="G142" s="64">
        <f t="shared" ref="G142:H142" si="55">IFERROR((E142-E135)/E135,0%)</f>
        <v>0.1328125</v>
      </c>
      <c r="H142" s="64">
        <f t="shared" si="55"/>
        <v>9.6000000000000002E-2</v>
      </c>
      <c r="I142" s="42"/>
      <c r="J142" s="1"/>
      <c r="K142" s="1"/>
      <c r="L142" s="1"/>
      <c r="M142" s="18">
        <v>0.87</v>
      </c>
      <c r="N142" s="84">
        <v>0.06</v>
      </c>
      <c r="O142" s="84">
        <v>0.94</v>
      </c>
      <c r="P142" s="84">
        <v>0.59</v>
      </c>
      <c r="Q142" s="84">
        <v>1</v>
      </c>
      <c r="R142" s="307">
        <v>206</v>
      </c>
      <c r="S142" s="307">
        <v>0</v>
      </c>
      <c r="T142" s="386">
        <v>3</v>
      </c>
      <c r="U142" s="345" t="str">
        <f t="shared" si="47"/>
        <v>Normal</v>
      </c>
      <c r="V142" s="345" t="str">
        <f t="shared" si="48"/>
        <v>Normal</v>
      </c>
      <c r="W142" s="345">
        <f t="shared" si="49"/>
        <v>0.1328125</v>
      </c>
      <c r="X142" s="416">
        <f t="shared" si="50"/>
        <v>9.6000000000000002E-2</v>
      </c>
      <c r="Y142" s="340"/>
      <c r="Z142" s="340"/>
      <c r="AA142" s="340"/>
      <c r="AB142" s="340"/>
      <c r="AC142" s="338"/>
      <c r="AD142" s="338"/>
      <c r="AE142" s="338"/>
      <c r="AF142" s="338"/>
      <c r="AG142" s="338"/>
      <c r="AH142" s="338"/>
      <c r="AI142" s="338"/>
    </row>
    <row r="143" spans="1:55">
      <c r="A143" s="21">
        <v>45158</v>
      </c>
      <c r="B143" s="17">
        <f>IF(YEAR(Table7[[#This Row],[Date]]) = 2023, WEEKNUM(Table7[[#This Row],[Date]])-13, WEEKNUM(Table7[[#This Row],[Date]])+40)</f>
        <v>21</v>
      </c>
      <c r="C143" s="34" t="s">
        <v>48</v>
      </c>
      <c r="D143" s="35" t="s">
        <v>94</v>
      </c>
      <c r="E143" s="42">
        <v>0</v>
      </c>
      <c r="F143" s="42">
        <v>0</v>
      </c>
      <c r="G143" s="64">
        <f t="shared" ref="G143:H145" si="56">IFERROR((E143-E136)/E136,0%)</f>
        <v>0</v>
      </c>
      <c r="H143" s="64">
        <f t="shared" si="56"/>
        <v>0</v>
      </c>
      <c r="I143" s="1">
        <v>0</v>
      </c>
      <c r="J143" s="1">
        <v>0</v>
      </c>
      <c r="K143" s="1">
        <v>0</v>
      </c>
      <c r="L143" s="1">
        <v>0</v>
      </c>
      <c r="M143" s="84">
        <v>0</v>
      </c>
      <c r="N143" s="84">
        <v>0</v>
      </c>
      <c r="O143" s="84">
        <v>0</v>
      </c>
      <c r="P143" s="84">
        <v>0</v>
      </c>
      <c r="Q143" s="84">
        <v>0</v>
      </c>
      <c r="R143" s="293">
        <v>0</v>
      </c>
      <c r="S143" s="293">
        <v>0</v>
      </c>
      <c r="T143" s="386">
        <v>0</v>
      </c>
      <c r="U143" s="345" t="str">
        <f t="shared" si="47"/>
        <v>Normal</v>
      </c>
      <c r="V143" s="345" t="str">
        <f t="shared" si="48"/>
        <v>Normal</v>
      </c>
      <c r="W143" s="345">
        <f t="shared" si="49"/>
        <v>0</v>
      </c>
      <c r="X143" s="416">
        <f t="shared" si="50"/>
        <v>0</v>
      </c>
      <c r="Y143" s="340"/>
      <c r="Z143" s="340"/>
      <c r="AA143" s="340"/>
      <c r="AB143" s="340"/>
      <c r="AC143" s="338"/>
      <c r="AD143" s="338"/>
      <c r="AE143" s="338"/>
      <c r="AF143" s="338"/>
      <c r="AG143" s="338"/>
      <c r="AH143" s="338"/>
      <c r="AI143" s="338"/>
    </row>
    <row r="144" spans="1:55">
      <c r="A144" s="21">
        <v>45159</v>
      </c>
      <c r="B144" s="17">
        <f>IF(YEAR(Table7[[#This Row],[Date]]) = 2023, WEEKNUM(Table7[[#This Row],[Date]])-13, WEEKNUM(Table7[[#This Row],[Date]])+40)</f>
        <v>21</v>
      </c>
      <c r="C144" s="34" t="s">
        <v>49</v>
      </c>
      <c r="D144" s="35" t="s">
        <v>94</v>
      </c>
      <c r="E144" s="42">
        <v>480</v>
      </c>
      <c r="F144" s="42">
        <v>448</v>
      </c>
      <c r="G144" s="64">
        <f t="shared" si="56"/>
        <v>5.0328227571115977E-2</v>
      </c>
      <c r="H144" s="64">
        <f t="shared" si="56"/>
        <v>2.7522935779816515E-2</v>
      </c>
      <c r="I144" s="42"/>
      <c r="J144" s="1"/>
      <c r="K144" s="1"/>
      <c r="L144" s="1"/>
      <c r="M144" s="18">
        <v>0.85</v>
      </c>
      <c r="N144" s="84">
        <v>7.0000000000000007E-2</v>
      </c>
      <c r="O144" s="84">
        <v>0.93</v>
      </c>
      <c r="P144" s="84">
        <v>0.68</v>
      </c>
      <c r="Q144" s="84">
        <v>1</v>
      </c>
      <c r="R144" s="307">
        <v>207</v>
      </c>
      <c r="S144" s="307">
        <v>0</v>
      </c>
      <c r="T144" s="386">
        <v>5</v>
      </c>
      <c r="U144" s="345" t="str">
        <f t="shared" si="47"/>
        <v>Normal</v>
      </c>
      <c r="V144" s="345" t="str">
        <f t="shared" si="48"/>
        <v>Normal</v>
      </c>
      <c r="W144" s="345">
        <f t="shared" si="49"/>
        <v>5.0328227571115977E-2</v>
      </c>
      <c r="X144" s="416">
        <f t="shared" si="50"/>
        <v>2.7522935779816515E-2</v>
      </c>
      <c r="Y144" s="340"/>
      <c r="Z144" s="340"/>
      <c r="AA144" s="340"/>
      <c r="AB144" s="340"/>
      <c r="AC144" s="338"/>
      <c r="AD144" s="338"/>
      <c r="AE144" s="338"/>
      <c r="AF144" s="338"/>
      <c r="AG144" s="338"/>
      <c r="AH144" s="338"/>
      <c r="AI144" s="338"/>
    </row>
    <row r="145" spans="1:38">
      <c r="A145" s="21">
        <v>45160</v>
      </c>
      <c r="B145" s="17">
        <f>IF(YEAR(Table7[[#This Row],[Date]]) = 2023, WEEKNUM(Table7[[#This Row],[Date]])-13, WEEKNUM(Table7[[#This Row],[Date]])+40)</f>
        <v>21</v>
      </c>
      <c r="C145" s="34" t="s">
        <v>50</v>
      </c>
      <c r="D145" s="35" t="s">
        <v>94</v>
      </c>
      <c r="E145" s="42">
        <v>399</v>
      </c>
      <c r="F145" s="42">
        <v>370</v>
      </c>
      <c r="G145" s="64">
        <f t="shared" si="56"/>
        <v>0.12394366197183099</v>
      </c>
      <c r="H145" s="64">
        <f t="shared" si="56"/>
        <v>8.8235294117647065E-2</v>
      </c>
      <c r="I145" s="1"/>
      <c r="J145" s="1"/>
      <c r="K145" s="1"/>
      <c r="L145" s="1"/>
      <c r="M145" s="84">
        <v>0.82</v>
      </c>
      <c r="N145" s="84">
        <v>7.0000000000000007E-2</v>
      </c>
      <c r="O145" s="84">
        <v>0.93</v>
      </c>
      <c r="P145" s="84">
        <v>0.57999999999999996</v>
      </c>
      <c r="Q145" s="84">
        <v>1</v>
      </c>
      <c r="R145" s="293">
        <v>208</v>
      </c>
      <c r="S145" s="293">
        <v>0</v>
      </c>
      <c r="T145" s="386">
        <v>5</v>
      </c>
      <c r="U145" s="345" t="str">
        <f t="shared" si="47"/>
        <v>Normal</v>
      </c>
      <c r="V145" s="345" t="str">
        <f t="shared" si="48"/>
        <v>Normal</v>
      </c>
      <c r="W145" s="345">
        <f t="shared" si="49"/>
        <v>0.12394366197183099</v>
      </c>
      <c r="X145" s="416">
        <f t="shared" si="50"/>
        <v>8.8235294117647065E-2</v>
      </c>
      <c r="Y145" s="340"/>
      <c r="Z145" s="340"/>
      <c r="AA145" s="340"/>
      <c r="AB145" s="340"/>
      <c r="AC145" s="338"/>
      <c r="AD145" s="338"/>
      <c r="AE145" s="338"/>
      <c r="AF145" s="338"/>
      <c r="AG145" s="338"/>
      <c r="AH145" s="338"/>
      <c r="AI145" s="338"/>
    </row>
    <row r="146" spans="1:38">
      <c r="A146" s="21">
        <v>45161</v>
      </c>
      <c r="B146" s="17">
        <f>IF(YEAR(Table7[[#This Row],[Date]]) = 2023, WEEKNUM(Table7[[#This Row],[Date]])-13, WEEKNUM(Table7[[#This Row],[Date]])+40)</f>
        <v>21</v>
      </c>
      <c r="C146" s="34" t="s">
        <v>51</v>
      </c>
      <c r="D146" s="35" t="s">
        <v>94</v>
      </c>
      <c r="E146" s="42">
        <v>426</v>
      </c>
      <c r="F146" s="42">
        <v>413</v>
      </c>
      <c r="G146" s="64">
        <f t="shared" ref="G146:H146" si="57">IFERROR((E146-E139)/E139,0%)</f>
        <v>0.13297872340425532</v>
      </c>
      <c r="H146" s="64">
        <f t="shared" si="57"/>
        <v>0.11924119241192412</v>
      </c>
      <c r="I146" s="42"/>
      <c r="J146" s="1"/>
      <c r="K146" s="1"/>
      <c r="L146" s="1"/>
      <c r="M146" s="18">
        <v>0.91</v>
      </c>
      <c r="N146" s="84">
        <v>0.03</v>
      </c>
      <c r="O146" s="84">
        <v>0.97</v>
      </c>
      <c r="P146" s="84">
        <v>0.59</v>
      </c>
      <c r="Q146" s="84">
        <v>1</v>
      </c>
      <c r="R146" s="307">
        <v>190</v>
      </c>
      <c r="S146" s="307">
        <v>0</v>
      </c>
      <c r="T146" s="386">
        <v>5</v>
      </c>
      <c r="U146" s="345" t="str">
        <f t="shared" si="47"/>
        <v>Normal</v>
      </c>
      <c r="V146" s="345" t="str">
        <f t="shared" si="48"/>
        <v>Normal</v>
      </c>
      <c r="W146" s="345">
        <f t="shared" si="49"/>
        <v>0.13297872340425532</v>
      </c>
      <c r="X146" s="416">
        <f t="shared" si="50"/>
        <v>0.11924119241192412</v>
      </c>
      <c r="Y146" s="340"/>
      <c r="Z146" s="340"/>
      <c r="AA146" s="340"/>
      <c r="AB146" s="340"/>
      <c r="AC146" s="338"/>
      <c r="AD146" s="338"/>
      <c r="AE146" s="338"/>
      <c r="AF146" s="338"/>
      <c r="AG146" s="338"/>
      <c r="AH146" s="338"/>
      <c r="AI146" s="338"/>
    </row>
    <row r="147" spans="1:38">
      <c r="A147" s="21">
        <v>45162</v>
      </c>
      <c r="B147" s="17">
        <f>IF(YEAR(Table7[[#This Row],[Date]]) = 2023, WEEKNUM(Table7[[#This Row],[Date]])-13, WEEKNUM(Table7[[#This Row],[Date]])+40)</f>
        <v>21</v>
      </c>
      <c r="C147" s="34" t="s">
        <v>52</v>
      </c>
      <c r="D147" s="35" t="s">
        <v>94</v>
      </c>
      <c r="E147" s="42">
        <v>387</v>
      </c>
      <c r="F147" s="42">
        <v>367</v>
      </c>
      <c r="G147" s="64">
        <f t="shared" ref="G147:H149" si="58">IFERROR((E147-E140)/E140,0%)</f>
        <v>-0.1903765690376569</v>
      </c>
      <c r="H147" s="64">
        <f t="shared" si="58"/>
        <v>-0.19868995633187772</v>
      </c>
      <c r="I147" s="1"/>
      <c r="J147" s="1"/>
      <c r="K147" s="1"/>
      <c r="L147" s="1"/>
      <c r="M147" s="84">
        <v>0.88</v>
      </c>
      <c r="N147" s="84">
        <v>0.05</v>
      </c>
      <c r="O147" s="84">
        <v>0.95</v>
      </c>
      <c r="P147" s="84">
        <v>0.65</v>
      </c>
      <c r="Q147" s="84">
        <v>1</v>
      </c>
      <c r="R147" s="293">
        <v>186</v>
      </c>
      <c r="S147" s="293">
        <v>0</v>
      </c>
      <c r="T147" s="386">
        <v>4</v>
      </c>
      <c r="U147" s="345" t="str">
        <f t="shared" si="47"/>
        <v>Normal</v>
      </c>
      <c r="V147" s="345" t="str">
        <f t="shared" si="48"/>
        <v>Normal</v>
      </c>
      <c r="W147" s="345">
        <f t="shared" si="49"/>
        <v>-0.1903765690376569</v>
      </c>
      <c r="X147" s="416">
        <f t="shared" si="50"/>
        <v>-0.19868995633187772</v>
      </c>
      <c r="Y147" s="340"/>
      <c r="Z147" s="340"/>
      <c r="AA147" s="340"/>
      <c r="AB147" s="340"/>
      <c r="AC147" s="338"/>
      <c r="AD147" s="338"/>
      <c r="AE147" s="338"/>
      <c r="AF147" s="338"/>
      <c r="AG147" s="338"/>
      <c r="AH147" s="338"/>
      <c r="AI147" s="338"/>
    </row>
    <row r="148" spans="1:38">
      <c r="A148" s="21">
        <v>45163</v>
      </c>
      <c r="B148" s="17">
        <f>IF(YEAR(Table7[[#This Row],[Date]]) = 2023, WEEKNUM(Table7[[#This Row],[Date]])-13, WEEKNUM(Table7[[#This Row],[Date]])+40)</f>
        <v>21</v>
      </c>
      <c r="C148" s="34" t="s">
        <v>53</v>
      </c>
      <c r="D148" s="35" t="s">
        <v>94</v>
      </c>
      <c r="E148" s="42">
        <v>407</v>
      </c>
      <c r="F148" s="42">
        <v>394</v>
      </c>
      <c r="G148" s="64">
        <f t="shared" si="58"/>
        <v>-3.5545023696682464E-2</v>
      </c>
      <c r="H148" s="64">
        <f t="shared" si="58"/>
        <v>-3.6674816625916873E-2</v>
      </c>
      <c r="I148" s="42"/>
      <c r="J148" s="1"/>
      <c r="K148" s="1"/>
      <c r="L148" s="1"/>
      <c r="M148" s="18">
        <v>0.88</v>
      </c>
      <c r="N148" s="84">
        <v>0.03</v>
      </c>
      <c r="O148" s="84">
        <v>0.97</v>
      </c>
      <c r="P148" s="84">
        <v>0.7</v>
      </c>
      <c r="Q148" s="84">
        <v>1</v>
      </c>
      <c r="R148" s="307">
        <v>188</v>
      </c>
      <c r="S148" s="307">
        <v>0</v>
      </c>
      <c r="T148" s="386">
        <v>4</v>
      </c>
      <c r="U148" s="345" t="str">
        <f t="shared" si="47"/>
        <v>Normal</v>
      </c>
      <c r="V148" s="345" t="str">
        <f t="shared" si="48"/>
        <v>Normal</v>
      </c>
      <c r="W148" s="345">
        <f t="shared" si="49"/>
        <v>-3.5545023696682464E-2</v>
      </c>
      <c r="X148" s="416">
        <f t="shared" si="50"/>
        <v>-3.6674816625916873E-2</v>
      </c>
      <c r="Y148" s="340"/>
      <c r="Z148" s="340"/>
      <c r="AA148" s="340"/>
      <c r="AB148" s="340"/>
      <c r="AC148" s="338"/>
      <c r="AD148" s="338"/>
      <c r="AE148" s="338"/>
      <c r="AF148" s="338"/>
      <c r="AG148" s="338"/>
      <c r="AH148" s="338"/>
      <c r="AI148" s="338"/>
    </row>
    <row r="149" spans="1:38">
      <c r="A149" s="21">
        <v>45164</v>
      </c>
      <c r="B149" s="17">
        <f>IF(YEAR(Table7[[#This Row],[Date]]) = 2023, WEEKNUM(Table7[[#This Row],[Date]])-13, WEEKNUM(Table7[[#This Row],[Date]])+40)</f>
        <v>21</v>
      </c>
      <c r="C149" s="34" t="s">
        <v>54</v>
      </c>
      <c r="D149" s="35" t="s">
        <v>94</v>
      </c>
      <c r="E149" s="42">
        <v>129</v>
      </c>
      <c r="F149" s="42">
        <v>125</v>
      </c>
      <c r="G149" s="64">
        <f t="shared" si="58"/>
        <v>-0.1103448275862069</v>
      </c>
      <c r="H149" s="64">
        <f t="shared" si="58"/>
        <v>-8.7591240875912413E-2</v>
      </c>
      <c r="I149" s="1"/>
      <c r="J149" s="1"/>
      <c r="K149" s="1"/>
      <c r="L149" s="1"/>
      <c r="M149" s="84">
        <v>0.91</v>
      </c>
      <c r="N149" s="84">
        <v>0.03</v>
      </c>
      <c r="O149" s="84">
        <v>0.97</v>
      </c>
      <c r="P149" s="84">
        <v>0.42</v>
      </c>
      <c r="Q149" s="84">
        <v>1</v>
      </c>
      <c r="R149" s="293">
        <v>173</v>
      </c>
      <c r="S149" s="293">
        <v>0</v>
      </c>
      <c r="T149" s="386">
        <v>3</v>
      </c>
      <c r="U149" s="345" t="str">
        <f t="shared" si="47"/>
        <v>Normal</v>
      </c>
      <c r="V149" s="345" t="str">
        <f t="shared" si="48"/>
        <v>Normal</v>
      </c>
      <c r="W149" s="345">
        <f t="shared" si="49"/>
        <v>-0.1103448275862069</v>
      </c>
      <c r="X149" s="416">
        <f t="shared" si="50"/>
        <v>-8.7591240875912413E-2</v>
      </c>
      <c r="Y149" s="340"/>
      <c r="Z149" s="340"/>
      <c r="AA149" s="340"/>
      <c r="AB149" s="340"/>
      <c r="AC149" s="338"/>
      <c r="AD149" s="338"/>
      <c r="AE149" s="338"/>
      <c r="AF149" s="338"/>
      <c r="AG149" s="338"/>
      <c r="AH149" s="338"/>
      <c r="AI149" s="338"/>
    </row>
    <row r="150" spans="1:38">
      <c r="A150" s="21">
        <v>45165</v>
      </c>
      <c r="B150" s="17">
        <f>IF(YEAR(Table7[[#This Row],[Date]]) = 2023, WEEKNUM(Table7[[#This Row],[Date]])-13, WEEKNUM(Table7[[#This Row],[Date]])+40)</f>
        <v>22</v>
      </c>
      <c r="C150" s="34" t="s">
        <v>48</v>
      </c>
      <c r="D150" s="35" t="s">
        <v>94</v>
      </c>
      <c r="E150" s="42">
        <v>0</v>
      </c>
      <c r="F150" s="42">
        <v>0</v>
      </c>
      <c r="G150" s="64">
        <f t="shared" ref="G150:H150" si="59">IFERROR((E150-E143)/E143,0%)</f>
        <v>0</v>
      </c>
      <c r="H150" s="64">
        <f t="shared" si="59"/>
        <v>0</v>
      </c>
      <c r="I150" s="42">
        <v>0</v>
      </c>
      <c r="J150" s="1">
        <v>0</v>
      </c>
      <c r="K150" s="1">
        <v>0</v>
      </c>
      <c r="L150" s="1">
        <v>0</v>
      </c>
      <c r="M150" s="18">
        <v>0</v>
      </c>
      <c r="N150" s="84">
        <v>0</v>
      </c>
      <c r="O150" s="84">
        <v>0</v>
      </c>
      <c r="P150" s="84">
        <v>0</v>
      </c>
      <c r="Q150" s="84">
        <v>0</v>
      </c>
      <c r="R150" s="307">
        <v>0</v>
      </c>
      <c r="S150" s="307">
        <v>0</v>
      </c>
      <c r="T150" s="386">
        <v>0</v>
      </c>
      <c r="U150" s="345" t="str">
        <f t="shared" si="47"/>
        <v>Normal</v>
      </c>
      <c r="V150" s="345" t="str">
        <f t="shared" si="48"/>
        <v>Normal</v>
      </c>
      <c r="W150" s="345">
        <f t="shared" si="49"/>
        <v>0</v>
      </c>
      <c r="X150" s="416">
        <f t="shared" si="50"/>
        <v>0</v>
      </c>
      <c r="Y150" s="340"/>
      <c r="Z150" s="340"/>
      <c r="AA150" s="340"/>
      <c r="AB150" s="340"/>
      <c r="AC150" s="338"/>
      <c r="AD150" s="338"/>
      <c r="AE150" s="338"/>
      <c r="AF150" s="338"/>
      <c r="AG150" s="338"/>
      <c r="AH150" s="338"/>
      <c r="AI150" s="338"/>
    </row>
    <row r="151" spans="1:38">
      <c r="A151" s="21">
        <v>45166</v>
      </c>
      <c r="B151" s="17">
        <f>IF(YEAR(Table7[[#This Row],[Date]]) = 2023, WEEKNUM(Table7[[#This Row],[Date]])-13, WEEKNUM(Table7[[#This Row],[Date]])+40)</f>
        <v>22</v>
      </c>
      <c r="C151" s="34" t="s">
        <v>49</v>
      </c>
      <c r="D151" s="35" t="s">
        <v>94</v>
      </c>
      <c r="E151" s="42">
        <v>447</v>
      </c>
      <c r="F151" s="42">
        <v>432</v>
      </c>
      <c r="G151" s="64">
        <f t="shared" ref="G151:H153" si="60">IFERROR((E151-E144)/E144,0%)</f>
        <v>-6.8750000000000006E-2</v>
      </c>
      <c r="H151" s="64">
        <f t="shared" si="60"/>
        <v>-3.5714285714285712E-2</v>
      </c>
      <c r="I151" s="1"/>
      <c r="J151" s="1"/>
      <c r="K151" s="1"/>
      <c r="L151" s="1"/>
      <c r="M151" s="84">
        <v>0.89</v>
      </c>
      <c r="N151" s="84">
        <v>0.03</v>
      </c>
      <c r="O151" s="84">
        <v>0.97</v>
      </c>
      <c r="P151" s="84">
        <v>0.5</v>
      </c>
      <c r="Q151" s="84">
        <v>1</v>
      </c>
      <c r="R151" s="293">
        <v>173</v>
      </c>
      <c r="S151" s="293">
        <v>0</v>
      </c>
      <c r="T151" s="386">
        <v>5</v>
      </c>
      <c r="U151" s="345" t="str">
        <f t="shared" si="47"/>
        <v>Normal</v>
      </c>
      <c r="V151" s="345" t="str">
        <f t="shared" si="48"/>
        <v>Normal</v>
      </c>
      <c r="W151" s="345">
        <f t="shared" si="49"/>
        <v>-6.8750000000000006E-2</v>
      </c>
      <c r="X151" s="416">
        <f t="shared" si="50"/>
        <v>-3.5714285714285712E-2</v>
      </c>
      <c r="Y151" s="340"/>
      <c r="Z151" s="340"/>
      <c r="AA151" s="340"/>
      <c r="AB151" s="340"/>
      <c r="AC151" s="338"/>
      <c r="AD151" s="338"/>
      <c r="AE151" s="338"/>
      <c r="AF151" s="338"/>
      <c r="AG151" s="338"/>
      <c r="AH151" s="338"/>
      <c r="AI151" s="338"/>
    </row>
    <row r="152" spans="1:38">
      <c r="A152" s="21">
        <v>45167</v>
      </c>
      <c r="B152" s="17">
        <f>IF(YEAR(Table7[[#This Row],[Date]]) = 2023, WEEKNUM(Table7[[#This Row],[Date]])-13, WEEKNUM(Table7[[#This Row],[Date]])+40)</f>
        <v>22</v>
      </c>
      <c r="C152" s="34" t="s">
        <v>50</v>
      </c>
      <c r="D152" s="35" t="s">
        <v>94</v>
      </c>
      <c r="E152" s="42">
        <v>332</v>
      </c>
      <c r="F152" s="42">
        <v>324</v>
      </c>
      <c r="G152" s="64">
        <f t="shared" si="60"/>
        <v>-0.16791979949874686</v>
      </c>
      <c r="H152" s="64">
        <f t="shared" si="60"/>
        <v>-0.12432432432432433</v>
      </c>
      <c r="I152" s="42"/>
      <c r="J152" s="1"/>
      <c r="K152" s="1"/>
      <c r="L152" s="1"/>
      <c r="M152" s="18">
        <v>0.93</v>
      </c>
      <c r="N152" s="84">
        <v>0.02</v>
      </c>
      <c r="O152" s="84">
        <v>0.98</v>
      </c>
      <c r="P152" s="84">
        <v>0.52</v>
      </c>
      <c r="Q152" s="84">
        <v>1</v>
      </c>
      <c r="R152" s="307">
        <v>199</v>
      </c>
      <c r="S152" s="307">
        <v>0</v>
      </c>
      <c r="T152" s="386">
        <v>4</v>
      </c>
      <c r="U152" s="345" t="str">
        <f t="shared" si="47"/>
        <v>Normal</v>
      </c>
      <c r="V152" s="345" t="str">
        <f t="shared" si="48"/>
        <v>Normal</v>
      </c>
      <c r="W152" s="345">
        <f t="shared" si="49"/>
        <v>-0.16791979949874686</v>
      </c>
      <c r="X152" s="416">
        <f t="shared" si="50"/>
        <v>-0.12432432432432433</v>
      </c>
      <c r="Y152" s="340"/>
      <c r="Z152" s="340"/>
      <c r="AA152" s="340"/>
      <c r="AB152" s="340"/>
      <c r="AC152" s="338"/>
      <c r="AD152" s="338"/>
      <c r="AE152" s="338"/>
      <c r="AF152" s="338"/>
      <c r="AG152" s="338"/>
      <c r="AH152" s="338"/>
      <c r="AI152" s="338"/>
    </row>
    <row r="153" spans="1:38">
      <c r="A153" s="21">
        <v>45168</v>
      </c>
      <c r="B153" s="17">
        <f>IF(YEAR(Table7[[#This Row],[Date]]) = 2023, WEEKNUM(Table7[[#This Row],[Date]])-13, WEEKNUM(Table7[[#This Row],[Date]])+40)</f>
        <v>22</v>
      </c>
      <c r="C153" s="34" t="s">
        <v>51</v>
      </c>
      <c r="D153" s="35" t="s">
        <v>94</v>
      </c>
      <c r="E153" s="42">
        <v>426</v>
      </c>
      <c r="F153" s="42">
        <v>406</v>
      </c>
      <c r="G153" s="64">
        <f t="shared" si="60"/>
        <v>0</v>
      </c>
      <c r="H153" s="64">
        <f t="shared" si="60"/>
        <v>-1.6949152542372881E-2</v>
      </c>
      <c r="I153" s="1"/>
      <c r="J153" s="1"/>
      <c r="K153" s="1"/>
      <c r="L153" s="1"/>
      <c r="M153" s="84">
        <v>0.9</v>
      </c>
      <c r="N153" s="84">
        <v>0.05</v>
      </c>
      <c r="O153" s="84">
        <v>0.95</v>
      </c>
      <c r="P153" s="84">
        <v>0.56999999999999995</v>
      </c>
      <c r="Q153" s="84">
        <v>1</v>
      </c>
      <c r="R153" s="293">
        <v>180</v>
      </c>
      <c r="S153" s="293">
        <v>0</v>
      </c>
      <c r="T153" s="386">
        <v>5</v>
      </c>
      <c r="U153" s="345" t="str">
        <f t="shared" si="47"/>
        <v>Normal</v>
      </c>
      <c r="V153" s="345" t="str">
        <f t="shared" si="48"/>
        <v>Normal</v>
      </c>
      <c r="W153" s="345">
        <f t="shared" si="49"/>
        <v>0</v>
      </c>
      <c r="X153" s="416">
        <f t="shared" si="50"/>
        <v>-1.6949152542372881E-2</v>
      </c>
      <c r="Y153" s="340"/>
      <c r="Z153" s="340"/>
      <c r="AA153" s="340"/>
      <c r="AB153" s="340"/>
      <c r="AC153" s="338"/>
      <c r="AD153" s="338"/>
      <c r="AE153" s="338"/>
      <c r="AF153" s="338"/>
      <c r="AG153" s="338"/>
      <c r="AH153" s="338"/>
      <c r="AI153" s="338"/>
    </row>
    <row r="154" spans="1:38" s="112" customFormat="1">
      <c r="A154" s="21">
        <v>45169</v>
      </c>
      <c r="B154" s="17">
        <f>IF(YEAR(Table7[[#This Row],[Date]]) = 2023, WEEKNUM(Table7[[#This Row],[Date]])-13, WEEKNUM(Table7[[#This Row],[Date]])+40)</f>
        <v>22</v>
      </c>
      <c r="C154" s="107" t="s">
        <v>52</v>
      </c>
      <c r="D154" s="35" t="s">
        <v>94</v>
      </c>
      <c r="E154" s="108">
        <v>361</v>
      </c>
      <c r="F154" s="108">
        <v>347</v>
      </c>
      <c r="G154" s="64">
        <f t="shared" ref="G154:H154" si="61">IFERROR((E154-E147)/E147,0%)</f>
        <v>-6.7183462532299745E-2</v>
      </c>
      <c r="H154" s="64">
        <f t="shared" si="61"/>
        <v>-5.4495912806539509E-2</v>
      </c>
      <c r="I154" s="108"/>
      <c r="J154" s="109"/>
      <c r="K154" s="109"/>
      <c r="L154" s="109"/>
      <c r="M154" s="110">
        <v>0.87</v>
      </c>
      <c r="N154" s="111">
        <v>0.04</v>
      </c>
      <c r="O154" s="111">
        <v>0.96</v>
      </c>
      <c r="P154" s="111">
        <v>0.63</v>
      </c>
      <c r="Q154" s="111">
        <v>1</v>
      </c>
      <c r="R154" s="308">
        <v>195</v>
      </c>
      <c r="S154" s="308">
        <v>0</v>
      </c>
      <c r="T154" s="386">
        <v>4</v>
      </c>
      <c r="U154" s="345" t="str">
        <f t="shared" si="47"/>
        <v>Normal</v>
      </c>
      <c r="V154" s="345" t="str">
        <f t="shared" si="48"/>
        <v>Normal</v>
      </c>
      <c r="W154" s="345">
        <f t="shared" si="49"/>
        <v>-6.7183462532299745E-2</v>
      </c>
      <c r="X154" s="416">
        <f t="shared" si="50"/>
        <v>-5.4495912806539509E-2</v>
      </c>
      <c r="Y154" s="340"/>
      <c r="Z154" s="340"/>
      <c r="AA154" s="340"/>
      <c r="AB154" s="340"/>
      <c r="AC154" s="338"/>
      <c r="AD154" s="338"/>
      <c r="AE154" s="338"/>
      <c r="AF154" s="338"/>
      <c r="AG154" s="338"/>
      <c r="AH154" s="338"/>
      <c r="AI154" s="338"/>
      <c r="AJ154"/>
      <c r="AK154"/>
      <c r="AL154"/>
    </row>
    <row r="155" spans="1:38">
      <c r="A155" s="21">
        <v>45170</v>
      </c>
      <c r="B155" s="17">
        <f>IF(YEAR(Table7[[#This Row],[Date]]) = 2023, WEEKNUM(Table7[[#This Row],[Date]])-13, WEEKNUM(Table7[[#This Row],[Date]])+40)</f>
        <v>22</v>
      </c>
      <c r="C155" s="34" t="s">
        <v>53</v>
      </c>
      <c r="D155" s="35" t="s">
        <v>94</v>
      </c>
      <c r="E155" s="42">
        <v>390</v>
      </c>
      <c r="F155" s="42">
        <v>378</v>
      </c>
      <c r="G155" s="64">
        <f t="shared" ref="G155:H157" si="62">IFERROR((E155-E148)/E148,0%)</f>
        <v>-4.1769041769041768E-2</v>
      </c>
      <c r="H155" s="64">
        <f t="shared" si="62"/>
        <v>-4.060913705583756E-2</v>
      </c>
      <c r="I155" s="1"/>
      <c r="J155" s="1"/>
      <c r="K155" s="1"/>
      <c r="L155" s="1"/>
      <c r="M155" s="84">
        <v>0.89</v>
      </c>
      <c r="N155" s="84">
        <v>0.03</v>
      </c>
      <c r="O155" s="84">
        <v>0.97</v>
      </c>
      <c r="P155" s="84">
        <v>0.67</v>
      </c>
      <c r="Q155" s="84">
        <v>1</v>
      </c>
      <c r="R155" s="293">
        <v>186</v>
      </c>
      <c r="S155" s="293">
        <v>0</v>
      </c>
      <c r="T155" s="386">
        <v>4</v>
      </c>
      <c r="U155" s="345" t="str">
        <f t="shared" si="47"/>
        <v>Normal</v>
      </c>
      <c r="V155" s="345" t="str">
        <f t="shared" si="48"/>
        <v>Normal</v>
      </c>
      <c r="W155" s="345">
        <f t="shared" si="49"/>
        <v>-4.1769041769041768E-2</v>
      </c>
      <c r="X155" s="416">
        <f t="shared" si="50"/>
        <v>-4.060913705583756E-2</v>
      </c>
      <c r="Y155" s="340"/>
      <c r="Z155" s="340"/>
      <c r="AA155" s="340"/>
      <c r="AB155" s="340"/>
      <c r="AC155" s="338"/>
      <c r="AD155" s="338"/>
      <c r="AE155" s="338"/>
      <c r="AF155" s="338"/>
      <c r="AG155" s="338"/>
      <c r="AH155" s="338"/>
      <c r="AI155" s="338"/>
    </row>
    <row r="156" spans="1:38">
      <c r="A156" s="21">
        <v>45171</v>
      </c>
      <c r="B156" s="17">
        <f>IF(YEAR(Table7[[#This Row],[Date]]) = 2023, WEEKNUM(Table7[[#This Row],[Date]])-13, WEEKNUM(Table7[[#This Row],[Date]])+40)</f>
        <v>22</v>
      </c>
      <c r="C156" s="33" t="s">
        <v>54</v>
      </c>
      <c r="D156" s="35" t="s">
        <v>94</v>
      </c>
      <c r="E156" s="42">
        <v>147</v>
      </c>
      <c r="F156" s="42">
        <v>139</v>
      </c>
      <c r="G156" s="64">
        <f t="shared" si="62"/>
        <v>0.13953488372093023</v>
      </c>
      <c r="H156" s="64">
        <f t="shared" si="62"/>
        <v>0.112</v>
      </c>
      <c r="I156" s="42"/>
      <c r="J156" s="1"/>
      <c r="K156" s="1"/>
      <c r="L156" s="1"/>
      <c r="M156" s="18">
        <v>0.84</v>
      </c>
      <c r="N156" s="84">
        <v>0.05</v>
      </c>
      <c r="O156" s="84">
        <v>0.95</v>
      </c>
      <c r="P156" s="84">
        <v>0.55000000000000004</v>
      </c>
      <c r="Q156" s="84">
        <v>1</v>
      </c>
      <c r="R156" s="307">
        <v>186</v>
      </c>
      <c r="S156" s="307">
        <v>0</v>
      </c>
      <c r="T156" s="386">
        <v>3</v>
      </c>
      <c r="U156" s="345" t="str">
        <f t="shared" si="47"/>
        <v>Normal</v>
      </c>
      <c r="V156" s="345" t="str">
        <f t="shared" si="48"/>
        <v>Normal</v>
      </c>
      <c r="W156" s="345">
        <f t="shared" si="49"/>
        <v>0.13953488372093023</v>
      </c>
      <c r="X156" s="416">
        <f t="shared" si="50"/>
        <v>0.112</v>
      </c>
      <c r="Y156" s="340"/>
      <c r="Z156" s="340"/>
      <c r="AA156" s="340"/>
      <c r="AB156" s="340"/>
      <c r="AC156" s="338"/>
      <c r="AD156" s="338"/>
      <c r="AE156" s="338"/>
      <c r="AF156" s="338"/>
      <c r="AG156" s="338"/>
      <c r="AH156" s="338"/>
      <c r="AI156" s="338"/>
    </row>
    <row r="157" spans="1:38">
      <c r="A157" s="21">
        <v>45172</v>
      </c>
      <c r="B157" s="17">
        <f>IF(YEAR(Table7[[#This Row],[Date]]) = 2023, WEEKNUM(Table7[[#This Row],[Date]])-13, WEEKNUM(Table7[[#This Row],[Date]])+40)</f>
        <v>23</v>
      </c>
      <c r="C157" s="34" t="s">
        <v>48</v>
      </c>
      <c r="D157" s="35" t="s">
        <v>94</v>
      </c>
      <c r="E157" s="42">
        <v>0</v>
      </c>
      <c r="F157" s="42">
        <v>0</v>
      </c>
      <c r="G157" s="64">
        <f t="shared" si="62"/>
        <v>0</v>
      </c>
      <c r="H157" s="64">
        <f t="shared" si="62"/>
        <v>0</v>
      </c>
      <c r="I157" s="1">
        <v>0</v>
      </c>
      <c r="J157" s="1">
        <v>0</v>
      </c>
      <c r="K157" s="1">
        <v>0</v>
      </c>
      <c r="L157" s="1">
        <v>0</v>
      </c>
      <c r="M157" s="84">
        <v>0</v>
      </c>
      <c r="N157" s="84">
        <v>0</v>
      </c>
      <c r="O157" s="84">
        <v>0</v>
      </c>
      <c r="P157" s="84">
        <v>0</v>
      </c>
      <c r="Q157" s="84">
        <v>0</v>
      </c>
      <c r="R157" s="293">
        <v>0</v>
      </c>
      <c r="S157" s="293">
        <v>0</v>
      </c>
      <c r="T157" s="386">
        <v>0</v>
      </c>
      <c r="U157" s="345" t="str">
        <f t="shared" si="47"/>
        <v>Normal</v>
      </c>
      <c r="V157" s="345" t="str">
        <f t="shared" si="48"/>
        <v>Normal</v>
      </c>
      <c r="W157" s="345">
        <f t="shared" si="49"/>
        <v>0</v>
      </c>
      <c r="X157" s="416">
        <f t="shared" si="50"/>
        <v>0</v>
      </c>
      <c r="Y157" s="340"/>
      <c r="Z157" s="340"/>
      <c r="AA157" s="340"/>
      <c r="AB157" s="340"/>
      <c r="AC157" s="338"/>
      <c r="AD157" s="338"/>
      <c r="AE157" s="338"/>
      <c r="AF157" s="338"/>
      <c r="AG157" s="338"/>
      <c r="AH157" s="338"/>
      <c r="AI157" s="338"/>
    </row>
    <row r="158" spans="1:38">
      <c r="A158" s="21">
        <v>45173</v>
      </c>
      <c r="B158" s="17">
        <f>IF(YEAR(Table7[[#This Row],[Date]]) = 2023, WEEKNUM(Table7[[#This Row],[Date]])-13, WEEKNUM(Table7[[#This Row],[Date]])+40)</f>
        <v>23</v>
      </c>
      <c r="C158" s="33" t="s">
        <v>49</v>
      </c>
      <c r="D158" s="35" t="s">
        <v>94</v>
      </c>
      <c r="E158" s="42">
        <v>466</v>
      </c>
      <c r="F158" s="42">
        <v>447</v>
      </c>
      <c r="G158" s="64">
        <f t="shared" ref="G158:H158" si="63">IFERROR((E158-E151)/E151,0%)</f>
        <v>4.2505592841163314E-2</v>
      </c>
      <c r="H158" s="64">
        <f t="shared" si="63"/>
        <v>3.4722222222222224E-2</v>
      </c>
      <c r="I158" s="42"/>
      <c r="J158" s="1"/>
      <c r="K158" s="1"/>
      <c r="L158" s="1"/>
      <c r="M158" s="18">
        <v>0.85</v>
      </c>
      <c r="N158" s="84">
        <v>0.04</v>
      </c>
      <c r="O158" s="84">
        <v>0.96</v>
      </c>
      <c r="P158" s="84">
        <v>0.78</v>
      </c>
      <c r="Q158" s="84">
        <v>1</v>
      </c>
      <c r="R158" s="307">
        <v>184</v>
      </c>
      <c r="S158" s="307">
        <v>0</v>
      </c>
      <c r="T158" s="386">
        <v>4</v>
      </c>
      <c r="U158" s="345" t="str">
        <f t="shared" si="47"/>
        <v>Normal</v>
      </c>
      <c r="V158" s="345" t="str">
        <f t="shared" si="48"/>
        <v>Normal</v>
      </c>
      <c r="W158" s="345">
        <f t="shared" si="49"/>
        <v>4.2505592841163314E-2</v>
      </c>
      <c r="X158" s="416">
        <f t="shared" si="50"/>
        <v>3.4722222222222224E-2</v>
      </c>
      <c r="Y158" s="340"/>
      <c r="Z158" s="340"/>
      <c r="AA158" s="340"/>
      <c r="AB158" s="340"/>
      <c r="AC158" s="338"/>
      <c r="AD158" s="338"/>
      <c r="AE158" s="338"/>
      <c r="AF158" s="338"/>
      <c r="AG158" s="338"/>
      <c r="AH158" s="338"/>
      <c r="AI158" s="338"/>
    </row>
    <row r="159" spans="1:38">
      <c r="A159" s="21">
        <v>45174</v>
      </c>
      <c r="B159" s="17">
        <f>IF(YEAR(Table7[[#This Row],[Date]]) = 2023, WEEKNUM(Table7[[#This Row],[Date]])-13, WEEKNUM(Table7[[#This Row],[Date]])+40)</f>
        <v>23</v>
      </c>
      <c r="C159" s="34" t="s">
        <v>50</v>
      </c>
      <c r="D159" s="35" t="s">
        <v>94</v>
      </c>
      <c r="E159" s="42">
        <v>402</v>
      </c>
      <c r="F159" s="42">
        <v>385</v>
      </c>
      <c r="G159" s="64">
        <f t="shared" ref="G159:H161" si="64">IFERROR((E159-E152)/E152,0%)</f>
        <v>0.21084337349397592</v>
      </c>
      <c r="H159" s="64">
        <f t="shared" si="64"/>
        <v>0.18827160493827161</v>
      </c>
      <c r="I159" s="1"/>
      <c r="J159" s="1"/>
      <c r="K159" s="1"/>
      <c r="L159" s="1"/>
      <c r="M159" s="84">
        <v>0.86</v>
      </c>
      <c r="N159" s="84">
        <v>0.04</v>
      </c>
      <c r="O159" s="84">
        <v>0.96</v>
      </c>
      <c r="P159" s="84">
        <v>0.72</v>
      </c>
      <c r="Q159" s="84">
        <v>1</v>
      </c>
      <c r="R159" s="293">
        <v>195</v>
      </c>
      <c r="S159" s="293">
        <v>0</v>
      </c>
      <c r="T159" s="386">
        <v>4</v>
      </c>
      <c r="U159" s="345" t="str">
        <f t="shared" si="47"/>
        <v>Normal</v>
      </c>
      <c r="V159" s="345" t="str">
        <f t="shared" si="48"/>
        <v>Normal</v>
      </c>
      <c r="W159" s="345">
        <f t="shared" si="49"/>
        <v>0.21084337349397592</v>
      </c>
      <c r="X159" s="416">
        <f t="shared" si="50"/>
        <v>0.18827160493827161</v>
      </c>
      <c r="Y159" s="340"/>
      <c r="Z159" s="340"/>
      <c r="AA159" s="340"/>
      <c r="AB159" s="340"/>
      <c r="AC159" s="338"/>
      <c r="AD159" s="338"/>
      <c r="AE159" s="338"/>
      <c r="AF159" s="338"/>
      <c r="AG159" s="338"/>
      <c r="AH159" s="338"/>
      <c r="AI159" s="338"/>
    </row>
    <row r="160" spans="1:38">
      <c r="A160" s="21">
        <v>45175</v>
      </c>
      <c r="B160" s="17">
        <f>IF(YEAR(Table7[[#This Row],[Date]]) = 2023, WEEKNUM(Table7[[#This Row],[Date]])-13, WEEKNUM(Table7[[#This Row],[Date]])+40)</f>
        <v>23</v>
      </c>
      <c r="C160" s="33" t="s">
        <v>51</v>
      </c>
      <c r="D160" s="35" t="s">
        <v>94</v>
      </c>
      <c r="E160" s="41">
        <v>416</v>
      </c>
      <c r="F160" s="41">
        <v>392</v>
      </c>
      <c r="G160" s="64">
        <f t="shared" si="64"/>
        <v>-2.3474178403755867E-2</v>
      </c>
      <c r="H160" s="64">
        <f t="shared" si="64"/>
        <v>-3.4482758620689655E-2</v>
      </c>
      <c r="I160" s="31"/>
      <c r="J160" s="31"/>
      <c r="K160" s="31"/>
      <c r="L160" s="31"/>
      <c r="M160" s="85">
        <v>0.89</v>
      </c>
      <c r="N160" s="85">
        <v>0.06</v>
      </c>
      <c r="O160" s="85">
        <v>0.94</v>
      </c>
      <c r="P160" s="85">
        <v>0.73</v>
      </c>
      <c r="Q160" s="85">
        <v>1</v>
      </c>
      <c r="R160" s="307">
        <v>202</v>
      </c>
      <c r="S160" s="307">
        <v>0</v>
      </c>
      <c r="T160" s="386">
        <v>4</v>
      </c>
      <c r="U160" s="345" t="str">
        <f t="shared" si="47"/>
        <v>Normal</v>
      </c>
      <c r="V160" s="345" t="str">
        <f t="shared" si="48"/>
        <v>Normal</v>
      </c>
      <c r="W160" s="345">
        <f t="shared" si="49"/>
        <v>-2.3474178403755867E-2</v>
      </c>
      <c r="X160" s="416">
        <f t="shared" si="50"/>
        <v>-3.4482758620689655E-2</v>
      </c>
      <c r="Y160" s="340"/>
      <c r="Z160" s="340"/>
      <c r="AA160" s="340"/>
      <c r="AB160" s="340"/>
      <c r="AC160" s="338"/>
      <c r="AD160" s="338"/>
      <c r="AE160" s="338"/>
      <c r="AF160" s="338"/>
      <c r="AG160" s="338"/>
      <c r="AH160" s="338"/>
      <c r="AI160" s="338"/>
    </row>
    <row r="161" spans="1:35">
      <c r="A161" s="21">
        <v>45176</v>
      </c>
      <c r="B161" s="17">
        <f>IF(YEAR(Table7[[#This Row],[Date]]) = 2023, WEEKNUM(Table7[[#This Row],[Date]])-13, WEEKNUM(Table7[[#This Row],[Date]])+40)</f>
        <v>23</v>
      </c>
      <c r="C161" s="34" t="s">
        <v>52</v>
      </c>
      <c r="D161" s="35" t="s">
        <v>94</v>
      </c>
      <c r="E161" s="42">
        <v>406</v>
      </c>
      <c r="F161" s="42">
        <v>380</v>
      </c>
      <c r="G161" s="64">
        <f t="shared" si="64"/>
        <v>0.12465373961218837</v>
      </c>
      <c r="H161" s="64">
        <f t="shared" si="64"/>
        <v>9.5100864553314124E-2</v>
      </c>
      <c r="I161" s="1"/>
      <c r="J161" s="1"/>
      <c r="K161" s="1"/>
      <c r="L161" s="1"/>
      <c r="M161" s="84">
        <v>0.83</v>
      </c>
      <c r="N161" s="84">
        <v>0.06</v>
      </c>
      <c r="O161" s="84">
        <v>0.94</v>
      </c>
      <c r="P161" s="84">
        <v>0.66</v>
      </c>
      <c r="Q161" s="84">
        <v>1</v>
      </c>
      <c r="R161" s="293">
        <v>181</v>
      </c>
      <c r="S161" s="293">
        <v>0</v>
      </c>
      <c r="T161" s="386">
        <v>4</v>
      </c>
      <c r="U161" s="345" t="str">
        <f t="shared" si="47"/>
        <v>Normal</v>
      </c>
      <c r="V161" s="345" t="str">
        <f t="shared" si="48"/>
        <v>Normal</v>
      </c>
      <c r="W161" s="345">
        <f t="shared" si="49"/>
        <v>0.12465373961218837</v>
      </c>
      <c r="X161" s="416">
        <f t="shared" si="50"/>
        <v>9.5100864553314124E-2</v>
      </c>
      <c r="Y161" s="340"/>
      <c r="Z161" s="340"/>
      <c r="AA161" s="340"/>
      <c r="AB161" s="340"/>
      <c r="AC161" s="338"/>
      <c r="AD161" s="338"/>
      <c r="AE161" s="338"/>
      <c r="AF161" s="338"/>
      <c r="AG161" s="338"/>
      <c r="AH161" s="338"/>
      <c r="AI161" s="338"/>
    </row>
    <row r="162" spans="1:35">
      <c r="A162" s="21">
        <v>45177</v>
      </c>
      <c r="B162" s="17">
        <f>IF(YEAR(Table7[[#This Row],[Date]]) = 2023, WEEKNUM(Table7[[#This Row],[Date]])-13, WEEKNUM(Table7[[#This Row],[Date]])+40)</f>
        <v>23</v>
      </c>
      <c r="C162" s="34" t="s">
        <v>53</v>
      </c>
      <c r="D162" s="35" t="s">
        <v>94</v>
      </c>
      <c r="E162" s="42">
        <v>359</v>
      </c>
      <c r="F162" s="42">
        <v>344</v>
      </c>
      <c r="G162" s="64">
        <f t="shared" ref="G162:H162" si="65">IFERROR((E162-E155)/E155,0%)</f>
        <v>-7.9487179487179482E-2</v>
      </c>
      <c r="H162" s="64">
        <f t="shared" si="65"/>
        <v>-8.9947089947089942E-2</v>
      </c>
      <c r="I162" s="42"/>
      <c r="J162" s="1"/>
      <c r="K162" s="1"/>
      <c r="L162" s="1"/>
      <c r="M162" s="18">
        <v>0.89</v>
      </c>
      <c r="N162" s="84">
        <v>0.04</v>
      </c>
      <c r="O162" s="84">
        <v>0.96</v>
      </c>
      <c r="P162" s="84">
        <v>0.61</v>
      </c>
      <c r="Q162" s="84">
        <v>1</v>
      </c>
      <c r="R162" s="293">
        <v>188</v>
      </c>
      <c r="S162" s="293">
        <v>0</v>
      </c>
      <c r="T162" s="386">
        <v>4</v>
      </c>
      <c r="U162" s="345" t="str">
        <f t="shared" si="47"/>
        <v>Normal</v>
      </c>
      <c r="V162" s="345" t="str">
        <f t="shared" si="48"/>
        <v>Normal</v>
      </c>
      <c r="W162" s="345">
        <f t="shared" si="49"/>
        <v>-7.9487179487179482E-2</v>
      </c>
      <c r="X162" s="416">
        <f t="shared" si="50"/>
        <v>-8.9947089947089942E-2</v>
      </c>
      <c r="Y162" s="340"/>
      <c r="Z162" s="340"/>
      <c r="AA162" s="340"/>
      <c r="AB162" s="340"/>
      <c r="AC162" s="338"/>
      <c r="AD162" s="338"/>
      <c r="AE162" s="338"/>
      <c r="AF162" s="338"/>
      <c r="AG162" s="338"/>
      <c r="AH162" s="338"/>
      <c r="AI162" s="338"/>
    </row>
    <row r="163" spans="1:35">
      <c r="A163" s="21">
        <v>45178</v>
      </c>
      <c r="B163" s="17">
        <f>IF(YEAR(Table7[[#This Row],[Date]]) = 2023, WEEKNUM(Table7[[#This Row],[Date]])-13, WEEKNUM(Table7[[#This Row],[Date]])+40)</f>
        <v>23</v>
      </c>
      <c r="C163" s="34" t="s">
        <v>54</v>
      </c>
      <c r="D163" s="35" t="s">
        <v>94</v>
      </c>
      <c r="E163" s="42">
        <v>138</v>
      </c>
      <c r="F163" s="42">
        <v>132</v>
      </c>
      <c r="G163" s="64">
        <f t="shared" ref="G163:H165" si="66">IFERROR((E163-E156)/E156,0%)</f>
        <v>-6.1224489795918366E-2</v>
      </c>
      <c r="H163" s="64">
        <f t="shared" si="66"/>
        <v>-5.0359712230215826E-2</v>
      </c>
      <c r="I163" s="1"/>
      <c r="J163" s="1"/>
      <c r="K163" s="1"/>
      <c r="L163" s="1"/>
      <c r="M163" s="84">
        <v>0.89</v>
      </c>
      <c r="N163" s="84">
        <v>0.04</v>
      </c>
      <c r="O163" s="84">
        <v>0.96</v>
      </c>
      <c r="P163" s="84">
        <v>0.39</v>
      </c>
      <c r="Q163" s="84">
        <v>1</v>
      </c>
      <c r="R163" s="293">
        <v>182</v>
      </c>
      <c r="S163" s="293">
        <v>0</v>
      </c>
      <c r="T163" s="386">
        <v>4</v>
      </c>
      <c r="U163" s="345" t="str">
        <f t="shared" si="47"/>
        <v>Normal</v>
      </c>
      <c r="V163" s="345" t="str">
        <f t="shared" si="48"/>
        <v>Normal</v>
      </c>
      <c r="W163" s="345">
        <f t="shared" si="49"/>
        <v>-6.1224489795918366E-2</v>
      </c>
      <c r="X163" s="416">
        <f t="shared" si="50"/>
        <v>-5.0359712230215826E-2</v>
      </c>
      <c r="Y163" s="340"/>
      <c r="Z163" s="340"/>
      <c r="AA163" s="340"/>
      <c r="AB163" s="340"/>
      <c r="AC163" s="338"/>
      <c r="AD163" s="338"/>
      <c r="AE163" s="338"/>
      <c r="AF163" s="338"/>
      <c r="AG163" s="338"/>
      <c r="AH163" s="338"/>
      <c r="AI163" s="338"/>
    </row>
    <row r="164" spans="1:35">
      <c r="A164" s="21">
        <v>45179</v>
      </c>
      <c r="B164" s="17">
        <f>IF(YEAR(Table7[[#This Row],[Date]]) = 2023, WEEKNUM(Table7[[#This Row],[Date]])-13, WEEKNUM(Table7[[#This Row],[Date]])+40)</f>
        <v>24</v>
      </c>
      <c r="C164" s="33" t="s">
        <v>48</v>
      </c>
      <c r="D164" s="35" t="s">
        <v>94</v>
      </c>
      <c r="E164" s="42">
        <v>0</v>
      </c>
      <c r="F164" s="42">
        <v>0</v>
      </c>
      <c r="G164" s="64">
        <f t="shared" si="66"/>
        <v>0</v>
      </c>
      <c r="H164" s="64">
        <f t="shared" si="66"/>
        <v>0</v>
      </c>
      <c r="I164" s="42">
        <v>0</v>
      </c>
      <c r="J164" s="1">
        <v>0</v>
      </c>
      <c r="K164" s="1">
        <v>0</v>
      </c>
      <c r="L164" s="1">
        <v>0</v>
      </c>
      <c r="M164" s="18">
        <v>0</v>
      </c>
      <c r="N164" s="84">
        <v>0</v>
      </c>
      <c r="O164" s="84">
        <v>0</v>
      </c>
      <c r="P164" s="84">
        <v>0</v>
      </c>
      <c r="Q164" s="84">
        <v>0</v>
      </c>
      <c r="R164" s="307">
        <v>0</v>
      </c>
      <c r="S164" s="307">
        <v>0</v>
      </c>
      <c r="T164" s="386">
        <v>0</v>
      </c>
      <c r="U164" s="345" t="str">
        <f t="shared" si="47"/>
        <v>Normal</v>
      </c>
      <c r="V164" s="345" t="str">
        <f t="shared" si="48"/>
        <v>Normal</v>
      </c>
      <c r="W164" s="345">
        <f t="shared" si="49"/>
        <v>0</v>
      </c>
      <c r="X164" s="416">
        <f t="shared" si="50"/>
        <v>0</v>
      </c>
      <c r="Y164" s="340"/>
      <c r="Z164" s="340"/>
      <c r="AA164" s="340"/>
      <c r="AB164" s="340"/>
      <c r="AC164" s="338"/>
      <c r="AD164" s="338"/>
      <c r="AE164" s="338"/>
      <c r="AF164" s="338"/>
      <c r="AG164" s="338"/>
      <c r="AH164" s="338"/>
      <c r="AI164" s="338"/>
    </row>
    <row r="165" spans="1:35">
      <c r="A165" s="21">
        <v>45180</v>
      </c>
      <c r="B165" s="17">
        <f>IF(YEAR(Table7[[#This Row],[Date]]) = 2023, WEEKNUM(Table7[[#This Row],[Date]])-13, WEEKNUM(Table7[[#This Row],[Date]])+40)</f>
        <v>24</v>
      </c>
      <c r="C165" s="34" t="s">
        <v>49</v>
      </c>
      <c r="D165" s="35" t="s">
        <v>94</v>
      </c>
      <c r="E165" s="42">
        <v>448</v>
      </c>
      <c r="F165" s="42">
        <v>426</v>
      </c>
      <c r="G165" s="64">
        <f t="shared" si="66"/>
        <v>-3.8626609442060089E-2</v>
      </c>
      <c r="H165" s="64">
        <f t="shared" si="66"/>
        <v>-4.6979865771812082E-2</v>
      </c>
      <c r="I165" s="1"/>
      <c r="J165" s="1"/>
      <c r="K165" s="1"/>
      <c r="L165" s="1"/>
      <c r="M165" s="84">
        <v>0.87</v>
      </c>
      <c r="N165" s="84">
        <v>0.05</v>
      </c>
      <c r="O165" s="84">
        <v>0.95</v>
      </c>
      <c r="P165" s="84">
        <v>0.75</v>
      </c>
      <c r="Q165" s="84">
        <v>1</v>
      </c>
      <c r="R165" s="293">
        <v>186</v>
      </c>
      <c r="S165" s="293">
        <v>0</v>
      </c>
      <c r="T165" s="386">
        <v>4</v>
      </c>
      <c r="U165" s="345" t="str">
        <f t="shared" si="47"/>
        <v>Normal</v>
      </c>
      <c r="V165" s="345" t="str">
        <f t="shared" si="48"/>
        <v>Normal</v>
      </c>
      <c r="W165" s="345">
        <f t="shared" si="49"/>
        <v>-3.8626609442060089E-2</v>
      </c>
      <c r="X165" s="416">
        <f t="shared" si="50"/>
        <v>-4.6979865771812082E-2</v>
      </c>
      <c r="Y165" s="340"/>
      <c r="Z165" s="340"/>
      <c r="AA165" s="340"/>
      <c r="AB165" s="340"/>
      <c r="AC165" s="338"/>
      <c r="AD165" s="338"/>
      <c r="AE165" s="338"/>
      <c r="AF165" s="338"/>
      <c r="AG165" s="338"/>
      <c r="AH165" s="338"/>
      <c r="AI165" s="338"/>
    </row>
    <row r="166" spans="1:35">
      <c r="A166" s="21">
        <v>45181</v>
      </c>
      <c r="B166" s="17">
        <f>IF(YEAR(Table7[[#This Row],[Date]]) = 2023, WEEKNUM(Table7[[#This Row],[Date]])-13, WEEKNUM(Table7[[#This Row],[Date]])+40)</f>
        <v>24</v>
      </c>
      <c r="C166" s="33" t="s">
        <v>50</v>
      </c>
      <c r="D166" s="35" t="s">
        <v>94</v>
      </c>
      <c r="E166" s="41">
        <v>357</v>
      </c>
      <c r="F166" s="41">
        <v>349</v>
      </c>
      <c r="G166" s="64">
        <f t="shared" ref="G166:H166" si="67">IFERROR((E166-E159)/E159,0%)</f>
        <v>-0.11194029850746269</v>
      </c>
      <c r="H166" s="64">
        <f t="shared" si="67"/>
        <v>-9.350649350649351E-2</v>
      </c>
      <c r="I166" s="1"/>
      <c r="J166" s="1"/>
      <c r="K166" s="1"/>
      <c r="L166" s="1"/>
      <c r="M166" s="85">
        <v>0.91</v>
      </c>
      <c r="N166" s="85">
        <v>0.02</v>
      </c>
      <c r="O166" s="84">
        <v>0.98</v>
      </c>
      <c r="P166" s="85">
        <v>0.61</v>
      </c>
      <c r="Q166" s="85">
        <v>1</v>
      </c>
      <c r="R166" s="307">
        <v>184</v>
      </c>
      <c r="S166" s="307">
        <v>0</v>
      </c>
      <c r="T166" s="386">
        <v>4</v>
      </c>
      <c r="U166" s="345" t="str">
        <f t="shared" si="47"/>
        <v>Normal</v>
      </c>
      <c r="V166" s="345" t="str">
        <f t="shared" si="48"/>
        <v>Normal</v>
      </c>
      <c r="W166" s="345">
        <f t="shared" si="49"/>
        <v>-0.11194029850746269</v>
      </c>
      <c r="X166" s="416">
        <f t="shared" si="50"/>
        <v>-9.350649350649351E-2</v>
      </c>
      <c r="Y166" s="340"/>
      <c r="Z166" s="340"/>
      <c r="AA166" s="340"/>
      <c r="AB166" s="340"/>
      <c r="AC166" s="338"/>
      <c r="AD166" s="338"/>
      <c r="AE166" s="338"/>
      <c r="AF166" s="338"/>
      <c r="AG166" s="338"/>
      <c r="AH166" s="338"/>
      <c r="AI166" s="338"/>
    </row>
    <row r="167" spans="1:35">
      <c r="A167" s="21">
        <v>45182</v>
      </c>
      <c r="B167" s="17">
        <f>IF(YEAR(Table7[[#This Row],[Date]]) = 2023, WEEKNUM(Table7[[#This Row],[Date]])-13, WEEKNUM(Table7[[#This Row],[Date]])+40)</f>
        <v>24</v>
      </c>
      <c r="C167" s="34" t="s">
        <v>51</v>
      </c>
      <c r="D167" s="35" t="s">
        <v>94</v>
      </c>
      <c r="E167" s="42">
        <v>354</v>
      </c>
      <c r="F167" s="42">
        <v>340</v>
      </c>
      <c r="G167" s="64">
        <f t="shared" ref="G167:H169" si="68">IFERROR((E167-E160)/E160,0%)</f>
        <v>-0.14903846153846154</v>
      </c>
      <c r="H167" s="64">
        <f t="shared" si="68"/>
        <v>-0.1326530612244898</v>
      </c>
      <c r="I167" s="1"/>
      <c r="J167" s="1"/>
      <c r="K167" s="1"/>
      <c r="L167" s="1"/>
      <c r="M167" s="84">
        <v>0.91</v>
      </c>
      <c r="N167" s="84">
        <v>0.04</v>
      </c>
      <c r="O167" s="84">
        <v>0.96</v>
      </c>
      <c r="P167" s="84">
        <v>0.6</v>
      </c>
      <c r="Q167" s="84">
        <v>1</v>
      </c>
      <c r="R167" s="293">
        <v>185</v>
      </c>
      <c r="S167" s="293">
        <v>0</v>
      </c>
      <c r="T167" s="386">
        <v>4</v>
      </c>
      <c r="U167" s="345" t="str">
        <f t="shared" si="47"/>
        <v>Normal</v>
      </c>
      <c r="V167" s="345" t="str">
        <f t="shared" si="48"/>
        <v>Normal</v>
      </c>
      <c r="W167" s="345">
        <f t="shared" si="49"/>
        <v>-0.14903846153846154</v>
      </c>
      <c r="X167" s="416">
        <f t="shared" si="50"/>
        <v>-0.1326530612244898</v>
      </c>
      <c r="Y167" s="340"/>
      <c r="Z167" s="340"/>
      <c r="AA167" s="340"/>
      <c r="AB167" s="340"/>
      <c r="AC167" s="338"/>
      <c r="AD167" s="338"/>
      <c r="AE167" s="338"/>
      <c r="AF167" s="338"/>
      <c r="AG167" s="338"/>
      <c r="AH167" s="338"/>
      <c r="AI167" s="338"/>
    </row>
    <row r="168" spans="1:35">
      <c r="A168" s="21">
        <v>45183</v>
      </c>
      <c r="B168" s="17">
        <f>IF(YEAR(Table7[[#This Row],[Date]]) = 2023, WEEKNUM(Table7[[#This Row],[Date]])-13, WEEKNUM(Table7[[#This Row],[Date]])+40)</f>
        <v>24</v>
      </c>
      <c r="C168" s="33" t="s">
        <v>52</v>
      </c>
      <c r="D168" s="35" t="s">
        <v>94</v>
      </c>
      <c r="E168" s="42">
        <v>324</v>
      </c>
      <c r="F168" s="42">
        <v>301</v>
      </c>
      <c r="G168" s="64">
        <f t="shared" si="68"/>
        <v>-0.2019704433497537</v>
      </c>
      <c r="H168" s="64">
        <f t="shared" si="68"/>
        <v>-0.20789473684210527</v>
      </c>
      <c r="I168" s="1"/>
      <c r="J168" s="1"/>
      <c r="K168" s="1"/>
      <c r="L168" s="1"/>
      <c r="M168" s="84">
        <v>0.76</v>
      </c>
      <c r="N168" s="84">
        <v>7.0000000000000007E-2</v>
      </c>
      <c r="O168" s="84">
        <v>0.93</v>
      </c>
      <c r="P168" s="84">
        <v>0.7</v>
      </c>
      <c r="Q168" s="84">
        <v>1</v>
      </c>
      <c r="R168" s="293">
        <v>184</v>
      </c>
      <c r="S168" s="293">
        <v>0</v>
      </c>
      <c r="T168" s="386">
        <v>3</v>
      </c>
      <c r="U168" s="345" t="str">
        <f t="shared" si="47"/>
        <v>Normal</v>
      </c>
      <c r="V168" s="345" t="str">
        <f t="shared" si="48"/>
        <v>Normal</v>
      </c>
      <c r="W168" s="345">
        <f t="shared" si="49"/>
        <v>-0.2019704433497537</v>
      </c>
      <c r="X168" s="416">
        <f t="shared" si="50"/>
        <v>-0.20789473684210527</v>
      </c>
      <c r="Y168" s="340"/>
      <c r="Z168" s="340"/>
      <c r="AA168" s="340"/>
      <c r="AB168" s="340"/>
      <c r="AC168" s="338"/>
      <c r="AD168" s="338"/>
      <c r="AE168" s="338"/>
      <c r="AF168" s="338"/>
      <c r="AG168" s="338"/>
      <c r="AH168" s="338"/>
      <c r="AI168" s="338"/>
    </row>
    <row r="169" spans="1:35">
      <c r="A169" s="21">
        <v>45184</v>
      </c>
      <c r="B169" s="17">
        <f>IF(YEAR(Table7[[#This Row],[Date]]) = 2023, WEEKNUM(Table7[[#This Row],[Date]])-13, WEEKNUM(Table7[[#This Row],[Date]])+40)</f>
        <v>24</v>
      </c>
      <c r="C169" s="34" t="s">
        <v>53</v>
      </c>
      <c r="D169" s="35" t="s">
        <v>94</v>
      </c>
      <c r="E169" s="42">
        <v>418</v>
      </c>
      <c r="F169" s="42">
        <v>384</v>
      </c>
      <c r="G169" s="64">
        <f t="shared" si="68"/>
        <v>0.16434540389972144</v>
      </c>
      <c r="H169" s="64">
        <f t="shared" si="68"/>
        <v>0.11627906976744186</v>
      </c>
      <c r="I169" s="42"/>
      <c r="J169" s="1"/>
      <c r="K169" s="1"/>
      <c r="L169" s="1"/>
      <c r="M169" s="84">
        <v>0.75</v>
      </c>
      <c r="N169" s="84">
        <v>0.08</v>
      </c>
      <c r="O169" s="84">
        <v>0.92</v>
      </c>
      <c r="P169" s="84">
        <v>0.9</v>
      </c>
      <c r="Q169" s="84">
        <v>1</v>
      </c>
      <c r="R169" s="293">
        <v>185</v>
      </c>
      <c r="S169" s="293">
        <v>0</v>
      </c>
      <c r="T169" s="386">
        <v>3</v>
      </c>
      <c r="U169" s="345" t="str">
        <f t="shared" si="47"/>
        <v>Normal</v>
      </c>
      <c r="V169" s="345" t="str">
        <f t="shared" si="48"/>
        <v>Normal</v>
      </c>
      <c r="W169" s="345">
        <f t="shared" si="49"/>
        <v>0.16434540389972144</v>
      </c>
      <c r="X169" s="416">
        <f t="shared" si="50"/>
        <v>0.11627906976744186</v>
      </c>
      <c r="Y169" s="340"/>
      <c r="Z169" s="340"/>
      <c r="AA169" s="340"/>
      <c r="AB169" s="340"/>
      <c r="AC169" s="338"/>
      <c r="AD169" s="338"/>
      <c r="AE169" s="338"/>
      <c r="AF169" s="338"/>
      <c r="AG169" s="338"/>
      <c r="AH169" s="338"/>
      <c r="AI169" s="338"/>
    </row>
    <row r="170" spans="1:35">
      <c r="A170" s="21">
        <v>45185</v>
      </c>
      <c r="B170" s="17">
        <f>IF(YEAR(Table7[[#This Row],[Date]]) = 2023, WEEKNUM(Table7[[#This Row],[Date]])-13, WEEKNUM(Table7[[#This Row],[Date]])+40)</f>
        <v>24</v>
      </c>
      <c r="C170" s="33" t="s">
        <v>54</v>
      </c>
      <c r="D170" s="35" t="s">
        <v>94</v>
      </c>
      <c r="E170" s="41">
        <v>130</v>
      </c>
      <c r="F170" s="41">
        <v>124</v>
      </c>
      <c r="G170" s="64">
        <f t="shared" ref="G170:H170" si="69">IFERROR((E170-E163)/E163,0%)</f>
        <v>-5.7971014492753624E-2</v>
      </c>
      <c r="H170" s="64">
        <f t="shared" si="69"/>
        <v>-6.0606060606060608E-2</v>
      </c>
      <c r="I170" s="1"/>
      <c r="J170" s="1"/>
      <c r="K170" s="1"/>
      <c r="L170" s="1"/>
      <c r="M170" s="85">
        <v>0.82</v>
      </c>
      <c r="N170" s="85">
        <v>0.05</v>
      </c>
      <c r="O170" s="84">
        <v>0.95</v>
      </c>
      <c r="P170" s="85">
        <v>0.4</v>
      </c>
      <c r="Q170" s="84">
        <v>1</v>
      </c>
      <c r="R170" s="307">
        <v>166</v>
      </c>
      <c r="S170" s="307">
        <v>0</v>
      </c>
      <c r="T170" s="386">
        <v>3</v>
      </c>
      <c r="U170" s="345" t="str">
        <f t="shared" si="47"/>
        <v>Normal</v>
      </c>
      <c r="V170" s="345" t="str">
        <f t="shared" si="48"/>
        <v>Normal</v>
      </c>
      <c r="W170" s="345">
        <f t="shared" si="49"/>
        <v>-5.7971014492753624E-2</v>
      </c>
      <c r="X170" s="416">
        <f t="shared" si="50"/>
        <v>-6.0606060606060608E-2</v>
      </c>
      <c r="Y170" s="340"/>
      <c r="Z170" s="340"/>
      <c r="AA170" s="340"/>
      <c r="AB170" s="340"/>
      <c r="AC170" s="338"/>
      <c r="AD170" s="338"/>
      <c r="AE170" s="338"/>
      <c r="AF170" s="338"/>
      <c r="AG170" s="338"/>
      <c r="AH170" s="338"/>
      <c r="AI170" s="338"/>
    </row>
    <row r="171" spans="1:35">
      <c r="A171" s="21">
        <v>45186</v>
      </c>
      <c r="B171" s="17">
        <f>IF(YEAR(Table7[[#This Row],[Date]]) = 2023, WEEKNUM(Table7[[#This Row],[Date]])-13, WEEKNUM(Table7[[#This Row],[Date]])+40)</f>
        <v>25</v>
      </c>
      <c r="C171" s="34" t="s">
        <v>48</v>
      </c>
      <c r="D171" s="35" t="s">
        <v>94</v>
      </c>
      <c r="E171" s="42">
        <v>0</v>
      </c>
      <c r="F171" s="42">
        <v>0</v>
      </c>
      <c r="G171" s="64">
        <f t="shared" ref="G171:H173" si="70">IFERROR((E171-E164)/E164,0%)</f>
        <v>0</v>
      </c>
      <c r="H171" s="64">
        <f t="shared" si="70"/>
        <v>0</v>
      </c>
      <c r="I171" s="42">
        <v>0</v>
      </c>
      <c r="J171" s="1">
        <v>0</v>
      </c>
      <c r="K171" s="1">
        <v>0</v>
      </c>
      <c r="L171" s="1">
        <v>0</v>
      </c>
      <c r="M171" s="84">
        <v>0</v>
      </c>
      <c r="N171" s="84">
        <v>0</v>
      </c>
      <c r="O171" s="84">
        <v>0</v>
      </c>
      <c r="P171" s="84">
        <v>0</v>
      </c>
      <c r="Q171" s="84">
        <v>0</v>
      </c>
      <c r="R171" s="293">
        <v>0</v>
      </c>
      <c r="S171" s="293">
        <v>0</v>
      </c>
      <c r="T171" s="386">
        <v>0</v>
      </c>
      <c r="U171" s="345" t="str">
        <f t="shared" si="47"/>
        <v>Normal</v>
      </c>
      <c r="V171" s="345" t="str">
        <f t="shared" si="48"/>
        <v>Normal</v>
      </c>
      <c r="W171" s="345">
        <f t="shared" si="49"/>
        <v>0</v>
      </c>
      <c r="X171" s="416">
        <f t="shared" si="50"/>
        <v>0</v>
      </c>
      <c r="Y171" s="340"/>
      <c r="Z171" s="340"/>
      <c r="AA171" s="340"/>
      <c r="AB171" s="340"/>
      <c r="AC171" s="338"/>
      <c r="AD171" s="338"/>
      <c r="AE171" s="338"/>
      <c r="AF171" s="338"/>
      <c r="AG171" s="338"/>
      <c r="AH171" s="338"/>
      <c r="AI171" s="338"/>
    </row>
    <row r="172" spans="1:35">
      <c r="A172" s="21">
        <v>45187</v>
      </c>
      <c r="B172" s="17">
        <f>IF(YEAR(Table7[[#This Row],[Date]]) = 2023, WEEKNUM(Table7[[#This Row],[Date]])-13, WEEKNUM(Table7[[#This Row],[Date]])+40)</f>
        <v>25</v>
      </c>
      <c r="C172" s="33" t="s">
        <v>49</v>
      </c>
      <c r="D172" s="35" t="s">
        <v>94</v>
      </c>
      <c r="E172" s="41">
        <v>455</v>
      </c>
      <c r="F172" s="41">
        <v>432</v>
      </c>
      <c r="G172" s="64">
        <f t="shared" si="70"/>
        <v>1.5625E-2</v>
      </c>
      <c r="H172" s="64">
        <f t="shared" si="70"/>
        <v>1.4084507042253521E-2</v>
      </c>
      <c r="I172" s="31"/>
      <c r="J172" s="31"/>
      <c r="K172" s="31"/>
      <c r="L172" s="31"/>
      <c r="M172" s="85">
        <v>0.84</v>
      </c>
      <c r="N172" s="85">
        <v>0.05</v>
      </c>
      <c r="O172" s="85">
        <v>0.95</v>
      </c>
      <c r="P172" s="85">
        <v>0.62</v>
      </c>
      <c r="Q172" s="85">
        <v>1</v>
      </c>
      <c r="R172" s="307">
        <v>194</v>
      </c>
      <c r="S172" s="307">
        <v>0</v>
      </c>
      <c r="T172" s="386">
        <v>5</v>
      </c>
      <c r="U172" s="345" t="str">
        <f t="shared" si="47"/>
        <v>Normal</v>
      </c>
      <c r="V172" s="345" t="str">
        <f t="shared" si="48"/>
        <v>Normal</v>
      </c>
      <c r="W172" s="345">
        <f t="shared" si="49"/>
        <v>1.5625E-2</v>
      </c>
      <c r="X172" s="416">
        <f t="shared" si="50"/>
        <v>1.4084507042253521E-2</v>
      </c>
      <c r="Y172" s="340"/>
      <c r="Z172" s="340"/>
      <c r="AA172" s="340"/>
      <c r="AB172" s="340"/>
      <c r="AC172" s="338"/>
      <c r="AD172" s="338"/>
      <c r="AE172" s="338"/>
      <c r="AF172" s="338"/>
      <c r="AG172" s="338"/>
      <c r="AH172" s="338"/>
      <c r="AI172" s="338"/>
    </row>
    <row r="173" spans="1:35">
      <c r="A173" s="21">
        <v>45188</v>
      </c>
      <c r="B173" s="17">
        <f>IF(YEAR(Table7[[#This Row],[Date]]) = 2023, WEEKNUM(Table7[[#This Row],[Date]])-13, WEEKNUM(Table7[[#This Row],[Date]])+40)</f>
        <v>25</v>
      </c>
      <c r="C173" s="34" t="s">
        <v>50</v>
      </c>
      <c r="D173" s="35" t="s">
        <v>94</v>
      </c>
      <c r="E173" s="42">
        <v>349</v>
      </c>
      <c r="F173" s="42">
        <v>335</v>
      </c>
      <c r="G173" s="64">
        <f t="shared" si="70"/>
        <v>-2.2408963585434174E-2</v>
      </c>
      <c r="H173" s="64">
        <f t="shared" si="70"/>
        <v>-4.0114613180515762E-2</v>
      </c>
      <c r="I173" s="1"/>
      <c r="J173" s="1"/>
      <c r="K173" s="1"/>
      <c r="L173" s="1"/>
      <c r="M173" s="84">
        <v>0.9</v>
      </c>
      <c r="N173" s="84">
        <v>0.04</v>
      </c>
      <c r="O173" s="84">
        <v>0.96</v>
      </c>
      <c r="P173" s="84">
        <v>0.62</v>
      </c>
      <c r="Q173" s="84">
        <v>1</v>
      </c>
      <c r="R173" s="293">
        <v>188</v>
      </c>
      <c r="S173" s="293">
        <v>0</v>
      </c>
      <c r="T173" s="386">
        <v>4</v>
      </c>
      <c r="U173" s="345" t="str">
        <f t="shared" si="47"/>
        <v>Normal</v>
      </c>
      <c r="V173" s="345" t="str">
        <f t="shared" si="48"/>
        <v>Normal</v>
      </c>
      <c r="W173" s="345">
        <f t="shared" si="49"/>
        <v>-2.2408963585434174E-2</v>
      </c>
      <c r="X173" s="416">
        <f t="shared" si="50"/>
        <v>-4.0114613180515762E-2</v>
      </c>
      <c r="Y173" s="340"/>
      <c r="Z173" s="340"/>
      <c r="AA173" s="340"/>
      <c r="AB173" s="340"/>
      <c r="AC173" s="338"/>
      <c r="AD173" s="338"/>
      <c r="AE173" s="338"/>
      <c r="AF173" s="338"/>
      <c r="AG173" s="338"/>
      <c r="AH173" s="338"/>
      <c r="AI173" s="338"/>
    </row>
    <row r="174" spans="1:35">
      <c r="A174" s="21">
        <v>45189</v>
      </c>
      <c r="B174" s="17">
        <f>IF(YEAR(Table7[[#This Row],[Date]]) = 2023, WEEKNUM(Table7[[#This Row],[Date]])-13, WEEKNUM(Table7[[#This Row],[Date]])+40)</f>
        <v>25</v>
      </c>
      <c r="C174" s="33" t="s">
        <v>51</v>
      </c>
      <c r="D174" s="35" t="s">
        <v>94</v>
      </c>
      <c r="E174" s="41">
        <v>415</v>
      </c>
      <c r="F174" s="41">
        <v>386</v>
      </c>
      <c r="G174" s="64">
        <f t="shared" ref="G174:H174" si="71">IFERROR((E174-E167)/E167,0%)</f>
        <v>0.17231638418079095</v>
      </c>
      <c r="H174" s="64">
        <f t="shared" si="71"/>
        <v>0.13529411764705881</v>
      </c>
      <c r="I174" s="31"/>
      <c r="J174" s="31"/>
      <c r="K174" s="31"/>
      <c r="L174" s="31"/>
      <c r="M174" s="85">
        <v>0.83</v>
      </c>
      <c r="N174" s="85">
        <v>7.0000000000000007E-2</v>
      </c>
      <c r="O174" s="84">
        <v>0.93</v>
      </c>
      <c r="P174" s="84">
        <v>0.69</v>
      </c>
      <c r="Q174" s="85">
        <v>1</v>
      </c>
      <c r="R174" s="307">
        <v>191</v>
      </c>
      <c r="S174" s="307">
        <v>0</v>
      </c>
      <c r="T174" s="386">
        <v>4</v>
      </c>
      <c r="U174" s="345" t="str">
        <f t="shared" si="47"/>
        <v>Normal</v>
      </c>
      <c r="V174" s="345" t="str">
        <f t="shared" si="48"/>
        <v>Normal</v>
      </c>
      <c r="W174" s="345">
        <f t="shared" si="49"/>
        <v>0.17231638418079095</v>
      </c>
      <c r="X174" s="416">
        <f t="shared" si="50"/>
        <v>0.13529411764705881</v>
      </c>
      <c r="Y174" s="340"/>
      <c r="Z174" s="340"/>
      <c r="AA174" s="340"/>
      <c r="AB174" s="340"/>
      <c r="AC174" s="338"/>
      <c r="AD174" s="338"/>
      <c r="AE174" s="338"/>
      <c r="AF174" s="338"/>
      <c r="AG174" s="338"/>
      <c r="AH174" s="338"/>
      <c r="AI174" s="338"/>
    </row>
    <row r="175" spans="1:35">
      <c r="A175" s="21">
        <v>45190</v>
      </c>
      <c r="B175" s="17">
        <f>IF(YEAR(Table7[[#This Row],[Date]]) = 2023, WEEKNUM(Table7[[#This Row],[Date]])-13, WEEKNUM(Table7[[#This Row],[Date]])+40)</f>
        <v>25</v>
      </c>
      <c r="C175" s="34" t="s">
        <v>52</v>
      </c>
      <c r="D175" s="35" t="s">
        <v>94</v>
      </c>
      <c r="E175" s="42">
        <v>334</v>
      </c>
      <c r="F175" s="42">
        <v>320</v>
      </c>
      <c r="G175" s="64">
        <f t="shared" ref="G175:H177" si="72">IFERROR((E175-E168)/E168,0%)</f>
        <v>3.0864197530864196E-2</v>
      </c>
      <c r="H175" s="64">
        <f t="shared" si="72"/>
        <v>6.3122923588039864E-2</v>
      </c>
      <c r="I175" s="1"/>
      <c r="J175" s="1"/>
      <c r="K175" s="1"/>
      <c r="L175" s="1"/>
      <c r="M175" s="84">
        <v>0.9</v>
      </c>
      <c r="N175" s="84">
        <v>0.04</v>
      </c>
      <c r="O175" s="84">
        <v>0.96</v>
      </c>
      <c r="P175" s="84">
        <v>0.61</v>
      </c>
      <c r="Q175" s="84">
        <v>1</v>
      </c>
      <c r="R175" s="293">
        <v>212</v>
      </c>
      <c r="S175" s="293">
        <v>0</v>
      </c>
      <c r="T175" s="386">
        <v>4</v>
      </c>
      <c r="U175" s="345" t="str">
        <f t="shared" si="47"/>
        <v>Normal</v>
      </c>
      <c r="V175" s="345" t="str">
        <f t="shared" si="48"/>
        <v>Normal</v>
      </c>
      <c r="W175" s="345">
        <f t="shared" si="49"/>
        <v>3.0864197530864196E-2</v>
      </c>
      <c r="X175" s="416">
        <f t="shared" si="50"/>
        <v>6.3122923588039864E-2</v>
      </c>
      <c r="Y175" s="340"/>
      <c r="Z175" s="340"/>
      <c r="AA175" s="340"/>
      <c r="AB175" s="340"/>
      <c r="AC175" s="338"/>
      <c r="AD175" s="338"/>
      <c r="AE175" s="338"/>
      <c r="AF175" s="338"/>
      <c r="AG175" s="338"/>
      <c r="AH175" s="338"/>
      <c r="AI175" s="338"/>
    </row>
    <row r="176" spans="1:35">
      <c r="A176" s="21">
        <v>45191</v>
      </c>
      <c r="B176" s="17">
        <f>IF(YEAR(Table7[[#This Row],[Date]]) = 2023, WEEKNUM(Table7[[#This Row],[Date]])-13, WEEKNUM(Table7[[#This Row],[Date]])+40)</f>
        <v>25</v>
      </c>
      <c r="C176" s="33" t="s">
        <v>53</v>
      </c>
      <c r="D176" s="35" t="s">
        <v>94</v>
      </c>
      <c r="E176" s="41">
        <v>354</v>
      </c>
      <c r="F176" s="41">
        <v>345</v>
      </c>
      <c r="G176" s="64">
        <f t="shared" si="72"/>
        <v>-0.15311004784688995</v>
      </c>
      <c r="H176" s="64">
        <f t="shared" si="72"/>
        <v>-0.1015625</v>
      </c>
      <c r="I176" s="42"/>
      <c r="J176" s="1"/>
      <c r="K176" s="1"/>
      <c r="L176" s="1"/>
      <c r="M176" s="85">
        <v>0.93</v>
      </c>
      <c r="N176" s="85">
        <v>0.05</v>
      </c>
      <c r="O176" s="84">
        <v>0.95</v>
      </c>
      <c r="P176" s="85">
        <v>0.6</v>
      </c>
      <c r="Q176" s="85">
        <v>1</v>
      </c>
      <c r="R176" s="307">
        <v>184</v>
      </c>
      <c r="S176" s="307">
        <v>0</v>
      </c>
      <c r="T176" s="386">
        <v>4</v>
      </c>
      <c r="U176" s="345" t="str">
        <f t="shared" si="47"/>
        <v>Normal</v>
      </c>
      <c r="V176" s="345" t="str">
        <f t="shared" si="48"/>
        <v>Normal</v>
      </c>
      <c r="W176" s="345">
        <f t="shared" si="49"/>
        <v>-0.15311004784688995</v>
      </c>
      <c r="X176" s="416">
        <f t="shared" si="50"/>
        <v>-0.1015625</v>
      </c>
      <c r="Y176" s="340"/>
      <c r="Z176" s="340"/>
      <c r="AA176" s="340"/>
      <c r="AB176" s="340"/>
      <c r="AC176" s="338"/>
      <c r="AD176" s="338"/>
      <c r="AE176" s="338"/>
      <c r="AF176" s="338"/>
      <c r="AG176" s="338"/>
      <c r="AH176" s="338"/>
      <c r="AI176" s="338"/>
    </row>
    <row r="177" spans="1:38">
      <c r="A177" s="21">
        <v>45192</v>
      </c>
      <c r="B177" s="17">
        <f>IF(YEAR(Table7[[#This Row],[Date]]) = 2023, WEEKNUM(Table7[[#This Row],[Date]])-13, WEEKNUM(Table7[[#This Row],[Date]])+40)</f>
        <v>25</v>
      </c>
      <c r="C177" s="34" t="s">
        <v>54</v>
      </c>
      <c r="D177" s="35" t="s">
        <v>94</v>
      </c>
      <c r="E177" s="42">
        <v>97</v>
      </c>
      <c r="F177" s="42">
        <v>95</v>
      </c>
      <c r="G177" s="64">
        <f t="shared" si="72"/>
        <v>-0.25384615384615383</v>
      </c>
      <c r="H177" s="64">
        <f t="shared" si="72"/>
        <v>-0.23387096774193547</v>
      </c>
      <c r="I177" s="1"/>
      <c r="J177" s="1"/>
      <c r="K177" s="1"/>
      <c r="L177" s="1"/>
      <c r="M177" s="84">
        <v>0.9</v>
      </c>
      <c r="N177" s="84">
        <v>0.05</v>
      </c>
      <c r="O177" s="84">
        <v>0.95</v>
      </c>
      <c r="P177" s="84">
        <v>0.49</v>
      </c>
      <c r="Q177" s="84">
        <v>1</v>
      </c>
      <c r="R177" s="293">
        <v>250</v>
      </c>
      <c r="S177" s="293">
        <v>0</v>
      </c>
      <c r="T177" s="386">
        <v>3</v>
      </c>
      <c r="U177" s="345" t="str">
        <f t="shared" si="47"/>
        <v>Normal</v>
      </c>
      <c r="V177" s="345" t="str">
        <f t="shared" si="48"/>
        <v>Normal</v>
      </c>
      <c r="W177" s="345">
        <f t="shared" si="49"/>
        <v>-0.25384615384615383</v>
      </c>
      <c r="X177" s="416">
        <f t="shared" si="50"/>
        <v>-0.23387096774193547</v>
      </c>
      <c r="Y177" s="340"/>
      <c r="Z177" s="340"/>
      <c r="AA177" s="340"/>
      <c r="AB177" s="340"/>
      <c r="AC177" s="338"/>
      <c r="AD177" s="338"/>
      <c r="AE177" s="338"/>
      <c r="AF177" s="338"/>
      <c r="AG177" s="338"/>
      <c r="AH177" s="338"/>
      <c r="AI177" s="338"/>
    </row>
    <row r="178" spans="1:38">
      <c r="A178" s="21">
        <v>45193</v>
      </c>
      <c r="B178" s="17">
        <f>IF(YEAR(Table7[[#This Row],[Date]]) = 2023, WEEKNUM(Table7[[#This Row],[Date]])-13, WEEKNUM(Table7[[#This Row],[Date]])+40)</f>
        <v>26</v>
      </c>
      <c r="C178" s="33" t="s">
        <v>48</v>
      </c>
      <c r="D178" s="35" t="s">
        <v>94</v>
      </c>
      <c r="E178" s="41">
        <v>0</v>
      </c>
      <c r="F178" s="41">
        <v>0</v>
      </c>
      <c r="G178" s="64">
        <f t="shared" ref="G178:H178" si="73">IFERROR((E178-E171)/E171,0%)</f>
        <v>0</v>
      </c>
      <c r="H178" s="64">
        <f t="shared" si="73"/>
        <v>0</v>
      </c>
      <c r="I178" s="42">
        <v>0</v>
      </c>
      <c r="J178" s="1">
        <v>0</v>
      </c>
      <c r="K178" s="1">
        <v>0</v>
      </c>
      <c r="L178" s="1">
        <v>0</v>
      </c>
      <c r="M178" s="85">
        <v>0</v>
      </c>
      <c r="N178" s="85">
        <v>0</v>
      </c>
      <c r="O178" s="84">
        <v>0</v>
      </c>
      <c r="P178" s="85">
        <v>0</v>
      </c>
      <c r="Q178" s="85">
        <v>0</v>
      </c>
      <c r="R178" s="307">
        <v>0</v>
      </c>
      <c r="S178" s="307">
        <v>0</v>
      </c>
      <c r="T178" s="386">
        <v>0</v>
      </c>
      <c r="U178" s="345" t="str">
        <f t="shared" si="47"/>
        <v>Normal</v>
      </c>
      <c r="V178" s="345" t="str">
        <f t="shared" si="48"/>
        <v>Normal</v>
      </c>
      <c r="W178" s="345">
        <f t="shared" si="49"/>
        <v>0</v>
      </c>
      <c r="X178" s="416">
        <f t="shared" si="50"/>
        <v>0</v>
      </c>
      <c r="Y178" s="340"/>
      <c r="Z178" s="340"/>
      <c r="AA178" s="340"/>
      <c r="AB178" s="340"/>
      <c r="AC178" s="338"/>
      <c r="AD178" s="338"/>
      <c r="AE178" s="338"/>
      <c r="AF178" s="338"/>
      <c r="AG178" s="338"/>
      <c r="AH178" s="338"/>
      <c r="AI178" s="338"/>
      <c r="AJ178">
        <v>1</v>
      </c>
    </row>
    <row r="179" spans="1:38">
      <c r="A179" s="21">
        <v>45194</v>
      </c>
      <c r="B179" s="17">
        <f>IF(YEAR(Table7[[#This Row],[Date]]) = 2023, WEEKNUM(Table7[[#This Row],[Date]])-13, WEEKNUM(Table7[[#This Row],[Date]])+40)</f>
        <v>26</v>
      </c>
      <c r="C179" s="34" t="s">
        <v>49</v>
      </c>
      <c r="D179" s="35" t="s">
        <v>94</v>
      </c>
      <c r="E179" s="42">
        <v>459</v>
      </c>
      <c r="F179" s="42">
        <v>439</v>
      </c>
      <c r="G179" s="64">
        <f t="shared" ref="G179:H181" si="74">IFERROR((E179-E172)/E172,0%)</f>
        <v>8.7912087912087912E-3</v>
      </c>
      <c r="H179" s="64">
        <f t="shared" si="74"/>
        <v>1.6203703703703703E-2</v>
      </c>
      <c r="I179" s="1"/>
      <c r="J179" s="1"/>
      <c r="K179" s="1"/>
      <c r="L179" s="1"/>
      <c r="M179" s="84">
        <v>0.89</v>
      </c>
      <c r="N179" s="84">
        <v>0.04</v>
      </c>
      <c r="O179" s="84">
        <v>0.96</v>
      </c>
      <c r="P179" s="84">
        <v>0.61</v>
      </c>
      <c r="Q179" s="84">
        <v>1</v>
      </c>
      <c r="R179" s="293">
        <v>183</v>
      </c>
      <c r="S179" s="293">
        <v>0</v>
      </c>
      <c r="T179" s="386">
        <v>5</v>
      </c>
      <c r="U179" s="345" t="str">
        <f t="shared" si="47"/>
        <v>Normal</v>
      </c>
      <c r="V179" s="345" t="str">
        <f t="shared" si="48"/>
        <v>Normal</v>
      </c>
      <c r="W179" s="345">
        <f t="shared" si="49"/>
        <v>8.7912087912087912E-3</v>
      </c>
      <c r="X179" s="416">
        <f t="shared" si="50"/>
        <v>1.6203703703703703E-2</v>
      </c>
      <c r="Y179" s="340"/>
      <c r="Z179" s="340"/>
      <c r="AA179" s="340"/>
      <c r="AB179" s="340"/>
      <c r="AC179" s="338"/>
      <c r="AD179" s="338"/>
      <c r="AE179" s="338"/>
      <c r="AF179" s="338"/>
      <c r="AG179" s="338"/>
      <c r="AH179" s="338"/>
      <c r="AI179" s="338"/>
    </row>
    <row r="180" spans="1:38">
      <c r="A180" s="21">
        <v>45195</v>
      </c>
      <c r="B180" s="17">
        <f>IF(YEAR(Table7[[#This Row],[Date]]) = 2023, WEEKNUM(Table7[[#This Row],[Date]])-13, WEEKNUM(Table7[[#This Row],[Date]])+40)</f>
        <v>26</v>
      </c>
      <c r="C180" s="34" t="s">
        <v>50</v>
      </c>
      <c r="D180" s="35" t="s">
        <v>94</v>
      </c>
      <c r="E180" s="42">
        <v>384</v>
      </c>
      <c r="F180" s="42">
        <v>363</v>
      </c>
      <c r="G180" s="64">
        <f t="shared" si="74"/>
        <v>0.10028653295128939</v>
      </c>
      <c r="H180" s="64">
        <f t="shared" si="74"/>
        <v>8.3582089552238809E-2</v>
      </c>
      <c r="I180" s="42"/>
      <c r="J180" s="1"/>
      <c r="K180" s="1"/>
      <c r="L180" s="1"/>
      <c r="M180" s="18">
        <v>0.86</v>
      </c>
      <c r="N180" s="84">
        <v>0.05</v>
      </c>
      <c r="O180" s="84">
        <v>0.95</v>
      </c>
      <c r="P180" s="84">
        <v>0.67</v>
      </c>
      <c r="Q180" s="84">
        <v>1</v>
      </c>
      <c r="R180" s="293">
        <v>188</v>
      </c>
      <c r="S180" s="293">
        <v>0</v>
      </c>
      <c r="T180" s="386">
        <v>4</v>
      </c>
      <c r="U180" s="345" t="str">
        <f t="shared" si="47"/>
        <v>Normal</v>
      </c>
      <c r="V180" s="345" t="str">
        <f t="shared" si="48"/>
        <v>Normal</v>
      </c>
      <c r="W180" s="345">
        <f t="shared" si="49"/>
        <v>0.10028653295128939</v>
      </c>
      <c r="X180" s="416">
        <f t="shared" si="50"/>
        <v>8.3582089552238809E-2</v>
      </c>
      <c r="Y180" s="340"/>
      <c r="Z180" s="340"/>
      <c r="AA180" s="340"/>
      <c r="AB180" s="340"/>
      <c r="AC180" s="338"/>
      <c r="AD180" s="338"/>
      <c r="AE180" s="338"/>
      <c r="AF180" s="338"/>
      <c r="AG180" s="338"/>
      <c r="AH180" s="338"/>
      <c r="AI180" s="338"/>
    </row>
    <row r="181" spans="1:38">
      <c r="A181" s="21">
        <v>45196</v>
      </c>
      <c r="B181" s="17">
        <f>IF(YEAR(Table7[[#This Row],[Date]]) = 2023, WEEKNUM(Table7[[#This Row],[Date]])-13, WEEKNUM(Table7[[#This Row],[Date]])+40)</f>
        <v>26</v>
      </c>
      <c r="C181" s="34" t="s">
        <v>51</v>
      </c>
      <c r="D181" s="35" t="s">
        <v>94</v>
      </c>
      <c r="E181" s="42">
        <v>369</v>
      </c>
      <c r="F181" s="42">
        <v>349</v>
      </c>
      <c r="G181" s="64">
        <f t="shared" si="74"/>
        <v>-0.1108433734939759</v>
      </c>
      <c r="H181" s="64">
        <f t="shared" si="74"/>
        <v>-9.585492227979274E-2</v>
      </c>
      <c r="I181" s="42"/>
      <c r="J181" s="1"/>
      <c r="K181" s="1"/>
      <c r="L181" s="1"/>
      <c r="M181" s="84">
        <v>0.86</v>
      </c>
      <c r="N181" s="84">
        <v>0.05</v>
      </c>
      <c r="O181" s="84">
        <v>0.95</v>
      </c>
      <c r="P181" s="84">
        <v>0.64</v>
      </c>
      <c r="Q181" s="84">
        <v>1</v>
      </c>
      <c r="R181" s="293">
        <v>202</v>
      </c>
      <c r="S181" s="293">
        <v>0</v>
      </c>
      <c r="T181" s="386">
        <v>4</v>
      </c>
      <c r="U181" s="345" t="str">
        <f t="shared" si="47"/>
        <v>Normal</v>
      </c>
      <c r="V181" s="345" t="str">
        <f t="shared" si="48"/>
        <v>Normal</v>
      </c>
      <c r="W181" s="345">
        <f t="shared" si="49"/>
        <v>-0.1108433734939759</v>
      </c>
      <c r="X181" s="416">
        <f t="shared" si="50"/>
        <v>-9.585492227979274E-2</v>
      </c>
      <c r="Y181" s="340"/>
      <c r="Z181" s="340"/>
      <c r="AA181" s="340"/>
      <c r="AB181" s="340"/>
      <c r="AC181" s="338"/>
      <c r="AD181" s="338"/>
      <c r="AE181" s="338"/>
      <c r="AF181" s="338"/>
      <c r="AG181" s="338"/>
      <c r="AH181" s="338"/>
      <c r="AI181" s="338"/>
    </row>
    <row r="182" spans="1:38">
      <c r="A182" s="21">
        <v>45197</v>
      </c>
      <c r="B182" s="17">
        <f>IF(YEAR(Table7[[#This Row],[Date]]) = 2023, WEEKNUM(Table7[[#This Row],[Date]])-13, WEEKNUM(Table7[[#This Row],[Date]])+40)</f>
        <v>26</v>
      </c>
      <c r="C182" s="33" t="s">
        <v>52</v>
      </c>
      <c r="D182" s="35" t="s">
        <v>94</v>
      </c>
      <c r="E182" s="42">
        <v>388</v>
      </c>
      <c r="F182" s="42">
        <v>376</v>
      </c>
      <c r="G182" s="64">
        <f t="shared" ref="G182:H182" si="75">IFERROR((E182-E175)/E175,0%)</f>
        <v>0.16167664670658682</v>
      </c>
      <c r="H182" s="64">
        <f t="shared" si="75"/>
        <v>0.17499999999999999</v>
      </c>
      <c r="I182" s="42"/>
      <c r="J182" s="1"/>
      <c r="K182" s="1"/>
      <c r="L182" s="1"/>
      <c r="M182" s="18">
        <v>0.89</v>
      </c>
      <c r="N182" s="84">
        <v>0.03</v>
      </c>
      <c r="O182" s="84">
        <v>0.97</v>
      </c>
      <c r="P182" s="84">
        <v>0.66</v>
      </c>
      <c r="Q182" s="84">
        <v>1</v>
      </c>
      <c r="R182" s="307">
        <v>185</v>
      </c>
      <c r="S182" s="307">
        <v>0</v>
      </c>
      <c r="T182" s="386">
        <v>4</v>
      </c>
      <c r="U182" s="345" t="str">
        <f t="shared" si="47"/>
        <v>Normal</v>
      </c>
      <c r="V182" s="345" t="str">
        <f t="shared" si="48"/>
        <v>Normal</v>
      </c>
      <c r="W182" s="345">
        <f t="shared" si="49"/>
        <v>0.16167664670658682</v>
      </c>
      <c r="X182" s="416">
        <f t="shared" si="50"/>
        <v>0.17499999999999999</v>
      </c>
      <c r="Y182" s="340"/>
      <c r="Z182" s="340"/>
      <c r="AA182" s="340"/>
      <c r="AB182" s="340"/>
      <c r="AC182" s="338"/>
      <c r="AD182" s="338"/>
      <c r="AE182" s="338"/>
      <c r="AF182" s="338"/>
      <c r="AG182" s="338"/>
      <c r="AH182" s="338"/>
      <c r="AI182" s="338"/>
    </row>
    <row r="183" spans="1:38">
      <c r="A183" s="21">
        <v>45198</v>
      </c>
      <c r="B183" s="17">
        <f>IF(YEAR(Table7[[#This Row],[Date]]) = 2023, WEEKNUM(Table7[[#This Row],[Date]])-13, WEEKNUM(Table7[[#This Row],[Date]])+40)</f>
        <v>26</v>
      </c>
      <c r="C183" s="34" t="s">
        <v>53</v>
      </c>
      <c r="D183" s="35" t="s">
        <v>94</v>
      </c>
      <c r="E183" s="42">
        <v>443</v>
      </c>
      <c r="F183" s="42">
        <v>414</v>
      </c>
      <c r="G183" s="64">
        <f t="shared" ref="G183:H185" si="76">IFERROR((E183-E176)/E176,0%)</f>
        <v>0.25141242937853109</v>
      </c>
      <c r="H183" s="64">
        <f t="shared" si="76"/>
        <v>0.2</v>
      </c>
      <c r="I183" s="42"/>
      <c r="J183" s="1"/>
      <c r="K183" s="1"/>
      <c r="L183" s="1"/>
      <c r="M183" s="84">
        <v>0.81</v>
      </c>
      <c r="N183" s="84">
        <v>7.0000000000000007E-2</v>
      </c>
      <c r="O183" s="84">
        <v>0.93</v>
      </c>
      <c r="P183" s="84">
        <v>0.61</v>
      </c>
      <c r="Q183" s="84">
        <v>1</v>
      </c>
      <c r="R183" s="293">
        <v>175</v>
      </c>
      <c r="S183" s="293">
        <v>0</v>
      </c>
      <c r="T183" s="386">
        <v>4</v>
      </c>
      <c r="U183" s="345" t="str">
        <f t="shared" si="47"/>
        <v>Normal</v>
      </c>
      <c r="V183" s="345" t="str">
        <f t="shared" si="48"/>
        <v>Normal</v>
      </c>
      <c r="W183" s="345">
        <f t="shared" si="49"/>
        <v>0.25141242937853109</v>
      </c>
      <c r="X183" s="416">
        <f t="shared" si="50"/>
        <v>0.2</v>
      </c>
      <c r="Y183" s="340"/>
      <c r="Z183" s="340"/>
      <c r="AA183" s="340"/>
      <c r="AB183" s="340"/>
      <c r="AC183" s="338"/>
      <c r="AD183" s="338"/>
      <c r="AE183" s="338"/>
      <c r="AF183" s="338"/>
      <c r="AG183" s="338"/>
      <c r="AH183" s="338"/>
      <c r="AI183" s="338"/>
    </row>
    <row r="184" spans="1:38" s="48" customFormat="1">
      <c r="A184" s="21">
        <v>45199</v>
      </c>
      <c r="B184" s="17">
        <f>IF(YEAR(Table7[[#This Row],[Date]]) = 2023, WEEKNUM(Table7[[#This Row],[Date]])-13, WEEKNUM(Table7[[#This Row],[Date]])+40)</f>
        <v>26</v>
      </c>
      <c r="C184" s="97" t="s">
        <v>54</v>
      </c>
      <c r="D184" s="35" t="s">
        <v>94</v>
      </c>
      <c r="E184" s="95">
        <v>142</v>
      </c>
      <c r="F184" s="95">
        <v>138</v>
      </c>
      <c r="G184" s="64">
        <f t="shared" si="76"/>
        <v>0.46391752577319589</v>
      </c>
      <c r="H184" s="64">
        <f t="shared" si="76"/>
        <v>0.45263157894736844</v>
      </c>
      <c r="I184" s="95"/>
      <c r="J184" s="50"/>
      <c r="K184" s="50"/>
      <c r="L184" s="50"/>
      <c r="M184" s="51">
        <v>0.92</v>
      </c>
      <c r="N184" s="96">
        <v>0.03</v>
      </c>
      <c r="O184" s="96">
        <v>0.97</v>
      </c>
      <c r="P184" s="96">
        <v>0.36</v>
      </c>
      <c r="Q184" s="96">
        <v>1</v>
      </c>
      <c r="R184" s="309">
        <v>179</v>
      </c>
      <c r="S184" s="309">
        <v>0</v>
      </c>
      <c r="T184" s="386">
        <v>4</v>
      </c>
      <c r="U184" s="345" t="str">
        <f t="shared" si="47"/>
        <v>Normal</v>
      </c>
      <c r="V184" s="345" t="str">
        <f t="shared" si="48"/>
        <v>Normal</v>
      </c>
      <c r="W184" s="345">
        <f t="shared" si="49"/>
        <v>0.46391752577319589</v>
      </c>
      <c r="X184" s="416">
        <f t="shared" si="50"/>
        <v>0.45263157894736844</v>
      </c>
      <c r="Y184" s="340"/>
      <c r="Z184" s="340"/>
      <c r="AA184" s="340"/>
      <c r="AB184" s="340"/>
      <c r="AC184" s="338"/>
      <c r="AD184" s="338"/>
      <c r="AE184" s="338"/>
      <c r="AF184" s="338"/>
      <c r="AG184" s="338"/>
      <c r="AH184" s="338"/>
      <c r="AI184" s="338"/>
      <c r="AJ184" s="112"/>
      <c r="AK184" s="112"/>
      <c r="AL184" s="112"/>
    </row>
    <row r="185" spans="1:38">
      <c r="A185" s="21">
        <v>45200</v>
      </c>
      <c r="B185" s="17">
        <f>IF(YEAR(Table7[[#This Row],[Date]]) = 2023, WEEKNUM(Table7[[#This Row],[Date]])-13, WEEKNUM(Table7[[#This Row],[Date]])+40)</f>
        <v>27</v>
      </c>
      <c r="C185" s="34" t="s">
        <v>48</v>
      </c>
      <c r="D185" s="35" t="s">
        <v>94</v>
      </c>
      <c r="E185" s="42">
        <v>0</v>
      </c>
      <c r="F185" s="42">
        <v>0</v>
      </c>
      <c r="G185" s="64">
        <f t="shared" si="76"/>
        <v>0</v>
      </c>
      <c r="H185" s="64">
        <f t="shared" si="76"/>
        <v>0</v>
      </c>
      <c r="I185" s="42">
        <v>0</v>
      </c>
      <c r="J185" s="1">
        <v>0</v>
      </c>
      <c r="K185" s="1">
        <v>0</v>
      </c>
      <c r="L185" s="1">
        <v>0</v>
      </c>
      <c r="M185" s="84">
        <v>0</v>
      </c>
      <c r="N185" s="84">
        <v>0</v>
      </c>
      <c r="O185" s="84">
        <v>0</v>
      </c>
      <c r="P185" s="84">
        <v>0</v>
      </c>
      <c r="Q185" s="84">
        <v>0</v>
      </c>
      <c r="R185" s="293">
        <v>0</v>
      </c>
      <c r="S185" s="293">
        <v>0</v>
      </c>
      <c r="T185" s="386">
        <v>0</v>
      </c>
      <c r="U185" s="345" t="str">
        <f t="shared" si="47"/>
        <v>Normal</v>
      </c>
      <c r="V185" s="345" t="str">
        <f t="shared" si="48"/>
        <v>Normal</v>
      </c>
      <c r="W185" s="345">
        <f t="shared" si="49"/>
        <v>0</v>
      </c>
      <c r="X185" s="416">
        <f t="shared" si="50"/>
        <v>0</v>
      </c>
      <c r="Y185" s="340"/>
      <c r="Z185" s="340"/>
      <c r="AA185" s="340"/>
      <c r="AB185" s="340"/>
      <c r="AC185" s="338"/>
      <c r="AD185" s="338"/>
      <c r="AE185" s="338"/>
      <c r="AF185" s="338"/>
      <c r="AG185" s="338"/>
      <c r="AH185" s="338"/>
      <c r="AI185" s="338"/>
    </row>
    <row r="186" spans="1:38">
      <c r="A186" s="21">
        <v>45201</v>
      </c>
      <c r="B186" s="17">
        <f>IF(YEAR(Table7[[#This Row],[Date]]) = 2023, WEEKNUM(Table7[[#This Row],[Date]])-13, WEEKNUM(Table7[[#This Row],[Date]])+40)</f>
        <v>27</v>
      </c>
      <c r="C186" s="34" t="s">
        <v>49</v>
      </c>
      <c r="D186" s="35" t="s">
        <v>94</v>
      </c>
      <c r="E186" s="42">
        <v>326</v>
      </c>
      <c r="F186" s="42">
        <v>306</v>
      </c>
      <c r="G186" s="64">
        <f t="shared" ref="G186:H186" si="77">IFERROR((E186-E179)/E179,0%)</f>
        <v>-0.289760348583878</v>
      </c>
      <c r="H186" s="64">
        <f t="shared" si="77"/>
        <v>-0.30296127562642367</v>
      </c>
      <c r="I186" s="1"/>
      <c r="J186" s="1"/>
      <c r="K186" s="1"/>
      <c r="L186" s="1"/>
      <c r="M186" s="84">
        <v>0.87</v>
      </c>
      <c r="N186" s="84">
        <v>0.06</v>
      </c>
      <c r="O186" s="84">
        <v>0.94</v>
      </c>
      <c r="P186" s="84">
        <v>0.54</v>
      </c>
      <c r="Q186" s="84">
        <v>1</v>
      </c>
      <c r="R186" s="293">
        <v>187</v>
      </c>
      <c r="S186" s="293">
        <v>0</v>
      </c>
      <c r="T186" s="386">
        <v>4</v>
      </c>
      <c r="U186" s="345" t="str">
        <f t="shared" si="47"/>
        <v>Normal</v>
      </c>
      <c r="V186" s="345" t="str">
        <f t="shared" si="48"/>
        <v>Normal</v>
      </c>
      <c r="W186" s="345">
        <f t="shared" si="49"/>
        <v>-0.289760348583878</v>
      </c>
      <c r="X186" s="416">
        <f t="shared" si="50"/>
        <v>-0.30296127562642367</v>
      </c>
      <c r="Y186" s="340"/>
      <c r="Z186" s="340"/>
      <c r="AA186" s="340"/>
      <c r="AB186" s="340"/>
      <c r="AC186" s="338"/>
      <c r="AD186" s="338"/>
      <c r="AE186" s="338"/>
      <c r="AF186" s="338"/>
      <c r="AG186" s="338"/>
      <c r="AH186" s="338"/>
      <c r="AI186" s="338"/>
      <c r="AK186" t="s">
        <v>139</v>
      </c>
      <c r="AL186">
        <f>SUM($E$337:$E$367)</f>
        <v>8118</v>
      </c>
    </row>
    <row r="187" spans="1:38">
      <c r="A187" s="21">
        <v>45202</v>
      </c>
      <c r="B187" s="17">
        <f>IF(YEAR(Table7[[#This Row],[Date]]) = 2023, WEEKNUM(Table7[[#This Row],[Date]])-13, WEEKNUM(Table7[[#This Row],[Date]])+40)</f>
        <v>27</v>
      </c>
      <c r="C187" s="34" t="s">
        <v>50</v>
      </c>
      <c r="D187" s="35" t="s">
        <v>94</v>
      </c>
      <c r="E187" s="42">
        <v>257</v>
      </c>
      <c r="F187" s="42">
        <v>243</v>
      </c>
      <c r="G187" s="64">
        <f t="shared" ref="G187:H189" si="78">IFERROR((E187-E180)/E180,0%)</f>
        <v>-0.33072916666666669</v>
      </c>
      <c r="H187" s="64">
        <f t="shared" si="78"/>
        <v>-0.33057851239669422</v>
      </c>
      <c r="I187" s="42"/>
      <c r="J187" s="1"/>
      <c r="K187" s="1"/>
      <c r="L187" s="1"/>
      <c r="M187" s="84">
        <v>0.89</v>
      </c>
      <c r="N187" s="84">
        <v>0.05</v>
      </c>
      <c r="O187" s="84">
        <v>0.95</v>
      </c>
      <c r="P187" s="84">
        <v>0.46</v>
      </c>
      <c r="Q187" s="84">
        <v>1</v>
      </c>
      <c r="R187" s="293">
        <v>207</v>
      </c>
      <c r="S187" s="293">
        <v>0</v>
      </c>
      <c r="T187" s="386">
        <v>4</v>
      </c>
      <c r="U187" s="345" t="str">
        <f t="shared" si="47"/>
        <v>Normal</v>
      </c>
      <c r="V187" s="345" t="str">
        <f t="shared" si="48"/>
        <v>Normal</v>
      </c>
      <c r="W187" s="345">
        <f t="shared" si="49"/>
        <v>-0.33072916666666669</v>
      </c>
      <c r="X187" s="416">
        <f t="shared" si="50"/>
        <v>-0.33057851239669422</v>
      </c>
      <c r="Y187" s="340"/>
      <c r="Z187" s="340"/>
      <c r="AA187" s="340"/>
      <c r="AB187" s="340"/>
      <c r="AC187" s="338"/>
      <c r="AD187" s="338"/>
      <c r="AE187" s="338"/>
      <c r="AF187" s="338"/>
      <c r="AG187" s="338"/>
      <c r="AH187" s="338"/>
      <c r="AI187" s="338"/>
      <c r="AK187" t="s">
        <v>140</v>
      </c>
      <c r="AL187">
        <f>SUM($F$337:$F$367)</f>
        <v>7644</v>
      </c>
    </row>
    <row r="188" spans="1:38">
      <c r="A188" s="21">
        <v>45203</v>
      </c>
      <c r="B188" s="17">
        <f>IF(YEAR(Table7[[#This Row],[Date]]) = 2023, WEEKNUM(Table7[[#This Row],[Date]])-13, WEEKNUM(Table7[[#This Row],[Date]])+40)</f>
        <v>27</v>
      </c>
      <c r="C188" s="34" t="s">
        <v>51</v>
      </c>
      <c r="D188" s="35" t="s">
        <v>94</v>
      </c>
      <c r="E188" s="41">
        <v>438</v>
      </c>
      <c r="F188" s="41">
        <v>416</v>
      </c>
      <c r="G188" s="64">
        <f t="shared" si="78"/>
        <v>0.18699186991869918</v>
      </c>
      <c r="H188" s="64">
        <f t="shared" si="78"/>
        <v>0.19197707736389685</v>
      </c>
      <c r="I188" s="41"/>
      <c r="J188" s="31"/>
      <c r="K188" s="31"/>
      <c r="L188" s="31"/>
      <c r="M188" s="85">
        <v>0.83</v>
      </c>
      <c r="N188" s="85">
        <v>0.05</v>
      </c>
      <c r="O188" s="85">
        <v>0.95</v>
      </c>
      <c r="P188" s="85">
        <v>0.59</v>
      </c>
      <c r="Q188" s="85">
        <v>1</v>
      </c>
      <c r="R188" s="293">
        <v>168</v>
      </c>
      <c r="S188" s="293">
        <v>0</v>
      </c>
      <c r="T188" s="386">
        <v>4</v>
      </c>
      <c r="U188" s="345" t="str">
        <f t="shared" si="47"/>
        <v>Normal</v>
      </c>
      <c r="V188" s="345" t="str">
        <f t="shared" si="48"/>
        <v>Normal</v>
      </c>
      <c r="W188" s="345">
        <f t="shared" si="49"/>
        <v>0.18699186991869918</v>
      </c>
      <c r="X188" s="416">
        <f t="shared" si="50"/>
        <v>0.19197707736389685</v>
      </c>
      <c r="Y188" s="340"/>
      <c r="Z188" s="340"/>
      <c r="AA188" s="340"/>
      <c r="AB188" s="340"/>
      <c r="AC188" s="338"/>
      <c r="AD188" s="338"/>
      <c r="AE188" s="338"/>
      <c r="AF188" s="338"/>
      <c r="AG188" s="338"/>
      <c r="AH188" s="338"/>
      <c r="AI188" s="338"/>
    </row>
    <row r="189" spans="1:38">
      <c r="A189" s="21">
        <v>45204</v>
      </c>
      <c r="B189" s="17">
        <f>IF(YEAR(Table7[[#This Row],[Date]]) = 2023, WEEKNUM(Table7[[#This Row],[Date]])-13, WEEKNUM(Table7[[#This Row],[Date]])+40)</f>
        <v>27</v>
      </c>
      <c r="C189" s="34" t="s">
        <v>52</v>
      </c>
      <c r="D189" s="35" t="s">
        <v>94</v>
      </c>
      <c r="E189" s="42">
        <v>373</v>
      </c>
      <c r="F189" s="42">
        <v>358</v>
      </c>
      <c r="G189" s="64">
        <f t="shared" si="78"/>
        <v>-3.8659793814432991E-2</v>
      </c>
      <c r="H189" s="64">
        <f t="shared" si="78"/>
        <v>-4.7872340425531915E-2</v>
      </c>
      <c r="I189" s="42"/>
      <c r="J189" s="1"/>
      <c r="K189" s="1"/>
      <c r="L189" s="1"/>
      <c r="M189" s="84">
        <v>0.88</v>
      </c>
      <c r="N189" s="84">
        <v>0.04</v>
      </c>
      <c r="O189" s="84">
        <v>0.96</v>
      </c>
      <c r="P189" s="84">
        <v>0.66</v>
      </c>
      <c r="Q189" s="84">
        <v>1</v>
      </c>
      <c r="R189" s="293">
        <v>197</v>
      </c>
      <c r="S189" s="293">
        <v>0</v>
      </c>
      <c r="T189" s="386">
        <v>4</v>
      </c>
      <c r="U189" s="345" t="str">
        <f t="shared" si="47"/>
        <v>Normal</v>
      </c>
      <c r="V189" s="345" t="str">
        <f t="shared" si="48"/>
        <v>Normal</v>
      </c>
      <c r="W189" s="345">
        <f t="shared" si="49"/>
        <v>-3.8659793814432991E-2</v>
      </c>
      <c r="X189" s="416">
        <f t="shared" si="50"/>
        <v>-4.7872340425531915E-2</v>
      </c>
      <c r="Y189" s="340"/>
      <c r="Z189" s="340"/>
      <c r="AA189" s="340"/>
      <c r="AB189" s="340"/>
      <c r="AC189" s="338"/>
      <c r="AD189" s="338"/>
      <c r="AE189" s="338"/>
      <c r="AF189" s="338"/>
      <c r="AG189" s="338"/>
      <c r="AH189" s="338"/>
      <c r="AI189" s="338"/>
      <c r="AK189" t="s">
        <v>32</v>
      </c>
      <c r="AL189" s="154">
        <f>AVERAGEIF($M$337:$M$367, "&lt;&gt;0")</f>
        <v>0.84760000000000024</v>
      </c>
    </row>
    <row r="190" spans="1:38">
      <c r="A190" s="21">
        <v>45205</v>
      </c>
      <c r="B190" s="17">
        <f>IF(YEAR(Table7[[#This Row],[Date]]) = 2023, WEEKNUM(Table7[[#This Row],[Date]])-13, WEEKNUM(Table7[[#This Row],[Date]])+40)</f>
        <v>27</v>
      </c>
      <c r="C190" s="34" t="s">
        <v>53</v>
      </c>
      <c r="D190" s="35" t="s">
        <v>94</v>
      </c>
      <c r="E190" s="41">
        <v>383</v>
      </c>
      <c r="F190" s="41">
        <v>372</v>
      </c>
      <c r="G190" s="64">
        <f t="shared" ref="G190:H190" si="79">IFERROR((E190-E183)/E183,0%)</f>
        <v>-0.13544018058690746</v>
      </c>
      <c r="H190" s="64">
        <f t="shared" si="79"/>
        <v>-0.10144927536231885</v>
      </c>
      <c r="I190" s="41"/>
      <c r="J190" s="31"/>
      <c r="K190" s="31"/>
      <c r="L190" s="31"/>
      <c r="M190" s="85">
        <v>0.89</v>
      </c>
      <c r="N190" s="85">
        <v>0.03</v>
      </c>
      <c r="O190" s="85">
        <v>0.97</v>
      </c>
      <c r="P190" s="85">
        <v>0.65</v>
      </c>
      <c r="Q190" s="85">
        <v>1</v>
      </c>
      <c r="R190" s="293">
        <v>182</v>
      </c>
      <c r="S190" s="293">
        <v>0</v>
      </c>
      <c r="T190" s="386">
        <v>4</v>
      </c>
      <c r="U190" s="345" t="str">
        <f t="shared" si="47"/>
        <v>Normal</v>
      </c>
      <c r="V190" s="345" t="str">
        <f t="shared" si="48"/>
        <v>Normal</v>
      </c>
      <c r="W190" s="345">
        <f t="shared" si="49"/>
        <v>-0.13544018058690746</v>
      </c>
      <c r="X190" s="416">
        <f t="shared" si="50"/>
        <v>-0.10144927536231885</v>
      </c>
      <c r="Y190" s="340"/>
      <c r="Z190" s="340"/>
      <c r="AA190" s="340"/>
      <c r="AB190" s="340"/>
      <c r="AC190" s="338"/>
      <c r="AD190" s="338"/>
      <c r="AE190" s="338"/>
      <c r="AF190" s="338"/>
      <c r="AG190" s="338"/>
      <c r="AH190" s="338"/>
      <c r="AI190" s="338"/>
      <c r="AK190" t="s">
        <v>120</v>
      </c>
      <c r="AL190" s="154">
        <f>AVERAGEIF($P$337:$P$367, "&lt;&gt;0")</f>
        <v>0.59519999999999995</v>
      </c>
    </row>
    <row r="191" spans="1:38">
      <c r="A191" s="21">
        <v>45206</v>
      </c>
      <c r="B191" s="17">
        <f>IF(YEAR(Table7[[#This Row],[Date]]) = 2023, WEEKNUM(Table7[[#This Row],[Date]])-13, WEEKNUM(Table7[[#This Row],[Date]])+40)</f>
        <v>27</v>
      </c>
      <c r="C191" s="34" t="s">
        <v>54</v>
      </c>
      <c r="D191" s="35" t="s">
        <v>94</v>
      </c>
      <c r="E191" s="42">
        <v>115</v>
      </c>
      <c r="F191" s="42">
        <v>111</v>
      </c>
      <c r="G191" s="64">
        <f t="shared" ref="G191:H193" si="80">IFERROR((E191-E184)/E184,0%)</f>
        <v>-0.19014084507042253</v>
      </c>
      <c r="H191" s="64">
        <f t="shared" si="80"/>
        <v>-0.19565217391304349</v>
      </c>
      <c r="I191" s="42"/>
      <c r="J191" s="1"/>
      <c r="K191" s="1"/>
      <c r="L191" s="1"/>
      <c r="M191" s="84">
        <v>0.91</v>
      </c>
      <c r="N191" s="84">
        <v>0.03</v>
      </c>
      <c r="O191" s="84">
        <v>0.97</v>
      </c>
      <c r="P191" s="84">
        <v>0.26</v>
      </c>
      <c r="Q191" s="84">
        <v>1</v>
      </c>
      <c r="R191" s="293">
        <v>188</v>
      </c>
      <c r="S191" s="293">
        <v>0</v>
      </c>
      <c r="T191" s="386">
        <v>3</v>
      </c>
      <c r="U191" s="345" t="str">
        <f t="shared" si="47"/>
        <v>Normal</v>
      </c>
      <c r="V191" s="345" t="str">
        <f t="shared" si="48"/>
        <v>Normal</v>
      </c>
      <c r="W191" s="345">
        <f t="shared" si="49"/>
        <v>-0.19014084507042253</v>
      </c>
      <c r="X191" s="416">
        <f t="shared" si="50"/>
        <v>-0.19565217391304349</v>
      </c>
      <c r="Y191" s="340"/>
      <c r="Z191" s="340"/>
      <c r="AA191" s="340"/>
      <c r="AB191" s="340"/>
      <c r="AC191" s="338"/>
      <c r="AD191" s="338"/>
      <c r="AE191" s="338"/>
      <c r="AF191" s="338"/>
      <c r="AG191" s="338"/>
      <c r="AH191" s="338"/>
      <c r="AI191" s="338"/>
      <c r="AK191" t="s">
        <v>7</v>
      </c>
      <c r="AL191" s="154">
        <f>AVERAGEIF($Q$337:$Q$367,"&lt;&gt;0")</f>
        <v>1</v>
      </c>
    </row>
    <row r="192" spans="1:38">
      <c r="A192" s="21">
        <v>45207</v>
      </c>
      <c r="B192" s="17">
        <f>IF(YEAR(Table7[[#This Row],[Date]]) = 2023, WEEKNUM(Table7[[#This Row],[Date]])-13, WEEKNUM(Table7[[#This Row],[Date]])+40)</f>
        <v>28</v>
      </c>
      <c r="C192" s="34" t="s">
        <v>48</v>
      </c>
      <c r="D192" s="35" t="s">
        <v>94</v>
      </c>
      <c r="E192" s="41">
        <v>0</v>
      </c>
      <c r="F192" s="41">
        <v>0</v>
      </c>
      <c r="G192" s="64">
        <f t="shared" si="80"/>
        <v>0</v>
      </c>
      <c r="H192" s="64">
        <f t="shared" si="80"/>
        <v>0</v>
      </c>
      <c r="I192" s="41">
        <v>0</v>
      </c>
      <c r="J192" s="31">
        <v>0</v>
      </c>
      <c r="K192" s="31">
        <v>0</v>
      </c>
      <c r="L192" s="31">
        <v>0</v>
      </c>
      <c r="M192" s="85">
        <v>0</v>
      </c>
      <c r="N192" s="85">
        <v>0</v>
      </c>
      <c r="O192" s="85">
        <v>0</v>
      </c>
      <c r="P192" s="85">
        <v>0</v>
      </c>
      <c r="Q192" s="85">
        <v>0</v>
      </c>
      <c r="R192" s="293">
        <v>0</v>
      </c>
      <c r="S192" s="293">
        <v>0</v>
      </c>
      <c r="T192" s="386">
        <v>0</v>
      </c>
      <c r="U192" s="345" t="str">
        <f t="shared" si="47"/>
        <v>Normal</v>
      </c>
      <c r="V192" s="345" t="str">
        <f t="shared" si="48"/>
        <v>Normal</v>
      </c>
      <c r="W192" s="345">
        <f t="shared" si="49"/>
        <v>0</v>
      </c>
      <c r="X192" s="416">
        <f t="shared" si="50"/>
        <v>0</v>
      </c>
      <c r="Y192" s="340"/>
      <c r="Z192" s="340"/>
      <c r="AA192" s="340"/>
      <c r="AB192" s="340"/>
      <c r="AC192" s="338"/>
      <c r="AD192" s="338"/>
      <c r="AE192" s="338"/>
      <c r="AF192" s="338"/>
      <c r="AG192" s="338"/>
      <c r="AH192" s="338"/>
      <c r="AI192" s="338"/>
    </row>
    <row r="193" spans="1:35">
      <c r="A193" s="21">
        <v>45208</v>
      </c>
      <c r="B193" s="17">
        <f>IF(YEAR(Table7[[#This Row],[Date]]) = 2023, WEEKNUM(Table7[[#This Row],[Date]])-13, WEEKNUM(Table7[[#This Row],[Date]])+40)</f>
        <v>28</v>
      </c>
      <c r="C193" s="34" t="s">
        <v>49</v>
      </c>
      <c r="D193" s="35" t="s">
        <v>94</v>
      </c>
      <c r="E193" s="42">
        <v>428</v>
      </c>
      <c r="F193" s="42">
        <v>402</v>
      </c>
      <c r="G193" s="64">
        <f t="shared" si="80"/>
        <v>0.31288343558282211</v>
      </c>
      <c r="H193" s="64">
        <f t="shared" si="80"/>
        <v>0.31372549019607843</v>
      </c>
      <c r="I193" s="1"/>
      <c r="J193" s="1"/>
      <c r="K193" s="1"/>
      <c r="L193" s="1"/>
      <c r="M193" s="84">
        <v>0.81</v>
      </c>
      <c r="N193" s="84">
        <v>0.06</v>
      </c>
      <c r="O193" s="84">
        <v>0.94</v>
      </c>
      <c r="P193" s="84">
        <v>0.74</v>
      </c>
      <c r="Q193" s="84">
        <v>1</v>
      </c>
      <c r="R193" s="293">
        <v>197</v>
      </c>
      <c r="S193" s="293">
        <v>0</v>
      </c>
      <c r="T193" s="386">
        <v>4</v>
      </c>
      <c r="U193" s="345" t="str">
        <f t="shared" si="47"/>
        <v>Normal</v>
      </c>
      <c r="V193" s="345" t="str">
        <f t="shared" si="48"/>
        <v>Normal</v>
      </c>
      <c r="W193" s="345">
        <f t="shared" si="49"/>
        <v>0.31288343558282211</v>
      </c>
      <c r="X193" s="416">
        <f t="shared" si="50"/>
        <v>0.31372549019607843</v>
      </c>
      <c r="Y193" s="340"/>
      <c r="Z193" s="340"/>
      <c r="AA193" s="340"/>
      <c r="AB193" s="340"/>
      <c r="AC193" s="338"/>
      <c r="AD193" s="338"/>
      <c r="AE193" s="338"/>
      <c r="AF193" s="338"/>
      <c r="AG193" s="338"/>
      <c r="AH193" s="338"/>
      <c r="AI193" s="338"/>
    </row>
    <row r="194" spans="1:35">
      <c r="A194" s="21">
        <v>45209</v>
      </c>
      <c r="B194" s="17">
        <f>IF(YEAR(Table7[[#This Row],[Date]]) = 2023, WEEKNUM(Table7[[#This Row],[Date]])-13, WEEKNUM(Table7[[#This Row],[Date]])+40)</f>
        <v>28</v>
      </c>
      <c r="C194" s="34" t="s">
        <v>50</v>
      </c>
      <c r="D194" s="35" t="s">
        <v>94</v>
      </c>
      <c r="E194" s="41">
        <v>346</v>
      </c>
      <c r="F194" s="41">
        <v>333</v>
      </c>
      <c r="G194" s="64">
        <f t="shared" ref="G194:H194" si="81">IFERROR((E194-E187)/E187,0%)</f>
        <v>0.34630350194552528</v>
      </c>
      <c r="H194" s="64">
        <f t="shared" si="81"/>
        <v>0.37037037037037035</v>
      </c>
      <c r="I194" s="41"/>
      <c r="J194" s="31"/>
      <c r="K194" s="31"/>
      <c r="L194" s="31"/>
      <c r="M194" s="85">
        <v>0.9</v>
      </c>
      <c r="N194" s="85">
        <v>0.04</v>
      </c>
      <c r="O194" s="85">
        <v>0.96</v>
      </c>
      <c r="P194" s="85">
        <v>0.56999999999999995</v>
      </c>
      <c r="Q194" s="85">
        <v>1</v>
      </c>
      <c r="R194" s="293">
        <v>183</v>
      </c>
      <c r="S194" s="293">
        <v>0</v>
      </c>
      <c r="T194" s="386">
        <v>4</v>
      </c>
      <c r="U194" s="345" t="str">
        <f t="shared" si="47"/>
        <v>Normal</v>
      </c>
      <c r="V194" s="345" t="str">
        <f t="shared" si="48"/>
        <v>Normal</v>
      </c>
      <c r="W194" s="345">
        <f t="shared" si="49"/>
        <v>0.34630350194552528</v>
      </c>
      <c r="X194" s="416">
        <f t="shared" si="50"/>
        <v>0.37037037037037035</v>
      </c>
      <c r="Y194" s="340"/>
      <c r="Z194" s="340"/>
      <c r="AA194" s="340"/>
      <c r="AB194" s="340"/>
      <c r="AC194" s="338"/>
      <c r="AD194" s="338"/>
      <c r="AE194" s="338"/>
      <c r="AF194" s="338"/>
      <c r="AG194" s="338"/>
      <c r="AH194" s="338"/>
      <c r="AI194" s="338"/>
    </row>
    <row r="195" spans="1:35">
      <c r="A195" s="21">
        <v>45210</v>
      </c>
      <c r="B195" s="17">
        <f>IF(YEAR(Table7[[#This Row],[Date]]) = 2023, WEEKNUM(Table7[[#This Row],[Date]])-13, WEEKNUM(Table7[[#This Row],[Date]])+40)</f>
        <v>28</v>
      </c>
      <c r="C195" s="34" t="s">
        <v>51</v>
      </c>
      <c r="D195" s="35" t="s">
        <v>94</v>
      </c>
      <c r="E195" s="42">
        <v>315</v>
      </c>
      <c r="F195" s="42">
        <v>306</v>
      </c>
      <c r="G195" s="64">
        <f t="shared" ref="G195:H197" si="82">IFERROR((E195-E188)/E188,0%)</f>
        <v>-0.28082191780821919</v>
      </c>
      <c r="H195" s="64">
        <f t="shared" si="82"/>
        <v>-0.26442307692307693</v>
      </c>
      <c r="I195" s="1"/>
      <c r="J195" s="1"/>
      <c r="K195" s="1"/>
      <c r="L195" s="1"/>
      <c r="M195" s="84">
        <v>0.94</v>
      </c>
      <c r="N195" s="84">
        <v>0.03</v>
      </c>
      <c r="O195" s="84">
        <v>0.97</v>
      </c>
      <c r="P195" s="84">
        <v>0.45</v>
      </c>
      <c r="Q195" s="84">
        <v>1</v>
      </c>
      <c r="R195" s="293">
        <v>175</v>
      </c>
      <c r="S195" s="293">
        <v>0</v>
      </c>
      <c r="T195" s="386">
        <v>4</v>
      </c>
      <c r="U195" s="345" t="str">
        <f t="shared" ref="U195:U258" si="83">IF(OR(I195&lt;$AA$5,I195&gt;$AB$5), "Outlier", "Normal")</f>
        <v>Normal</v>
      </c>
      <c r="V195" s="345" t="str">
        <f t="shared" ref="V195:V258" si="84">IF(OR(J195&lt;$AA$6,J195&gt;$AB$6), "Outlier", "Normal")</f>
        <v>Normal</v>
      </c>
      <c r="W195" s="345">
        <f t="shared" ref="W195:W258" si="85">IF(U195="Normal",$G195,IF($G195&lt;150%, $G195, $AA$9))</f>
        <v>-0.28082191780821919</v>
      </c>
      <c r="X195" s="416">
        <f t="shared" ref="X195:X258" si="86">IF(V195="Normal",$H195,IF($H195&lt;150%, $H195, $AE$9))</f>
        <v>-0.26442307692307693</v>
      </c>
      <c r="Y195" s="340"/>
      <c r="Z195" s="340"/>
      <c r="AA195" s="340"/>
      <c r="AB195" s="340"/>
      <c r="AC195" s="338"/>
      <c r="AD195" s="338"/>
      <c r="AE195" s="338"/>
      <c r="AF195" s="338"/>
      <c r="AG195" s="338"/>
      <c r="AH195" s="338"/>
      <c r="AI195" s="338"/>
    </row>
    <row r="196" spans="1:35">
      <c r="A196" s="21">
        <v>45211</v>
      </c>
      <c r="B196" s="17">
        <f>IF(YEAR(Table7[[#This Row],[Date]]) = 2023, WEEKNUM(Table7[[#This Row],[Date]])-13, WEEKNUM(Table7[[#This Row],[Date]])+40)</f>
        <v>28</v>
      </c>
      <c r="C196" s="34" t="s">
        <v>52</v>
      </c>
      <c r="D196" s="35" t="s">
        <v>94</v>
      </c>
      <c r="E196" s="41">
        <v>305</v>
      </c>
      <c r="F196" s="41">
        <v>287</v>
      </c>
      <c r="G196" s="64">
        <f t="shared" si="82"/>
        <v>-0.18230563002680966</v>
      </c>
      <c r="H196" s="64">
        <f t="shared" si="82"/>
        <v>-0.19832402234636873</v>
      </c>
      <c r="I196" s="41"/>
      <c r="J196" s="31"/>
      <c r="K196" s="31"/>
      <c r="L196" s="31"/>
      <c r="M196" s="85">
        <v>0.88</v>
      </c>
      <c r="N196" s="85">
        <v>0.06</v>
      </c>
      <c r="O196" s="85">
        <v>0.94</v>
      </c>
      <c r="P196" s="85">
        <v>0.52</v>
      </c>
      <c r="Q196" s="85">
        <v>1</v>
      </c>
      <c r="R196" s="293">
        <v>193</v>
      </c>
      <c r="S196" s="293">
        <v>0</v>
      </c>
      <c r="T196" s="386">
        <v>4</v>
      </c>
      <c r="U196" s="345" t="str">
        <f t="shared" si="83"/>
        <v>Normal</v>
      </c>
      <c r="V196" s="345" t="str">
        <f t="shared" si="84"/>
        <v>Normal</v>
      </c>
      <c r="W196" s="345">
        <f t="shared" si="85"/>
        <v>-0.18230563002680966</v>
      </c>
      <c r="X196" s="416">
        <f t="shared" si="86"/>
        <v>-0.19832402234636873</v>
      </c>
      <c r="Y196" s="340"/>
      <c r="Z196" s="340"/>
      <c r="AA196" s="340"/>
      <c r="AB196" s="340"/>
      <c r="AC196" s="338"/>
      <c r="AD196" s="338"/>
      <c r="AE196" s="338"/>
      <c r="AF196" s="338"/>
      <c r="AG196" s="338"/>
      <c r="AH196" s="338"/>
      <c r="AI196" s="338"/>
    </row>
    <row r="197" spans="1:35">
      <c r="A197" s="21">
        <v>45212</v>
      </c>
      <c r="B197" s="17">
        <f>IF(YEAR(Table7[[#This Row],[Date]]) = 2023, WEEKNUM(Table7[[#This Row],[Date]])-13, WEEKNUM(Table7[[#This Row],[Date]])+40)</f>
        <v>28</v>
      </c>
      <c r="C197" s="34" t="s">
        <v>53</v>
      </c>
      <c r="D197" s="35" t="s">
        <v>94</v>
      </c>
      <c r="E197" s="42">
        <v>302</v>
      </c>
      <c r="F197" s="42">
        <v>287</v>
      </c>
      <c r="G197" s="64">
        <f t="shared" si="82"/>
        <v>-0.21148825065274152</v>
      </c>
      <c r="H197" s="64">
        <f t="shared" si="82"/>
        <v>-0.22849462365591397</v>
      </c>
      <c r="I197" s="1"/>
      <c r="J197" s="1"/>
      <c r="K197" s="1"/>
      <c r="L197" s="1"/>
      <c r="M197" s="84">
        <v>0.89</v>
      </c>
      <c r="N197" s="84">
        <v>0.05</v>
      </c>
      <c r="O197" s="84">
        <v>0.95</v>
      </c>
      <c r="P197" s="84">
        <v>0.51</v>
      </c>
      <c r="Q197" s="84">
        <v>1</v>
      </c>
      <c r="R197" s="293">
        <v>191</v>
      </c>
      <c r="S197" s="293">
        <v>0</v>
      </c>
      <c r="T197" s="386">
        <v>4</v>
      </c>
      <c r="U197" s="345" t="str">
        <f t="shared" si="83"/>
        <v>Normal</v>
      </c>
      <c r="V197" s="345" t="str">
        <f t="shared" si="84"/>
        <v>Normal</v>
      </c>
      <c r="W197" s="345">
        <f t="shared" si="85"/>
        <v>-0.21148825065274152</v>
      </c>
      <c r="X197" s="416">
        <f t="shared" si="86"/>
        <v>-0.22849462365591397</v>
      </c>
      <c r="Y197" s="340"/>
      <c r="Z197" s="340"/>
      <c r="AA197" s="340"/>
      <c r="AB197" s="340"/>
      <c r="AC197" s="338"/>
      <c r="AD197" s="338"/>
      <c r="AE197" s="338"/>
      <c r="AF197" s="338"/>
      <c r="AG197" s="338"/>
      <c r="AH197" s="338"/>
      <c r="AI197" s="338"/>
    </row>
    <row r="198" spans="1:35">
      <c r="A198" s="21">
        <v>45213</v>
      </c>
      <c r="B198" s="17">
        <f>IF(YEAR(Table7[[#This Row],[Date]]) = 2023, WEEKNUM(Table7[[#This Row],[Date]])-13, WEEKNUM(Table7[[#This Row],[Date]])+40)</f>
        <v>28</v>
      </c>
      <c r="C198" s="34" t="s">
        <v>54</v>
      </c>
      <c r="D198" s="35" t="s">
        <v>94</v>
      </c>
      <c r="E198" s="41">
        <v>120</v>
      </c>
      <c r="F198" s="41">
        <v>115</v>
      </c>
      <c r="G198" s="64">
        <f t="shared" ref="G198:H198" si="87">IFERROR((E198-E191)/E191,0%)</f>
        <v>4.3478260869565216E-2</v>
      </c>
      <c r="H198" s="64">
        <f t="shared" si="87"/>
        <v>3.6036036036036036E-2</v>
      </c>
      <c r="I198" s="41"/>
      <c r="J198" s="31"/>
      <c r="K198" s="31"/>
      <c r="L198" s="31"/>
      <c r="M198" s="85">
        <v>0.88</v>
      </c>
      <c r="N198" s="85">
        <v>0.04</v>
      </c>
      <c r="O198" s="85">
        <v>0.96</v>
      </c>
      <c r="P198" s="85">
        <v>0.47</v>
      </c>
      <c r="Q198" s="85">
        <v>1</v>
      </c>
      <c r="R198" s="293">
        <v>193</v>
      </c>
      <c r="S198" s="293">
        <v>0</v>
      </c>
      <c r="T198" s="386">
        <v>3</v>
      </c>
      <c r="U198" s="345" t="str">
        <f t="shared" si="83"/>
        <v>Normal</v>
      </c>
      <c r="V198" s="345" t="str">
        <f t="shared" si="84"/>
        <v>Normal</v>
      </c>
      <c r="W198" s="345">
        <f t="shared" si="85"/>
        <v>4.3478260869565216E-2</v>
      </c>
      <c r="X198" s="416">
        <f t="shared" si="86"/>
        <v>3.6036036036036036E-2</v>
      </c>
      <c r="Y198" s="340"/>
      <c r="Z198" s="340"/>
      <c r="AA198" s="340"/>
      <c r="AB198" s="340"/>
      <c r="AC198" s="338"/>
      <c r="AD198" s="338"/>
      <c r="AE198" s="338"/>
      <c r="AF198" s="338"/>
      <c r="AG198" s="338"/>
      <c r="AH198" s="338"/>
      <c r="AI198" s="338"/>
    </row>
    <row r="199" spans="1:35">
      <c r="A199" s="21">
        <v>45214</v>
      </c>
      <c r="B199" s="17">
        <f>IF(YEAR(Table7[[#This Row],[Date]]) = 2023, WEEKNUM(Table7[[#This Row],[Date]])-13, WEEKNUM(Table7[[#This Row],[Date]])+40)</f>
        <v>29</v>
      </c>
      <c r="C199" s="34" t="s">
        <v>48</v>
      </c>
      <c r="D199" s="35" t="s">
        <v>94</v>
      </c>
      <c r="E199" s="42">
        <v>0</v>
      </c>
      <c r="F199" s="42">
        <v>0</v>
      </c>
      <c r="G199" s="64">
        <f t="shared" ref="G199:H201" si="88">IFERROR((E199-E192)/E192,0%)</f>
        <v>0</v>
      </c>
      <c r="H199" s="64">
        <f t="shared" si="88"/>
        <v>0</v>
      </c>
      <c r="I199" s="1">
        <v>0</v>
      </c>
      <c r="J199" s="1">
        <v>0</v>
      </c>
      <c r="K199" s="1">
        <v>0</v>
      </c>
      <c r="L199" s="1">
        <v>0</v>
      </c>
      <c r="M199" s="84">
        <v>0</v>
      </c>
      <c r="N199" s="84">
        <v>0</v>
      </c>
      <c r="O199" s="84">
        <v>0</v>
      </c>
      <c r="P199" s="84">
        <v>0</v>
      </c>
      <c r="Q199" s="84">
        <v>0</v>
      </c>
      <c r="R199" s="293">
        <v>0</v>
      </c>
      <c r="S199" s="293">
        <v>0</v>
      </c>
      <c r="T199" s="386">
        <v>0</v>
      </c>
      <c r="U199" s="345" t="str">
        <f t="shared" si="83"/>
        <v>Normal</v>
      </c>
      <c r="V199" s="345" t="str">
        <f t="shared" si="84"/>
        <v>Normal</v>
      </c>
      <c r="W199" s="345">
        <f t="shared" si="85"/>
        <v>0</v>
      </c>
      <c r="X199" s="416">
        <f t="shared" si="86"/>
        <v>0</v>
      </c>
      <c r="Y199" s="340"/>
      <c r="Z199" s="340"/>
      <c r="AA199" s="340"/>
      <c r="AB199" s="340"/>
      <c r="AC199" s="338"/>
      <c r="AD199" s="338"/>
      <c r="AE199" s="338"/>
      <c r="AF199" s="338"/>
      <c r="AG199" s="338"/>
      <c r="AH199" s="338"/>
      <c r="AI199" s="338"/>
    </row>
    <row r="200" spans="1:35">
      <c r="A200" s="21">
        <v>45215</v>
      </c>
      <c r="B200" s="17">
        <f>IF(YEAR(Table7[[#This Row],[Date]]) = 2023, WEEKNUM(Table7[[#This Row],[Date]])-13, WEEKNUM(Table7[[#This Row],[Date]])+40)</f>
        <v>29</v>
      </c>
      <c r="C200" s="34" t="s">
        <v>49</v>
      </c>
      <c r="D200" s="35" t="s">
        <v>94</v>
      </c>
      <c r="E200" s="42">
        <v>448</v>
      </c>
      <c r="F200" s="42">
        <v>431</v>
      </c>
      <c r="G200" s="64">
        <f t="shared" si="88"/>
        <v>4.6728971962616821E-2</v>
      </c>
      <c r="H200" s="64">
        <f t="shared" si="88"/>
        <v>7.2139303482587069E-2</v>
      </c>
      <c r="I200" s="1"/>
      <c r="J200" s="1"/>
      <c r="K200" s="1"/>
      <c r="L200" s="1"/>
      <c r="M200" s="84">
        <v>0.88</v>
      </c>
      <c r="N200" s="84">
        <v>0.04</v>
      </c>
      <c r="O200" s="84">
        <v>0.96</v>
      </c>
      <c r="P200" s="84">
        <v>0.72</v>
      </c>
      <c r="Q200" s="84">
        <v>1</v>
      </c>
      <c r="R200" s="293">
        <v>190</v>
      </c>
      <c r="S200" s="293">
        <v>0</v>
      </c>
      <c r="T200" s="386">
        <v>4</v>
      </c>
      <c r="U200" s="345" t="str">
        <f t="shared" si="83"/>
        <v>Normal</v>
      </c>
      <c r="V200" s="345" t="str">
        <f t="shared" si="84"/>
        <v>Normal</v>
      </c>
      <c r="W200" s="345">
        <f t="shared" si="85"/>
        <v>4.6728971962616821E-2</v>
      </c>
      <c r="X200" s="416">
        <f t="shared" si="86"/>
        <v>7.2139303482587069E-2</v>
      </c>
      <c r="Y200" s="340"/>
      <c r="Z200" s="340"/>
      <c r="AA200" s="340"/>
      <c r="AB200" s="340"/>
      <c r="AC200" s="338"/>
      <c r="AD200" s="338"/>
      <c r="AE200" s="338"/>
      <c r="AF200" s="338"/>
      <c r="AG200" s="338"/>
      <c r="AH200" s="338"/>
      <c r="AI200" s="338"/>
    </row>
    <row r="201" spans="1:35">
      <c r="A201" s="21">
        <v>45216</v>
      </c>
      <c r="B201" s="17">
        <f>IF(YEAR(Table7[[#This Row],[Date]]) = 2023, WEEKNUM(Table7[[#This Row],[Date]])-13, WEEKNUM(Table7[[#This Row],[Date]])+40)</f>
        <v>29</v>
      </c>
      <c r="C201" s="34" t="s">
        <v>50</v>
      </c>
      <c r="D201" s="35" t="s">
        <v>94</v>
      </c>
      <c r="E201" s="42">
        <v>379</v>
      </c>
      <c r="F201" s="42">
        <v>358</v>
      </c>
      <c r="G201" s="64">
        <f t="shared" si="88"/>
        <v>9.5375722543352595E-2</v>
      </c>
      <c r="H201" s="64">
        <f t="shared" si="88"/>
        <v>7.5075075075075076E-2</v>
      </c>
      <c r="I201" s="1"/>
      <c r="J201" s="1"/>
      <c r="K201" s="1"/>
      <c r="L201" s="1"/>
      <c r="M201" s="84">
        <v>0.86</v>
      </c>
      <c r="N201" s="84">
        <v>0.06</v>
      </c>
      <c r="O201" s="84">
        <v>0.94</v>
      </c>
      <c r="P201" s="84">
        <v>0.67</v>
      </c>
      <c r="Q201" s="84">
        <v>1</v>
      </c>
      <c r="R201" s="293">
        <v>193</v>
      </c>
      <c r="S201" s="293">
        <v>0</v>
      </c>
      <c r="T201" s="386">
        <v>4</v>
      </c>
      <c r="U201" s="345" t="str">
        <f t="shared" si="83"/>
        <v>Normal</v>
      </c>
      <c r="V201" s="345" t="str">
        <f t="shared" si="84"/>
        <v>Normal</v>
      </c>
      <c r="W201" s="345">
        <f t="shared" si="85"/>
        <v>9.5375722543352595E-2</v>
      </c>
      <c r="X201" s="416">
        <f t="shared" si="86"/>
        <v>7.5075075075075076E-2</v>
      </c>
      <c r="Y201" s="340"/>
      <c r="Z201" s="340"/>
      <c r="AA201" s="340"/>
      <c r="AB201" s="340"/>
      <c r="AC201" s="338"/>
      <c r="AD201" s="338"/>
      <c r="AE201" s="338"/>
      <c r="AF201" s="338"/>
      <c r="AG201" s="338"/>
      <c r="AH201" s="338"/>
      <c r="AI201" s="338"/>
    </row>
    <row r="202" spans="1:35">
      <c r="A202" s="21">
        <v>45217</v>
      </c>
      <c r="B202" s="17">
        <f>IF(YEAR(Table7[[#This Row],[Date]]) = 2023, WEEKNUM(Table7[[#This Row],[Date]])-13, WEEKNUM(Table7[[#This Row],[Date]])+40)</f>
        <v>29</v>
      </c>
      <c r="C202" s="34" t="s">
        <v>51</v>
      </c>
      <c r="D202" s="35" t="s">
        <v>94</v>
      </c>
      <c r="E202" s="42">
        <v>389</v>
      </c>
      <c r="F202" s="42">
        <v>370</v>
      </c>
      <c r="G202" s="64">
        <f t="shared" ref="G202:H202" si="89">IFERROR((E202-E195)/E195,0%)</f>
        <v>0.23492063492063492</v>
      </c>
      <c r="H202" s="64">
        <f t="shared" si="89"/>
        <v>0.20915032679738563</v>
      </c>
      <c r="I202" s="41"/>
      <c r="J202" s="31"/>
      <c r="K202" s="31"/>
      <c r="L202" s="31"/>
      <c r="M202" s="84">
        <v>0.85</v>
      </c>
      <c r="N202" s="84">
        <v>0.05</v>
      </c>
      <c r="O202" s="84">
        <v>0.95</v>
      </c>
      <c r="P202" s="84">
        <v>0.66</v>
      </c>
      <c r="Q202" s="84">
        <v>1</v>
      </c>
      <c r="R202" s="293">
        <v>188</v>
      </c>
      <c r="S202" s="293">
        <v>0</v>
      </c>
      <c r="T202" s="386">
        <v>4</v>
      </c>
      <c r="U202" s="345" t="str">
        <f t="shared" si="83"/>
        <v>Normal</v>
      </c>
      <c r="V202" s="345" t="str">
        <f t="shared" si="84"/>
        <v>Normal</v>
      </c>
      <c r="W202" s="345">
        <f t="shared" si="85"/>
        <v>0.23492063492063492</v>
      </c>
      <c r="X202" s="416">
        <f t="shared" si="86"/>
        <v>0.20915032679738563</v>
      </c>
      <c r="Y202" s="340"/>
      <c r="Z202" s="340"/>
      <c r="AA202" s="340"/>
      <c r="AB202" s="340"/>
      <c r="AC202" s="338"/>
      <c r="AD202" s="338"/>
      <c r="AE202" s="338"/>
      <c r="AF202" s="338"/>
      <c r="AG202" s="338"/>
      <c r="AH202" s="338"/>
      <c r="AI202" s="338"/>
    </row>
    <row r="203" spans="1:35">
      <c r="A203" s="21">
        <v>45218</v>
      </c>
      <c r="B203" s="17">
        <f>IF(YEAR(Table7[[#This Row],[Date]]) = 2023, WEEKNUM(Table7[[#This Row],[Date]])-13, WEEKNUM(Table7[[#This Row],[Date]])+40)</f>
        <v>29</v>
      </c>
      <c r="C203" s="34" t="s">
        <v>52</v>
      </c>
      <c r="D203" s="35" t="s">
        <v>94</v>
      </c>
      <c r="E203" s="42">
        <v>306</v>
      </c>
      <c r="F203" s="42">
        <v>285</v>
      </c>
      <c r="G203" s="64">
        <f t="shared" ref="G203:H205" si="90">IFERROR((E203-E196)/E196,0%)</f>
        <v>3.2786885245901639E-3</v>
      </c>
      <c r="H203" s="64">
        <f t="shared" si="90"/>
        <v>-6.9686411149825784E-3</v>
      </c>
      <c r="I203" s="1"/>
      <c r="J203" s="1"/>
      <c r="K203" s="1"/>
      <c r="L203" s="1"/>
      <c r="M203" s="84">
        <v>0.82</v>
      </c>
      <c r="N203" s="84">
        <v>7.0000000000000007E-2</v>
      </c>
      <c r="O203" s="84">
        <v>0.93</v>
      </c>
      <c r="P203" s="84">
        <v>0.68</v>
      </c>
      <c r="Q203" s="84">
        <v>1</v>
      </c>
      <c r="R203" s="293">
        <v>191</v>
      </c>
      <c r="S203" s="293">
        <v>0</v>
      </c>
      <c r="T203" s="386">
        <v>3</v>
      </c>
      <c r="U203" s="345" t="str">
        <f t="shared" si="83"/>
        <v>Normal</v>
      </c>
      <c r="V203" s="345" t="str">
        <f t="shared" si="84"/>
        <v>Normal</v>
      </c>
      <c r="W203" s="345">
        <f t="shared" si="85"/>
        <v>3.2786885245901639E-3</v>
      </c>
      <c r="X203" s="416">
        <f t="shared" si="86"/>
        <v>-6.9686411149825784E-3</v>
      </c>
      <c r="Y203" s="340"/>
      <c r="Z203" s="340"/>
      <c r="AA203" s="340"/>
      <c r="AB203" s="340"/>
      <c r="AC203" s="338"/>
      <c r="AD203" s="338"/>
      <c r="AE203" s="338"/>
      <c r="AF203" s="338"/>
      <c r="AG203" s="338"/>
      <c r="AH203" s="338"/>
      <c r="AI203" s="338"/>
    </row>
    <row r="204" spans="1:35">
      <c r="A204" s="21">
        <v>45219</v>
      </c>
      <c r="B204" s="17">
        <f>IF(YEAR(Table7[[#This Row],[Date]]) = 2023, WEEKNUM(Table7[[#This Row],[Date]])-13, WEEKNUM(Table7[[#This Row],[Date]])+40)</f>
        <v>29</v>
      </c>
      <c r="C204" s="34" t="s">
        <v>53</v>
      </c>
      <c r="D204" s="35" t="s">
        <v>94</v>
      </c>
      <c r="E204" s="42">
        <v>308</v>
      </c>
      <c r="F204" s="42">
        <v>284</v>
      </c>
      <c r="G204" s="64">
        <f t="shared" si="90"/>
        <v>1.9867549668874173E-2</v>
      </c>
      <c r="H204" s="64">
        <f t="shared" si="90"/>
        <v>-1.0452961672473868E-2</v>
      </c>
      <c r="I204" s="1"/>
      <c r="J204" s="1"/>
      <c r="K204" s="1"/>
      <c r="L204" s="1"/>
      <c r="M204" s="84">
        <v>0.83</v>
      </c>
      <c r="N204" s="84">
        <v>0.08</v>
      </c>
      <c r="O204" s="84">
        <v>0.92</v>
      </c>
      <c r="P204" s="84">
        <v>0.69</v>
      </c>
      <c r="Q204" s="84">
        <v>1</v>
      </c>
      <c r="R204" s="293">
        <v>196</v>
      </c>
      <c r="S204" s="293">
        <v>0</v>
      </c>
      <c r="T204" s="386">
        <v>3</v>
      </c>
      <c r="U204" s="345" t="str">
        <f t="shared" si="83"/>
        <v>Normal</v>
      </c>
      <c r="V204" s="345" t="str">
        <f t="shared" si="84"/>
        <v>Normal</v>
      </c>
      <c r="W204" s="345">
        <f t="shared" si="85"/>
        <v>1.9867549668874173E-2</v>
      </c>
      <c r="X204" s="416">
        <f t="shared" si="86"/>
        <v>-1.0452961672473868E-2</v>
      </c>
      <c r="Y204" s="340"/>
      <c r="Z204" s="340"/>
      <c r="AA204" s="340"/>
      <c r="AB204" s="340"/>
      <c r="AC204" s="338"/>
      <c r="AD204" s="338"/>
      <c r="AE204" s="338"/>
      <c r="AF204" s="338"/>
      <c r="AG204" s="338"/>
      <c r="AH204" s="338"/>
      <c r="AI204" s="338"/>
    </row>
    <row r="205" spans="1:35">
      <c r="A205" s="21">
        <v>45220</v>
      </c>
      <c r="B205" s="17">
        <f>IF(YEAR(Table7[[#This Row],[Date]]) = 2023, WEEKNUM(Table7[[#This Row],[Date]])-13, WEEKNUM(Table7[[#This Row],[Date]])+40)</f>
        <v>29</v>
      </c>
      <c r="C205" s="34" t="s">
        <v>54</v>
      </c>
      <c r="D205" s="35" t="s">
        <v>94</v>
      </c>
      <c r="E205" s="42">
        <v>81</v>
      </c>
      <c r="F205" s="42">
        <v>77</v>
      </c>
      <c r="G205" s="64">
        <f t="shared" si="90"/>
        <v>-0.32500000000000001</v>
      </c>
      <c r="H205" s="64">
        <f t="shared" si="90"/>
        <v>-0.33043478260869563</v>
      </c>
      <c r="I205" s="1"/>
      <c r="J205" s="1"/>
      <c r="K205" s="1"/>
      <c r="L205" s="1"/>
      <c r="M205" s="84">
        <v>0.91</v>
      </c>
      <c r="N205" s="84">
        <v>0.05</v>
      </c>
      <c r="O205" s="84">
        <v>0.95</v>
      </c>
      <c r="P205" s="84">
        <v>0.37</v>
      </c>
      <c r="Q205" s="84">
        <v>1</v>
      </c>
      <c r="R205" s="293">
        <v>238</v>
      </c>
      <c r="S205" s="293">
        <v>0</v>
      </c>
      <c r="T205" s="386">
        <v>3</v>
      </c>
      <c r="U205" s="345" t="str">
        <f t="shared" si="83"/>
        <v>Normal</v>
      </c>
      <c r="V205" s="345" t="str">
        <f t="shared" si="84"/>
        <v>Normal</v>
      </c>
      <c r="W205" s="345">
        <f t="shared" si="85"/>
        <v>-0.32500000000000001</v>
      </c>
      <c r="X205" s="416">
        <f t="shared" si="86"/>
        <v>-0.33043478260869563</v>
      </c>
      <c r="Y205" s="340"/>
      <c r="Z205" s="340"/>
      <c r="AA205" s="340"/>
      <c r="AB205" s="340"/>
      <c r="AC205" s="338"/>
      <c r="AD205" s="338"/>
      <c r="AE205" s="338"/>
      <c r="AF205" s="338"/>
      <c r="AG205" s="338"/>
      <c r="AH205" s="338"/>
      <c r="AI205" s="338"/>
    </row>
    <row r="206" spans="1:35">
      <c r="A206" s="21">
        <v>45221</v>
      </c>
      <c r="B206" s="17">
        <f>IF(YEAR(Table7[[#This Row],[Date]]) = 2023, WEEKNUM(Table7[[#This Row],[Date]])-13, WEEKNUM(Table7[[#This Row],[Date]])+40)</f>
        <v>30</v>
      </c>
      <c r="C206" s="34" t="s">
        <v>48</v>
      </c>
      <c r="D206" s="35" t="s">
        <v>94</v>
      </c>
      <c r="E206" s="42">
        <v>0</v>
      </c>
      <c r="F206" s="42">
        <v>0</v>
      </c>
      <c r="G206" s="64">
        <f t="shared" ref="G206:H206" si="91">IFERROR((E206-E199)/E199,0%)</f>
        <v>0</v>
      </c>
      <c r="H206" s="64">
        <f t="shared" si="91"/>
        <v>0</v>
      </c>
      <c r="I206" s="1">
        <v>0</v>
      </c>
      <c r="J206" s="1">
        <v>0</v>
      </c>
      <c r="K206" s="1">
        <v>0</v>
      </c>
      <c r="L206" s="1">
        <v>0</v>
      </c>
      <c r="M206" s="84">
        <v>0</v>
      </c>
      <c r="N206" s="84">
        <v>0</v>
      </c>
      <c r="O206" s="84">
        <v>0</v>
      </c>
      <c r="P206" s="84">
        <v>0</v>
      </c>
      <c r="Q206" s="84">
        <v>0</v>
      </c>
      <c r="R206" s="293">
        <v>0</v>
      </c>
      <c r="S206" s="293">
        <v>0</v>
      </c>
      <c r="T206" s="386">
        <v>0</v>
      </c>
      <c r="U206" s="345" t="str">
        <f t="shared" si="83"/>
        <v>Normal</v>
      </c>
      <c r="V206" s="345" t="str">
        <f t="shared" si="84"/>
        <v>Normal</v>
      </c>
      <c r="W206" s="345">
        <f t="shared" si="85"/>
        <v>0</v>
      </c>
      <c r="X206" s="416">
        <f t="shared" si="86"/>
        <v>0</v>
      </c>
      <c r="Y206" s="340"/>
      <c r="Z206" s="340"/>
      <c r="AA206" s="340"/>
      <c r="AB206" s="340"/>
      <c r="AC206" s="338"/>
      <c r="AD206" s="338"/>
      <c r="AE206" s="338"/>
      <c r="AF206" s="338"/>
      <c r="AG206" s="338"/>
      <c r="AH206" s="338"/>
      <c r="AI206" s="338"/>
    </row>
    <row r="207" spans="1:35">
      <c r="A207" s="21">
        <v>45222</v>
      </c>
      <c r="B207" s="17">
        <f>IF(YEAR(Table7[[#This Row],[Date]]) = 2023, WEEKNUM(Table7[[#This Row],[Date]])-13, WEEKNUM(Table7[[#This Row],[Date]])+40)</f>
        <v>30</v>
      </c>
      <c r="C207" s="34" t="s">
        <v>49</v>
      </c>
      <c r="D207" s="35" t="s">
        <v>94</v>
      </c>
      <c r="E207" s="42">
        <v>450</v>
      </c>
      <c r="F207" s="42">
        <v>424</v>
      </c>
      <c r="G207" s="64">
        <f t="shared" ref="G207:H209" si="92">IFERROR((E207-E200)/E200,0%)</f>
        <v>4.464285714285714E-3</v>
      </c>
      <c r="H207" s="64">
        <f t="shared" si="92"/>
        <v>-1.6241299303944315E-2</v>
      </c>
      <c r="I207" s="1"/>
      <c r="J207" s="1"/>
      <c r="K207" s="1"/>
      <c r="L207" s="1"/>
      <c r="M207" s="84">
        <v>0.82</v>
      </c>
      <c r="N207" s="84">
        <v>0.06</v>
      </c>
      <c r="O207" s="84">
        <v>0.94</v>
      </c>
      <c r="P207" s="84">
        <v>0.78</v>
      </c>
      <c r="Q207" s="84">
        <v>1</v>
      </c>
      <c r="R207" s="293">
        <v>202</v>
      </c>
      <c r="S207" s="293">
        <v>0</v>
      </c>
      <c r="T207" s="386">
        <v>4</v>
      </c>
      <c r="U207" s="345" t="str">
        <f t="shared" si="83"/>
        <v>Normal</v>
      </c>
      <c r="V207" s="345" t="str">
        <f t="shared" si="84"/>
        <v>Normal</v>
      </c>
      <c r="W207" s="345">
        <f t="shared" si="85"/>
        <v>4.464285714285714E-3</v>
      </c>
      <c r="X207" s="416">
        <f t="shared" si="86"/>
        <v>-1.6241299303944315E-2</v>
      </c>
      <c r="Y207" s="340"/>
      <c r="Z207" s="340"/>
      <c r="AA207" s="340"/>
      <c r="AB207" s="340"/>
      <c r="AC207" s="338"/>
      <c r="AD207" s="338"/>
      <c r="AE207" s="338"/>
      <c r="AF207" s="338"/>
      <c r="AG207" s="338"/>
      <c r="AH207" s="338"/>
      <c r="AI207" s="338"/>
    </row>
    <row r="208" spans="1:35">
      <c r="A208" s="21">
        <v>45223</v>
      </c>
      <c r="B208" s="17">
        <f>IF(YEAR(Table7[[#This Row],[Date]]) = 2023, WEEKNUM(Table7[[#This Row],[Date]])-13, WEEKNUM(Table7[[#This Row],[Date]])+40)</f>
        <v>30</v>
      </c>
      <c r="C208" s="34" t="s">
        <v>50</v>
      </c>
      <c r="D208" s="35" t="s">
        <v>94</v>
      </c>
      <c r="E208" s="42">
        <v>383</v>
      </c>
      <c r="F208" s="42">
        <v>348</v>
      </c>
      <c r="G208" s="64">
        <f t="shared" si="92"/>
        <v>1.0554089709762533E-2</v>
      </c>
      <c r="H208" s="64">
        <f t="shared" si="92"/>
        <v>-2.7932960893854747E-2</v>
      </c>
      <c r="I208" s="41"/>
      <c r="J208" s="31"/>
      <c r="K208" s="31"/>
      <c r="L208" s="31"/>
      <c r="M208" s="84">
        <v>0.97</v>
      </c>
      <c r="N208" s="84">
        <v>0.09</v>
      </c>
      <c r="O208" s="84">
        <v>0.91</v>
      </c>
      <c r="P208" s="84">
        <v>0.72</v>
      </c>
      <c r="Q208" s="84">
        <v>1</v>
      </c>
      <c r="R208" s="293">
        <v>189</v>
      </c>
      <c r="S208" s="293">
        <v>0</v>
      </c>
      <c r="T208" s="386">
        <v>4</v>
      </c>
      <c r="U208" s="345" t="str">
        <f t="shared" si="83"/>
        <v>Normal</v>
      </c>
      <c r="V208" s="345" t="str">
        <f t="shared" si="84"/>
        <v>Normal</v>
      </c>
      <c r="W208" s="345">
        <f t="shared" si="85"/>
        <v>1.0554089709762533E-2</v>
      </c>
      <c r="X208" s="416">
        <f t="shared" si="86"/>
        <v>-2.7932960893854747E-2</v>
      </c>
      <c r="Y208" s="340"/>
      <c r="Z208" s="340"/>
      <c r="AA208" s="340"/>
      <c r="AB208" s="340"/>
      <c r="AC208" s="338"/>
      <c r="AD208" s="338"/>
      <c r="AE208" s="338"/>
      <c r="AF208" s="338"/>
      <c r="AG208" s="338"/>
      <c r="AH208" s="338"/>
      <c r="AI208" s="338"/>
    </row>
    <row r="209" spans="1:38">
      <c r="A209" s="21">
        <v>45224</v>
      </c>
      <c r="B209" s="17">
        <f>IF(YEAR(Table7[[#This Row],[Date]]) = 2023, WEEKNUM(Table7[[#This Row],[Date]])-13, WEEKNUM(Table7[[#This Row],[Date]])+40)</f>
        <v>30</v>
      </c>
      <c r="C209" s="34" t="s">
        <v>51</v>
      </c>
      <c r="D209" s="35" t="s">
        <v>94</v>
      </c>
      <c r="E209" s="42">
        <v>365</v>
      </c>
      <c r="F209" s="42">
        <v>344</v>
      </c>
      <c r="G209" s="64">
        <f t="shared" si="92"/>
        <v>-6.1696658097686374E-2</v>
      </c>
      <c r="H209" s="64">
        <f t="shared" si="92"/>
        <v>-7.0270270270270274E-2</v>
      </c>
      <c r="I209" s="1"/>
      <c r="J209" s="1"/>
      <c r="K209" s="1"/>
      <c r="L209" s="1"/>
      <c r="M209" s="84">
        <v>0.84</v>
      </c>
      <c r="N209" s="84">
        <v>0.06</v>
      </c>
      <c r="O209" s="84">
        <v>0.94</v>
      </c>
      <c r="P209" s="84">
        <v>0.61</v>
      </c>
      <c r="Q209" s="84">
        <v>1</v>
      </c>
      <c r="R209" s="293">
        <v>190</v>
      </c>
      <c r="S209" s="293">
        <v>0</v>
      </c>
      <c r="T209" s="386">
        <v>4</v>
      </c>
      <c r="U209" s="345" t="str">
        <f t="shared" si="83"/>
        <v>Normal</v>
      </c>
      <c r="V209" s="345" t="str">
        <f t="shared" si="84"/>
        <v>Normal</v>
      </c>
      <c r="W209" s="345">
        <f t="shared" si="85"/>
        <v>-6.1696658097686374E-2</v>
      </c>
      <c r="X209" s="416">
        <f t="shared" si="86"/>
        <v>-7.0270270270270274E-2</v>
      </c>
      <c r="Y209" s="340"/>
      <c r="Z209" s="340"/>
      <c r="AA209" s="340"/>
      <c r="AB209" s="340"/>
      <c r="AC209" s="338"/>
      <c r="AD209" s="338"/>
      <c r="AE209" s="338"/>
      <c r="AF209" s="338"/>
      <c r="AG209" s="338"/>
      <c r="AH209" s="338"/>
      <c r="AI209" s="338"/>
      <c r="AJ209" s="48"/>
      <c r="AK209" s="48"/>
      <c r="AL209" s="48"/>
    </row>
    <row r="210" spans="1:38">
      <c r="A210" s="21">
        <v>45225</v>
      </c>
      <c r="B210" s="17">
        <f>IF(YEAR(Table7[[#This Row],[Date]]) = 2023, WEEKNUM(Table7[[#This Row],[Date]])-13, WEEKNUM(Table7[[#This Row],[Date]])+40)</f>
        <v>30</v>
      </c>
      <c r="C210" s="34" t="s">
        <v>52</v>
      </c>
      <c r="D210" s="35" t="s">
        <v>94</v>
      </c>
      <c r="E210" s="42">
        <v>344</v>
      </c>
      <c r="F210" s="42">
        <v>324</v>
      </c>
      <c r="G210" s="64">
        <f t="shared" ref="G210:H210" si="93">IFERROR((E210-E203)/E203,0%)</f>
        <v>0.12418300653594772</v>
      </c>
      <c r="H210" s="64">
        <f t="shared" si="93"/>
        <v>0.1368421052631579</v>
      </c>
      <c r="I210" s="1"/>
      <c r="J210" s="1"/>
      <c r="K210" s="1"/>
      <c r="L210" s="1"/>
      <c r="M210" s="84">
        <v>0.88</v>
      </c>
      <c r="N210" s="84">
        <v>0.06</v>
      </c>
      <c r="O210" s="84">
        <v>0.94</v>
      </c>
      <c r="P210" s="84">
        <v>0.48</v>
      </c>
      <c r="Q210" s="84">
        <v>1</v>
      </c>
      <c r="R210" s="293">
        <v>179</v>
      </c>
      <c r="S210" s="293">
        <v>0</v>
      </c>
      <c r="T210" s="386">
        <v>4</v>
      </c>
      <c r="U210" s="345" t="str">
        <f t="shared" si="83"/>
        <v>Normal</v>
      </c>
      <c r="V210" s="345" t="str">
        <f t="shared" si="84"/>
        <v>Normal</v>
      </c>
      <c r="W210" s="345">
        <f t="shared" si="85"/>
        <v>0.12418300653594772</v>
      </c>
      <c r="X210" s="416">
        <f t="shared" si="86"/>
        <v>0.1368421052631579</v>
      </c>
      <c r="Y210" s="340"/>
      <c r="Z210" s="340"/>
      <c r="AA210" s="340"/>
      <c r="AB210" s="340"/>
      <c r="AC210" s="338"/>
      <c r="AD210" s="338"/>
      <c r="AE210" s="338"/>
      <c r="AF210" s="338"/>
      <c r="AG210" s="338"/>
      <c r="AH210" s="338"/>
      <c r="AI210" s="338"/>
    </row>
    <row r="211" spans="1:38">
      <c r="A211" s="21">
        <v>45226</v>
      </c>
      <c r="B211" s="17">
        <f>IF(YEAR(Table7[[#This Row],[Date]]) = 2023, WEEKNUM(Table7[[#This Row],[Date]])-13, WEEKNUM(Table7[[#This Row],[Date]])+40)</f>
        <v>30</v>
      </c>
      <c r="C211" s="34" t="s">
        <v>53</v>
      </c>
      <c r="D211" s="35" t="s">
        <v>94</v>
      </c>
      <c r="E211" s="42">
        <v>287</v>
      </c>
      <c r="F211" s="42">
        <v>278</v>
      </c>
      <c r="G211" s="64">
        <f t="shared" ref="G211:H213" si="94">IFERROR((E211-E204)/E204,0%)</f>
        <v>-6.8181818181818177E-2</v>
      </c>
      <c r="H211" s="64">
        <f t="shared" si="94"/>
        <v>-2.1126760563380281E-2</v>
      </c>
      <c r="I211" s="1"/>
      <c r="J211" s="1"/>
      <c r="K211" s="1"/>
      <c r="L211" s="1"/>
      <c r="M211" s="84">
        <v>0.9</v>
      </c>
      <c r="N211" s="84">
        <v>0.03</v>
      </c>
      <c r="O211" s="84">
        <v>0.97</v>
      </c>
      <c r="P211" s="84">
        <v>0.65</v>
      </c>
      <c r="Q211" s="84">
        <v>1</v>
      </c>
      <c r="R211" s="293">
        <v>183</v>
      </c>
      <c r="S211" s="293">
        <v>0</v>
      </c>
      <c r="T211" s="386">
        <v>3</v>
      </c>
      <c r="U211" s="345" t="str">
        <f t="shared" si="83"/>
        <v>Normal</v>
      </c>
      <c r="V211" s="345" t="str">
        <f t="shared" si="84"/>
        <v>Normal</v>
      </c>
      <c r="W211" s="345">
        <f t="shared" si="85"/>
        <v>-6.8181818181818177E-2</v>
      </c>
      <c r="X211" s="416">
        <f t="shared" si="86"/>
        <v>-2.1126760563380281E-2</v>
      </c>
      <c r="Y211" s="340"/>
      <c r="Z211" s="340"/>
      <c r="AA211" s="340"/>
      <c r="AB211" s="340"/>
      <c r="AC211" s="338"/>
      <c r="AD211" s="338"/>
      <c r="AE211" s="338"/>
      <c r="AF211" s="338"/>
      <c r="AG211" s="338"/>
      <c r="AH211" s="338"/>
      <c r="AI211" s="338"/>
    </row>
    <row r="212" spans="1:38">
      <c r="A212" s="21">
        <v>45227</v>
      </c>
      <c r="B212" s="17">
        <f>IF(YEAR(Table7[[#This Row],[Date]]) = 2023, WEEKNUM(Table7[[#This Row],[Date]])-13, WEEKNUM(Table7[[#This Row],[Date]])+40)</f>
        <v>30</v>
      </c>
      <c r="C212" s="34" t="s">
        <v>54</v>
      </c>
      <c r="D212" s="35" t="s">
        <v>94</v>
      </c>
      <c r="E212" s="42">
        <v>140</v>
      </c>
      <c r="F212" s="42">
        <v>137</v>
      </c>
      <c r="G212" s="64">
        <f t="shared" si="94"/>
        <v>0.72839506172839508</v>
      </c>
      <c r="H212" s="64">
        <f t="shared" si="94"/>
        <v>0.77922077922077926</v>
      </c>
      <c r="I212" s="1"/>
      <c r="J212" s="1"/>
      <c r="K212" s="1"/>
      <c r="L212" s="1"/>
      <c r="M212" s="84">
        <v>0.97</v>
      </c>
      <c r="N212" s="84">
        <v>0.02</v>
      </c>
      <c r="O212" s="84">
        <v>0.98</v>
      </c>
      <c r="P212" s="84">
        <v>0.41</v>
      </c>
      <c r="Q212" s="84">
        <v>1</v>
      </c>
      <c r="R212" s="293">
        <v>191</v>
      </c>
      <c r="S212" s="293">
        <v>0</v>
      </c>
      <c r="T212" s="386">
        <v>4</v>
      </c>
      <c r="U212" s="345" t="str">
        <f t="shared" si="83"/>
        <v>Normal</v>
      </c>
      <c r="V212" s="345" t="str">
        <f t="shared" si="84"/>
        <v>Normal</v>
      </c>
      <c r="W212" s="345">
        <f t="shared" si="85"/>
        <v>0.72839506172839508</v>
      </c>
      <c r="X212" s="416">
        <f t="shared" si="86"/>
        <v>0.77922077922077926</v>
      </c>
      <c r="Y212" s="340"/>
      <c r="Z212" s="340"/>
      <c r="AA212" s="340"/>
      <c r="AB212" s="340"/>
      <c r="AC212" s="338"/>
      <c r="AD212" s="338"/>
      <c r="AE212" s="338"/>
      <c r="AF212" s="338"/>
      <c r="AG212" s="338"/>
      <c r="AH212" s="338"/>
      <c r="AI212" s="338"/>
    </row>
    <row r="213" spans="1:38">
      <c r="A213" s="21">
        <v>45228</v>
      </c>
      <c r="B213" s="17">
        <f>IF(YEAR(Table7[[#This Row],[Date]]) = 2023, WEEKNUM(Table7[[#This Row],[Date]])-13, WEEKNUM(Table7[[#This Row],[Date]])+40)</f>
        <v>31</v>
      </c>
      <c r="C213" s="34" t="s">
        <v>48</v>
      </c>
      <c r="D213" s="35" t="s">
        <v>94</v>
      </c>
      <c r="E213" s="42">
        <v>0</v>
      </c>
      <c r="F213" s="42">
        <v>0</v>
      </c>
      <c r="G213" s="64">
        <f t="shared" si="94"/>
        <v>0</v>
      </c>
      <c r="H213" s="64">
        <f t="shared" si="94"/>
        <v>0</v>
      </c>
      <c r="I213" s="1">
        <v>0</v>
      </c>
      <c r="J213" s="1">
        <v>0</v>
      </c>
      <c r="K213" s="1">
        <v>0</v>
      </c>
      <c r="L213" s="1">
        <v>0</v>
      </c>
      <c r="M213" s="84">
        <v>0</v>
      </c>
      <c r="N213" s="84">
        <v>0</v>
      </c>
      <c r="O213" s="84">
        <v>0</v>
      </c>
      <c r="P213" s="84">
        <v>0</v>
      </c>
      <c r="Q213" s="84">
        <v>0</v>
      </c>
      <c r="R213" s="293">
        <v>0</v>
      </c>
      <c r="S213" s="293">
        <v>0</v>
      </c>
      <c r="T213" s="386">
        <v>0</v>
      </c>
      <c r="U213" s="345" t="str">
        <f t="shared" si="83"/>
        <v>Normal</v>
      </c>
      <c r="V213" s="345" t="str">
        <f t="shared" si="84"/>
        <v>Normal</v>
      </c>
      <c r="W213" s="345">
        <f t="shared" si="85"/>
        <v>0</v>
      </c>
      <c r="X213" s="416">
        <f t="shared" si="86"/>
        <v>0</v>
      </c>
      <c r="Y213" s="340"/>
      <c r="Z213" s="340"/>
      <c r="AA213" s="340"/>
      <c r="AB213" s="340"/>
      <c r="AC213" s="338"/>
      <c r="AD213" s="338"/>
      <c r="AE213" s="338"/>
      <c r="AF213" s="338"/>
      <c r="AG213" s="338"/>
      <c r="AH213" s="338"/>
      <c r="AI213" s="338"/>
    </row>
    <row r="214" spans="1:38">
      <c r="A214" s="21">
        <v>45229</v>
      </c>
      <c r="B214" s="17">
        <f>IF(YEAR(Table7[[#This Row],[Date]]) = 2023, WEEKNUM(Table7[[#This Row],[Date]])-13, WEEKNUM(Table7[[#This Row],[Date]])+40)</f>
        <v>31</v>
      </c>
      <c r="C214" s="34" t="s">
        <v>49</v>
      </c>
      <c r="D214" s="35" t="s">
        <v>94</v>
      </c>
      <c r="E214" s="42">
        <v>532</v>
      </c>
      <c r="F214" s="42">
        <v>475</v>
      </c>
      <c r="G214" s="64">
        <f t="shared" ref="G214:H214" si="95">IFERROR((E214-E207)/E207,0%)</f>
        <v>0.18222222222222223</v>
      </c>
      <c r="H214" s="64">
        <f t="shared" si="95"/>
        <v>0.12028301886792453</v>
      </c>
      <c r="I214" s="41"/>
      <c r="J214" s="31"/>
      <c r="K214" s="31"/>
      <c r="L214" s="31"/>
      <c r="M214" s="84">
        <v>0.69</v>
      </c>
      <c r="N214" s="84">
        <v>0.11</v>
      </c>
      <c r="O214" s="84">
        <v>0.89</v>
      </c>
      <c r="P214" s="84">
        <v>0.88</v>
      </c>
      <c r="Q214" s="84">
        <v>1</v>
      </c>
      <c r="R214" s="293">
        <v>201</v>
      </c>
      <c r="S214" s="293">
        <v>0</v>
      </c>
      <c r="T214" s="386">
        <v>4</v>
      </c>
      <c r="U214" s="345" t="str">
        <f t="shared" si="83"/>
        <v>Normal</v>
      </c>
      <c r="V214" s="345" t="str">
        <f t="shared" si="84"/>
        <v>Normal</v>
      </c>
      <c r="W214" s="345">
        <f t="shared" si="85"/>
        <v>0.18222222222222223</v>
      </c>
      <c r="X214" s="416">
        <f t="shared" si="86"/>
        <v>0.12028301886792453</v>
      </c>
      <c r="Y214" s="340"/>
      <c r="Z214" s="340"/>
      <c r="AA214" s="340"/>
      <c r="AB214" s="340"/>
      <c r="AC214" s="338"/>
      <c r="AD214" s="338"/>
      <c r="AE214" s="338"/>
      <c r="AF214" s="338"/>
      <c r="AG214" s="338"/>
      <c r="AH214" s="338"/>
      <c r="AI214" s="338"/>
    </row>
    <row r="215" spans="1:38" s="48" customFormat="1">
      <c r="A215" s="21">
        <v>45230</v>
      </c>
      <c r="B215" s="17">
        <f>IF(YEAR(Table7[[#This Row],[Date]]) = 2023, WEEKNUM(Table7[[#This Row],[Date]])-13, WEEKNUM(Table7[[#This Row],[Date]])+40)</f>
        <v>31</v>
      </c>
      <c r="C215" s="49" t="s">
        <v>50</v>
      </c>
      <c r="D215" s="35" t="s">
        <v>94</v>
      </c>
      <c r="E215" s="95">
        <v>546</v>
      </c>
      <c r="F215" s="95">
        <v>498</v>
      </c>
      <c r="G215" s="64">
        <f t="shared" ref="G215:H217" si="96">IFERROR((E215-E208)/E208,0%)</f>
        <v>0.4255874673629243</v>
      </c>
      <c r="H215" s="64">
        <f t="shared" si="96"/>
        <v>0.43103448275862066</v>
      </c>
      <c r="I215" s="50"/>
      <c r="J215" s="50"/>
      <c r="K215" s="50"/>
      <c r="L215" s="50"/>
      <c r="M215" s="96">
        <v>0.86</v>
      </c>
      <c r="N215" s="96">
        <v>0.05</v>
      </c>
      <c r="O215" s="96">
        <v>0.95</v>
      </c>
      <c r="P215" s="96">
        <v>0.61</v>
      </c>
      <c r="Q215" s="96">
        <v>1</v>
      </c>
      <c r="R215" s="310">
        <v>187</v>
      </c>
      <c r="S215" s="310">
        <v>0</v>
      </c>
      <c r="T215" s="386">
        <v>4</v>
      </c>
      <c r="U215" s="345" t="str">
        <f t="shared" si="83"/>
        <v>Normal</v>
      </c>
      <c r="V215" s="345" t="str">
        <f t="shared" si="84"/>
        <v>Normal</v>
      </c>
      <c r="W215" s="345">
        <f t="shared" si="85"/>
        <v>0.4255874673629243</v>
      </c>
      <c r="X215" s="416">
        <f t="shared" si="86"/>
        <v>0.43103448275862066</v>
      </c>
      <c r="Y215" s="340"/>
      <c r="Z215" s="340"/>
      <c r="AA215" s="340"/>
      <c r="AB215" s="340"/>
      <c r="AC215" s="338"/>
      <c r="AD215" s="338"/>
      <c r="AE215" s="338"/>
      <c r="AF215" s="338"/>
      <c r="AG215" s="338"/>
      <c r="AH215" s="338"/>
      <c r="AI215" s="338"/>
      <c r="AJ215"/>
      <c r="AK215"/>
      <c r="AL215"/>
    </row>
    <row r="216" spans="1:38">
      <c r="A216" s="21">
        <v>45231</v>
      </c>
      <c r="B216" s="17">
        <f>IF(YEAR(Table7[[#This Row],[Date]]) = 2023, WEEKNUM(Table7[[#This Row],[Date]])-13, WEEKNUM(Table7[[#This Row],[Date]])+40)</f>
        <v>31</v>
      </c>
      <c r="C216" s="34" t="s">
        <v>51</v>
      </c>
      <c r="D216" s="35" t="s">
        <v>94</v>
      </c>
      <c r="E216" s="41">
        <v>289</v>
      </c>
      <c r="F216" s="41">
        <v>279</v>
      </c>
      <c r="G216" s="64">
        <f t="shared" si="96"/>
        <v>-0.20821917808219179</v>
      </c>
      <c r="H216" s="64">
        <f t="shared" si="96"/>
        <v>-0.18895348837209303</v>
      </c>
      <c r="I216" s="31"/>
      <c r="J216" s="31"/>
      <c r="K216" s="31"/>
      <c r="L216" s="31"/>
      <c r="M216" s="85">
        <v>0.93</v>
      </c>
      <c r="N216" s="85">
        <v>0.03</v>
      </c>
      <c r="O216" s="85">
        <v>0.97</v>
      </c>
      <c r="P216" s="85">
        <v>0.41</v>
      </c>
      <c r="Q216" s="85">
        <v>1</v>
      </c>
      <c r="R216" s="293">
        <v>196</v>
      </c>
      <c r="S216" s="293">
        <v>0</v>
      </c>
      <c r="T216" s="386">
        <v>5</v>
      </c>
      <c r="U216" s="345" t="str">
        <f t="shared" si="83"/>
        <v>Normal</v>
      </c>
      <c r="V216" s="345" t="str">
        <f t="shared" si="84"/>
        <v>Normal</v>
      </c>
      <c r="W216" s="345">
        <f t="shared" si="85"/>
        <v>-0.20821917808219179</v>
      </c>
      <c r="X216" s="416">
        <f t="shared" si="86"/>
        <v>-0.18895348837209303</v>
      </c>
      <c r="Y216" s="340"/>
      <c r="Z216" s="340"/>
      <c r="AA216" s="340"/>
      <c r="AB216" s="340"/>
      <c r="AC216" s="338"/>
      <c r="AD216" s="338"/>
      <c r="AE216" s="338"/>
      <c r="AF216" s="338"/>
      <c r="AG216" s="338"/>
      <c r="AH216" s="338"/>
      <c r="AI216" s="338"/>
    </row>
    <row r="217" spans="1:38">
      <c r="A217" s="21">
        <v>45232</v>
      </c>
      <c r="B217" s="17">
        <f>IF(YEAR(Table7[[#This Row],[Date]]) = 2023, WEEKNUM(Table7[[#This Row],[Date]])-13, WEEKNUM(Table7[[#This Row],[Date]])+40)</f>
        <v>31</v>
      </c>
      <c r="C217" s="34" t="s">
        <v>52</v>
      </c>
      <c r="D217" s="35" t="s">
        <v>94</v>
      </c>
      <c r="E217" s="42">
        <v>461</v>
      </c>
      <c r="F217" s="42">
        <v>439</v>
      </c>
      <c r="G217" s="64">
        <f t="shared" si="96"/>
        <v>0.34011627906976744</v>
      </c>
      <c r="H217" s="64">
        <f t="shared" si="96"/>
        <v>0.35493827160493829</v>
      </c>
      <c r="I217" s="1"/>
      <c r="J217" s="1"/>
      <c r="K217" s="1"/>
      <c r="L217" s="1"/>
      <c r="M217" s="84">
        <v>0.85</v>
      </c>
      <c r="N217" s="84">
        <v>0.05</v>
      </c>
      <c r="O217" s="84">
        <v>0.95</v>
      </c>
      <c r="P217" s="84">
        <v>0.61</v>
      </c>
      <c r="Q217" s="84">
        <v>1</v>
      </c>
      <c r="R217" s="293">
        <v>184</v>
      </c>
      <c r="S217" s="293">
        <v>0</v>
      </c>
      <c r="T217" s="386">
        <v>5</v>
      </c>
      <c r="U217" s="345" t="str">
        <f t="shared" si="83"/>
        <v>Normal</v>
      </c>
      <c r="V217" s="345" t="str">
        <f t="shared" si="84"/>
        <v>Normal</v>
      </c>
      <c r="W217" s="345">
        <f t="shared" si="85"/>
        <v>0.34011627906976744</v>
      </c>
      <c r="X217" s="416">
        <f t="shared" si="86"/>
        <v>0.35493827160493829</v>
      </c>
      <c r="Y217" s="340"/>
      <c r="Z217" s="340"/>
      <c r="AA217" s="340"/>
      <c r="AB217" s="340"/>
      <c r="AC217" s="338"/>
      <c r="AD217" s="338"/>
      <c r="AE217" s="338"/>
      <c r="AF217" s="338"/>
      <c r="AG217" s="338"/>
      <c r="AH217" s="338"/>
      <c r="AI217" s="338"/>
    </row>
    <row r="218" spans="1:38">
      <c r="A218" s="21">
        <v>45233</v>
      </c>
      <c r="B218" s="17">
        <f>IF(YEAR(Table7[[#This Row],[Date]]) = 2023, WEEKNUM(Table7[[#This Row],[Date]])-13, WEEKNUM(Table7[[#This Row],[Date]])+40)</f>
        <v>31</v>
      </c>
      <c r="C218" s="33" t="s">
        <v>53</v>
      </c>
      <c r="D218" s="35" t="s">
        <v>94</v>
      </c>
      <c r="E218" s="42">
        <v>449</v>
      </c>
      <c r="F218" s="42">
        <v>418</v>
      </c>
      <c r="G218" s="64">
        <f t="shared" ref="G218:H218" si="97">IFERROR((E218-E211)/E211,0%)</f>
        <v>0.56445993031358888</v>
      </c>
      <c r="H218" s="64">
        <f t="shared" si="97"/>
        <v>0.50359712230215825</v>
      </c>
      <c r="I218" s="1"/>
      <c r="J218" s="1"/>
      <c r="K218" s="1"/>
      <c r="L218" s="1"/>
      <c r="M218" s="84">
        <v>0.81</v>
      </c>
      <c r="N218" s="84">
        <v>7.0000000000000007E-2</v>
      </c>
      <c r="O218" s="84">
        <v>0.93</v>
      </c>
      <c r="P218" s="84">
        <v>0.5</v>
      </c>
      <c r="Q218" s="84">
        <v>1</v>
      </c>
      <c r="R218" s="293">
        <v>179</v>
      </c>
      <c r="S218" s="293">
        <v>0</v>
      </c>
      <c r="T218" s="386">
        <v>5</v>
      </c>
      <c r="U218" s="345" t="str">
        <f t="shared" si="83"/>
        <v>Normal</v>
      </c>
      <c r="V218" s="345" t="str">
        <f t="shared" si="84"/>
        <v>Normal</v>
      </c>
      <c r="W218" s="345">
        <f t="shared" si="85"/>
        <v>0.56445993031358888</v>
      </c>
      <c r="X218" s="416">
        <f t="shared" si="86"/>
        <v>0.50359712230215825</v>
      </c>
      <c r="Y218" s="340"/>
      <c r="Z218" s="340"/>
      <c r="AA218" s="340"/>
      <c r="AB218" s="340"/>
      <c r="AC218" s="338"/>
      <c r="AD218" s="338"/>
      <c r="AE218" s="338"/>
      <c r="AF218" s="338"/>
      <c r="AG218" s="338"/>
      <c r="AH218" s="338"/>
      <c r="AI218" s="338"/>
    </row>
    <row r="219" spans="1:38">
      <c r="A219" s="21">
        <v>45234</v>
      </c>
      <c r="B219" s="17">
        <f>IF(YEAR(Table7[[#This Row],[Date]]) = 2023, WEEKNUM(Table7[[#This Row],[Date]])-13, WEEKNUM(Table7[[#This Row],[Date]])+40)</f>
        <v>31</v>
      </c>
      <c r="C219" s="34" t="s">
        <v>54</v>
      </c>
      <c r="D219" s="35" t="s">
        <v>94</v>
      </c>
      <c r="E219" s="42">
        <v>182</v>
      </c>
      <c r="F219" s="42">
        <v>178</v>
      </c>
      <c r="G219" s="64">
        <f t="shared" ref="G219:H221" si="98">IFERROR((E219-E212)/E212,0%)</f>
        <v>0.3</v>
      </c>
      <c r="H219" s="64">
        <f t="shared" si="98"/>
        <v>0.29927007299270075</v>
      </c>
      <c r="I219" s="1"/>
      <c r="J219" s="1"/>
      <c r="K219" s="1"/>
      <c r="L219" s="1"/>
      <c r="M219" s="84">
        <v>0.95</v>
      </c>
      <c r="N219" s="84">
        <v>0.02</v>
      </c>
      <c r="O219" s="84">
        <v>0.98</v>
      </c>
      <c r="P219" s="84">
        <v>0.73</v>
      </c>
      <c r="Q219" s="84">
        <v>1</v>
      </c>
      <c r="R219" s="293">
        <v>242</v>
      </c>
      <c r="S219" s="293">
        <v>0</v>
      </c>
      <c r="T219" s="386">
        <v>4</v>
      </c>
      <c r="U219" s="345" t="str">
        <f t="shared" si="83"/>
        <v>Normal</v>
      </c>
      <c r="V219" s="345" t="str">
        <f t="shared" si="84"/>
        <v>Normal</v>
      </c>
      <c r="W219" s="345">
        <f t="shared" si="85"/>
        <v>0.3</v>
      </c>
      <c r="X219" s="416">
        <f t="shared" si="86"/>
        <v>0.29927007299270075</v>
      </c>
      <c r="Y219" s="340"/>
      <c r="Z219" s="340"/>
      <c r="AA219" s="340"/>
      <c r="AB219" s="340"/>
      <c r="AC219" s="338"/>
      <c r="AD219" s="338"/>
      <c r="AE219" s="338"/>
      <c r="AF219" s="338"/>
      <c r="AG219" s="338"/>
      <c r="AH219" s="338"/>
      <c r="AI219" s="338"/>
    </row>
    <row r="220" spans="1:38">
      <c r="A220" s="21">
        <v>45235</v>
      </c>
      <c r="B220" s="17">
        <f>IF(YEAR(Table7[[#This Row],[Date]]) = 2023, WEEKNUM(Table7[[#This Row],[Date]])-13, WEEKNUM(Table7[[#This Row],[Date]])+40)</f>
        <v>32</v>
      </c>
      <c r="C220" s="33" t="s">
        <v>48</v>
      </c>
      <c r="D220" s="35" t="s">
        <v>94</v>
      </c>
      <c r="E220" s="42">
        <v>9</v>
      </c>
      <c r="F220" s="42">
        <v>9</v>
      </c>
      <c r="G220" s="64">
        <f t="shared" si="98"/>
        <v>0</v>
      </c>
      <c r="H220" s="64">
        <f t="shared" si="98"/>
        <v>0</v>
      </c>
      <c r="I220" s="41"/>
      <c r="J220" s="31"/>
      <c r="K220" s="31"/>
      <c r="L220" s="31"/>
      <c r="M220" s="84">
        <v>0.89</v>
      </c>
      <c r="N220" s="84">
        <v>0</v>
      </c>
      <c r="O220" s="84">
        <v>1</v>
      </c>
      <c r="P220" s="84">
        <v>0.08</v>
      </c>
      <c r="Q220" s="84">
        <v>1</v>
      </c>
      <c r="R220" s="293">
        <v>137</v>
      </c>
      <c r="S220" s="293">
        <v>0</v>
      </c>
      <c r="T220" s="386">
        <v>1</v>
      </c>
      <c r="U220" s="345" t="str">
        <f t="shared" si="83"/>
        <v>Normal</v>
      </c>
      <c r="V220" s="345" t="str">
        <f t="shared" si="84"/>
        <v>Normal</v>
      </c>
      <c r="W220" s="345">
        <f t="shared" si="85"/>
        <v>0</v>
      </c>
      <c r="X220" s="416">
        <f t="shared" si="86"/>
        <v>0</v>
      </c>
      <c r="Y220" s="340"/>
      <c r="Z220" s="340"/>
      <c r="AA220" s="340"/>
      <c r="AB220" s="340"/>
      <c r="AC220" s="338"/>
      <c r="AD220" s="338"/>
      <c r="AE220" s="338"/>
      <c r="AF220" s="338"/>
      <c r="AG220" s="338"/>
      <c r="AH220" s="338"/>
      <c r="AI220" s="338"/>
    </row>
    <row r="221" spans="1:38">
      <c r="A221" s="21">
        <v>45236</v>
      </c>
      <c r="B221" s="17">
        <f>IF(YEAR(Table7[[#This Row],[Date]]) = 2023, WEEKNUM(Table7[[#This Row],[Date]])-13, WEEKNUM(Table7[[#This Row],[Date]])+40)</f>
        <v>32</v>
      </c>
      <c r="C221" s="34" t="s">
        <v>49</v>
      </c>
      <c r="D221" s="35" t="s">
        <v>94</v>
      </c>
      <c r="E221" s="42">
        <v>497</v>
      </c>
      <c r="F221" s="42">
        <v>463</v>
      </c>
      <c r="G221" s="64">
        <f t="shared" si="98"/>
        <v>-6.5789473684210523E-2</v>
      </c>
      <c r="H221" s="64">
        <f t="shared" si="98"/>
        <v>-2.5263157894736842E-2</v>
      </c>
      <c r="I221" s="1"/>
      <c r="J221" s="1"/>
      <c r="K221" s="1"/>
      <c r="L221" s="1"/>
      <c r="M221" s="84">
        <v>0.76</v>
      </c>
      <c r="N221" s="84">
        <v>7.0000000000000007E-2</v>
      </c>
      <c r="O221" s="84">
        <v>0.93</v>
      </c>
      <c r="P221" s="84">
        <v>0.67</v>
      </c>
      <c r="Q221" s="84">
        <v>1</v>
      </c>
      <c r="R221" s="293">
        <v>231</v>
      </c>
      <c r="S221" s="293">
        <v>0</v>
      </c>
      <c r="T221" s="386">
        <v>6</v>
      </c>
      <c r="U221" s="345" t="str">
        <f t="shared" si="83"/>
        <v>Normal</v>
      </c>
      <c r="V221" s="345" t="str">
        <f t="shared" si="84"/>
        <v>Normal</v>
      </c>
      <c r="W221" s="345">
        <f t="shared" si="85"/>
        <v>-6.5789473684210523E-2</v>
      </c>
      <c r="X221" s="416">
        <f t="shared" si="86"/>
        <v>-2.5263157894736842E-2</v>
      </c>
      <c r="Y221" s="340"/>
      <c r="Z221" s="340"/>
      <c r="AA221" s="340"/>
      <c r="AB221" s="340"/>
      <c r="AC221" s="338"/>
      <c r="AD221" s="338"/>
      <c r="AE221" s="338"/>
      <c r="AF221" s="338"/>
      <c r="AG221" s="338"/>
      <c r="AH221" s="338"/>
      <c r="AI221" s="338"/>
    </row>
    <row r="222" spans="1:38">
      <c r="A222" s="21">
        <v>45237</v>
      </c>
      <c r="B222" s="17">
        <f>IF(YEAR(Table7[[#This Row],[Date]]) = 2023, WEEKNUM(Table7[[#This Row],[Date]])-13, WEEKNUM(Table7[[#This Row],[Date]])+40)</f>
        <v>32</v>
      </c>
      <c r="C222" s="33" t="s">
        <v>52</v>
      </c>
      <c r="D222" s="35" t="s">
        <v>94</v>
      </c>
      <c r="E222" s="42">
        <v>477</v>
      </c>
      <c r="F222" s="42">
        <v>451</v>
      </c>
      <c r="G222" s="64">
        <f t="shared" ref="G222:H222" si="99">IFERROR((E222-E215)/E215,0%)</f>
        <v>-0.12637362637362637</v>
      </c>
      <c r="H222" s="64">
        <f t="shared" si="99"/>
        <v>-9.4377510040160636E-2</v>
      </c>
      <c r="I222" s="41"/>
      <c r="J222" s="31"/>
      <c r="K222" s="31"/>
      <c r="L222" s="31"/>
      <c r="M222" s="84">
        <v>0.86</v>
      </c>
      <c r="N222" s="84">
        <v>0.05</v>
      </c>
      <c r="O222" s="84">
        <v>0.95</v>
      </c>
      <c r="P222" s="84">
        <v>0.6</v>
      </c>
      <c r="Q222" s="84">
        <v>1</v>
      </c>
      <c r="R222" s="293">
        <v>230</v>
      </c>
      <c r="S222" s="293">
        <v>0</v>
      </c>
      <c r="T222" s="386">
        <v>6</v>
      </c>
      <c r="U222" s="345" t="str">
        <f t="shared" si="83"/>
        <v>Normal</v>
      </c>
      <c r="V222" s="345" t="str">
        <f t="shared" si="84"/>
        <v>Normal</v>
      </c>
      <c r="W222" s="345">
        <f t="shared" si="85"/>
        <v>-0.12637362637362637</v>
      </c>
      <c r="X222" s="416">
        <f t="shared" si="86"/>
        <v>-9.4377510040160636E-2</v>
      </c>
      <c r="Y222" s="340"/>
      <c r="Z222" s="340"/>
      <c r="AA222" s="340"/>
      <c r="AB222" s="340"/>
      <c r="AC222" s="338"/>
      <c r="AD222" s="338"/>
      <c r="AE222" s="338"/>
      <c r="AF222" s="338"/>
      <c r="AG222" s="338"/>
      <c r="AH222" s="338"/>
      <c r="AI222" s="338"/>
    </row>
    <row r="223" spans="1:38">
      <c r="A223" s="21">
        <v>45238</v>
      </c>
      <c r="B223" s="17">
        <f>IF(YEAR(Table7[[#This Row],[Date]]) = 2023, WEEKNUM(Table7[[#This Row],[Date]])-13, WEEKNUM(Table7[[#This Row],[Date]])+40)</f>
        <v>32</v>
      </c>
      <c r="C223" s="34" t="s">
        <v>50</v>
      </c>
      <c r="D223" s="35" t="s">
        <v>94</v>
      </c>
      <c r="E223" s="42">
        <v>454</v>
      </c>
      <c r="F223" s="42">
        <v>428</v>
      </c>
      <c r="G223" s="64">
        <f t="shared" ref="G223:H225" si="100">IFERROR((E223-E216)/E216,0%)</f>
        <v>0.5709342560553633</v>
      </c>
      <c r="H223" s="64">
        <f t="shared" si="100"/>
        <v>0.53405017921146958</v>
      </c>
      <c r="I223" s="1"/>
      <c r="J223" s="1"/>
      <c r="K223" s="1"/>
      <c r="L223" s="1"/>
      <c r="M223" s="84">
        <v>0.84</v>
      </c>
      <c r="N223" s="84">
        <v>0.06</v>
      </c>
      <c r="O223" s="84">
        <v>0.94</v>
      </c>
      <c r="P223" s="84">
        <v>0.55000000000000004</v>
      </c>
      <c r="Q223" s="84">
        <v>1</v>
      </c>
      <c r="R223" s="293">
        <v>220</v>
      </c>
      <c r="S223" s="293">
        <v>0</v>
      </c>
      <c r="T223" s="386">
        <v>6</v>
      </c>
      <c r="U223" s="345" t="str">
        <f t="shared" si="83"/>
        <v>Normal</v>
      </c>
      <c r="V223" s="345" t="str">
        <f t="shared" si="84"/>
        <v>Normal</v>
      </c>
      <c r="W223" s="345">
        <f t="shared" si="85"/>
        <v>0.5709342560553633</v>
      </c>
      <c r="X223" s="416">
        <f t="shared" si="86"/>
        <v>0.53405017921146958</v>
      </c>
      <c r="Y223" s="340"/>
      <c r="Z223" s="340"/>
      <c r="AA223" s="340"/>
      <c r="AB223" s="340"/>
      <c r="AC223" s="338"/>
      <c r="AD223" s="338"/>
      <c r="AE223" s="338"/>
      <c r="AF223" s="338"/>
      <c r="AG223" s="338"/>
      <c r="AH223" s="338"/>
      <c r="AI223" s="338"/>
    </row>
    <row r="224" spans="1:38">
      <c r="A224" s="21">
        <v>45239</v>
      </c>
      <c r="B224" s="17">
        <f>IF(YEAR(Table7[[#This Row],[Date]]) = 2023, WEEKNUM(Table7[[#This Row],[Date]])-13, WEEKNUM(Table7[[#This Row],[Date]])+40)</f>
        <v>32</v>
      </c>
      <c r="C224" s="33" t="s">
        <v>51</v>
      </c>
      <c r="D224" s="35" t="s">
        <v>94</v>
      </c>
      <c r="E224" s="42">
        <v>408</v>
      </c>
      <c r="F224" s="42">
        <v>400</v>
      </c>
      <c r="G224" s="64">
        <f t="shared" si="100"/>
        <v>-0.11496746203904555</v>
      </c>
      <c r="H224" s="64">
        <f t="shared" si="100"/>
        <v>-8.8838268792710701E-2</v>
      </c>
      <c r="I224" s="41"/>
      <c r="J224" s="31"/>
      <c r="K224" s="31"/>
      <c r="L224" s="31"/>
      <c r="M224" s="84">
        <v>0.94</v>
      </c>
      <c r="N224" s="84">
        <v>0.02</v>
      </c>
      <c r="O224" s="84">
        <v>0.98</v>
      </c>
      <c r="P224" s="84">
        <v>0.51</v>
      </c>
      <c r="Q224" s="84">
        <v>1</v>
      </c>
      <c r="R224" s="293">
        <v>212</v>
      </c>
      <c r="S224" s="293">
        <v>0</v>
      </c>
      <c r="T224" s="386">
        <v>6</v>
      </c>
      <c r="U224" s="345" t="str">
        <f t="shared" si="83"/>
        <v>Normal</v>
      </c>
      <c r="V224" s="345" t="str">
        <f t="shared" si="84"/>
        <v>Normal</v>
      </c>
      <c r="W224" s="345">
        <f t="shared" si="85"/>
        <v>-0.11496746203904555</v>
      </c>
      <c r="X224" s="416">
        <f t="shared" si="86"/>
        <v>-8.8838268792710701E-2</v>
      </c>
      <c r="Y224" s="340"/>
      <c r="Z224" s="340"/>
      <c r="AA224" s="340"/>
      <c r="AB224" s="340"/>
      <c r="AC224" s="338"/>
      <c r="AD224" s="338"/>
      <c r="AE224" s="338"/>
      <c r="AF224" s="338"/>
      <c r="AG224" s="338"/>
      <c r="AH224" s="338"/>
      <c r="AI224" s="338"/>
    </row>
    <row r="225" spans="1:38">
      <c r="A225" s="21">
        <v>45240</v>
      </c>
      <c r="B225" s="17">
        <f>IF(YEAR(Table7[[#This Row],[Date]]) = 2023, WEEKNUM(Table7[[#This Row],[Date]])-13, WEEKNUM(Table7[[#This Row],[Date]])+40)</f>
        <v>32</v>
      </c>
      <c r="C225" s="34" t="s">
        <v>52</v>
      </c>
      <c r="D225" s="35" t="s">
        <v>94</v>
      </c>
      <c r="E225" s="42">
        <v>416</v>
      </c>
      <c r="F225" s="42">
        <v>402</v>
      </c>
      <c r="G225" s="64">
        <f t="shared" si="100"/>
        <v>-7.3496659242761692E-2</v>
      </c>
      <c r="H225" s="64">
        <f t="shared" si="100"/>
        <v>-3.8277511961722487E-2</v>
      </c>
      <c r="I225" s="1"/>
      <c r="J225" s="1"/>
      <c r="K225" s="1"/>
      <c r="L225" s="1"/>
      <c r="M225" s="84">
        <v>0.87</v>
      </c>
      <c r="N225" s="84">
        <v>0.03</v>
      </c>
      <c r="O225" s="84">
        <v>0.97</v>
      </c>
      <c r="P225" s="84">
        <v>0.54</v>
      </c>
      <c r="Q225" s="84">
        <v>1</v>
      </c>
      <c r="R225" s="293">
        <v>233</v>
      </c>
      <c r="S225" s="293">
        <v>0</v>
      </c>
      <c r="T225" s="386">
        <v>6</v>
      </c>
      <c r="U225" s="345" t="str">
        <f t="shared" si="83"/>
        <v>Normal</v>
      </c>
      <c r="V225" s="345" t="str">
        <f t="shared" si="84"/>
        <v>Normal</v>
      </c>
      <c r="W225" s="345">
        <f t="shared" si="85"/>
        <v>-7.3496659242761692E-2</v>
      </c>
      <c r="X225" s="416">
        <f t="shared" si="86"/>
        <v>-3.8277511961722487E-2</v>
      </c>
      <c r="Y225" s="340"/>
      <c r="Z225" s="340"/>
      <c r="AA225" s="340"/>
      <c r="AB225" s="340"/>
      <c r="AC225" s="338"/>
      <c r="AD225" s="338"/>
      <c r="AE225" s="338"/>
      <c r="AF225" s="338"/>
      <c r="AG225" s="338"/>
      <c r="AH225" s="338"/>
      <c r="AI225" s="338"/>
    </row>
    <row r="226" spans="1:38">
      <c r="A226" s="21">
        <v>45241</v>
      </c>
      <c r="B226" s="17">
        <f>IF(YEAR(Table7[[#This Row],[Date]]) = 2023, WEEKNUM(Table7[[#This Row],[Date]])-13, WEEKNUM(Table7[[#This Row],[Date]])+40)</f>
        <v>32</v>
      </c>
      <c r="C226" s="33" t="s">
        <v>54</v>
      </c>
      <c r="D226" s="35" t="s">
        <v>94</v>
      </c>
      <c r="E226" s="42">
        <v>136</v>
      </c>
      <c r="F226" s="42">
        <v>124</v>
      </c>
      <c r="G226" s="64">
        <f t="shared" ref="G226:H226" si="101">IFERROR((E226-E219)/E219,0%)</f>
        <v>-0.25274725274725274</v>
      </c>
      <c r="H226" s="64">
        <f t="shared" si="101"/>
        <v>-0.30337078651685395</v>
      </c>
      <c r="I226" s="41"/>
      <c r="J226" s="31"/>
      <c r="K226" s="31"/>
      <c r="L226" s="31"/>
      <c r="M226" s="84">
        <v>0.86</v>
      </c>
      <c r="N226" s="84">
        <v>0.09</v>
      </c>
      <c r="O226" s="84">
        <v>0.91</v>
      </c>
      <c r="P226" s="84">
        <v>0.36</v>
      </c>
      <c r="Q226" s="84">
        <v>1</v>
      </c>
      <c r="R226" s="293">
        <v>180</v>
      </c>
      <c r="S226" s="293">
        <v>0</v>
      </c>
      <c r="T226" s="386">
        <v>4</v>
      </c>
      <c r="U226" s="345" t="str">
        <f t="shared" si="83"/>
        <v>Normal</v>
      </c>
      <c r="V226" s="345" t="str">
        <f t="shared" si="84"/>
        <v>Normal</v>
      </c>
      <c r="W226" s="345">
        <f t="shared" si="85"/>
        <v>-0.25274725274725274</v>
      </c>
      <c r="X226" s="416">
        <f t="shared" si="86"/>
        <v>-0.30337078651685395</v>
      </c>
      <c r="Y226" s="340"/>
      <c r="Z226" s="340"/>
      <c r="AA226" s="340"/>
      <c r="AB226" s="340"/>
      <c r="AC226" s="338"/>
      <c r="AD226" s="338"/>
      <c r="AE226" s="338"/>
      <c r="AF226" s="338"/>
      <c r="AG226" s="338"/>
      <c r="AH226" s="338"/>
      <c r="AI226" s="338"/>
    </row>
    <row r="227" spans="1:38">
      <c r="A227" s="21">
        <v>45242</v>
      </c>
      <c r="B227" s="17">
        <f>IF(YEAR(Table7[[#This Row],[Date]]) = 2023, WEEKNUM(Table7[[#This Row],[Date]])-13, WEEKNUM(Table7[[#This Row],[Date]])+40)</f>
        <v>33</v>
      </c>
      <c r="C227" s="34" t="s">
        <v>48</v>
      </c>
      <c r="D227" s="35" t="s">
        <v>94</v>
      </c>
      <c r="E227" s="42">
        <v>8</v>
      </c>
      <c r="F227" s="42">
        <v>8</v>
      </c>
      <c r="G227" s="64">
        <f t="shared" ref="G227:H229" si="102">IFERROR((E227-E220)/E220,0%)</f>
        <v>-0.1111111111111111</v>
      </c>
      <c r="H227" s="64">
        <f t="shared" si="102"/>
        <v>-0.1111111111111111</v>
      </c>
      <c r="I227" s="1"/>
      <c r="J227" s="1"/>
      <c r="K227" s="1"/>
      <c r="L227" s="1"/>
      <c r="M227" s="84">
        <v>0.99</v>
      </c>
      <c r="N227" s="84">
        <v>0</v>
      </c>
      <c r="O227" s="84">
        <v>1</v>
      </c>
      <c r="P227" s="84">
        <v>0.04</v>
      </c>
      <c r="Q227" s="84">
        <v>1</v>
      </c>
      <c r="R227" s="293">
        <v>92</v>
      </c>
      <c r="S227" s="293">
        <v>0</v>
      </c>
      <c r="T227" s="386">
        <v>1</v>
      </c>
      <c r="U227" s="345" t="str">
        <f t="shared" si="83"/>
        <v>Normal</v>
      </c>
      <c r="V227" s="345" t="str">
        <f t="shared" si="84"/>
        <v>Normal</v>
      </c>
      <c r="W227" s="345">
        <f t="shared" si="85"/>
        <v>-0.1111111111111111</v>
      </c>
      <c r="X227" s="416">
        <f t="shared" si="86"/>
        <v>-0.1111111111111111</v>
      </c>
      <c r="Y227" s="340"/>
      <c r="Z227" s="340"/>
      <c r="AA227" s="340"/>
      <c r="AB227" s="340"/>
      <c r="AC227" s="338"/>
      <c r="AD227" s="338"/>
      <c r="AE227" s="338"/>
      <c r="AF227" s="338"/>
      <c r="AG227" s="338"/>
      <c r="AH227" s="338"/>
      <c r="AI227" s="338"/>
    </row>
    <row r="228" spans="1:38">
      <c r="A228" s="21">
        <v>45243</v>
      </c>
      <c r="B228" s="17">
        <f>IF(YEAR(Table7[[#This Row],[Date]]) = 2023, WEEKNUM(Table7[[#This Row],[Date]])-13, WEEKNUM(Table7[[#This Row],[Date]])+40)</f>
        <v>33</v>
      </c>
      <c r="C228" s="33" t="s">
        <v>49</v>
      </c>
      <c r="D228" s="35" t="s">
        <v>94</v>
      </c>
      <c r="E228" s="42">
        <v>505</v>
      </c>
      <c r="F228" s="42">
        <v>491</v>
      </c>
      <c r="G228" s="64">
        <f t="shared" si="102"/>
        <v>1.6096579476861168E-2</v>
      </c>
      <c r="H228" s="64">
        <f t="shared" si="102"/>
        <v>6.0475161987041039E-2</v>
      </c>
      <c r="I228" s="41"/>
      <c r="J228" s="31"/>
      <c r="K228" s="31"/>
      <c r="L228" s="31"/>
      <c r="M228" s="84">
        <v>0.88</v>
      </c>
      <c r="N228" s="84">
        <v>0.03</v>
      </c>
      <c r="O228" s="84">
        <v>0.97</v>
      </c>
      <c r="P228" s="84">
        <v>0.64</v>
      </c>
      <c r="Q228" s="84">
        <v>1</v>
      </c>
      <c r="R228" s="293">
        <v>220</v>
      </c>
      <c r="S228" s="293">
        <v>0</v>
      </c>
      <c r="T228" s="386">
        <v>6</v>
      </c>
      <c r="U228" s="345" t="str">
        <f t="shared" si="83"/>
        <v>Normal</v>
      </c>
      <c r="V228" s="345" t="str">
        <f t="shared" si="84"/>
        <v>Normal</v>
      </c>
      <c r="W228" s="345">
        <f t="shared" si="85"/>
        <v>1.6096579476861168E-2</v>
      </c>
      <c r="X228" s="416">
        <f t="shared" si="86"/>
        <v>6.0475161987041039E-2</v>
      </c>
      <c r="Y228" s="340"/>
      <c r="Z228" s="340"/>
      <c r="AA228" s="340"/>
      <c r="AB228" s="340"/>
      <c r="AC228" s="338"/>
      <c r="AD228" s="338"/>
      <c r="AE228" s="338"/>
      <c r="AF228" s="338"/>
      <c r="AG228" s="338"/>
      <c r="AH228" s="338"/>
      <c r="AI228" s="338"/>
    </row>
    <row r="229" spans="1:38">
      <c r="A229" s="21">
        <v>45244</v>
      </c>
      <c r="B229" s="17">
        <f>IF(YEAR(Table7[[#This Row],[Date]]) = 2023, WEEKNUM(Table7[[#This Row],[Date]])-13, WEEKNUM(Table7[[#This Row],[Date]])+40)</f>
        <v>33</v>
      </c>
      <c r="C229" s="34" t="s">
        <v>50</v>
      </c>
      <c r="D229" s="35" t="s">
        <v>94</v>
      </c>
      <c r="E229" s="42">
        <v>435</v>
      </c>
      <c r="F229" s="202">
        <v>417.59999999999997</v>
      </c>
      <c r="G229" s="64">
        <f t="shared" si="102"/>
        <v>-8.8050314465408799E-2</v>
      </c>
      <c r="H229" s="64">
        <f t="shared" si="102"/>
        <v>-7.4057649667405842E-2</v>
      </c>
      <c r="I229" s="1"/>
      <c r="J229" s="1"/>
      <c r="K229" s="1"/>
      <c r="L229" s="1"/>
      <c r="M229" s="84">
        <v>0.91</v>
      </c>
      <c r="N229" s="84">
        <v>0.04</v>
      </c>
      <c r="O229" s="84">
        <v>0.96</v>
      </c>
      <c r="P229" s="84">
        <v>0.56000000000000005</v>
      </c>
      <c r="Q229" s="84">
        <v>1</v>
      </c>
      <c r="R229" s="293">
        <v>211</v>
      </c>
      <c r="S229" s="293">
        <v>0</v>
      </c>
      <c r="T229" s="386">
        <v>6</v>
      </c>
      <c r="U229" s="345" t="str">
        <f t="shared" si="83"/>
        <v>Normal</v>
      </c>
      <c r="V229" s="345" t="str">
        <f t="shared" si="84"/>
        <v>Normal</v>
      </c>
      <c r="W229" s="345">
        <f t="shared" si="85"/>
        <v>-8.8050314465408799E-2</v>
      </c>
      <c r="X229" s="416">
        <f t="shared" si="86"/>
        <v>-7.4057649667405842E-2</v>
      </c>
      <c r="Y229" s="340"/>
      <c r="Z229" s="340"/>
      <c r="AA229" s="340"/>
      <c r="AB229" s="340"/>
      <c r="AC229" s="338"/>
      <c r="AD229" s="338"/>
      <c r="AE229" s="338"/>
      <c r="AF229" s="338"/>
      <c r="AG229" s="338"/>
      <c r="AH229" s="338"/>
      <c r="AI229" s="338"/>
    </row>
    <row r="230" spans="1:38">
      <c r="A230" s="21">
        <v>45245</v>
      </c>
      <c r="B230" s="17">
        <f>IF(YEAR(Table7[[#This Row],[Date]]) = 2023, WEEKNUM(Table7[[#This Row],[Date]])-13, WEEKNUM(Table7[[#This Row],[Date]])+40)</f>
        <v>33</v>
      </c>
      <c r="C230" s="33" t="s">
        <v>51</v>
      </c>
      <c r="D230" s="35" t="s">
        <v>94</v>
      </c>
      <c r="E230" s="42">
        <v>476</v>
      </c>
      <c r="F230" s="202">
        <v>456.96</v>
      </c>
      <c r="G230" s="64">
        <f t="shared" ref="G230:H230" si="103">IFERROR((E230-E223)/E223,0%)</f>
        <v>4.8458149779735685E-2</v>
      </c>
      <c r="H230" s="64">
        <f t="shared" si="103"/>
        <v>6.766355140186911E-2</v>
      </c>
      <c r="I230" s="1"/>
      <c r="J230" s="1"/>
      <c r="K230" s="1"/>
      <c r="L230" s="1"/>
      <c r="M230" s="84">
        <v>0.86</v>
      </c>
      <c r="N230" s="84">
        <v>0.04</v>
      </c>
      <c r="O230" s="84">
        <v>0.96</v>
      </c>
      <c r="P230" s="84">
        <v>0.62</v>
      </c>
      <c r="Q230" s="84">
        <v>1</v>
      </c>
      <c r="R230" s="293">
        <v>223</v>
      </c>
      <c r="S230" s="293">
        <v>0</v>
      </c>
      <c r="T230" s="386">
        <v>6</v>
      </c>
      <c r="U230" s="345" t="str">
        <f t="shared" si="83"/>
        <v>Normal</v>
      </c>
      <c r="V230" s="345" t="str">
        <f t="shared" si="84"/>
        <v>Normal</v>
      </c>
      <c r="W230" s="345">
        <f t="shared" si="85"/>
        <v>4.8458149779735685E-2</v>
      </c>
      <c r="X230" s="416">
        <f t="shared" si="86"/>
        <v>6.766355140186911E-2</v>
      </c>
      <c r="Y230" s="340"/>
      <c r="Z230" s="340"/>
      <c r="AA230" s="340"/>
      <c r="AB230" s="340"/>
      <c r="AC230" s="338"/>
      <c r="AD230" s="338"/>
      <c r="AE230" s="338"/>
      <c r="AF230" s="338"/>
      <c r="AG230" s="338"/>
      <c r="AH230" s="338"/>
      <c r="AI230" s="338"/>
    </row>
    <row r="231" spans="1:38">
      <c r="A231" s="21">
        <v>45246</v>
      </c>
      <c r="B231" s="17">
        <f>IF(YEAR(Table7[[#This Row],[Date]]) = 2023, WEEKNUM(Table7[[#This Row],[Date]])-13, WEEKNUM(Table7[[#This Row],[Date]])+40)</f>
        <v>33</v>
      </c>
      <c r="C231" s="34" t="s">
        <v>52</v>
      </c>
      <c r="D231" s="35" t="s">
        <v>94</v>
      </c>
      <c r="E231" s="42">
        <v>518</v>
      </c>
      <c r="F231" s="202">
        <v>502.46</v>
      </c>
      <c r="G231" s="64">
        <f t="shared" ref="G231:H233" si="104">IFERROR((E231-E224)/E224,0%)</f>
        <v>0.26960784313725489</v>
      </c>
      <c r="H231" s="64">
        <f t="shared" si="104"/>
        <v>0.25614999999999993</v>
      </c>
      <c r="I231" s="1"/>
      <c r="J231" s="1"/>
      <c r="K231" s="1"/>
      <c r="L231" s="1"/>
      <c r="M231" s="84">
        <v>0.93</v>
      </c>
      <c r="N231" s="84">
        <v>0.03</v>
      </c>
      <c r="O231" s="84">
        <v>0.97</v>
      </c>
      <c r="P231" s="84">
        <v>0.56999999999999995</v>
      </c>
      <c r="Q231" s="84">
        <v>1</v>
      </c>
      <c r="R231" s="293">
        <v>213</v>
      </c>
      <c r="S231" s="293">
        <v>0</v>
      </c>
      <c r="T231" s="386">
        <v>6</v>
      </c>
      <c r="U231" s="345" t="str">
        <f t="shared" si="83"/>
        <v>Normal</v>
      </c>
      <c r="V231" s="345" t="str">
        <f t="shared" si="84"/>
        <v>Normal</v>
      </c>
      <c r="W231" s="345">
        <f t="shared" si="85"/>
        <v>0.26960784313725489</v>
      </c>
      <c r="X231" s="416">
        <f t="shared" si="86"/>
        <v>0.25614999999999993</v>
      </c>
      <c r="Y231" s="340"/>
      <c r="Z231" s="340"/>
      <c r="AA231" s="340"/>
      <c r="AB231" s="340"/>
      <c r="AC231" s="338"/>
      <c r="AD231" s="338"/>
      <c r="AE231" s="338"/>
      <c r="AF231" s="338"/>
      <c r="AG231" s="338"/>
      <c r="AH231" s="338"/>
      <c r="AI231" s="338"/>
      <c r="AJ231">
        <v>1</v>
      </c>
    </row>
    <row r="232" spans="1:38">
      <c r="A232" s="21">
        <v>45247</v>
      </c>
      <c r="B232" s="17">
        <f>IF(YEAR(Table7[[#This Row],[Date]]) = 2023, WEEKNUM(Table7[[#This Row],[Date]])-13, WEEKNUM(Table7[[#This Row],[Date]])+40)</f>
        <v>33</v>
      </c>
      <c r="C232" s="33" t="s">
        <v>53</v>
      </c>
      <c r="D232" s="35" t="s">
        <v>94</v>
      </c>
      <c r="E232" s="42">
        <v>481</v>
      </c>
      <c r="F232" s="202">
        <v>452.14</v>
      </c>
      <c r="G232" s="64">
        <f t="shared" si="104"/>
        <v>0.15625</v>
      </c>
      <c r="H232" s="64">
        <f t="shared" si="104"/>
        <v>0.12472636815920395</v>
      </c>
      <c r="I232" s="1"/>
      <c r="J232" s="1"/>
      <c r="K232" s="1"/>
      <c r="L232" s="1"/>
      <c r="M232" s="84">
        <v>0.86</v>
      </c>
      <c r="N232" s="84">
        <v>0.06</v>
      </c>
      <c r="O232" s="84">
        <v>0.94</v>
      </c>
      <c r="P232" s="84">
        <v>0.53</v>
      </c>
      <c r="Q232" s="84">
        <v>1</v>
      </c>
      <c r="R232" s="293">
        <v>211</v>
      </c>
      <c r="S232" s="293">
        <v>0</v>
      </c>
      <c r="T232" s="386">
        <v>7</v>
      </c>
      <c r="U232" s="345" t="str">
        <f t="shared" si="83"/>
        <v>Normal</v>
      </c>
      <c r="V232" s="345" t="str">
        <f t="shared" si="84"/>
        <v>Normal</v>
      </c>
      <c r="W232" s="345">
        <f t="shared" si="85"/>
        <v>0.15625</v>
      </c>
      <c r="X232" s="416">
        <f t="shared" si="86"/>
        <v>0.12472636815920395</v>
      </c>
      <c r="Y232" s="340"/>
      <c r="Z232" s="340"/>
      <c r="AA232" s="340"/>
      <c r="AB232" s="340"/>
      <c r="AC232" s="338"/>
      <c r="AD232" s="338"/>
      <c r="AE232" s="338"/>
      <c r="AF232" s="338"/>
      <c r="AG232" s="338"/>
      <c r="AH232" s="338"/>
      <c r="AI232" s="338"/>
    </row>
    <row r="233" spans="1:38">
      <c r="A233" s="21">
        <v>45248</v>
      </c>
      <c r="B233" s="17">
        <f>IF(YEAR(Table7[[#This Row],[Date]]) = 2023, WEEKNUM(Table7[[#This Row],[Date]])-13, WEEKNUM(Table7[[#This Row],[Date]])+40)</f>
        <v>33</v>
      </c>
      <c r="C233" s="34" t="s">
        <v>54</v>
      </c>
      <c r="D233" s="35" t="s">
        <v>94</v>
      </c>
      <c r="E233" s="42">
        <v>238</v>
      </c>
      <c r="F233" s="202">
        <v>235.62</v>
      </c>
      <c r="G233" s="64">
        <f t="shared" si="104"/>
        <v>0.75</v>
      </c>
      <c r="H233" s="64">
        <f t="shared" si="104"/>
        <v>0.90016129032258063</v>
      </c>
      <c r="I233" s="1"/>
      <c r="J233" s="1"/>
      <c r="K233" s="1"/>
      <c r="L233" s="1"/>
      <c r="M233" s="84">
        <v>0.96</v>
      </c>
      <c r="N233" s="84">
        <v>0.01</v>
      </c>
      <c r="O233" s="84">
        <v>0.99</v>
      </c>
      <c r="P233" s="84">
        <v>0.64</v>
      </c>
      <c r="Q233" s="84">
        <v>1</v>
      </c>
      <c r="R233" s="293">
        <v>220</v>
      </c>
      <c r="S233" s="293">
        <v>0</v>
      </c>
      <c r="T233" s="386">
        <v>4</v>
      </c>
      <c r="U233" s="345" t="str">
        <f t="shared" si="83"/>
        <v>Normal</v>
      </c>
      <c r="V233" s="345" t="str">
        <f t="shared" si="84"/>
        <v>Normal</v>
      </c>
      <c r="W233" s="345">
        <f t="shared" si="85"/>
        <v>0.75</v>
      </c>
      <c r="X233" s="416">
        <f t="shared" si="86"/>
        <v>0.90016129032258063</v>
      </c>
      <c r="Y233" s="340"/>
      <c r="Z233" s="340"/>
      <c r="AA233" s="340"/>
      <c r="AB233" s="340"/>
      <c r="AC233" s="338"/>
      <c r="AD233" s="338"/>
      <c r="AE233" s="338"/>
      <c r="AF233" s="338"/>
      <c r="AG233" s="338"/>
      <c r="AH233" s="338"/>
      <c r="AI233" s="338"/>
    </row>
    <row r="234" spans="1:38">
      <c r="A234" s="21">
        <v>45249</v>
      </c>
      <c r="B234" s="17">
        <f>IF(YEAR(Table7[[#This Row],[Date]]) = 2023, WEEKNUM(Table7[[#This Row],[Date]])-13, WEEKNUM(Table7[[#This Row],[Date]])+40)</f>
        <v>34</v>
      </c>
      <c r="C234" s="33" t="s">
        <v>48</v>
      </c>
      <c r="D234" s="35" t="s">
        <v>94</v>
      </c>
      <c r="E234" s="42">
        <v>20</v>
      </c>
      <c r="F234" s="42">
        <v>20</v>
      </c>
      <c r="G234" s="64">
        <f t="shared" ref="G234:H234" si="105">IFERROR((E234-E227)/E227,0%)</f>
        <v>1.5</v>
      </c>
      <c r="H234" s="64">
        <f t="shared" si="105"/>
        <v>1.5</v>
      </c>
      <c r="I234" s="1"/>
      <c r="J234" s="1"/>
      <c r="K234" s="1"/>
      <c r="L234" s="1"/>
      <c r="M234" s="84">
        <v>0.95</v>
      </c>
      <c r="N234" s="84">
        <v>0</v>
      </c>
      <c r="O234" s="84">
        <v>1</v>
      </c>
      <c r="P234" s="84">
        <v>0.17</v>
      </c>
      <c r="Q234" s="84">
        <v>1</v>
      </c>
      <c r="R234" s="293">
        <v>138</v>
      </c>
      <c r="S234" s="293">
        <v>0</v>
      </c>
      <c r="T234" s="386">
        <v>1</v>
      </c>
      <c r="U234" s="345" t="str">
        <f t="shared" si="83"/>
        <v>Normal</v>
      </c>
      <c r="V234" s="345" t="str">
        <f t="shared" si="84"/>
        <v>Normal</v>
      </c>
      <c r="W234" s="345">
        <f t="shared" si="85"/>
        <v>1.5</v>
      </c>
      <c r="X234" s="416">
        <f t="shared" si="86"/>
        <v>1.5</v>
      </c>
      <c r="Y234" s="340"/>
      <c r="Z234" s="340"/>
      <c r="AA234" s="340"/>
      <c r="AB234" s="340"/>
      <c r="AC234" s="338"/>
      <c r="AD234" s="338"/>
      <c r="AE234" s="338"/>
      <c r="AF234" s="338"/>
      <c r="AG234" s="338"/>
      <c r="AH234" s="338"/>
      <c r="AI234" s="338"/>
    </row>
    <row r="235" spans="1:38">
      <c r="A235" s="21">
        <v>45250</v>
      </c>
      <c r="B235" s="17">
        <f>IF(YEAR(Table7[[#This Row],[Date]]) = 2023, WEEKNUM(Table7[[#This Row],[Date]])-13, WEEKNUM(Table7[[#This Row],[Date]])+40)</f>
        <v>34</v>
      </c>
      <c r="C235" s="34" t="s">
        <v>49</v>
      </c>
      <c r="D235" s="35" t="s">
        <v>94</v>
      </c>
      <c r="E235" s="42">
        <v>638</v>
      </c>
      <c r="F235" s="42">
        <v>609</v>
      </c>
      <c r="G235" s="64">
        <f t="shared" ref="G235:H237" si="106">IFERROR((E235-E228)/E228,0%)</f>
        <v>0.26336633663366338</v>
      </c>
      <c r="H235" s="64">
        <f t="shared" si="106"/>
        <v>0.24032586558044808</v>
      </c>
      <c r="I235" s="1"/>
      <c r="J235" s="1"/>
      <c r="K235" s="1"/>
      <c r="L235" s="1"/>
      <c r="M235" s="84">
        <v>0.86</v>
      </c>
      <c r="N235" s="84">
        <v>0.05</v>
      </c>
      <c r="O235" s="84">
        <v>0.95</v>
      </c>
      <c r="P235" s="84">
        <v>0.67</v>
      </c>
      <c r="Q235" s="84">
        <v>1</v>
      </c>
      <c r="R235" s="293">
        <v>214</v>
      </c>
      <c r="S235" s="293">
        <v>0</v>
      </c>
      <c r="T235" s="386">
        <v>7</v>
      </c>
      <c r="U235" s="345" t="str">
        <f t="shared" si="83"/>
        <v>Normal</v>
      </c>
      <c r="V235" s="345" t="str">
        <f t="shared" si="84"/>
        <v>Normal</v>
      </c>
      <c r="W235" s="345">
        <f t="shared" si="85"/>
        <v>0.26336633663366338</v>
      </c>
      <c r="X235" s="416">
        <f t="shared" si="86"/>
        <v>0.24032586558044808</v>
      </c>
      <c r="Y235" s="340"/>
      <c r="Z235" s="340"/>
      <c r="AA235" s="340"/>
      <c r="AB235" s="340"/>
      <c r="AC235" s="338"/>
      <c r="AD235" s="338"/>
      <c r="AE235" s="338"/>
      <c r="AF235" s="338"/>
      <c r="AG235" s="338"/>
      <c r="AH235" s="338"/>
      <c r="AI235" s="338"/>
      <c r="AJ235" s="48"/>
      <c r="AK235" s="48"/>
      <c r="AL235" s="48"/>
    </row>
    <row r="236" spans="1:38">
      <c r="A236" s="21">
        <v>45251</v>
      </c>
      <c r="B236" s="17">
        <f>IF(YEAR(Table7[[#This Row],[Date]]) = 2023, WEEKNUM(Table7[[#This Row],[Date]])-13, WEEKNUM(Table7[[#This Row],[Date]])+40)</f>
        <v>34</v>
      </c>
      <c r="C236" s="33" t="s">
        <v>50</v>
      </c>
      <c r="D236" s="35" t="s">
        <v>94</v>
      </c>
      <c r="E236" s="42">
        <v>556</v>
      </c>
      <c r="F236" s="42">
        <v>526</v>
      </c>
      <c r="G236" s="64">
        <f t="shared" si="106"/>
        <v>0.27816091954022987</v>
      </c>
      <c r="H236" s="64">
        <f t="shared" si="106"/>
        <v>0.25957854406130276</v>
      </c>
      <c r="I236" s="1"/>
      <c r="J236" s="1"/>
      <c r="K236" s="1"/>
      <c r="L236" s="1"/>
      <c r="M236" s="84">
        <v>0.83</v>
      </c>
      <c r="N236" s="84">
        <v>0.05</v>
      </c>
      <c r="O236" s="84">
        <v>0.95</v>
      </c>
      <c r="P236" s="84">
        <v>0.72</v>
      </c>
      <c r="Q236" s="84">
        <v>1</v>
      </c>
      <c r="R236" s="293">
        <v>234</v>
      </c>
      <c r="S236" s="293">
        <v>0</v>
      </c>
      <c r="T236" s="386">
        <v>6</v>
      </c>
      <c r="U236" s="345" t="str">
        <f t="shared" si="83"/>
        <v>Normal</v>
      </c>
      <c r="V236" s="345" t="str">
        <f t="shared" si="84"/>
        <v>Normal</v>
      </c>
      <c r="W236" s="345">
        <f t="shared" si="85"/>
        <v>0.27816091954022987</v>
      </c>
      <c r="X236" s="416">
        <f t="shared" si="86"/>
        <v>0.25957854406130276</v>
      </c>
      <c r="Y236" s="340"/>
      <c r="Z236" s="340"/>
      <c r="AA236" s="340"/>
      <c r="AB236" s="340"/>
      <c r="AC236" s="338"/>
      <c r="AD236" s="338"/>
      <c r="AE236" s="338"/>
      <c r="AF236" s="338"/>
      <c r="AG236" s="338"/>
      <c r="AH236" s="338"/>
      <c r="AI236" s="338"/>
    </row>
    <row r="237" spans="1:38">
      <c r="A237" s="21">
        <v>45252</v>
      </c>
      <c r="B237" s="17">
        <f>IF(YEAR(Table7[[#This Row],[Date]]) = 2023, WEEKNUM(Table7[[#This Row],[Date]])-13, WEEKNUM(Table7[[#This Row],[Date]])+40)</f>
        <v>34</v>
      </c>
      <c r="C237" s="34" t="s">
        <v>51</v>
      </c>
      <c r="D237" s="35" t="s">
        <v>94</v>
      </c>
      <c r="E237" s="42">
        <v>579</v>
      </c>
      <c r="F237" s="42">
        <v>564</v>
      </c>
      <c r="G237" s="64">
        <f t="shared" si="106"/>
        <v>0.21638655462184875</v>
      </c>
      <c r="H237" s="64">
        <f t="shared" si="106"/>
        <v>0.23424369747899165</v>
      </c>
      <c r="I237" s="1"/>
      <c r="J237" s="1"/>
      <c r="K237" s="1"/>
      <c r="L237" s="1"/>
      <c r="M237" s="84">
        <v>0.91</v>
      </c>
      <c r="N237" s="84">
        <v>0.03</v>
      </c>
      <c r="O237" s="84">
        <v>0.97</v>
      </c>
      <c r="P237" s="84">
        <v>0.62</v>
      </c>
      <c r="Q237" s="84">
        <v>1</v>
      </c>
      <c r="R237" s="293">
        <v>204</v>
      </c>
      <c r="S237" s="293">
        <v>0</v>
      </c>
      <c r="T237" s="386">
        <v>7</v>
      </c>
      <c r="U237" s="345" t="str">
        <f t="shared" si="83"/>
        <v>Normal</v>
      </c>
      <c r="V237" s="345" t="str">
        <f t="shared" si="84"/>
        <v>Normal</v>
      </c>
      <c r="W237" s="345">
        <f t="shared" si="85"/>
        <v>0.21638655462184875</v>
      </c>
      <c r="X237" s="416">
        <f t="shared" si="86"/>
        <v>0.23424369747899165</v>
      </c>
      <c r="Y237" s="340"/>
      <c r="Z237" s="340"/>
      <c r="AA237" s="340"/>
      <c r="AB237" s="340"/>
      <c r="AC237" s="338"/>
      <c r="AD237" s="338"/>
      <c r="AE237" s="338"/>
      <c r="AF237" s="338"/>
      <c r="AG237" s="338"/>
      <c r="AH237" s="338"/>
      <c r="AI237" s="338"/>
    </row>
    <row r="238" spans="1:38">
      <c r="A238" s="21">
        <v>45253</v>
      </c>
      <c r="B238" s="17">
        <f>IF(YEAR(Table7[[#This Row],[Date]]) = 2023, WEEKNUM(Table7[[#This Row],[Date]])-13, WEEKNUM(Table7[[#This Row],[Date]])+40)</f>
        <v>34</v>
      </c>
      <c r="C238" s="33" t="s">
        <v>52</v>
      </c>
      <c r="D238" s="35" t="s">
        <v>94</v>
      </c>
      <c r="E238" s="42">
        <v>329</v>
      </c>
      <c r="F238" s="42">
        <v>312</v>
      </c>
      <c r="G238" s="64">
        <f t="shared" ref="G238:H238" si="107">IFERROR((E238-E231)/E231,0%)</f>
        <v>-0.36486486486486486</v>
      </c>
      <c r="H238" s="64">
        <f t="shared" si="107"/>
        <v>-0.37905504915814192</v>
      </c>
      <c r="I238" s="1"/>
      <c r="J238" s="1"/>
      <c r="K238" s="1"/>
      <c r="L238" s="1"/>
      <c r="M238" s="84">
        <v>0.86</v>
      </c>
      <c r="N238" s="84">
        <v>0.05</v>
      </c>
      <c r="O238" s="84">
        <v>0.95</v>
      </c>
      <c r="P238" s="84">
        <v>0.47</v>
      </c>
      <c r="Q238" s="84">
        <v>1</v>
      </c>
      <c r="R238" s="293">
        <v>227</v>
      </c>
      <c r="S238" s="293">
        <v>0</v>
      </c>
      <c r="T238" s="386">
        <v>7</v>
      </c>
      <c r="U238" s="345" t="str">
        <f t="shared" si="83"/>
        <v>Normal</v>
      </c>
      <c r="V238" s="345" t="str">
        <f t="shared" si="84"/>
        <v>Normal</v>
      </c>
      <c r="W238" s="345">
        <f t="shared" si="85"/>
        <v>-0.36486486486486486</v>
      </c>
      <c r="X238" s="416">
        <f t="shared" si="86"/>
        <v>-0.37905504915814192</v>
      </c>
      <c r="Y238" s="340"/>
      <c r="Z238" s="340"/>
      <c r="AA238" s="340"/>
      <c r="AB238" s="340"/>
      <c r="AC238" s="338"/>
      <c r="AD238" s="338"/>
      <c r="AE238" s="338"/>
      <c r="AF238" s="338"/>
      <c r="AG238" s="338"/>
      <c r="AH238" s="338"/>
      <c r="AI238" s="338"/>
    </row>
    <row r="239" spans="1:38">
      <c r="A239" s="21">
        <v>45254</v>
      </c>
      <c r="B239" s="17">
        <f>IF(YEAR(Table7[[#This Row],[Date]]) = 2023, WEEKNUM(Table7[[#This Row],[Date]])-13, WEEKNUM(Table7[[#This Row],[Date]])+40)</f>
        <v>34</v>
      </c>
      <c r="C239" s="34" t="s">
        <v>53</v>
      </c>
      <c r="D239" s="35" t="s">
        <v>94</v>
      </c>
      <c r="E239" s="42">
        <v>685</v>
      </c>
      <c r="F239" s="42">
        <v>650</v>
      </c>
      <c r="G239" s="64">
        <f t="shared" ref="G239:H240" si="108">IFERROR((E239-E232)/E232,0%)</f>
        <v>0.42411642411642414</v>
      </c>
      <c r="H239" s="64">
        <f t="shared" si="108"/>
        <v>0.43760782058654402</v>
      </c>
      <c r="I239" s="1"/>
      <c r="J239" s="1"/>
      <c r="K239" s="1"/>
      <c r="L239" s="1"/>
      <c r="M239" s="84">
        <v>0.88</v>
      </c>
      <c r="N239" s="84">
        <v>0.05</v>
      </c>
      <c r="O239" s="84">
        <v>0.95</v>
      </c>
      <c r="P239" s="84">
        <v>0.42</v>
      </c>
      <c r="Q239" s="84">
        <v>1</v>
      </c>
      <c r="R239" s="293">
        <v>202</v>
      </c>
      <c r="S239" s="293">
        <v>0</v>
      </c>
      <c r="T239" s="386">
        <v>7</v>
      </c>
      <c r="U239" s="345" t="str">
        <f t="shared" si="83"/>
        <v>Normal</v>
      </c>
      <c r="V239" s="345" t="str">
        <f t="shared" si="84"/>
        <v>Normal</v>
      </c>
      <c r="W239" s="345">
        <f t="shared" si="85"/>
        <v>0.42411642411642414</v>
      </c>
      <c r="X239" s="416">
        <f t="shared" si="86"/>
        <v>0.43760782058654402</v>
      </c>
      <c r="Y239" s="340"/>
      <c r="Z239" s="340"/>
      <c r="AA239" s="340"/>
      <c r="AB239" s="340"/>
      <c r="AC239" s="338"/>
      <c r="AD239" s="338"/>
      <c r="AE239" s="338"/>
      <c r="AF239" s="338"/>
      <c r="AG239" s="338"/>
      <c r="AH239" s="338"/>
      <c r="AI239" s="338"/>
    </row>
    <row r="240" spans="1:38">
      <c r="A240" s="21">
        <v>45255</v>
      </c>
      <c r="B240" s="17">
        <f>IF(YEAR(Table7[[#This Row],[Date]]) = 2023, WEEKNUM(Table7[[#This Row],[Date]])-13, WEEKNUM(Table7[[#This Row],[Date]])+40)</f>
        <v>34</v>
      </c>
      <c r="C240" s="33" t="s">
        <v>54</v>
      </c>
      <c r="D240" s="35" t="s">
        <v>94</v>
      </c>
      <c r="E240" s="42">
        <v>286</v>
      </c>
      <c r="F240" s="42">
        <v>283</v>
      </c>
      <c r="G240" s="64">
        <f t="shared" si="108"/>
        <v>0.20168067226890757</v>
      </c>
      <c r="H240" s="64">
        <f t="shared" si="108"/>
        <v>0.20108649520414223</v>
      </c>
      <c r="I240" s="1"/>
      <c r="J240" s="1"/>
      <c r="K240" s="1"/>
      <c r="L240" s="1"/>
      <c r="M240" s="84">
        <v>0.95</v>
      </c>
      <c r="N240" s="84">
        <v>0.01</v>
      </c>
      <c r="O240" s="84">
        <v>0.99</v>
      </c>
      <c r="P240" s="84">
        <v>0.35</v>
      </c>
      <c r="Q240" s="84">
        <v>1</v>
      </c>
      <c r="R240" s="293">
        <v>200</v>
      </c>
      <c r="S240" s="293">
        <v>0</v>
      </c>
      <c r="T240" s="386">
        <v>6</v>
      </c>
      <c r="U240" s="345" t="str">
        <f t="shared" si="83"/>
        <v>Normal</v>
      </c>
      <c r="V240" s="345" t="str">
        <f t="shared" si="84"/>
        <v>Normal</v>
      </c>
      <c r="W240" s="345">
        <f t="shared" si="85"/>
        <v>0.20168067226890757</v>
      </c>
      <c r="X240" s="416">
        <f t="shared" si="86"/>
        <v>0.20108649520414223</v>
      </c>
      <c r="Y240" s="340"/>
      <c r="Z240" s="340"/>
      <c r="AA240" s="340"/>
      <c r="AB240" s="340"/>
      <c r="AC240" s="338"/>
      <c r="AD240" s="338"/>
      <c r="AE240" s="338"/>
      <c r="AF240" s="338"/>
      <c r="AG240" s="338"/>
      <c r="AH240" s="338"/>
      <c r="AI240" s="338"/>
    </row>
    <row r="241" spans="1:38">
      <c r="A241" s="21">
        <v>45256</v>
      </c>
      <c r="B241" s="17">
        <f>IF(YEAR(Table7[[#This Row],[Date]]) = 2023, WEEKNUM(Table7[[#This Row],[Date]])-13, WEEKNUM(Table7[[#This Row],[Date]])+40)</f>
        <v>35</v>
      </c>
      <c r="C241" s="34" t="s">
        <v>48</v>
      </c>
      <c r="D241" s="35" t="s">
        <v>94</v>
      </c>
      <c r="E241" s="42">
        <v>0</v>
      </c>
      <c r="F241" s="42">
        <v>0</v>
      </c>
      <c r="G241" s="64">
        <v>0</v>
      </c>
      <c r="H241" s="64">
        <v>0</v>
      </c>
      <c r="I241" s="1"/>
      <c r="J241" s="1"/>
      <c r="K241" s="1"/>
      <c r="L241" s="1"/>
      <c r="M241" s="84">
        <v>0</v>
      </c>
      <c r="N241" s="84">
        <v>0</v>
      </c>
      <c r="O241" s="84">
        <v>0</v>
      </c>
      <c r="P241" s="84">
        <v>0</v>
      </c>
      <c r="Q241" s="84">
        <v>0</v>
      </c>
      <c r="R241" s="293">
        <v>0</v>
      </c>
      <c r="S241" s="293">
        <v>0</v>
      </c>
      <c r="T241" s="386">
        <v>0</v>
      </c>
      <c r="U241" s="345" t="str">
        <f t="shared" si="83"/>
        <v>Normal</v>
      </c>
      <c r="V241" s="345" t="str">
        <f t="shared" si="84"/>
        <v>Normal</v>
      </c>
      <c r="W241" s="345">
        <f t="shared" si="85"/>
        <v>0</v>
      </c>
      <c r="X241" s="416">
        <f t="shared" si="86"/>
        <v>0</v>
      </c>
      <c r="Y241" s="340"/>
      <c r="Z241" s="340"/>
      <c r="AA241" s="340"/>
      <c r="AB241" s="340"/>
      <c r="AC241" s="338"/>
      <c r="AD241" s="338"/>
      <c r="AE241" s="338"/>
      <c r="AF241" s="338"/>
      <c r="AG241" s="338"/>
      <c r="AH241" s="338"/>
      <c r="AI241" s="338"/>
    </row>
    <row r="242" spans="1:38">
      <c r="A242" s="21">
        <v>45257</v>
      </c>
      <c r="B242" s="17">
        <f>IF(YEAR(Table7[[#This Row],[Date]]) = 2023, WEEKNUM(Table7[[#This Row],[Date]])-13, WEEKNUM(Table7[[#This Row],[Date]])+40)</f>
        <v>35</v>
      </c>
      <c r="C242" s="33" t="s">
        <v>49</v>
      </c>
      <c r="D242" s="35" t="s">
        <v>94</v>
      </c>
      <c r="E242" s="42">
        <v>890</v>
      </c>
      <c r="F242" s="42">
        <v>754</v>
      </c>
      <c r="G242" s="64">
        <f t="shared" ref="G242:H242" si="109">IFERROR((E242-E235)/E235,0%)</f>
        <v>0.39498432601880878</v>
      </c>
      <c r="H242" s="64">
        <f t="shared" si="109"/>
        <v>0.23809523809523808</v>
      </c>
      <c r="I242" s="1"/>
      <c r="J242" s="1"/>
      <c r="K242" s="1"/>
      <c r="L242" s="1"/>
      <c r="M242" s="84">
        <v>0.55000000000000004</v>
      </c>
      <c r="N242" s="84">
        <v>0.15</v>
      </c>
      <c r="O242" s="84">
        <v>0.85</v>
      </c>
      <c r="P242" s="84">
        <v>1.21</v>
      </c>
      <c r="Q242" s="84">
        <v>1</v>
      </c>
      <c r="R242" s="293">
        <v>229</v>
      </c>
      <c r="S242" s="293">
        <v>0</v>
      </c>
      <c r="T242" s="386">
        <v>5</v>
      </c>
      <c r="U242" s="345" t="str">
        <f t="shared" si="83"/>
        <v>Normal</v>
      </c>
      <c r="V242" s="345" t="str">
        <f t="shared" si="84"/>
        <v>Normal</v>
      </c>
      <c r="W242" s="345">
        <f t="shared" si="85"/>
        <v>0.39498432601880878</v>
      </c>
      <c r="X242" s="416">
        <f t="shared" si="86"/>
        <v>0.23809523809523808</v>
      </c>
      <c r="Y242" s="340"/>
      <c r="Z242" s="340"/>
      <c r="AA242" s="340"/>
      <c r="AB242" s="340"/>
      <c r="AC242" s="338"/>
      <c r="AD242" s="338"/>
      <c r="AE242" s="338"/>
      <c r="AF242" s="338"/>
      <c r="AG242" s="338"/>
      <c r="AH242" s="338"/>
      <c r="AI242" s="338"/>
    </row>
    <row r="243" spans="1:38">
      <c r="A243" s="21">
        <v>45258</v>
      </c>
      <c r="B243" s="17">
        <f>IF(YEAR(Table7[[#This Row],[Date]]) = 2023, WEEKNUM(Table7[[#This Row],[Date]])-13, WEEKNUM(Table7[[#This Row],[Date]])+40)</f>
        <v>35</v>
      </c>
      <c r="C243" s="34" t="s">
        <v>50</v>
      </c>
      <c r="D243" s="35" t="s">
        <v>94</v>
      </c>
      <c r="E243" s="42">
        <v>716</v>
      </c>
      <c r="F243" s="42">
        <v>634</v>
      </c>
      <c r="G243" s="64">
        <f t="shared" ref="G243:H245" si="110">IFERROR((E243-E236)/E236,0%)</f>
        <v>0.28776978417266186</v>
      </c>
      <c r="H243" s="64">
        <f t="shared" si="110"/>
        <v>0.20532319391634982</v>
      </c>
      <c r="I243" s="1"/>
      <c r="J243" s="1"/>
      <c r="K243" s="1"/>
      <c r="L243" s="1"/>
      <c r="M243" s="84">
        <v>0.66</v>
      </c>
      <c r="N243" s="84">
        <v>0.11</v>
      </c>
      <c r="O243" s="84">
        <v>0.89</v>
      </c>
      <c r="P243" s="84">
        <v>0.89</v>
      </c>
      <c r="Q243" s="84">
        <v>1</v>
      </c>
      <c r="R243" s="293">
        <v>232</v>
      </c>
      <c r="S243" s="293">
        <v>0</v>
      </c>
      <c r="T243" s="386">
        <v>6</v>
      </c>
      <c r="U243" s="345" t="str">
        <f t="shared" si="83"/>
        <v>Normal</v>
      </c>
      <c r="V243" s="345" t="str">
        <f t="shared" si="84"/>
        <v>Normal</v>
      </c>
      <c r="W243" s="345">
        <f t="shared" si="85"/>
        <v>0.28776978417266186</v>
      </c>
      <c r="X243" s="416">
        <f t="shared" si="86"/>
        <v>0.20532319391634982</v>
      </c>
      <c r="Y243" s="340"/>
      <c r="Z243" s="340"/>
      <c r="AA243" s="340"/>
      <c r="AB243" s="340"/>
      <c r="AC243" s="338"/>
      <c r="AD243" s="338"/>
      <c r="AE243" s="338"/>
      <c r="AF243" s="338"/>
      <c r="AG243" s="338"/>
      <c r="AH243" s="338"/>
      <c r="AI243" s="338"/>
    </row>
    <row r="244" spans="1:38">
      <c r="A244" s="21">
        <v>45259</v>
      </c>
      <c r="B244" s="17">
        <f>IF(YEAR(Table7[[#This Row],[Date]]) = 2023, WEEKNUM(Table7[[#This Row],[Date]])-13, WEEKNUM(Table7[[#This Row],[Date]])+40)</f>
        <v>35</v>
      </c>
      <c r="C244" s="33" t="s">
        <v>51</v>
      </c>
      <c r="D244" s="35" t="s">
        <v>94</v>
      </c>
      <c r="E244" s="42">
        <v>670</v>
      </c>
      <c r="F244" s="42">
        <v>581</v>
      </c>
      <c r="G244" s="64">
        <f t="shared" si="110"/>
        <v>0.15716753022452504</v>
      </c>
      <c r="H244" s="64">
        <f t="shared" si="110"/>
        <v>3.0141843971631204E-2</v>
      </c>
      <c r="I244" s="1"/>
      <c r="J244" s="1"/>
      <c r="K244" s="1"/>
      <c r="L244" s="1"/>
      <c r="M244" s="84">
        <v>0.61</v>
      </c>
      <c r="N244" s="84">
        <v>0.13</v>
      </c>
      <c r="O244" s="84">
        <v>0.87</v>
      </c>
      <c r="P244" s="84">
        <v>0.78</v>
      </c>
      <c r="Q244" s="84">
        <v>1</v>
      </c>
      <c r="R244" s="293">
        <v>232</v>
      </c>
      <c r="S244" s="293">
        <v>0</v>
      </c>
      <c r="T244" s="386">
        <v>6</v>
      </c>
      <c r="U244" s="345" t="str">
        <f t="shared" si="83"/>
        <v>Normal</v>
      </c>
      <c r="V244" s="345" t="str">
        <f t="shared" si="84"/>
        <v>Normal</v>
      </c>
      <c r="W244" s="345">
        <f t="shared" si="85"/>
        <v>0.15716753022452504</v>
      </c>
      <c r="X244" s="416">
        <f t="shared" si="86"/>
        <v>3.0141843971631204E-2</v>
      </c>
      <c r="Y244" s="340"/>
      <c r="Z244" s="340"/>
      <c r="AA244" s="340"/>
      <c r="AB244" s="340"/>
      <c r="AC244" s="338"/>
      <c r="AD244" s="338"/>
      <c r="AE244" s="338"/>
      <c r="AF244" s="338"/>
      <c r="AG244" s="338"/>
      <c r="AH244" s="338"/>
      <c r="AI244" s="338"/>
    </row>
    <row r="245" spans="1:38">
      <c r="A245" s="21">
        <v>45260</v>
      </c>
      <c r="B245" s="17">
        <f>IF(YEAR(Table7[[#This Row],[Date]]) = 2023, WEEKNUM(Table7[[#This Row],[Date]])-13, WEEKNUM(Table7[[#This Row],[Date]])+40)</f>
        <v>35</v>
      </c>
      <c r="C245" s="34" t="s">
        <v>52</v>
      </c>
      <c r="D245" s="35" t="s">
        <v>94</v>
      </c>
      <c r="E245" s="42">
        <v>637</v>
      </c>
      <c r="F245" s="42">
        <v>597</v>
      </c>
      <c r="G245" s="64">
        <f t="shared" si="110"/>
        <v>0.93617021276595747</v>
      </c>
      <c r="H245" s="64">
        <f t="shared" si="110"/>
        <v>0.91346153846153844</v>
      </c>
      <c r="I245" s="1"/>
      <c r="J245" s="1"/>
      <c r="K245" s="1"/>
      <c r="L245" s="1"/>
      <c r="M245" s="84">
        <v>0.8</v>
      </c>
      <c r="N245" s="84">
        <v>0.06</v>
      </c>
      <c r="O245" s="84">
        <v>0.94</v>
      </c>
      <c r="P245" s="84">
        <v>0.78</v>
      </c>
      <c r="Q245" s="84">
        <v>1</v>
      </c>
      <c r="R245" s="293">
        <v>218</v>
      </c>
      <c r="S245" s="293">
        <v>0</v>
      </c>
      <c r="T245" s="386">
        <v>6</v>
      </c>
      <c r="U245" s="345" t="str">
        <f t="shared" si="83"/>
        <v>Normal</v>
      </c>
      <c r="V245" s="345" t="str">
        <f t="shared" si="84"/>
        <v>Normal</v>
      </c>
      <c r="W245" s="345">
        <f t="shared" si="85"/>
        <v>0.93617021276595747</v>
      </c>
      <c r="X245" s="416">
        <f t="shared" si="86"/>
        <v>0.91346153846153844</v>
      </c>
      <c r="Y245" s="340"/>
      <c r="Z245" s="340"/>
      <c r="AA245" s="340"/>
      <c r="AB245" s="340"/>
      <c r="AC245" s="338"/>
      <c r="AD245" s="338"/>
      <c r="AE245" s="338"/>
      <c r="AF245" s="338"/>
      <c r="AG245" s="338"/>
      <c r="AH245" s="338"/>
      <c r="AI245" s="338"/>
    </row>
    <row r="246" spans="1:38" s="48" customFormat="1">
      <c r="A246" s="21">
        <v>45261</v>
      </c>
      <c r="B246" s="17">
        <f>IF(YEAR(Table7[[#This Row],[Date]]) = 2023, WEEKNUM(Table7[[#This Row],[Date]])-13, WEEKNUM(Table7[[#This Row],[Date]])+40)</f>
        <v>35</v>
      </c>
      <c r="C246" s="97" t="s">
        <v>53</v>
      </c>
      <c r="D246" s="35" t="s">
        <v>94</v>
      </c>
      <c r="E246" s="95">
        <v>518</v>
      </c>
      <c r="F246" s="95">
        <v>475</v>
      </c>
      <c r="G246" s="64">
        <f t="shared" ref="G246:H246" si="111">IFERROR((E246-E239)/E239,0%)</f>
        <v>-0.24379562043795622</v>
      </c>
      <c r="H246" s="64">
        <f t="shared" si="111"/>
        <v>-0.26923076923076922</v>
      </c>
      <c r="I246" s="50"/>
      <c r="J246" s="50"/>
      <c r="K246" s="50"/>
      <c r="L246" s="50"/>
      <c r="M246" s="96">
        <v>0.81</v>
      </c>
      <c r="N246" s="96">
        <v>0.08</v>
      </c>
      <c r="O246" s="96">
        <v>0.92</v>
      </c>
      <c r="P246" s="96">
        <v>0.75</v>
      </c>
      <c r="Q246" s="96">
        <v>1</v>
      </c>
      <c r="R246" s="310">
        <v>224</v>
      </c>
      <c r="S246" s="310">
        <v>0</v>
      </c>
      <c r="T246" s="386">
        <v>5</v>
      </c>
      <c r="U246" s="345" t="str">
        <f t="shared" si="83"/>
        <v>Normal</v>
      </c>
      <c r="V246" s="345" t="str">
        <f t="shared" si="84"/>
        <v>Normal</v>
      </c>
      <c r="W246" s="345">
        <f t="shared" si="85"/>
        <v>-0.24379562043795622</v>
      </c>
      <c r="X246" s="416">
        <f t="shared" si="86"/>
        <v>-0.26923076923076922</v>
      </c>
      <c r="Y246" s="340"/>
      <c r="Z246" s="340"/>
      <c r="AA246" s="340"/>
      <c r="AB246" s="340"/>
      <c r="AC246" s="338"/>
      <c r="AD246" s="338"/>
      <c r="AE246" s="338"/>
      <c r="AF246" s="338"/>
      <c r="AG246" s="338"/>
      <c r="AH246" s="338"/>
      <c r="AI246" s="338"/>
      <c r="AJ246"/>
      <c r="AK246"/>
      <c r="AL246"/>
    </row>
    <row r="247" spans="1:38">
      <c r="A247" s="21">
        <v>45262</v>
      </c>
      <c r="B247" s="17">
        <f>IF(YEAR(Table7[[#This Row],[Date]]) = 2023, WEEKNUM(Table7[[#This Row],[Date]])-13, WEEKNUM(Table7[[#This Row],[Date]])+40)</f>
        <v>35</v>
      </c>
      <c r="C247" s="34" t="s">
        <v>54</v>
      </c>
      <c r="D247" s="35" t="s">
        <v>94</v>
      </c>
      <c r="E247" s="42">
        <v>236</v>
      </c>
      <c r="F247" s="42">
        <v>215</v>
      </c>
      <c r="G247" s="64">
        <f t="shared" ref="G247:H249" si="112">IFERROR((E247-E240)/E240,0%)</f>
        <v>-0.17482517482517482</v>
      </c>
      <c r="H247" s="64">
        <f t="shared" si="112"/>
        <v>-0.24028268551236748</v>
      </c>
      <c r="I247" s="1"/>
      <c r="J247" s="1"/>
      <c r="K247" s="1"/>
      <c r="L247" s="1"/>
      <c r="M247" s="84">
        <v>0.73</v>
      </c>
      <c r="N247" s="84">
        <v>0.09</v>
      </c>
      <c r="O247" s="84">
        <v>0.91</v>
      </c>
      <c r="P247" s="84">
        <v>0.41</v>
      </c>
      <c r="Q247" s="84">
        <v>1</v>
      </c>
      <c r="R247" s="293">
        <v>208</v>
      </c>
      <c r="S247" s="293">
        <v>0</v>
      </c>
      <c r="T247" s="386">
        <v>4</v>
      </c>
      <c r="U247" s="345" t="str">
        <f t="shared" si="83"/>
        <v>Normal</v>
      </c>
      <c r="V247" s="345" t="str">
        <f t="shared" si="84"/>
        <v>Normal</v>
      </c>
      <c r="W247" s="345">
        <f t="shared" si="85"/>
        <v>-0.17482517482517482</v>
      </c>
      <c r="X247" s="416">
        <f t="shared" si="86"/>
        <v>-0.24028268551236748</v>
      </c>
      <c r="Y247" s="340"/>
      <c r="Z247" s="340"/>
      <c r="AA247" s="340"/>
      <c r="AB247" s="340"/>
      <c r="AC247" s="338"/>
      <c r="AD247" s="338"/>
      <c r="AE247" s="338"/>
      <c r="AF247" s="338"/>
      <c r="AG247" s="338"/>
      <c r="AH247" s="338"/>
      <c r="AI247" s="338"/>
    </row>
    <row r="248" spans="1:38">
      <c r="A248" s="21">
        <v>45263</v>
      </c>
      <c r="B248" s="17">
        <f>IF(YEAR(Table7[[#This Row],[Date]]) = 2023, WEEKNUM(Table7[[#This Row],[Date]])-13, WEEKNUM(Table7[[#This Row],[Date]])+40)</f>
        <v>36</v>
      </c>
      <c r="C248" s="33" t="s">
        <v>48</v>
      </c>
      <c r="D248" s="35" t="s">
        <v>94</v>
      </c>
      <c r="E248" s="42">
        <v>46</v>
      </c>
      <c r="F248" s="42">
        <v>43</v>
      </c>
      <c r="G248" s="64">
        <f t="shared" si="112"/>
        <v>0</v>
      </c>
      <c r="H248" s="64">
        <f t="shared" si="112"/>
        <v>0</v>
      </c>
      <c r="I248" s="1"/>
      <c r="J248" s="1"/>
      <c r="K248" s="1"/>
      <c r="L248" s="1"/>
      <c r="M248" s="84">
        <v>0.89</v>
      </c>
      <c r="N248" s="84">
        <v>7.0000000000000007E-2</v>
      </c>
      <c r="O248" s="84">
        <v>0.93</v>
      </c>
      <c r="P248" s="84">
        <v>0.24</v>
      </c>
      <c r="Q248" s="84">
        <v>1</v>
      </c>
      <c r="R248" s="293">
        <v>217</v>
      </c>
      <c r="S248" s="293">
        <v>0</v>
      </c>
      <c r="T248" s="386">
        <v>2</v>
      </c>
      <c r="U248" s="345" t="str">
        <f t="shared" si="83"/>
        <v>Normal</v>
      </c>
      <c r="V248" s="345" t="str">
        <f t="shared" si="84"/>
        <v>Normal</v>
      </c>
      <c r="W248" s="345">
        <f t="shared" si="85"/>
        <v>0</v>
      </c>
      <c r="X248" s="416">
        <f t="shared" si="86"/>
        <v>0</v>
      </c>
      <c r="Y248" s="340"/>
      <c r="Z248" s="340"/>
      <c r="AA248" s="340"/>
      <c r="AB248" s="340"/>
      <c r="AC248" s="338"/>
      <c r="AD248" s="338"/>
      <c r="AE248" s="338"/>
      <c r="AF248" s="338"/>
      <c r="AG248" s="338"/>
      <c r="AH248" s="338"/>
      <c r="AI248" s="338"/>
    </row>
    <row r="249" spans="1:38">
      <c r="A249" s="21">
        <v>45264</v>
      </c>
      <c r="B249" s="17">
        <f>IF(YEAR(Table7[[#This Row],[Date]]) = 2023, WEEKNUM(Table7[[#This Row],[Date]])-13, WEEKNUM(Table7[[#This Row],[Date]])+40)</f>
        <v>36</v>
      </c>
      <c r="C249" s="34" t="s">
        <v>49</v>
      </c>
      <c r="D249" s="35" t="s">
        <v>94</v>
      </c>
      <c r="E249" s="42">
        <v>608</v>
      </c>
      <c r="F249" s="42">
        <v>569</v>
      </c>
      <c r="G249" s="64">
        <f t="shared" si="112"/>
        <v>-0.31685393258426964</v>
      </c>
      <c r="H249" s="64">
        <f t="shared" si="112"/>
        <v>-0.24535809018567639</v>
      </c>
      <c r="I249" s="1"/>
      <c r="J249" s="1"/>
      <c r="K249" s="1"/>
      <c r="L249" s="1"/>
      <c r="M249" s="84">
        <v>0.73</v>
      </c>
      <c r="N249" s="84">
        <v>0.06</v>
      </c>
      <c r="O249" s="84">
        <v>0.94</v>
      </c>
      <c r="P249" s="84">
        <v>0.66</v>
      </c>
      <c r="Q249" s="84">
        <v>1</v>
      </c>
      <c r="R249" s="293">
        <v>223</v>
      </c>
      <c r="S249" s="293">
        <v>0</v>
      </c>
      <c r="T249" s="386">
        <v>6</v>
      </c>
      <c r="U249" s="345" t="str">
        <f t="shared" si="83"/>
        <v>Normal</v>
      </c>
      <c r="V249" s="345" t="str">
        <f t="shared" si="84"/>
        <v>Normal</v>
      </c>
      <c r="W249" s="345">
        <f t="shared" si="85"/>
        <v>-0.31685393258426964</v>
      </c>
      <c r="X249" s="416">
        <f t="shared" si="86"/>
        <v>-0.24535809018567639</v>
      </c>
      <c r="Y249" s="340"/>
      <c r="Z249" s="340"/>
      <c r="AA249" s="340"/>
      <c r="AB249" s="340"/>
      <c r="AC249" s="338"/>
      <c r="AD249" s="338"/>
      <c r="AE249" s="338"/>
      <c r="AF249" s="338"/>
      <c r="AG249" s="338"/>
      <c r="AH249" s="338"/>
      <c r="AI249" s="338"/>
    </row>
    <row r="250" spans="1:38">
      <c r="A250" s="21">
        <v>45265</v>
      </c>
      <c r="B250" s="17">
        <f>IF(YEAR(Table7[[#This Row],[Date]]) = 2023, WEEKNUM(Table7[[#This Row],[Date]])-13, WEEKNUM(Table7[[#This Row],[Date]])+40)</f>
        <v>36</v>
      </c>
      <c r="C250" s="33" t="s">
        <v>50</v>
      </c>
      <c r="D250" s="35" t="s">
        <v>94</v>
      </c>
      <c r="E250" s="42">
        <v>518</v>
      </c>
      <c r="F250" s="42">
        <v>477</v>
      </c>
      <c r="G250" s="64">
        <f t="shared" ref="G250:H250" si="113">IFERROR((E250-E243)/E243,0%)</f>
        <v>-0.27653631284916202</v>
      </c>
      <c r="H250" s="64">
        <f t="shared" si="113"/>
        <v>-0.2476340694006309</v>
      </c>
      <c r="I250" s="1"/>
      <c r="J250" s="1"/>
      <c r="K250" s="1"/>
      <c r="L250" s="1"/>
      <c r="M250" s="84">
        <v>0.75</v>
      </c>
      <c r="N250" s="84">
        <v>0.08</v>
      </c>
      <c r="O250" s="84">
        <v>0.92</v>
      </c>
      <c r="P250" s="84">
        <v>0.69</v>
      </c>
      <c r="Q250" s="84">
        <v>1</v>
      </c>
      <c r="R250" s="293">
        <v>227</v>
      </c>
      <c r="S250" s="293">
        <v>0</v>
      </c>
      <c r="T250" s="386">
        <v>5</v>
      </c>
      <c r="U250" s="345" t="str">
        <f t="shared" si="83"/>
        <v>Normal</v>
      </c>
      <c r="V250" s="345" t="str">
        <f t="shared" si="84"/>
        <v>Normal</v>
      </c>
      <c r="W250" s="345">
        <f t="shared" si="85"/>
        <v>-0.27653631284916202</v>
      </c>
      <c r="X250" s="416">
        <f t="shared" si="86"/>
        <v>-0.2476340694006309</v>
      </c>
      <c r="Y250" s="340"/>
      <c r="Z250" s="340"/>
      <c r="AA250" s="340"/>
      <c r="AB250" s="340"/>
      <c r="AC250" s="338"/>
      <c r="AD250" s="338"/>
      <c r="AE250" s="338"/>
      <c r="AF250" s="338"/>
      <c r="AG250" s="338"/>
      <c r="AH250" s="338"/>
      <c r="AI250" s="338"/>
    </row>
    <row r="251" spans="1:38">
      <c r="A251" s="21">
        <v>45266</v>
      </c>
      <c r="B251" s="17">
        <f>IF(YEAR(Table7[[#This Row],[Date]]) = 2023, WEEKNUM(Table7[[#This Row],[Date]])-13, WEEKNUM(Table7[[#This Row],[Date]])+40)</f>
        <v>36</v>
      </c>
      <c r="C251" s="34" t="s">
        <v>51</v>
      </c>
      <c r="D251" s="35" t="s">
        <v>94</v>
      </c>
      <c r="E251" s="42">
        <v>528</v>
      </c>
      <c r="F251" s="42">
        <v>502</v>
      </c>
      <c r="G251" s="64">
        <f t="shared" ref="G251:H253" si="114">IFERROR((E251-E244)/E244,0%)</f>
        <v>-0.21194029850746268</v>
      </c>
      <c r="H251" s="64">
        <f t="shared" si="114"/>
        <v>-0.13597246127366611</v>
      </c>
      <c r="I251" s="1"/>
      <c r="J251" s="1"/>
      <c r="K251" s="1"/>
      <c r="L251" s="1"/>
      <c r="M251" s="84">
        <v>0.83</v>
      </c>
      <c r="N251" s="84">
        <v>0.05</v>
      </c>
      <c r="O251" s="84">
        <v>0.95</v>
      </c>
      <c r="P251" s="84">
        <v>0.68</v>
      </c>
      <c r="Q251" s="84">
        <v>1</v>
      </c>
      <c r="R251" s="293">
        <v>216</v>
      </c>
      <c r="S251" s="293">
        <v>0</v>
      </c>
      <c r="T251" s="386">
        <v>5</v>
      </c>
      <c r="U251" s="345" t="str">
        <f t="shared" si="83"/>
        <v>Normal</v>
      </c>
      <c r="V251" s="345" t="str">
        <f t="shared" si="84"/>
        <v>Normal</v>
      </c>
      <c r="W251" s="345">
        <f t="shared" si="85"/>
        <v>-0.21194029850746268</v>
      </c>
      <c r="X251" s="416">
        <f t="shared" si="86"/>
        <v>-0.13597246127366611</v>
      </c>
      <c r="Y251" s="340"/>
      <c r="Z251" s="340"/>
      <c r="AA251" s="340"/>
      <c r="AB251" s="340"/>
      <c r="AC251" s="338"/>
      <c r="AD251" s="338"/>
      <c r="AE251" s="338"/>
      <c r="AF251" s="338"/>
      <c r="AG251" s="338"/>
      <c r="AH251" s="338"/>
      <c r="AI251" s="338"/>
    </row>
    <row r="252" spans="1:38">
      <c r="A252" s="21">
        <v>45267</v>
      </c>
      <c r="B252" s="17">
        <f>IF(YEAR(Table7[[#This Row],[Date]]) = 2023, WEEKNUM(Table7[[#This Row],[Date]])-13, WEEKNUM(Table7[[#This Row],[Date]])+40)</f>
        <v>36</v>
      </c>
      <c r="C252" s="33" t="s">
        <v>52</v>
      </c>
      <c r="D252" s="35" t="s">
        <v>94</v>
      </c>
      <c r="E252" s="41">
        <v>420</v>
      </c>
      <c r="F252" s="41">
        <v>392</v>
      </c>
      <c r="G252" s="64">
        <f t="shared" si="114"/>
        <v>-0.34065934065934067</v>
      </c>
      <c r="H252" s="64">
        <f t="shared" si="114"/>
        <v>-0.34338358458961477</v>
      </c>
      <c r="I252" s="31"/>
      <c r="J252" s="31"/>
      <c r="K252" s="31"/>
      <c r="L252" s="31"/>
      <c r="M252" s="85">
        <v>0.82</v>
      </c>
      <c r="N252" s="85">
        <v>7.0000000000000007E-2</v>
      </c>
      <c r="O252" s="85">
        <v>0.93</v>
      </c>
      <c r="P252" s="85">
        <v>0.52</v>
      </c>
      <c r="Q252" s="85">
        <v>1</v>
      </c>
      <c r="R252" s="307">
        <v>213</v>
      </c>
      <c r="S252" s="307">
        <v>0</v>
      </c>
      <c r="T252" s="386">
        <v>5</v>
      </c>
      <c r="U252" s="345" t="str">
        <f t="shared" si="83"/>
        <v>Normal</v>
      </c>
      <c r="V252" s="345" t="str">
        <f t="shared" si="84"/>
        <v>Normal</v>
      </c>
      <c r="W252" s="345">
        <f t="shared" si="85"/>
        <v>-0.34065934065934067</v>
      </c>
      <c r="X252" s="416">
        <f t="shared" si="86"/>
        <v>-0.34338358458961477</v>
      </c>
      <c r="Y252" s="340"/>
      <c r="Z252" s="340"/>
      <c r="AA252" s="340"/>
      <c r="AB252" s="340"/>
      <c r="AC252" s="338"/>
      <c r="AD252" s="338"/>
      <c r="AE252" s="338"/>
      <c r="AF252" s="338"/>
      <c r="AG252" s="338"/>
      <c r="AH252" s="338"/>
      <c r="AI252" s="338"/>
    </row>
    <row r="253" spans="1:38">
      <c r="A253" s="21">
        <v>45268</v>
      </c>
      <c r="B253" s="17">
        <f>IF(YEAR(Table7[[#This Row],[Date]]) = 2023, WEEKNUM(Table7[[#This Row],[Date]])-13, WEEKNUM(Table7[[#This Row],[Date]])+40)</f>
        <v>36</v>
      </c>
      <c r="C253" s="34" t="s">
        <v>53</v>
      </c>
      <c r="D253" s="35" t="s">
        <v>94</v>
      </c>
      <c r="E253" s="42">
        <v>472</v>
      </c>
      <c r="F253" s="42">
        <v>448</v>
      </c>
      <c r="G253" s="64">
        <f t="shared" si="114"/>
        <v>-8.8803088803088806E-2</v>
      </c>
      <c r="H253" s="64">
        <f t="shared" si="114"/>
        <v>-5.6842105263157895E-2</v>
      </c>
      <c r="I253" s="1"/>
      <c r="J253" s="1"/>
      <c r="K253" s="1"/>
      <c r="L253" s="1"/>
      <c r="M253" s="18">
        <v>0.84</v>
      </c>
      <c r="N253" s="84">
        <v>0.05</v>
      </c>
      <c r="O253" s="84">
        <v>0.95</v>
      </c>
      <c r="P253" s="84">
        <v>0.59</v>
      </c>
      <c r="Q253" s="84">
        <v>1</v>
      </c>
      <c r="R253" s="293">
        <v>203</v>
      </c>
      <c r="S253" s="293">
        <v>0</v>
      </c>
      <c r="T253" s="386">
        <v>5</v>
      </c>
      <c r="U253" s="345" t="str">
        <f t="shared" si="83"/>
        <v>Normal</v>
      </c>
      <c r="V253" s="345" t="str">
        <f t="shared" si="84"/>
        <v>Normal</v>
      </c>
      <c r="W253" s="345">
        <f t="shared" si="85"/>
        <v>-8.8803088803088806E-2</v>
      </c>
      <c r="X253" s="416">
        <f t="shared" si="86"/>
        <v>-5.6842105263157895E-2</v>
      </c>
      <c r="Y253" s="340"/>
      <c r="Z253" s="340"/>
      <c r="AA253" s="340"/>
      <c r="AB253" s="340"/>
      <c r="AC253" s="338"/>
      <c r="AD253" s="338"/>
      <c r="AE253" s="338"/>
      <c r="AF253" s="338"/>
      <c r="AG253" s="338"/>
      <c r="AH253" s="338"/>
      <c r="AI253" s="338"/>
    </row>
    <row r="254" spans="1:38">
      <c r="A254" s="21">
        <v>45269</v>
      </c>
      <c r="B254" s="17">
        <f>IF(YEAR(Table7[[#This Row],[Date]]) = 2023, WEEKNUM(Table7[[#This Row],[Date]])-13, WEEKNUM(Table7[[#This Row],[Date]])+40)</f>
        <v>36</v>
      </c>
      <c r="C254" s="34" t="s">
        <v>54</v>
      </c>
      <c r="D254" s="35" t="s">
        <v>94</v>
      </c>
      <c r="E254" s="41">
        <v>196</v>
      </c>
      <c r="F254" s="41">
        <v>187</v>
      </c>
      <c r="G254" s="64">
        <f t="shared" ref="G254:H254" si="115">IFERROR((E254-E247)/E247,0%)</f>
        <v>-0.16949152542372881</v>
      </c>
      <c r="H254" s="64">
        <f t="shared" si="115"/>
        <v>-0.13023255813953488</v>
      </c>
      <c r="I254" s="1"/>
      <c r="J254" s="31"/>
      <c r="K254" s="31"/>
      <c r="L254" s="31"/>
      <c r="M254" s="36">
        <v>0.89</v>
      </c>
      <c r="N254" s="85">
        <v>0.05</v>
      </c>
      <c r="O254" s="85">
        <v>0.95</v>
      </c>
      <c r="P254" s="85">
        <v>0.34</v>
      </c>
      <c r="Q254" s="85">
        <v>1</v>
      </c>
      <c r="R254" s="293">
        <v>199</v>
      </c>
      <c r="S254" s="293">
        <v>0</v>
      </c>
      <c r="T254" s="386">
        <v>4</v>
      </c>
      <c r="U254" s="345" t="str">
        <f t="shared" si="83"/>
        <v>Normal</v>
      </c>
      <c r="V254" s="345" t="str">
        <f t="shared" si="84"/>
        <v>Normal</v>
      </c>
      <c r="W254" s="345">
        <f t="shared" si="85"/>
        <v>-0.16949152542372881</v>
      </c>
      <c r="X254" s="416">
        <f t="shared" si="86"/>
        <v>-0.13023255813953488</v>
      </c>
      <c r="Y254" s="340"/>
      <c r="Z254" s="340"/>
      <c r="AA254" s="340"/>
      <c r="AB254" s="340"/>
      <c r="AC254" s="338"/>
      <c r="AD254" s="338"/>
      <c r="AE254" s="338"/>
      <c r="AF254" s="338"/>
      <c r="AG254" s="338"/>
      <c r="AH254" s="338"/>
      <c r="AI254" s="338"/>
    </row>
    <row r="255" spans="1:38">
      <c r="A255" s="21">
        <v>45270</v>
      </c>
      <c r="B255" s="17">
        <f>IF(YEAR(Table7[[#This Row],[Date]]) = 2023, WEEKNUM(Table7[[#This Row],[Date]])-13, WEEKNUM(Table7[[#This Row],[Date]])+40)</f>
        <v>37</v>
      </c>
      <c r="C255" s="34" t="s">
        <v>48</v>
      </c>
      <c r="D255" s="35" t="s">
        <v>94</v>
      </c>
      <c r="E255" s="42">
        <v>28</v>
      </c>
      <c r="F255" s="42">
        <v>28</v>
      </c>
      <c r="G255" s="64">
        <f t="shared" ref="G255:H257" si="116">IFERROR((E255-E248)/E248,0%)</f>
        <v>-0.39130434782608697</v>
      </c>
      <c r="H255" s="64">
        <f t="shared" si="116"/>
        <v>-0.34883720930232559</v>
      </c>
      <c r="I255" s="1"/>
      <c r="J255" s="1"/>
      <c r="K255" s="1"/>
      <c r="L255" s="1"/>
      <c r="M255" s="18">
        <v>1</v>
      </c>
      <c r="N255" s="84">
        <v>0</v>
      </c>
      <c r="O255" s="84">
        <v>1</v>
      </c>
      <c r="P255" s="84">
        <v>0.06</v>
      </c>
      <c r="Q255" s="84">
        <v>1</v>
      </c>
      <c r="R255" s="293">
        <v>179</v>
      </c>
      <c r="S255" s="293">
        <v>0</v>
      </c>
      <c r="T255" s="386">
        <v>3</v>
      </c>
      <c r="U255" s="345" t="str">
        <f t="shared" si="83"/>
        <v>Normal</v>
      </c>
      <c r="V255" s="345" t="str">
        <f t="shared" si="84"/>
        <v>Normal</v>
      </c>
      <c r="W255" s="345">
        <f t="shared" si="85"/>
        <v>-0.39130434782608697</v>
      </c>
      <c r="X255" s="416">
        <f t="shared" si="86"/>
        <v>-0.34883720930232559</v>
      </c>
      <c r="Y255" s="340"/>
      <c r="Z255" s="340"/>
      <c r="AA255" s="340"/>
      <c r="AB255" s="340"/>
      <c r="AC255" s="338"/>
      <c r="AD255" s="338"/>
      <c r="AE255" s="338"/>
      <c r="AF255" s="338"/>
      <c r="AG255" s="338"/>
      <c r="AH255" s="338"/>
      <c r="AI255" s="338"/>
    </row>
    <row r="256" spans="1:38">
      <c r="A256" s="21">
        <v>45271</v>
      </c>
      <c r="B256" s="17">
        <f>IF(YEAR(Table7[[#This Row],[Date]]) = 2023, WEEKNUM(Table7[[#This Row],[Date]])-13, WEEKNUM(Table7[[#This Row],[Date]])+40)</f>
        <v>37</v>
      </c>
      <c r="C256" s="34" t="s">
        <v>49</v>
      </c>
      <c r="D256" s="35" t="s">
        <v>94</v>
      </c>
      <c r="E256" s="41">
        <v>399</v>
      </c>
      <c r="F256" s="41">
        <v>389</v>
      </c>
      <c r="G256" s="64">
        <f t="shared" si="116"/>
        <v>-0.34375</v>
      </c>
      <c r="H256" s="64">
        <f t="shared" si="116"/>
        <v>-0.31634446397188049</v>
      </c>
      <c r="I256" s="1"/>
      <c r="J256" s="31"/>
      <c r="K256" s="31"/>
      <c r="L256" s="31"/>
      <c r="M256" s="36">
        <v>0.91</v>
      </c>
      <c r="N256" s="85">
        <v>0.03</v>
      </c>
      <c r="O256" s="85">
        <v>0.97</v>
      </c>
      <c r="P256" s="85">
        <v>0.54</v>
      </c>
      <c r="Q256" s="85">
        <v>1</v>
      </c>
      <c r="R256" s="293">
        <v>223</v>
      </c>
      <c r="S256" s="293">
        <v>0</v>
      </c>
      <c r="T256" s="386">
        <v>5</v>
      </c>
      <c r="U256" s="345" t="str">
        <f t="shared" si="83"/>
        <v>Normal</v>
      </c>
      <c r="V256" s="345" t="str">
        <f t="shared" si="84"/>
        <v>Normal</v>
      </c>
      <c r="W256" s="345">
        <f t="shared" si="85"/>
        <v>-0.34375</v>
      </c>
      <c r="X256" s="416">
        <f t="shared" si="86"/>
        <v>-0.31634446397188049</v>
      </c>
      <c r="Y256" s="340"/>
      <c r="Z256" s="340"/>
      <c r="AA256" s="340"/>
      <c r="AB256" s="340"/>
      <c r="AC256" s="338"/>
      <c r="AD256" s="338"/>
      <c r="AE256" s="338"/>
      <c r="AF256" s="338"/>
      <c r="AG256" s="338"/>
      <c r="AH256" s="338"/>
      <c r="AI256" s="338"/>
    </row>
    <row r="257" spans="1:38">
      <c r="A257" s="21">
        <v>45272</v>
      </c>
      <c r="B257" s="17">
        <f>IF(YEAR(Table7[[#This Row],[Date]]) = 2023, WEEKNUM(Table7[[#This Row],[Date]])-13, WEEKNUM(Table7[[#This Row],[Date]])+40)</f>
        <v>37</v>
      </c>
      <c r="C257" s="34" t="s">
        <v>50</v>
      </c>
      <c r="D257" s="35" t="s">
        <v>94</v>
      </c>
      <c r="E257" s="42">
        <v>518</v>
      </c>
      <c r="F257" s="42">
        <v>481</v>
      </c>
      <c r="G257" s="64">
        <f t="shared" si="116"/>
        <v>0</v>
      </c>
      <c r="H257" s="64">
        <f t="shared" si="116"/>
        <v>8.385744234800839E-3</v>
      </c>
      <c r="I257" s="1"/>
      <c r="J257" s="1"/>
      <c r="K257" s="1"/>
      <c r="L257" s="1"/>
      <c r="M257" s="18">
        <v>0.83</v>
      </c>
      <c r="N257" s="84">
        <v>7.0000000000000007E-2</v>
      </c>
      <c r="O257" s="84">
        <v>0.93</v>
      </c>
      <c r="P257" s="84">
        <v>0.66</v>
      </c>
      <c r="Q257" s="84">
        <v>1</v>
      </c>
      <c r="R257" s="293">
        <v>208</v>
      </c>
      <c r="S257" s="293">
        <v>0</v>
      </c>
      <c r="T257" s="386">
        <v>5</v>
      </c>
      <c r="U257" s="345" t="str">
        <f t="shared" si="83"/>
        <v>Normal</v>
      </c>
      <c r="V257" s="345" t="str">
        <f t="shared" si="84"/>
        <v>Normal</v>
      </c>
      <c r="W257" s="345">
        <f t="shared" si="85"/>
        <v>0</v>
      </c>
      <c r="X257" s="416">
        <f t="shared" si="86"/>
        <v>8.385744234800839E-3</v>
      </c>
      <c r="Y257" s="340"/>
      <c r="Z257" s="340"/>
      <c r="AA257" s="340"/>
      <c r="AB257" s="340"/>
      <c r="AC257" s="338"/>
      <c r="AD257" s="338"/>
      <c r="AE257" s="338"/>
      <c r="AF257" s="338"/>
      <c r="AG257" s="338"/>
      <c r="AH257" s="338"/>
      <c r="AI257" s="338"/>
      <c r="AJ257">
        <v>1</v>
      </c>
    </row>
    <row r="258" spans="1:38">
      <c r="A258" s="21">
        <v>45273</v>
      </c>
      <c r="B258" s="17">
        <f>IF(YEAR(Table7[[#This Row],[Date]]) = 2023, WEEKNUM(Table7[[#This Row],[Date]])-13, WEEKNUM(Table7[[#This Row],[Date]])+40)</f>
        <v>37</v>
      </c>
      <c r="C258" s="33" t="s">
        <v>51</v>
      </c>
      <c r="D258" s="35" t="s">
        <v>94</v>
      </c>
      <c r="E258" s="41">
        <v>337</v>
      </c>
      <c r="F258" s="41">
        <v>323</v>
      </c>
      <c r="G258" s="64">
        <f t="shared" ref="G258:H258" si="117">IFERROR((E258-E251)/E251,0%)</f>
        <v>-0.36174242424242425</v>
      </c>
      <c r="H258" s="64">
        <f t="shared" si="117"/>
        <v>-0.35657370517928288</v>
      </c>
      <c r="I258" s="31"/>
      <c r="J258" s="31"/>
      <c r="K258" s="31"/>
      <c r="L258" s="31"/>
      <c r="M258" s="36">
        <v>0.89</v>
      </c>
      <c r="N258" s="85">
        <v>0.04</v>
      </c>
      <c r="O258" s="85">
        <v>0.96</v>
      </c>
      <c r="P258" s="85">
        <v>0.47</v>
      </c>
      <c r="Q258" s="85">
        <v>1</v>
      </c>
      <c r="R258" s="293">
        <v>174</v>
      </c>
      <c r="S258" s="293">
        <v>0</v>
      </c>
      <c r="T258" s="386">
        <v>4</v>
      </c>
      <c r="U258" s="345" t="str">
        <f t="shared" si="83"/>
        <v>Normal</v>
      </c>
      <c r="V258" s="345" t="str">
        <f t="shared" si="84"/>
        <v>Normal</v>
      </c>
      <c r="W258" s="345">
        <f t="shared" si="85"/>
        <v>-0.36174242424242425</v>
      </c>
      <c r="X258" s="416">
        <f t="shared" si="86"/>
        <v>-0.35657370517928288</v>
      </c>
      <c r="Y258" s="340"/>
      <c r="Z258" s="340"/>
      <c r="AA258" s="340"/>
      <c r="AB258" s="340"/>
      <c r="AC258" s="338"/>
      <c r="AD258" s="338"/>
      <c r="AE258" s="338"/>
      <c r="AF258" s="338"/>
      <c r="AG258" s="338"/>
      <c r="AH258" s="338"/>
      <c r="AI258" s="338"/>
    </row>
    <row r="259" spans="1:38">
      <c r="A259" s="21">
        <v>45274</v>
      </c>
      <c r="B259" s="17">
        <f>IF(YEAR(Table7[[#This Row],[Date]]) = 2023, WEEKNUM(Table7[[#This Row],[Date]])-13, WEEKNUM(Table7[[#This Row],[Date]])+40)</f>
        <v>37</v>
      </c>
      <c r="C259" s="34" t="s">
        <v>52</v>
      </c>
      <c r="D259" s="35" t="s">
        <v>94</v>
      </c>
      <c r="E259" s="42">
        <v>549</v>
      </c>
      <c r="F259" s="42">
        <v>504</v>
      </c>
      <c r="G259" s="64">
        <f t="shared" ref="G259:H261" si="118">IFERROR((E259-E252)/E252,0%)</f>
        <v>0.30714285714285716</v>
      </c>
      <c r="H259" s="64">
        <f t="shared" si="118"/>
        <v>0.2857142857142857</v>
      </c>
      <c r="I259" s="1"/>
      <c r="J259" s="1"/>
      <c r="K259" s="1"/>
      <c r="L259" s="1"/>
      <c r="M259" s="18">
        <v>0.74</v>
      </c>
      <c r="N259" s="84">
        <v>0.08</v>
      </c>
      <c r="O259" s="84">
        <v>0.92</v>
      </c>
      <c r="P259" s="84">
        <v>0.67</v>
      </c>
      <c r="Q259" s="84">
        <v>1</v>
      </c>
      <c r="R259" s="293">
        <v>206</v>
      </c>
      <c r="S259" s="293">
        <v>0</v>
      </c>
      <c r="T259" s="386">
        <v>5</v>
      </c>
      <c r="U259" s="345" t="str">
        <f t="shared" ref="U259:U322" si="119">IF(OR(I259&lt;$AA$5,I259&gt;$AB$5), "Outlier", "Normal")</f>
        <v>Normal</v>
      </c>
      <c r="V259" s="345" t="str">
        <f t="shared" ref="V259:V322" si="120">IF(OR(J259&lt;$AA$6,J259&gt;$AB$6), "Outlier", "Normal")</f>
        <v>Normal</v>
      </c>
      <c r="W259" s="345">
        <f t="shared" ref="W259:W322" si="121">IF(U259="Normal",$G259,IF($G259&lt;150%, $G259, $AA$9))</f>
        <v>0.30714285714285716</v>
      </c>
      <c r="X259" s="416">
        <f t="shared" ref="X259:X322" si="122">IF(V259="Normal",$H259,IF($H259&lt;150%, $H259, $AE$9))</f>
        <v>0.2857142857142857</v>
      </c>
      <c r="Y259" s="340"/>
      <c r="Z259" s="340"/>
      <c r="AA259" s="340"/>
      <c r="AB259" s="340"/>
      <c r="AC259" s="338"/>
      <c r="AD259" s="338"/>
      <c r="AE259" s="338"/>
      <c r="AF259" s="338"/>
      <c r="AG259" s="338"/>
      <c r="AH259" s="338"/>
      <c r="AI259" s="338"/>
    </row>
    <row r="260" spans="1:38">
      <c r="A260" s="21">
        <v>45275</v>
      </c>
      <c r="B260" s="17">
        <f>IF(YEAR(Table7[[#This Row],[Date]]) = 2023, WEEKNUM(Table7[[#This Row],[Date]])-13, WEEKNUM(Table7[[#This Row],[Date]])+40)</f>
        <v>37</v>
      </c>
      <c r="C260" s="33" t="s">
        <v>53</v>
      </c>
      <c r="D260" s="35" t="s">
        <v>94</v>
      </c>
      <c r="E260" s="41">
        <v>533</v>
      </c>
      <c r="F260" s="41">
        <v>499</v>
      </c>
      <c r="G260" s="64">
        <f t="shared" si="118"/>
        <v>0.12923728813559321</v>
      </c>
      <c r="H260" s="64">
        <f t="shared" si="118"/>
        <v>0.11383928571428571</v>
      </c>
      <c r="I260" s="31"/>
      <c r="J260" s="31"/>
      <c r="K260" s="31"/>
      <c r="L260" s="31"/>
      <c r="M260" s="36">
        <v>0.85</v>
      </c>
      <c r="N260" s="85">
        <v>0.06</v>
      </c>
      <c r="O260" s="85">
        <v>0.94</v>
      </c>
      <c r="P260" s="85">
        <v>0.65</v>
      </c>
      <c r="Q260" s="85">
        <v>1</v>
      </c>
      <c r="R260" s="293">
        <v>204</v>
      </c>
      <c r="S260" s="293">
        <v>0</v>
      </c>
      <c r="T260" s="386">
        <v>5</v>
      </c>
      <c r="U260" s="345" t="str">
        <f t="shared" si="119"/>
        <v>Normal</v>
      </c>
      <c r="V260" s="345" t="str">
        <f t="shared" si="120"/>
        <v>Normal</v>
      </c>
      <c r="W260" s="345">
        <f t="shared" si="121"/>
        <v>0.12923728813559321</v>
      </c>
      <c r="X260" s="416">
        <f t="shared" si="122"/>
        <v>0.11383928571428571</v>
      </c>
      <c r="Y260" s="340"/>
      <c r="Z260" s="340"/>
      <c r="AA260" s="340"/>
      <c r="AB260" s="340"/>
      <c r="AC260" s="338"/>
      <c r="AD260" s="338"/>
      <c r="AE260" s="338"/>
      <c r="AF260" s="338"/>
      <c r="AG260" s="338"/>
      <c r="AH260" s="338"/>
      <c r="AI260" s="338"/>
    </row>
    <row r="261" spans="1:38">
      <c r="A261" s="21">
        <v>45276</v>
      </c>
      <c r="B261" s="17">
        <f>IF(YEAR(Table7[[#This Row],[Date]]) = 2023, WEEKNUM(Table7[[#This Row],[Date]])-13, WEEKNUM(Table7[[#This Row],[Date]])+40)</f>
        <v>37</v>
      </c>
      <c r="C261" s="34" t="s">
        <v>54</v>
      </c>
      <c r="D261" s="35" t="s">
        <v>94</v>
      </c>
      <c r="E261" s="42">
        <v>286</v>
      </c>
      <c r="F261" s="42">
        <v>258</v>
      </c>
      <c r="G261" s="64">
        <f t="shared" si="118"/>
        <v>0.45918367346938777</v>
      </c>
      <c r="H261" s="64">
        <f t="shared" si="118"/>
        <v>0.37967914438502676</v>
      </c>
      <c r="I261" s="1"/>
      <c r="J261" s="1"/>
      <c r="K261" s="1"/>
      <c r="L261" s="1"/>
      <c r="M261" s="18">
        <v>0.79</v>
      </c>
      <c r="N261" s="84">
        <v>0.1</v>
      </c>
      <c r="O261" s="84">
        <v>0.9</v>
      </c>
      <c r="P261" s="84">
        <v>0.45</v>
      </c>
      <c r="Q261" s="84">
        <v>1</v>
      </c>
      <c r="R261" s="293">
        <v>211</v>
      </c>
      <c r="S261" s="293">
        <v>0</v>
      </c>
      <c r="T261" s="386">
        <v>5</v>
      </c>
      <c r="U261" s="345" t="str">
        <f t="shared" si="119"/>
        <v>Normal</v>
      </c>
      <c r="V261" s="345" t="str">
        <f t="shared" si="120"/>
        <v>Normal</v>
      </c>
      <c r="W261" s="345">
        <f t="shared" si="121"/>
        <v>0.45918367346938777</v>
      </c>
      <c r="X261" s="416">
        <f t="shared" si="122"/>
        <v>0.37967914438502676</v>
      </c>
      <c r="Y261" s="340"/>
      <c r="Z261" s="340"/>
      <c r="AA261" s="340"/>
      <c r="AB261" s="340"/>
      <c r="AC261" s="338"/>
      <c r="AD261" s="338"/>
      <c r="AE261" s="338"/>
      <c r="AF261" s="338"/>
      <c r="AG261" s="338"/>
      <c r="AH261" s="338"/>
      <c r="AI261" s="338"/>
    </row>
    <row r="262" spans="1:38">
      <c r="A262" s="21">
        <v>45277</v>
      </c>
      <c r="B262" s="17">
        <f>IF(YEAR(Table7[[#This Row],[Date]]) = 2023, WEEKNUM(Table7[[#This Row],[Date]])-13, WEEKNUM(Table7[[#This Row],[Date]])+40)</f>
        <v>38</v>
      </c>
      <c r="C262" s="33" t="s">
        <v>48</v>
      </c>
      <c r="D262" s="35" t="s">
        <v>94</v>
      </c>
      <c r="E262" s="41">
        <v>73</v>
      </c>
      <c r="F262" s="41">
        <v>73</v>
      </c>
      <c r="G262" s="64">
        <f t="shared" ref="G262:H262" si="123">IFERROR((E262-E255)/E255,0%)</f>
        <v>1.6071428571428572</v>
      </c>
      <c r="H262" s="64">
        <f t="shared" si="123"/>
        <v>1.6071428571428572</v>
      </c>
      <c r="I262" s="31"/>
      <c r="J262" s="31"/>
      <c r="K262" s="31"/>
      <c r="L262" s="31"/>
      <c r="M262" s="36">
        <v>0.97</v>
      </c>
      <c r="N262" s="85">
        <v>0</v>
      </c>
      <c r="O262" s="85">
        <v>1</v>
      </c>
      <c r="P262" s="85">
        <v>0.11</v>
      </c>
      <c r="Q262" s="85">
        <v>1</v>
      </c>
      <c r="R262" s="293">
        <v>154</v>
      </c>
      <c r="S262" s="293">
        <v>0</v>
      </c>
      <c r="T262" s="386">
        <v>4</v>
      </c>
      <c r="U262" s="345" t="str">
        <f t="shared" si="119"/>
        <v>Normal</v>
      </c>
      <c r="V262" s="345" t="str">
        <f t="shared" si="120"/>
        <v>Normal</v>
      </c>
      <c r="W262" s="345">
        <f t="shared" si="121"/>
        <v>1.6071428571428572</v>
      </c>
      <c r="X262" s="416">
        <f t="shared" si="122"/>
        <v>1.6071428571428572</v>
      </c>
      <c r="Y262" s="340"/>
      <c r="Z262" s="340"/>
      <c r="AA262" s="340"/>
      <c r="AB262" s="340"/>
      <c r="AC262" s="338"/>
      <c r="AD262" s="338"/>
      <c r="AE262" s="338"/>
      <c r="AF262" s="338"/>
      <c r="AG262" s="338"/>
      <c r="AH262" s="338"/>
      <c r="AI262" s="338"/>
    </row>
    <row r="263" spans="1:38">
      <c r="A263" s="21">
        <v>45278</v>
      </c>
      <c r="B263" s="17">
        <f>IF(YEAR(Table7[[#This Row],[Date]]) = 2023, WEEKNUM(Table7[[#This Row],[Date]])-13, WEEKNUM(Table7[[#This Row],[Date]])+40)</f>
        <v>38</v>
      </c>
      <c r="C263" s="34" t="s">
        <v>49</v>
      </c>
      <c r="D263" s="35" t="s">
        <v>94</v>
      </c>
      <c r="E263" s="42">
        <v>709</v>
      </c>
      <c r="F263" s="42">
        <v>658</v>
      </c>
      <c r="G263" s="64">
        <f t="shared" ref="G263:H265" si="124">IFERROR((E263-E256)/E256,0%)</f>
        <v>0.77694235588972427</v>
      </c>
      <c r="H263" s="64">
        <f t="shared" si="124"/>
        <v>0.69151670951156807</v>
      </c>
      <c r="I263" s="1"/>
      <c r="J263" s="1"/>
      <c r="K263" s="1"/>
      <c r="L263" s="1"/>
      <c r="M263" s="18">
        <v>0.72</v>
      </c>
      <c r="N263" s="84">
        <v>7.0000000000000007E-2</v>
      </c>
      <c r="O263" s="84">
        <v>0.93</v>
      </c>
      <c r="P263" s="84">
        <v>0.73</v>
      </c>
      <c r="Q263" s="84">
        <v>1</v>
      </c>
      <c r="R263" s="293">
        <v>209</v>
      </c>
      <c r="S263" s="293">
        <v>0</v>
      </c>
      <c r="T263" s="386">
        <v>6</v>
      </c>
      <c r="U263" s="345" t="str">
        <f t="shared" si="119"/>
        <v>Normal</v>
      </c>
      <c r="V263" s="345" t="str">
        <f t="shared" si="120"/>
        <v>Normal</v>
      </c>
      <c r="W263" s="345">
        <f t="shared" si="121"/>
        <v>0.77694235588972427</v>
      </c>
      <c r="X263" s="416">
        <f t="shared" si="122"/>
        <v>0.69151670951156807</v>
      </c>
      <c r="Y263" s="340"/>
      <c r="Z263" s="340"/>
      <c r="AA263" s="340"/>
      <c r="AB263" s="340"/>
      <c r="AC263" s="338"/>
      <c r="AD263" s="338"/>
      <c r="AE263" s="338"/>
      <c r="AF263" s="338"/>
      <c r="AG263" s="338"/>
      <c r="AH263" s="338"/>
      <c r="AI263" s="338"/>
      <c r="AJ263" s="48"/>
      <c r="AK263" s="48"/>
      <c r="AL263" s="48"/>
    </row>
    <row r="264" spans="1:38">
      <c r="A264" s="21">
        <v>45279</v>
      </c>
      <c r="B264" s="17">
        <f>IF(YEAR(Table7[[#This Row],[Date]]) = 2023, WEEKNUM(Table7[[#This Row],[Date]])-13, WEEKNUM(Table7[[#This Row],[Date]])+40)</f>
        <v>38</v>
      </c>
      <c r="C264" s="33" t="s">
        <v>50</v>
      </c>
      <c r="D264" s="35" t="s">
        <v>94</v>
      </c>
      <c r="E264" s="41">
        <v>653</v>
      </c>
      <c r="F264" s="41">
        <v>592</v>
      </c>
      <c r="G264" s="64">
        <f t="shared" si="124"/>
        <v>0.2606177606177606</v>
      </c>
      <c r="H264" s="64">
        <f t="shared" si="124"/>
        <v>0.23076923076923078</v>
      </c>
      <c r="I264" s="31"/>
      <c r="J264" s="31"/>
      <c r="K264" s="31"/>
      <c r="L264" s="31"/>
      <c r="M264" s="36">
        <v>0.68</v>
      </c>
      <c r="N264" s="85">
        <v>0.09</v>
      </c>
      <c r="O264" s="85">
        <v>0.91</v>
      </c>
      <c r="P264" s="85">
        <v>0.67</v>
      </c>
      <c r="Q264" s="85">
        <v>1</v>
      </c>
      <c r="R264" s="293">
        <v>204</v>
      </c>
      <c r="S264" s="293">
        <v>0</v>
      </c>
      <c r="T264" s="386">
        <v>6</v>
      </c>
      <c r="U264" s="345" t="str">
        <f t="shared" si="119"/>
        <v>Normal</v>
      </c>
      <c r="V264" s="345" t="str">
        <f t="shared" si="120"/>
        <v>Normal</v>
      </c>
      <c r="W264" s="345">
        <f t="shared" si="121"/>
        <v>0.2606177606177606</v>
      </c>
      <c r="X264" s="416">
        <f t="shared" si="122"/>
        <v>0.23076923076923078</v>
      </c>
      <c r="Y264" s="340"/>
      <c r="Z264" s="340"/>
      <c r="AA264" s="340"/>
      <c r="AB264" s="340"/>
      <c r="AC264" s="338"/>
      <c r="AD264" s="338"/>
      <c r="AE264" s="338"/>
      <c r="AF264" s="338"/>
      <c r="AG264" s="338"/>
      <c r="AH264" s="338"/>
      <c r="AI264" s="338"/>
    </row>
    <row r="265" spans="1:38">
      <c r="A265" s="21">
        <v>45280</v>
      </c>
      <c r="B265" s="17">
        <f>IF(YEAR(Table7[[#This Row],[Date]]) = 2023, WEEKNUM(Table7[[#This Row],[Date]])-13, WEEKNUM(Table7[[#This Row],[Date]])+40)</f>
        <v>38</v>
      </c>
      <c r="C265" s="34" t="s">
        <v>51</v>
      </c>
      <c r="D265" s="35" t="s">
        <v>94</v>
      </c>
      <c r="E265" s="42">
        <v>609</v>
      </c>
      <c r="F265" s="42">
        <v>556</v>
      </c>
      <c r="G265" s="64">
        <f t="shared" si="124"/>
        <v>0.80712166172106825</v>
      </c>
      <c r="H265" s="64">
        <f t="shared" si="124"/>
        <v>0.72136222910216719</v>
      </c>
      <c r="I265" s="1"/>
      <c r="J265" s="1"/>
      <c r="K265" s="1"/>
      <c r="L265" s="1"/>
      <c r="M265" s="18">
        <v>0.77</v>
      </c>
      <c r="N265" s="84">
        <v>0.09</v>
      </c>
      <c r="O265" s="84">
        <v>0.91</v>
      </c>
      <c r="P265" s="84">
        <v>0.61</v>
      </c>
      <c r="Q265" s="84">
        <v>1</v>
      </c>
      <c r="R265" s="293">
        <v>205</v>
      </c>
      <c r="S265" s="293">
        <v>0</v>
      </c>
      <c r="T265" s="386">
        <v>6</v>
      </c>
      <c r="U265" s="345" t="str">
        <f t="shared" si="119"/>
        <v>Normal</v>
      </c>
      <c r="V265" s="345" t="str">
        <f t="shared" si="120"/>
        <v>Normal</v>
      </c>
      <c r="W265" s="345">
        <f t="shared" si="121"/>
        <v>0.80712166172106825</v>
      </c>
      <c r="X265" s="416">
        <f t="shared" si="122"/>
        <v>0.72136222910216719</v>
      </c>
      <c r="Y265" s="340"/>
      <c r="Z265" s="340"/>
      <c r="AA265" s="340"/>
      <c r="AB265" s="340"/>
      <c r="AC265" s="338"/>
      <c r="AD265" s="338"/>
      <c r="AE265" s="338"/>
      <c r="AF265" s="338"/>
      <c r="AG265" s="338"/>
      <c r="AH265" s="338"/>
      <c r="AI265" s="338"/>
    </row>
    <row r="266" spans="1:38">
      <c r="A266" s="21">
        <v>45281</v>
      </c>
      <c r="B266" s="17">
        <f>IF(YEAR(Table7[[#This Row],[Date]]) = 2023, WEEKNUM(Table7[[#This Row],[Date]])-13, WEEKNUM(Table7[[#This Row],[Date]])+40)</f>
        <v>38</v>
      </c>
      <c r="C266" s="33" t="s">
        <v>52</v>
      </c>
      <c r="D266" s="35" t="s">
        <v>94</v>
      </c>
      <c r="E266" s="41">
        <v>646</v>
      </c>
      <c r="F266" s="41">
        <v>604</v>
      </c>
      <c r="G266" s="64">
        <f t="shared" ref="G266:H266" si="125">IFERROR((E266-E259)/E259,0%)</f>
        <v>0.1766848816029144</v>
      </c>
      <c r="H266" s="64">
        <f t="shared" si="125"/>
        <v>0.1984126984126984</v>
      </c>
      <c r="I266" s="1"/>
      <c r="J266" s="1"/>
      <c r="K266" s="1"/>
      <c r="L266" s="1"/>
      <c r="M266" s="36">
        <v>0.81</v>
      </c>
      <c r="N266" s="85">
        <v>7.0000000000000007E-2</v>
      </c>
      <c r="O266" s="85">
        <v>0.93</v>
      </c>
      <c r="P266" s="85">
        <v>0.78</v>
      </c>
      <c r="Q266" s="85">
        <v>1</v>
      </c>
      <c r="R266" s="293">
        <v>199</v>
      </c>
      <c r="S266" s="293">
        <v>0</v>
      </c>
      <c r="T266" s="386">
        <v>5</v>
      </c>
      <c r="U266" s="345" t="str">
        <f t="shared" si="119"/>
        <v>Normal</v>
      </c>
      <c r="V266" s="345" t="str">
        <f t="shared" si="120"/>
        <v>Normal</v>
      </c>
      <c r="W266" s="345">
        <f t="shared" si="121"/>
        <v>0.1766848816029144</v>
      </c>
      <c r="X266" s="416">
        <f t="shared" si="122"/>
        <v>0.1984126984126984</v>
      </c>
      <c r="Y266" s="340"/>
      <c r="Z266" s="340"/>
      <c r="AA266" s="340"/>
      <c r="AB266" s="340"/>
      <c r="AC266" s="338"/>
      <c r="AD266" s="338"/>
      <c r="AE266" s="338"/>
      <c r="AF266" s="338"/>
      <c r="AG266" s="338"/>
      <c r="AH266" s="338"/>
      <c r="AI266" s="338"/>
    </row>
    <row r="267" spans="1:38">
      <c r="A267" s="21">
        <v>45282</v>
      </c>
      <c r="B267" s="17">
        <f>IF(YEAR(Table7[[#This Row],[Date]]) = 2023, WEEKNUM(Table7[[#This Row],[Date]])-13, WEEKNUM(Table7[[#This Row],[Date]])+40)</f>
        <v>38</v>
      </c>
      <c r="C267" s="34" t="s">
        <v>53</v>
      </c>
      <c r="D267" s="35" t="s">
        <v>94</v>
      </c>
      <c r="E267" s="42">
        <v>583</v>
      </c>
      <c r="F267" s="42">
        <v>539</v>
      </c>
      <c r="G267" s="64">
        <f t="shared" ref="G267:H268" si="126">IFERROR((E267-E260)/E260,0%)</f>
        <v>9.3808630393996242E-2</v>
      </c>
      <c r="H267" s="64">
        <f t="shared" si="126"/>
        <v>8.0160320641282562E-2</v>
      </c>
      <c r="I267" s="1"/>
      <c r="J267" s="1"/>
      <c r="K267" s="1"/>
      <c r="L267" s="1"/>
      <c r="M267" s="18">
        <v>0.74</v>
      </c>
      <c r="N267" s="84">
        <v>0.08</v>
      </c>
      <c r="O267" s="84">
        <v>0.92</v>
      </c>
      <c r="P267" s="84">
        <v>0.78</v>
      </c>
      <c r="Q267" s="84">
        <v>1</v>
      </c>
      <c r="R267" s="293">
        <v>183</v>
      </c>
      <c r="S267" s="293">
        <v>0</v>
      </c>
      <c r="T267" s="386">
        <v>5</v>
      </c>
      <c r="U267" s="345" t="str">
        <f t="shared" si="119"/>
        <v>Normal</v>
      </c>
      <c r="V267" s="345" t="str">
        <f t="shared" si="120"/>
        <v>Normal</v>
      </c>
      <c r="W267" s="345">
        <f t="shared" si="121"/>
        <v>9.3808630393996242E-2</v>
      </c>
      <c r="X267" s="416">
        <f t="shared" si="122"/>
        <v>8.0160320641282562E-2</v>
      </c>
      <c r="Y267" s="340"/>
      <c r="Z267" s="340"/>
      <c r="AA267" s="340"/>
      <c r="AB267" s="340"/>
      <c r="AC267" s="338"/>
      <c r="AD267" s="338"/>
      <c r="AE267" s="338"/>
      <c r="AF267" s="338"/>
      <c r="AG267" s="338"/>
      <c r="AH267" s="338"/>
      <c r="AI267" s="338"/>
    </row>
    <row r="268" spans="1:38">
      <c r="A268" s="21">
        <v>45283</v>
      </c>
      <c r="B268" s="17">
        <f>IF(YEAR(Table7[[#This Row],[Date]]) = 2023, WEEKNUM(Table7[[#This Row],[Date]])-13, WEEKNUM(Table7[[#This Row],[Date]])+40)</f>
        <v>38</v>
      </c>
      <c r="C268" s="33" t="s">
        <v>54</v>
      </c>
      <c r="D268" s="35" t="s">
        <v>94</v>
      </c>
      <c r="E268" s="41">
        <v>271</v>
      </c>
      <c r="F268" s="41">
        <v>246</v>
      </c>
      <c r="G268" s="64">
        <f t="shared" si="126"/>
        <v>-5.2447552447552448E-2</v>
      </c>
      <c r="H268" s="64">
        <f t="shared" si="126"/>
        <v>-4.6511627906976744E-2</v>
      </c>
      <c r="I268" s="1"/>
      <c r="J268" s="1"/>
      <c r="K268" s="1"/>
      <c r="L268" s="1"/>
      <c r="M268" s="36">
        <v>0.75</v>
      </c>
      <c r="N268" s="85">
        <v>0.09</v>
      </c>
      <c r="O268" s="85">
        <v>0.91</v>
      </c>
      <c r="P268" s="85">
        <v>0.77</v>
      </c>
      <c r="Q268" s="85">
        <v>1</v>
      </c>
      <c r="R268" s="293">
        <v>196</v>
      </c>
      <c r="S268" s="293">
        <v>0</v>
      </c>
      <c r="T268" s="386">
        <v>4</v>
      </c>
      <c r="U268" s="345" t="str">
        <f t="shared" si="119"/>
        <v>Normal</v>
      </c>
      <c r="V268" s="345" t="str">
        <f t="shared" si="120"/>
        <v>Normal</v>
      </c>
      <c r="W268" s="345">
        <f t="shared" si="121"/>
        <v>-5.2447552447552448E-2</v>
      </c>
      <c r="X268" s="416">
        <f t="shared" si="122"/>
        <v>-4.6511627906976744E-2</v>
      </c>
      <c r="Y268" s="340"/>
      <c r="Z268" s="340"/>
      <c r="AA268" s="340"/>
      <c r="AB268" s="340"/>
      <c r="AC268" s="338"/>
      <c r="AD268" s="338"/>
      <c r="AE268" s="338"/>
      <c r="AF268" s="338"/>
      <c r="AG268" s="338"/>
      <c r="AH268" s="338"/>
      <c r="AI268" s="338"/>
    </row>
    <row r="269" spans="1:38">
      <c r="A269" s="21">
        <v>45284</v>
      </c>
      <c r="B269" s="17">
        <f>IF(YEAR(Table7[[#This Row],[Date]]) = 2023, WEEKNUM(Table7[[#This Row],[Date]])-13, WEEKNUM(Table7[[#This Row],[Date]])+40)</f>
        <v>39</v>
      </c>
      <c r="C269" s="34" t="s">
        <v>48</v>
      </c>
      <c r="D269" s="35" t="s">
        <v>94</v>
      </c>
      <c r="E269" s="42">
        <v>0</v>
      </c>
      <c r="F269" s="42">
        <v>0</v>
      </c>
      <c r="G269" s="64">
        <v>0</v>
      </c>
      <c r="H269" s="64">
        <v>0</v>
      </c>
      <c r="I269" s="1">
        <v>0</v>
      </c>
      <c r="J269" s="1">
        <v>0</v>
      </c>
      <c r="K269" s="1">
        <v>0</v>
      </c>
      <c r="L269" s="1">
        <v>0</v>
      </c>
      <c r="M269" s="18">
        <v>0</v>
      </c>
      <c r="N269" s="84">
        <v>0</v>
      </c>
      <c r="O269" s="84">
        <v>0</v>
      </c>
      <c r="P269" s="84">
        <v>0</v>
      </c>
      <c r="Q269" s="84">
        <v>0</v>
      </c>
      <c r="R269" s="293">
        <v>0</v>
      </c>
      <c r="S269" s="293">
        <v>0</v>
      </c>
      <c r="T269" s="386">
        <v>0</v>
      </c>
      <c r="U269" s="345" t="str">
        <f t="shared" si="119"/>
        <v>Normal</v>
      </c>
      <c r="V269" s="345" t="str">
        <f t="shared" si="120"/>
        <v>Normal</v>
      </c>
      <c r="W269" s="345">
        <f t="shared" si="121"/>
        <v>0</v>
      </c>
      <c r="X269" s="416">
        <f t="shared" si="122"/>
        <v>0</v>
      </c>
      <c r="Y269" s="340"/>
      <c r="Z269" s="340"/>
      <c r="AA269" s="340"/>
      <c r="AB269" s="340"/>
      <c r="AC269" s="338"/>
      <c r="AD269" s="338"/>
      <c r="AE269" s="338"/>
      <c r="AF269" s="338"/>
      <c r="AG269" s="338"/>
      <c r="AH269" s="338"/>
      <c r="AI269" s="338"/>
    </row>
    <row r="270" spans="1:38">
      <c r="A270" s="21">
        <v>45285</v>
      </c>
      <c r="B270" s="17">
        <f>IF(YEAR(Table7[[#This Row],[Date]]) = 2023, WEEKNUM(Table7[[#This Row],[Date]])-13, WEEKNUM(Table7[[#This Row],[Date]])+40)</f>
        <v>39</v>
      </c>
      <c r="C270" s="33" t="s">
        <v>64</v>
      </c>
      <c r="D270" s="35" t="s">
        <v>94</v>
      </c>
      <c r="E270" s="42">
        <v>0</v>
      </c>
      <c r="F270" s="42">
        <v>0</v>
      </c>
      <c r="G270" s="64">
        <v>0</v>
      </c>
      <c r="H270" s="64">
        <v>0</v>
      </c>
      <c r="I270" s="1">
        <v>0</v>
      </c>
      <c r="J270" s="1">
        <v>0</v>
      </c>
      <c r="K270" s="1">
        <v>0</v>
      </c>
      <c r="L270" s="1">
        <v>0</v>
      </c>
      <c r="M270" s="18">
        <v>0</v>
      </c>
      <c r="N270" s="84">
        <v>0</v>
      </c>
      <c r="O270" s="84">
        <v>0</v>
      </c>
      <c r="P270" s="84">
        <v>0</v>
      </c>
      <c r="Q270" s="84">
        <v>0</v>
      </c>
      <c r="R270" s="293">
        <v>0</v>
      </c>
      <c r="S270" s="293">
        <v>0</v>
      </c>
      <c r="T270" s="386">
        <v>0</v>
      </c>
      <c r="U270" s="345" t="str">
        <f t="shared" si="119"/>
        <v>Normal</v>
      </c>
      <c r="V270" s="345" t="str">
        <f t="shared" si="120"/>
        <v>Normal</v>
      </c>
      <c r="W270" s="345">
        <f t="shared" si="121"/>
        <v>0</v>
      </c>
      <c r="X270" s="416">
        <f t="shared" si="122"/>
        <v>0</v>
      </c>
      <c r="Y270" s="340"/>
      <c r="Z270" s="340"/>
      <c r="AA270" s="340"/>
      <c r="AB270" s="340"/>
      <c r="AC270" s="338"/>
      <c r="AD270" s="338"/>
      <c r="AE270" s="338"/>
      <c r="AF270" s="338"/>
      <c r="AG270" s="338"/>
      <c r="AH270" s="338"/>
      <c r="AI270" s="338"/>
    </row>
    <row r="271" spans="1:38">
      <c r="A271" s="21">
        <v>45286</v>
      </c>
      <c r="B271" s="17">
        <f>IF(YEAR(Table7[[#This Row],[Date]]) = 2023, WEEKNUM(Table7[[#This Row],[Date]])-13, WEEKNUM(Table7[[#This Row],[Date]])+40)</f>
        <v>39</v>
      </c>
      <c r="C271" s="34" t="s">
        <v>64</v>
      </c>
      <c r="D271" s="35" t="s">
        <v>94</v>
      </c>
      <c r="E271" s="42">
        <v>0</v>
      </c>
      <c r="F271" s="42">
        <v>0</v>
      </c>
      <c r="G271" s="64">
        <v>0</v>
      </c>
      <c r="H271" s="64">
        <v>0</v>
      </c>
      <c r="I271" s="1">
        <v>0</v>
      </c>
      <c r="J271" s="1">
        <v>0</v>
      </c>
      <c r="K271" s="1">
        <v>0</v>
      </c>
      <c r="L271" s="1">
        <v>0</v>
      </c>
      <c r="M271" s="18">
        <v>0</v>
      </c>
      <c r="N271" s="84">
        <v>0</v>
      </c>
      <c r="O271" s="84">
        <v>0</v>
      </c>
      <c r="P271" s="84">
        <v>0</v>
      </c>
      <c r="Q271" s="84">
        <v>0</v>
      </c>
      <c r="R271" s="293">
        <v>0</v>
      </c>
      <c r="S271" s="293">
        <v>0</v>
      </c>
      <c r="T271" s="386">
        <v>0</v>
      </c>
      <c r="U271" s="345" t="str">
        <f t="shared" si="119"/>
        <v>Normal</v>
      </c>
      <c r="V271" s="345" t="str">
        <f t="shared" si="120"/>
        <v>Normal</v>
      </c>
      <c r="W271" s="345">
        <f t="shared" si="121"/>
        <v>0</v>
      </c>
      <c r="X271" s="416">
        <f t="shared" si="122"/>
        <v>0</v>
      </c>
      <c r="Y271" s="340"/>
      <c r="Z271" s="340"/>
      <c r="AA271" s="340"/>
      <c r="AB271" s="340"/>
      <c r="AC271" s="338"/>
      <c r="AD271" s="338"/>
      <c r="AE271" s="338"/>
      <c r="AF271" s="338"/>
      <c r="AG271" s="338"/>
      <c r="AH271" s="338"/>
      <c r="AI271" s="338"/>
    </row>
    <row r="272" spans="1:38">
      <c r="A272" s="21">
        <v>45287</v>
      </c>
      <c r="B272" s="17">
        <f>IF(YEAR(Table7[[#This Row],[Date]]) = 2023, WEEKNUM(Table7[[#This Row],[Date]])-13, WEEKNUM(Table7[[#This Row],[Date]])+40)</f>
        <v>39</v>
      </c>
      <c r="C272" s="33" t="s">
        <v>51</v>
      </c>
      <c r="D272" s="35" t="s">
        <v>94</v>
      </c>
      <c r="E272" s="41">
        <v>671</v>
      </c>
      <c r="F272" s="41">
        <v>567</v>
      </c>
      <c r="G272" s="64">
        <f t="shared" ref="G272:H273" si="127">IFERROR((E272-E265)/E265,0%)</f>
        <v>0.10180623973727422</v>
      </c>
      <c r="H272" s="64">
        <f t="shared" si="127"/>
        <v>1.9784172661870502E-2</v>
      </c>
      <c r="I272" s="31"/>
      <c r="J272" s="31"/>
      <c r="K272" s="31"/>
      <c r="L272" s="31"/>
      <c r="M272" s="36">
        <v>0.54</v>
      </c>
      <c r="N272" s="85">
        <v>0.15</v>
      </c>
      <c r="O272" s="85">
        <v>0.85</v>
      </c>
      <c r="P272" s="85">
        <v>1.05</v>
      </c>
      <c r="Q272" s="85">
        <v>1</v>
      </c>
      <c r="R272" s="293">
        <v>222</v>
      </c>
      <c r="S272" s="293">
        <v>0</v>
      </c>
      <c r="T272" s="386">
        <v>5</v>
      </c>
      <c r="U272" s="345" t="str">
        <f t="shared" si="119"/>
        <v>Normal</v>
      </c>
      <c r="V272" s="345" t="str">
        <f t="shared" si="120"/>
        <v>Normal</v>
      </c>
      <c r="W272" s="345">
        <f t="shared" si="121"/>
        <v>0.10180623973727422</v>
      </c>
      <c r="X272" s="416">
        <f t="shared" si="122"/>
        <v>1.9784172661870502E-2</v>
      </c>
      <c r="Y272" s="340"/>
      <c r="Z272" s="340"/>
      <c r="AA272" s="340"/>
      <c r="AB272" s="340"/>
      <c r="AC272" s="338"/>
      <c r="AD272" s="338"/>
      <c r="AE272" s="338"/>
      <c r="AF272" s="338"/>
      <c r="AG272" s="338"/>
      <c r="AH272" s="338"/>
      <c r="AI272" s="338"/>
      <c r="AJ272" t="e">
        <v>#DIV/0!</v>
      </c>
    </row>
    <row r="273" spans="1:38">
      <c r="A273" s="21">
        <v>45288</v>
      </c>
      <c r="B273" s="17">
        <f>IF(YEAR(Table7[[#This Row],[Date]]) = 2023, WEEKNUM(Table7[[#This Row],[Date]])-13, WEEKNUM(Table7[[#This Row],[Date]])+40)</f>
        <v>39</v>
      </c>
      <c r="C273" s="34" t="s">
        <v>52</v>
      </c>
      <c r="D273" s="35" t="s">
        <v>94</v>
      </c>
      <c r="E273" s="42">
        <v>525</v>
      </c>
      <c r="F273" s="42">
        <v>489</v>
      </c>
      <c r="G273" s="64">
        <f t="shared" si="127"/>
        <v>-0.18730650154798761</v>
      </c>
      <c r="H273" s="64">
        <f t="shared" si="127"/>
        <v>-0.19039735099337748</v>
      </c>
      <c r="I273" s="1"/>
      <c r="J273" s="1"/>
      <c r="K273" s="1"/>
      <c r="L273" s="1"/>
      <c r="M273" s="18">
        <v>0.78</v>
      </c>
      <c r="N273" s="84">
        <v>7.0000000000000007E-2</v>
      </c>
      <c r="O273" s="84">
        <v>0.93</v>
      </c>
      <c r="P273" s="84">
        <v>0.66</v>
      </c>
      <c r="Q273" s="84">
        <v>1</v>
      </c>
      <c r="R273" s="293">
        <v>204</v>
      </c>
      <c r="S273" s="293">
        <v>0</v>
      </c>
      <c r="T273" s="386">
        <v>6</v>
      </c>
      <c r="U273" s="345" t="str">
        <f t="shared" si="119"/>
        <v>Normal</v>
      </c>
      <c r="V273" s="345" t="str">
        <f t="shared" si="120"/>
        <v>Normal</v>
      </c>
      <c r="W273" s="345">
        <f t="shared" si="121"/>
        <v>-0.18730650154798761</v>
      </c>
      <c r="X273" s="416">
        <f t="shared" si="122"/>
        <v>-0.19039735099337748</v>
      </c>
      <c r="Y273" s="340"/>
      <c r="Z273" s="340"/>
      <c r="AA273" s="340"/>
      <c r="AB273" s="340"/>
      <c r="AC273" s="338"/>
      <c r="AD273" s="338"/>
      <c r="AE273" s="338"/>
      <c r="AF273" s="338"/>
      <c r="AG273" s="338"/>
      <c r="AH273" s="338"/>
      <c r="AI273" s="338"/>
    </row>
    <row r="274" spans="1:38">
      <c r="A274" s="21">
        <v>45289</v>
      </c>
      <c r="B274" s="17">
        <f>IF(YEAR(Table7[[#This Row],[Date]]) = 2023, WEEKNUM(Table7[[#This Row],[Date]])-13, WEEKNUM(Table7[[#This Row],[Date]])+40)</f>
        <v>39</v>
      </c>
      <c r="C274" s="33" t="s">
        <v>53</v>
      </c>
      <c r="D274" s="35" t="s">
        <v>94</v>
      </c>
      <c r="E274" s="41">
        <v>443</v>
      </c>
      <c r="F274" s="41">
        <v>426</v>
      </c>
      <c r="G274" s="64">
        <f t="shared" ref="G274:H274" si="128">IFERROR((E274-E267)/E267,0%)</f>
        <v>-0.24013722126929674</v>
      </c>
      <c r="H274" s="64">
        <f t="shared" si="128"/>
        <v>-0.20964749536178107</v>
      </c>
      <c r="I274" s="1"/>
      <c r="J274" s="1"/>
      <c r="K274" s="1"/>
      <c r="L274" s="1"/>
      <c r="M274" s="36">
        <v>0.83</v>
      </c>
      <c r="N274" s="85">
        <v>0.04</v>
      </c>
      <c r="O274" s="85">
        <v>0.96</v>
      </c>
      <c r="P274" s="85">
        <v>0.49</v>
      </c>
      <c r="Q274" s="85">
        <v>1</v>
      </c>
      <c r="R274" s="293">
        <v>226</v>
      </c>
      <c r="S274" s="293">
        <v>0</v>
      </c>
      <c r="T274" s="386">
        <v>7</v>
      </c>
      <c r="U274" s="345" t="str">
        <f t="shared" si="119"/>
        <v>Normal</v>
      </c>
      <c r="V274" s="345" t="str">
        <f t="shared" si="120"/>
        <v>Normal</v>
      </c>
      <c r="W274" s="345">
        <f t="shared" si="121"/>
        <v>-0.24013722126929674</v>
      </c>
      <c r="X274" s="416">
        <f t="shared" si="122"/>
        <v>-0.20964749536178107</v>
      </c>
      <c r="Y274" s="340"/>
      <c r="Z274" s="340"/>
      <c r="AA274" s="340"/>
      <c r="AB274" s="340"/>
      <c r="AC274" s="338"/>
      <c r="AD274" s="338"/>
      <c r="AE274" s="338"/>
      <c r="AF274" s="338"/>
      <c r="AG274" s="338"/>
      <c r="AH274" s="338"/>
      <c r="AI274" s="338"/>
    </row>
    <row r="275" spans="1:38">
      <c r="A275" s="21">
        <v>45290</v>
      </c>
      <c r="B275" s="17">
        <f>IF(YEAR(Table7[[#This Row],[Date]]) = 2023, WEEKNUM(Table7[[#This Row],[Date]])-13, WEEKNUM(Table7[[#This Row],[Date]])+40)</f>
        <v>39</v>
      </c>
      <c r="C275" s="34" t="s">
        <v>54</v>
      </c>
      <c r="D275" s="35" t="s">
        <v>94</v>
      </c>
      <c r="E275" s="42">
        <v>170</v>
      </c>
      <c r="F275" s="42">
        <v>158</v>
      </c>
      <c r="G275" s="64">
        <f t="shared" ref="G275:H277" si="129">IFERROR((E275-E268)/E268,0%)</f>
        <v>-0.37269372693726938</v>
      </c>
      <c r="H275" s="64">
        <f t="shared" si="129"/>
        <v>-0.35772357723577236</v>
      </c>
      <c r="I275" s="1"/>
      <c r="J275" s="1"/>
      <c r="K275" s="1"/>
      <c r="L275" s="1"/>
      <c r="M275" s="18">
        <v>0.89</v>
      </c>
      <c r="N275" s="84">
        <v>7.0000000000000007E-2</v>
      </c>
      <c r="O275" s="84">
        <v>0.93</v>
      </c>
      <c r="P275" s="84">
        <v>0.5</v>
      </c>
      <c r="Q275" s="84">
        <v>1</v>
      </c>
      <c r="R275" s="293">
        <v>196</v>
      </c>
      <c r="S275" s="293">
        <v>0</v>
      </c>
      <c r="T275" s="386">
        <v>4</v>
      </c>
      <c r="U275" s="345" t="str">
        <f t="shared" si="119"/>
        <v>Normal</v>
      </c>
      <c r="V275" s="345" t="str">
        <f t="shared" si="120"/>
        <v>Normal</v>
      </c>
      <c r="W275" s="345">
        <f t="shared" si="121"/>
        <v>-0.37269372693726938</v>
      </c>
      <c r="X275" s="416">
        <f t="shared" si="122"/>
        <v>-0.35772357723577236</v>
      </c>
      <c r="Y275" s="340"/>
      <c r="Z275" s="340"/>
      <c r="AA275" s="340"/>
      <c r="AB275" s="340"/>
      <c r="AC275" s="338"/>
      <c r="AD275" s="338"/>
      <c r="AE275" s="338"/>
      <c r="AF275" s="338"/>
      <c r="AG275" s="338"/>
      <c r="AH275" s="338"/>
      <c r="AI275" s="338"/>
    </row>
    <row r="276" spans="1:38">
      <c r="A276" s="21">
        <v>45291</v>
      </c>
      <c r="B276" s="17">
        <f>IF(YEAR(Table7[[#This Row],[Date]]) = 2023, WEEKNUM(Table7[[#This Row],[Date]])-13, WEEKNUM(Table7[[#This Row],[Date]])+40)</f>
        <v>40</v>
      </c>
      <c r="C276" s="33" t="s">
        <v>48</v>
      </c>
      <c r="D276" s="35" t="s">
        <v>94</v>
      </c>
      <c r="E276" s="41">
        <v>0</v>
      </c>
      <c r="F276" s="41">
        <v>0</v>
      </c>
      <c r="G276" s="64">
        <f t="shared" si="129"/>
        <v>0</v>
      </c>
      <c r="H276" s="64">
        <f t="shared" si="129"/>
        <v>0</v>
      </c>
      <c r="I276" s="1">
        <v>0</v>
      </c>
      <c r="J276" s="1">
        <v>0</v>
      </c>
      <c r="K276" s="1">
        <v>0</v>
      </c>
      <c r="L276" s="1">
        <v>0</v>
      </c>
      <c r="M276" s="36">
        <v>0</v>
      </c>
      <c r="N276" s="85">
        <v>0</v>
      </c>
      <c r="O276" s="85">
        <v>0</v>
      </c>
      <c r="P276" s="85">
        <v>0</v>
      </c>
      <c r="Q276" s="85">
        <v>0</v>
      </c>
      <c r="R276" s="293">
        <v>0</v>
      </c>
      <c r="S276" s="293">
        <v>0</v>
      </c>
      <c r="T276" s="386">
        <v>0</v>
      </c>
      <c r="U276" s="345" t="str">
        <f t="shared" si="119"/>
        <v>Normal</v>
      </c>
      <c r="V276" s="345" t="str">
        <f t="shared" si="120"/>
        <v>Normal</v>
      </c>
      <c r="W276" s="345">
        <f t="shared" si="121"/>
        <v>0</v>
      </c>
      <c r="X276" s="416">
        <f t="shared" si="122"/>
        <v>0</v>
      </c>
      <c r="Y276" s="340"/>
      <c r="Z276" s="340"/>
      <c r="AA276" s="340"/>
      <c r="AB276" s="340"/>
      <c r="AC276" s="338"/>
      <c r="AD276" s="338"/>
      <c r="AE276" s="338"/>
      <c r="AF276" s="338"/>
      <c r="AG276" s="338"/>
      <c r="AH276" s="338"/>
      <c r="AI276" s="338"/>
    </row>
    <row r="277" spans="1:38" s="47" customFormat="1">
      <c r="A277" s="21">
        <v>45292</v>
      </c>
      <c r="B277" s="17">
        <f>IF(YEAR(Table7[[#This Row],[Date]]) = 2023, WEEKNUM(Table7[[#This Row],[Date]])-13, WEEKNUM(Table7[[#This Row],[Date]])+40)</f>
        <v>41</v>
      </c>
      <c r="C277" s="76" t="s">
        <v>64</v>
      </c>
      <c r="D277" s="35" t="s">
        <v>94</v>
      </c>
      <c r="E277" s="136">
        <v>0</v>
      </c>
      <c r="F277" s="136">
        <v>0</v>
      </c>
      <c r="G277" s="64">
        <f t="shared" si="129"/>
        <v>0</v>
      </c>
      <c r="H277" s="64">
        <f t="shared" si="129"/>
        <v>0</v>
      </c>
      <c r="I277" s="65">
        <v>0</v>
      </c>
      <c r="J277" s="65">
        <v>0</v>
      </c>
      <c r="K277" s="65">
        <v>0</v>
      </c>
      <c r="L277" s="65">
        <v>0</v>
      </c>
      <c r="M277" s="2">
        <v>0</v>
      </c>
      <c r="N277" s="137">
        <v>0</v>
      </c>
      <c r="O277" s="137">
        <v>0</v>
      </c>
      <c r="P277" s="137">
        <v>0</v>
      </c>
      <c r="Q277" s="137">
        <v>0</v>
      </c>
      <c r="R277" s="311">
        <v>0</v>
      </c>
      <c r="S277" s="311">
        <v>0</v>
      </c>
      <c r="T277" s="386">
        <v>0</v>
      </c>
      <c r="U277" s="345" t="str">
        <f t="shared" si="119"/>
        <v>Normal</v>
      </c>
      <c r="V277" s="345" t="str">
        <f t="shared" si="120"/>
        <v>Normal</v>
      </c>
      <c r="W277" s="345">
        <f t="shared" si="121"/>
        <v>0</v>
      </c>
      <c r="X277" s="416">
        <f t="shared" si="122"/>
        <v>0</v>
      </c>
      <c r="Y277" s="340"/>
      <c r="Z277" s="340"/>
      <c r="AA277" s="340"/>
      <c r="AB277" s="340"/>
      <c r="AC277" s="338"/>
      <c r="AD277" s="338"/>
      <c r="AE277" s="338"/>
      <c r="AF277" s="338"/>
      <c r="AG277" s="338"/>
      <c r="AH277" s="338"/>
      <c r="AI277" s="338"/>
      <c r="AJ277"/>
      <c r="AK277"/>
      <c r="AL277"/>
    </row>
    <row r="278" spans="1:38">
      <c r="A278" s="21">
        <v>45293</v>
      </c>
      <c r="B278" s="17">
        <f>IF(YEAR(Table7[[#This Row],[Date]]) = 2023, WEEKNUM(Table7[[#This Row],[Date]])-13, WEEKNUM(Table7[[#This Row],[Date]])+40)</f>
        <v>41</v>
      </c>
      <c r="C278" s="33" t="s">
        <v>50</v>
      </c>
      <c r="D278" s="35" t="s">
        <v>94</v>
      </c>
      <c r="E278" s="41">
        <v>281</v>
      </c>
      <c r="F278" s="41">
        <v>251</v>
      </c>
      <c r="G278" s="64">
        <f t="shared" ref="G278:H278" si="130">IFERROR((E278-E271)/E271,0%)</f>
        <v>0</v>
      </c>
      <c r="H278" s="64">
        <f t="shared" si="130"/>
        <v>0</v>
      </c>
      <c r="I278" s="31"/>
      <c r="J278" s="31"/>
      <c r="K278" s="31"/>
      <c r="L278" s="31"/>
      <c r="M278" s="36">
        <v>0.72</v>
      </c>
      <c r="N278" s="85">
        <v>0.11</v>
      </c>
      <c r="O278" s="85">
        <v>0.89</v>
      </c>
      <c r="P278" s="85">
        <v>0.38</v>
      </c>
      <c r="Q278" s="85">
        <v>1</v>
      </c>
      <c r="R278" s="293">
        <v>207</v>
      </c>
      <c r="S278" s="293">
        <v>0</v>
      </c>
      <c r="T278" s="386">
        <v>5</v>
      </c>
      <c r="U278" s="345" t="str">
        <f t="shared" si="119"/>
        <v>Normal</v>
      </c>
      <c r="V278" s="345" t="str">
        <f t="shared" si="120"/>
        <v>Normal</v>
      </c>
      <c r="W278" s="345">
        <f t="shared" si="121"/>
        <v>0</v>
      </c>
      <c r="X278" s="416">
        <f t="shared" si="122"/>
        <v>0</v>
      </c>
      <c r="Y278" s="340"/>
      <c r="Z278" s="340"/>
      <c r="AA278" s="340"/>
      <c r="AB278" s="340"/>
      <c r="AC278" s="338"/>
      <c r="AD278" s="338"/>
      <c r="AE278" s="338"/>
      <c r="AF278" s="338"/>
      <c r="AG278" s="338"/>
      <c r="AH278" s="338"/>
      <c r="AI278" s="338"/>
    </row>
    <row r="279" spans="1:38">
      <c r="A279" s="21">
        <v>45294</v>
      </c>
      <c r="B279" s="17">
        <f>IF(YEAR(Table7[[#This Row],[Date]]) = 2023, WEEKNUM(Table7[[#This Row],[Date]])-13, WEEKNUM(Table7[[#This Row],[Date]])+40)</f>
        <v>41</v>
      </c>
      <c r="C279" s="34" t="s">
        <v>51</v>
      </c>
      <c r="D279" s="35" t="s">
        <v>94</v>
      </c>
      <c r="E279" s="42">
        <v>442</v>
      </c>
      <c r="F279" s="42">
        <v>415</v>
      </c>
      <c r="G279" s="64">
        <f t="shared" ref="G279:H281" si="131">IFERROR((E279-E272)/E272,0%)</f>
        <v>-0.3412816691505216</v>
      </c>
      <c r="H279" s="64">
        <f t="shared" si="131"/>
        <v>-0.26807760141093473</v>
      </c>
      <c r="I279" s="1"/>
      <c r="J279" s="1"/>
      <c r="K279" s="1"/>
      <c r="L279" s="1"/>
      <c r="M279" s="18">
        <v>0.83</v>
      </c>
      <c r="N279" s="84">
        <v>0.06</v>
      </c>
      <c r="O279" s="84">
        <v>0.94</v>
      </c>
      <c r="P279" s="84">
        <v>0.64</v>
      </c>
      <c r="Q279" s="84">
        <v>1</v>
      </c>
      <c r="R279" s="293">
        <v>218</v>
      </c>
      <c r="S279" s="293">
        <v>0</v>
      </c>
      <c r="T279" s="386">
        <v>5</v>
      </c>
      <c r="U279" s="345" t="str">
        <f t="shared" si="119"/>
        <v>Normal</v>
      </c>
      <c r="V279" s="345" t="str">
        <f t="shared" si="120"/>
        <v>Normal</v>
      </c>
      <c r="W279" s="345">
        <f t="shared" si="121"/>
        <v>-0.3412816691505216</v>
      </c>
      <c r="X279" s="416">
        <f t="shared" si="122"/>
        <v>-0.26807760141093473</v>
      </c>
      <c r="Y279" s="340"/>
      <c r="Z279" s="340"/>
      <c r="AA279" s="340"/>
      <c r="AB279" s="340"/>
      <c r="AC279" s="338"/>
      <c r="AD279" s="338"/>
      <c r="AE279" s="338"/>
      <c r="AF279" s="338"/>
      <c r="AG279" s="338"/>
      <c r="AH279" s="338"/>
      <c r="AI279" s="338"/>
    </row>
    <row r="280" spans="1:38">
      <c r="A280" s="21">
        <v>45295</v>
      </c>
      <c r="B280" s="17">
        <f>IF(YEAR(Table7[[#This Row],[Date]]) = 2023, WEEKNUM(Table7[[#This Row],[Date]])-13, WEEKNUM(Table7[[#This Row],[Date]])+40)</f>
        <v>41</v>
      </c>
      <c r="C280" s="33" t="s">
        <v>52</v>
      </c>
      <c r="D280" s="35" t="s">
        <v>94</v>
      </c>
      <c r="E280" s="41">
        <v>405</v>
      </c>
      <c r="F280" s="41">
        <v>384</v>
      </c>
      <c r="G280" s="64">
        <f t="shared" si="131"/>
        <v>-0.22857142857142856</v>
      </c>
      <c r="H280" s="64">
        <f t="shared" si="131"/>
        <v>-0.21472392638036811</v>
      </c>
      <c r="I280" s="1"/>
      <c r="J280" s="1"/>
      <c r="K280" s="1"/>
      <c r="L280" s="1"/>
      <c r="M280" s="36">
        <v>0.89</v>
      </c>
      <c r="N280" s="85">
        <v>0.05</v>
      </c>
      <c r="O280" s="85">
        <v>0.95</v>
      </c>
      <c r="P280" s="85">
        <v>0.59</v>
      </c>
      <c r="Q280" s="85">
        <v>1</v>
      </c>
      <c r="R280" s="293">
        <v>214</v>
      </c>
      <c r="S280" s="293">
        <v>0</v>
      </c>
      <c r="T280" s="386">
        <v>5</v>
      </c>
      <c r="U280" s="345" t="str">
        <f t="shared" si="119"/>
        <v>Normal</v>
      </c>
      <c r="V280" s="345" t="str">
        <f t="shared" si="120"/>
        <v>Normal</v>
      </c>
      <c r="W280" s="345">
        <f t="shared" si="121"/>
        <v>-0.22857142857142856</v>
      </c>
      <c r="X280" s="416">
        <f t="shared" si="122"/>
        <v>-0.21472392638036811</v>
      </c>
      <c r="Y280" s="340"/>
      <c r="Z280" s="340"/>
      <c r="AA280" s="340"/>
      <c r="AB280" s="340"/>
      <c r="AC280" s="338"/>
      <c r="AD280" s="338"/>
      <c r="AE280" s="338"/>
      <c r="AF280" s="338"/>
      <c r="AG280" s="338"/>
      <c r="AH280" s="338"/>
      <c r="AI280" s="338"/>
    </row>
    <row r="281" spans="1:38">
      <c r="A281" s="21">
        <v>45296</v>
      </c>
      <c r="B281" s="17">
        <f>IF(YEAR(Table7[[#This Row],[Date]]) = 2023, WEEKNUM(Table7[[#This Row],[Date]])-13, WEEKNUM(Table7[[#This Row],[Date]])+40)</f>
        <v>41</v>
      </c>
      <c r="C281" s="34" t="s">
        <v>53</v>
      </c>
      <c r="D281" s="35" t="s">
        <v>94</v>
      </c>
      <c r="E281" s="42">
        <v>392</v>
      </c>
      <c r="F281" s="42">
        <v>385</v>
      </c>
      <c r="G281" s="64">
        <f t="shared" si="131"/>
        <v>-0.11512415349887133</v>
      </c>
      <c r="H281" s="64">
        <f t="shared" si="131"/>
        <v>-9.6244131455399062E-2</v>
      </c>
      <c r="I281" s="1"/>
      <c r="J281" s="1"/>
      <c r="K281" s="1"/>
      <c r="L281" s="1"/>
      <c r="M281" s="18">
        <v>0.93</v>
      </c>
      <c r="N281" s="84">
        <v>0.02</v>
      </c>
      <c r="O281" s="84">
        <v>0.98</v>
      </c>
      <c r="P281" s="84">
        <v>0.59</v>
      </c>
      <c r="Q281" s="84">
        <v>1</v>
      </c>
      <c r="R281" s="293">
        <v>215</v>
      </c>
      <c r="S281" s="293">
        <v>0</v>
      </c>
      <c r="T281" s="386">
        <v>5</v>
      </c>
      <c r="U281" s="345" t="str">
        <f t="shared" si="119"/>
        <v>Normal</v>
      </c>
      <c r="V281" s="345" t="str">
        <f t="shared" si="120"/>
        <v>Normal</v>
      </c>
      <c r="W281" s="345">
        <f t="shared" si="121"/>
        <v>-0.11512415349887133</v>
      </c>
      <c r="X281" s="416">
        <f t="shared" si="122"/>
        <v>-9.6244131455399062E-2</v>
      </c>
      <c r="Y281" s="340"/>
      <c r="Z281" s="340"/>
      <c r="AA281" s="340"/>
      <c r="AB281" s="340"/>
      <c r="AC281" s="338"/>
      <c r="AD281" s="338"/>
      <c r="AE281" s="338"/>
      <c r="AF281" s="338"/>
      <c r="AG281" s="338"/>
      <c r="AH281" s="338"/>
      <c r="AI281" s="338"/>
    </row>
    <row r="282" spans="1:38">
      <c r="A282" s="21">
        <v>45297</v>
      </c>
      <c r="B282" s="17">
        <f>IF(YEAR(Table7[[#This Row],[Date]]) = 2023, WEEKNUM(Table7[[#This Row],[Date]])-13, WEEKNUM(Table7[[#This Row],[Date]])+40)</f>
        <v>41</v>
      </c>
      <c r="C282" s="33" t="s">
        <v>54</v>
      </c>
      <c r="D282" s="35" t="s">
        <v>94</v>
      </c>
      <c r="E282" s="41">
        <v>133</v>
      </c>
      <c r="F282" s="41">
        <v>122</v>
      </c>
      <c r="G282" s="64">
        <f t="shared" ref="G282:H282" si="132">IFERROR((E282-E275)/E275,0%)</f>
        <v>-0.21764705882352942</v>
      </c>
      <c r="H282" s="64">
        <f t="shared" si="132"/>
        <v>-0.22784810126582278</v>
      </c>
      <c r="I282" s="1"/>
      <c r="J282" s="1"/>
      <c r="K282" s="1"/>
      <c r="L282" s="1"/>
      <c r="M282" s="36">
        <v>0.84</v>
      </c>
      <c r="N282" s="85">
        <v>0.08</v>
      </c>
      <c r="O282" s="85">
        <v>0.92</v>
      </c>
      <c r="P282" s="85">
        <v>0.49</v>
      </c>
      <c r="Q282" s="85">
        <v>1</v>
      </c>
      <c r="R282" s="293">
        <v>245</v>
      </c>
      <c r="S282" s="293">
        <v>0</v>
      </c>
      <c r="T282" s="386">
        <v>4</v>
      </c>
      <c r="U282" s="345" t="str">
        <f t="shared" si="119"/>
        <v>Normal</v>
      </c>
      <c r="V282" s="345" t="str">
        <f t="shared" si="120"/>
        <v>Normal</v>
      </c>
      <c r="W282" s="345">
        <f t="shared" si="121"/>
        <v>-0.21764705882352942</v>
      </c>
      <c r="X282" s="416">
        <f t="shared" si="122"/>
        <v>-0.22784810126582278</v>
      </c>
      <c r="Y282" s="340"/>
      <c r="Z282" s="340"/>
      <c r="AA282" s="340"/>
      <c r="AB282" s="340"/>
      <c r="AC282" s="338"/>
      <c r="AD282" s="338"/>
      <c r="AE282" s="338"/>
      <c r="AF282" s="338"/>
      <c r="AG282" s="338"/>
      <c r="AH282" s="338"/>
      <c r="AI282" s="338"/>
    </row>
    <row r="283" spans="1:38">
      <c r="A283" s="21">
        <v>45298</v>
      </c>
      <c r="B283" s="17">
        <f>IF(YEAR(Table7[[#This Row],[Date]]) = 2023, WEEKNUM(Table7[[#This Row],[Date]])-13, WEEKNUM(Table7[[#This Row],[Date]])+40)</f>
        <v>42</v>
      </c>
      <c r="C283" s="34" t="s">
        <v>48</v>
      </c>
      <c r="D283" s="35" t="s">
        <v>94</v>
      </c>
      <c r="E283" s="42">
        <v>0</v>
      </c>
      <c r="F283" s="42">
        <v>0</v>
      </c>
      <c r="G283" s="64">
        <f t="shared" ref="G283:H285" si="133">IFERROR((E283-E276)/E276,0%)</f>
        <v>0</v>
      </c>
      <c r="H283" s="64">
        <f t="shared" si="133"/>
        <v>0</v>
      </c>
      <c r="I283" s="1">
        <v>0</v>
      </c>
      <c r="J283" s="1">
        <v>0</v>
      </c>
      <c r="K283" s="1">
        <v>0</v>
      </c>
      <c r="L283" s="1">
        <v>0</v>
      </c>
      <c r="M283" s="18">
        <v>0</v>
      </c>
      <c r="N283" s="84">
        <v>0</v>
      </c>
      <c r="O283" s="84">
        <v>0</v>
      </c>
      <c r="P283" s="84">
        <v>0</v>
      </c>
      <c r="Q283" s="84">
        <v>0</v>
      </c>
      <c r="R283" s="293">
        <v>0</v>
      </c>
      <c r="S283" s="293">
        <v>0</v>
      </c>
      <c r="T283" s="386">
        <v>0</v>
      </c>
      <c r="U283" s="345" t="str">
        <f t="shared" si="119"/>
        <v>Normal</v>
      </c>
      <c r="V283" s="345" t="str">
        <f t="shared" si="120"/>
        <v>Normal</v>
      </c>
      <c r="W283" s="345">
        <f t="shared" si="121"/>
        <v>0</v>
      </c>
      <c r="X283" s="416">
        <f t="shared" si="122"/>
        <v>0</v>
      </c>
      <c r="Y283" s="340"/>
      <c r="Z283" s="340"/>
      <c r="AA283" s="340"/>
      <c r="AB283" s="340"/>
      <c r="AC283" s="338"/>
      <c r="AD283" s="338"/>
      <c r="AE283" s="338"/>
      <c r="AF283" s="338"/>
      <c r="AG283" s="338"/>
      <c r="AH283" s="338"/>
      <c r="AI283" s="338"/>
    </row>
    <row r="284" spans="1:38">
      <c r="A284" s="21">
        <v>45299</v>
      </c>
      <c r="B284" s="17">
        <f>IF(YEAR(Table7[[#This Row],[Date]]) = 2023, WEEKNUM(Table7[[#This Row],[Date]])-13, WEEKNUM(Table7[[#This Row],[Date]])+40)</f>
        <v>42</v>
      </c>
      <c r="C284" s="33" t="s">
        <v>49</v>
      </c>
      <c r="D284" s="35" t="s">
        <v>94</v>
      </c>
      <c r="E284" s="41">
        <v>445</v>
      </c>
      <c r="F284" s="41">
        <v>432</v>
      </c>
      <c r="G284" s="64">
        <f t="shared" si="133"/>
        <v>0</v>
      </c>
      <c r="H284" s="64">
        <f t="shared" si="133"/>
        <v>0</v>
      </c>
      <c r="I284" s="31"/>
      <c r="J284" s="31"/>
      <c r="K284" s="31"/>
      <c r="L284" s="31"/>
      <c r="M284" s="36">
        <v>0.94</v>
      </c>
      <c r="N284" s="85">
        <v>0.03</v>
      </c>
      <c r="O284" s="85">
        <v>0.97</v>
      </c>
      <c r="P284" s="85">
        <v>0.64</v>
      </c>
      <c r="Q284" s="85">
        <v>1</v>
      </c>
      <c r="R284" s="293">
        <v>202</v>
      </c>
      <c r="S284" s="293">
        <v>0</v>
      </c>
      <c r="T284" s="386">
        <v>5</v>
      </c>
      <c r="U284" s="345" t="str">
        <f t="shared" si="119"/>
        <v>Normal</v>
      </c>
      <c r="V284" s="345" t="str">
        <f t="shared" si="120"/>
        <v>Normal</v>
      </c>
      <c r="W284" s="345">
        <f t="shared" si="121"/>
        <v>0</v>
      </c>
      <c r="X284" s="416">
        <f t="shared" si="122"/>
        <v>0</v>
      </c>
      <c r="Y284" s="340"/>
      <c r="Z284" s="340"/>
      <c r="AA284" s="340"/>
      <c r="AB284" s="340"/>
      <c r="AC284" s="338"/>
      <c r="AD284" s="338"/>
      <c r="AE284" s="338"/>
      <c r="AF284" s="338"/>
      <c r="AG284" s="338"/>
      <c r="AH284" s="338"/>
      <c r="AI284" s="338"/>
    </row>
    <row r="285" spans="1:38">
      <c r="A285" s="21">
        <v>45300</v>
      </c>
      <c r="B285" s="17">
        <f>IF(YEAR(Table7[[#This Row],[Date]]) = 2023, WEEKNUM(Table7[[#This Row],[Date]])-13, WEEKNUM(Table7[[#This Row],[Date]])+40)</f>
        <v>42</v>
      </c>
      <c r="C285" s="34" t="s">
        <v>50</v>
      </c>
      <c r="D285" s="35" t="s">
        <v>94</v>
      </c>
      <c r="E285" s="42">
        <v>383</v>
      </c>
      <c r="F285" s="42">
        <v>375</v>
      </c>
      <c r="G285" s="64">
        <f t="shared" si="133"/>
        <v>0.36298932384341637</v>
      </c>
      <c r="H285" s="64">
        <f t="shared" si="133"/>
        <v>0.49402390438247012</v>
      </c>
      <c r="I285" s="1"/>
      <c r="J285" s="1"/>
      <c r="K285" s="1"/>
      <c r="L285" s="1"/>
      <c r="M285" s="18">
        <v>0.95</v>
      </c>
      <c r="N285" s="84">
        <v>0.02</v>
      </c>
      <c r="O285" s="84">
        <v>0.98</v>
      </c>
      <c r="P285" s="84">
        <v>0.57999999999999996</v>
      </c>
      <c r="Q285" s="84">
        <v>1</v>
      </c>
      <c r="R285" s="293">
        <v>216</v>
      </c>
      <c r="S285" s="293">
        <v>0</v>
      </c>
      <c r="T285" s="386">
        <v>5</v>
      </c>
      <c r="U285" s="345" t="str">
        <f t="shared" si="119"/>
        <v>Normal</v>
      </c>
      <c r="V285" s="345" t="str">
        <f t="shared" si="120"/>
        <v>Normal</v>
      </c>
      <c r="W285" s="345">
        <f t="shared" si="121"/>
        <v>0.36298932384341637</v>
      </c>
      <c r="X285" s="416">
        <f t="shared" si="122"/>
        <v>0.49402390438247012</v>
      </c>
      <c r="Y285" s="340"/>
      <c r="Z285" s="340"/>
      <c r="AA285" s="340"/>
      <c r="AB285" s="340"/>
      <c r="AC285" s="338"/>
      <c r="AD285" s="338"/>
      <c r="AE285" s="338"/>
      <c r="AF285" s="338"/>
      <c r="AG285" s="338"/>
      <c r="AH285" s="338"/>
      <c r="AI285" s="338"/>
    </row>
    <row r="286" spans="1:38">
      <c r="A286" s="21">
        <v>45301</v>
      </c>
      <c r="B286" s="17">
        <f>IF(YEAR(Table7[[#This Row],[Date]]) = 2023, WEEKNUM(Table7[[#This Row],[Date]])-13, WEEKNUM(Table7[[#This Row],[Date]])+40)</f>
        <v>42</v>
      </c>
      <c r="C286" s="33" t="s">
        <v>51</v>
      </c>
      <c r="D286" s="35" t="s">
        <v>94</v>
      </c>
      <c r="E286" s="41">
        <v>381</v>
      </c>
      <c r="F286" s="41">
        <v>367</v>
      </c>
      <c r="G286" s="64">
        <f t="shared" ref="G286:H286" si="134">IFERROR((E286-E279)/E279,0%)</f>
        <v>-0.13800904977375567</v>
      </c>
      <c r="H286" s="64">
        <f t="shared" si="134"/>
        <v>-0.11566265060240964</v>
      </c>
      <c r="I286" s="1"/>
      <c r="J286" s="1"/>
      <c r="K286" s="1"/>
      <c r="L286" s="1"/>
      <c r="M286" s="36">
        <v>0.83</v>
      </c>
      <c r="N286" s="85">
        <v>0.04</v>
      </c>
      <c r="O286" s="85">
        <v>0.96</v>
      </c>
      <c r="P286" s="85">
        <v>0.55000000000000004</v>
      </c>
      <c r="Q286" s="85">
        <v>1</v>
      </c>
      <c r="R286" s="293">
        <v>209</v>
      </c>
      <c r="S286" s="293">
        <v>0</v>
      </c>
      <c r="T286" s="386">
        <v>5</v>
      </c>
      <c r="U286" s="345" t="str">
        <f t="shared" si="119"/>
        <v>Normal</v>
      </c>
      <c r="V286" s="345" t="str">
        <f t="shared" si="120"/>
        <v>Normal</v>
      </c>
      <c r="W286" s="345">
        <f t="shared" si="121"/>
        <v>-0.13800904977375567</v>
      </c>
      <c r="X286" s="416">
        <f t="shared" si="122"/>
        <v>-0.11566265060240964</v>
      </c>
      <c r="Y286" s="340"/>
      <c r="Z286" s="340"/>
      <c r="AA286" s="340"/>
      <c r="AB286" s="340"/>
      <c r="AC286" s="338"/>
      <c r="AD286" s="338"/>
      <c r="AE286" s="338"/>
      <c r="AF286" s="338"/>
      <c r="AG286" s="338"/>
      <c r="AH286" s="338"/>
      <c r="AI286" s="338"/>
    </row>
    <row r="287" spans="1:38">
      <c r="A287" s="21">
        <v>45302</v>
      </c>
      <c r="B287" s="17">
        <f>IF(YEAR(Table7[[#This Row],[Date]]) = 2023, WEEKNUM(Table7[[#This Row],[Date]])-13, WEEKNUM(Table7[[#This Row],[Date]])+40)</f>
        <v>42</v>
      </c>
      <c r="C287" s="34" t="s">
        <v>52</v>
      </c>
      <c r="D287" s="35" t="s">
        <v>94</v>
      </c>
      <c r="E287" s="42">
        <v>377</v>
      </c>
      <c r="F287" s="42">
        <v>372</v>
      </c>
      <c r="G287" s="64">
        <f t="shared" ref="G287:H289" si="135">IFERROR((E287-E280)/E280,0%)</f>
        <v>-6.9135802469135796E-2</v>
      </c>
      <c r="H287" s="64">
        <f t="shared" si="135"/>
        <v>-3.125E-2</v>
      </c>
      <c r="I287" s="1"/>
      <c r="J287" s="1"/>
      <c r="K287" s="1"/>
      <c r="L287" s="1"/>
      <c r="M287" s="18">
        <v>0.96</v>
      </c>
      <c r="N287" s="84">
        <v>0.01</v>
      </c>
      <c r="O287" s="84">
        <v>0.99</v>
      </c>
      <c r="P287" s="84">
        <v>0.56999999999999995</v>
      </c>
      <c r="Q287" s="84">
        <v>1</v>
      </c>
      <c r="R287" s="293">
        <v>213</v>
      </c>
      <c r="S287" s="293">
        <v>0</v>
      </c>
      <c r="T287" s="386">
        <v>5</v>
      </c>
      <c r="U287" s="345" t="str">
        <f t="shared" si="119"/>
        <v>Normal</v>
      </c>
      <c r="V287" s="345" t="str">
        <f t="shared" si="120"/>
        <v>Normal</v>
      </c>
      <c r="W287" s="345">
        <f t="shared" si="121"/>
        <v>-6.9135802469135796E-2</v>
      </c>
      <c r="X287" s="416">
        <f t="shared" si="122"/>
        <v>-3.125E-2</v>
      </c>
      <c r="Y287" s="340"/>
      <c r="Z287" s="340"/>
      <c r="AA287" s="340"/>
      <c r="AB287" s="340"/>
      <c r="AC287" s="338"/>
      <c r="AD287" s="338"/>
      <c r="AE287" s="338"/>
      <c r="AF287" s="338"/>
      <c r="AG287" s="338"/>
      <c r="AH287" s="338"/>
      <c r="AI287" s="338"/>
    </row>
    <row r="288" spans="1:38">
      <c r="A288" s="21">
        <v>45303</v>
      </c>
      <c r="B288" s="17">
        <f>IF(YEAR(Table7[[#This Row],[Date]]) = 2023, WEEKNUM(Table7[[#This Row],[Date]])-13, WEEKNUM(Table7[[#This Row],[Date]])+40)</f>
        <v>42</v>
      </c>
      <c r="C288" s="33" t="s">
        <v>53</v>
      </c>
      <c r="D288" s="35" t="s">
        <v>94</v>
      </c>
      <c r="E288" s="41">
        <v>397</v>
      </c>
      <c r="F288" s="41">
        <v>378</v>
      </c>
      <c r="G288" s="64">
        <f t="shared" si="135"/>
        <v>1.2755102040816327E-2</v>
      </c>
      <c r="H288" s="64">
        <f t="shared" si="135"/>
        <v>-1.8181818181818181E-2</v>
      </c>
      <c r="I288" s="1"/>
      <c r="J288" s="1"/>
      <c r="K288" s="1"/>
      <c r="L288" s="1"/>
      <c r="M288" s="36">
        <v>0.87</v>
      </c>
      <c r="N288" s="85">
        <v>0.05</v>
      </c>
      <c r="O288" s="85">
        <v>0.95</v>
      </c>
      <c r="P288" s="85">
        <v>0.53</v>
      </c>
      <c r="Q288" s="85">
        <v>1</v>
      </c>
      <c r="R288" s="293">
        <v>186</v>
      </c>
      <c r="S288" s="293">
        <v>0</v>
      </c>
      <c r="T288" s="386">
        <v>5</v>
      </c>
      <c r="U288" s="345" t="str">
        <f t="shared" si="119"/>
        <v>Normal</v>
      </c>
      <c r="V288" s="345" t="str">
        <f t="shared" si="120"/>
        <v>Normal</v>
      </c>
      <c r="W288" s="345">
        <f t="shared" si="121"/>
        <v>1.2755102040816327E-2</v>
      </c>
      <c r="X288" s="416">
        <f t="shared" si="122"/>
        <v>-1.8181818181818181E-2</v>
      </c>
      <c r="Y288" s="340"/>
      <c r="Z288" s="340"/>
      <c r="AA288" s="340"/>
      <c r="AB288" s="340"/>
      <c r="AC288" s="338"/>
      <c r="AD288" s="338"/>
      <c r="AE288" s="338"/>
      <c r="AF288" s="338"/>
      <c r="AG288" s="338"/>
      <c r="AH288" s="338"/>
      <c r="AI288" s="338"/>
    </row>
    <row r="289" spans="1:38">
      <c r="A289" s="21">
        <v>45304</v>
      </c>
      <c r="B289" s="17">
        <f>IF(YEAR(Table7[[#This Row],[Date]]) = 2023, WEEKNUM(Table7[[#This Row],[Date]])-13, WEEKNUM(Table7[[#This Row],[Date]])+40)</f>
        <v>42</v>
      </c>
      <c r="C289" s="34" t="s">
        <v>54</v>
      </c>
      <c r="D289" s="35" t="s">
        <v>94</v>
      </c>
      <c r="E289" s="42">
        <v>136</v>
      </c>
      <c r="F289" s="42">
        <v>133</v>
      </c>
      <c r="G289" s="64">
        <f t="shared" si="135"/>
        <v>2.2556390977443608E-2</v>
      </c>
      <c r="H289" s="64">
        <f t="shared" si="135"/>
        <v>9.0163934426229511E-2</v>
      </c>
      <c r="I289" s="1"/>
      <c r="J289" s="1"/>
      <c r="K289" s="1"/>
      <c r="L289" s="1"/>
      <c r="M289" s="18">
        <v>0.96</v>
      </c>
      <c r="N289" s="84">
        <v>0.02</v>
      </c>
      <c r="O289" s="84">
        <v>0.98</v>
      </c>
      <c r="P289" s="84">
        <v>0.4</v>
      </c>
      <c r="Q289" s="84">
        <v>1</v>
      </c>
      <c r="R289" s="293">
        <v>190</v>
      </c>
      <c r="S289" s="293">
        <v>0</v>
      </c>
      <c r="T289" s="386">
        <v>4</v>
      </c>
      <c r="U289" s="345" t="str">
        <f t="shared" si="119"/>
        <v>Normal</v>
      </c>
      <c r="V289" s="345" t="str">
        <f t="shared" si="120"/>
        <v>Normal</v>
      </c>
      <c r="W289" s="345">
        <f t="shared" si="121"/>
        <v>2.2556390977443608E-2</v>
      </c>
      <c r="X289" s="416">
        <f t="shared" si="122"/>
        <v>9.0163934426229511E-2</v>
      </c>
      <c r="Y289" s="340"/>
      <c r="Z289" s="340"/>
      <c r="AA289" s="340"/>
      <c r="AB289" s="340"/>
      <c r="AC289" s="338"/>
      <c r="AD289" s="338"/>
      <c r="AE289" s="338"/>
      <c r="AF289" s="338"/>
      <c r="AG289" s="338"/>
      <c r="AH289" s="338"/>
      <c r="AI289" s="338"/>
    </row>
    <row r="290" spans="1:38">
      <c r="A290" s="21">
        <v>45305</v>
      </c>
      <c r="B290" s="17">
        <f>IF(YEAR(Table7[[#This Row],[Date]]) = 2023, WEEKNUM(Table7[[#This Row],[Date]])-13, WEEKNUM(Table7[[#This Row],[Date]])+40)</f>
        <v>43</v>
      </c>
      <c r="C290" s="33" t="s">
        <v>48</v>
      </c>
      <c r="D290" s="35" t="s">
        <v>94</v>
      </c>
      <c r="E290" s="41">
        <v>0</v>
      </c>
      <c r="F290" s="41">
        <v>0</v>
      </c>
      <c r="G290" s="64">
        <f t="shared" ref="G290:H290" si="136">IFERROR((E290-E283)/E283,0%)</f>
        <v>0</v>
      </c>
      <c r="H290" s="64">
        <f t="shared" si="136"/>
        <v>0</v>
      </c>
      <c r="I290" s="1">
        <v>0</v>
      </c>
      <c r="J290" s="1">
        <v>0</v>
      </c>
      <c r="K290" s="1">
        <v>0</v>
      </c>
      <c r="L290" s="1">
        <v>0</v>
      </c>
      <c r="M290" s="36">
        <v>0</v>
      </c>
      <c r="N290" s="85">
        <v>0</v>
      </c>
      <c r="O290" s="85">
        <v>0</v>
      </c>
      <c r="P290" s="85">
        <v>0</v>
      </c>
      <c r="Q290" s="85">
        <v>0</v>
      </c>
      <c r="R290" s="293">
        <v>0</v>
      </c>
      <c r="S290" s="293">
        <v>0</v>
      </c>
      <c r="T290" s="386">
        <v>0</v>
      </c>
      <c r="U290" s="345" t="str">
        <f t="shared" si="119"/>
        <v>Normal</v>
      </c>
      <c r="V290" s="345" t="str">
        <f t="shared" si="120"/>
        <v>Normal</v>
      </c>
      <c r="W290" s="345">
        <f t="shared" si="121"/>
        <v>0</v>
      </c>
      <c r="X290" s="416">
        <f t="shared" si="122"/>
        <v>0</v>
      </c>
      <c r="Y290" s="340"/>
      <c r="Z290" s="340"/>
      <c r="AA290" s="340"/>
      <c r="AB290" s="340"/>
      <c r="AC290" s="338"/>
      <c r="AD290" s="338"/>
      <c r="AE290" s="338"/>
      <c r="AF290" s="338"/>
      <c r="AG290" s="338"/>
      <c r="AH290" s="338"/>
      <c r="AI290" s="338"/>
    </row>
    <row r="291" spans="1:38">
      <c r="A291" s="21">
        <v>45306</v>
      </c>
      <c r="B291" s="17">
        <f>IF(YEAR(Table7[[#This Row],[Date]]) = 2023, WEEKNUM(Table7[[#This Row],[Date]])-13, WEEKNUM(Table7[[#This Row],[Date]])+40)</f>
        <v>43</v>
      </c>
      <c r="C291" s="34" t="s">
        <v>49</v>
      </c>
      <c r="D291" s="35" t="s">
        <v>94</v>
      </c>
      <c r="E291" s="42">
        <v>404</v>
      </c>
      <c r="F291" s="42">
        <v>393</v>
      </c>
      <c r="G291" s="64">
        <f t="shared" ref="G291:H293" si="137">IFERROR((E291-E284)/E284,0%)</f>
        <v>-9.2134831460674152E-2</v>
      </c>
      <c r="H291" s="64">
        <f t="shared" si="137"/>
        <v>-9.0277777777777776E-2</v>
      </c>
      <c r="I291" s="1"/>
      <c r="J291" s="1"/>
      <c r="K291" s="1"/>
      <c r="L291" s="1"/>
      <c r="M291" s="18">
        <v>0.92</v>
      </c>
      <c r="N291" s="84">
        <v>0.03</v>
      </c>
      <c r="O291" s="84">
        <v>0.97</v>
      </c>
      <c r="P291" s="84">
        <v>0.55000000000000004</v>
      </c>
      <c r="Q291" s="84">
        <v>1</v>
      </c>
      <c r="R291" s="293">
        <v>193</v>
      </c>
      <c r="S291" s="293">
        <v>0</v>
      </c>
      <c r="T291" s="386">
        <v>5</v>
      </c>
      <c r="U291" s="345" t="str">
        <f t="shared" si="119"/>
        <v>Normal</v>
      </c>
      <c r="V291" s="345" t="str">
        <f t="shared" si="120"/>
        <v>Normal</v>
      </c>
      <c r="W291" s="345">
        <f t="shared" si="121"/>
        <v>-9.2134831460674152E-2</v>
      </c>
      <c r="X291" s="416">
        <f t="shared" si="122"/>
        <v>-9.0277777777777776E-2</v>
      </c>
      <c r="Y291" s="340"/>
      <c r="Z291" s="340"/>
      <c r="AA291" s="340"/>
      <c r="AB291" s="340"/>
      <c r="AC291" s="338"/>
      <c r="AD291" s="338"/>
      <c r="AE291" s="338"/>
      <c r="AF291" s="338"/>
      <c r="AG291" s="338"/>
      <c r="AH291" s="338"/>
      <c r="AI291" s="338"/>
    </row>
    <row r="292" spans="1:38">
      <c r="A292" s="21">
        <v>45307</v>
      </c>
      <c r="B292" s="17">
        <f>IF(YEAR(Table7[[#This Row],[Date]]) = 2023, WEEKNUM(Table7[[#This Row],[Date]])-13, WEEKNUM(Table7[[#This Row],[Date]])+40)</f>
        <v>43</v>
      </c>
      <c r="C292" s="33" t="s">
        <v>50</v>
      </c>
      <c r="D292" s="35" t="s">
        <v>94</v>
      </c>
      <c r="E292" s="41">
        <v>348</v>
      </c>
      <c r="F292" s="41">
        <v>326</v>
      </c>
      <c r="G292" s="64">
        <f t="shared" si="137"/>
        <v>-9.1383812010443863E-2</v>
      </c>
      <c r="H292" s="64">
        <f t="shared" si="137"/>
        <v>-0.13066666666666665</v>
      </c>
      <c r="I292" s="1"/>
      <c r="J292" s="1"/>
      <c r="K292" s="1"/>
      <c r="L292" s="1"/>
      <c r="M292" s="36">
        <v>0.81</v>
      </c>
      <c r="N292" s="85">
        <v>0.06</v>
      </c>
      <c r="O292" s="85">
        <v>0.94</v>
      </c>
      <c r="P292" s="85">
        <v>0.61</v>
      </c>
      <c r="Q292" s="85">
        <v>1</v>
      </c>
      <c r="R292" s="293">
        <v>206</v>
      </c>
      <c r="S292" s="293">
        <v>0</v>
      </c>
      <c r="T292" s="386">
        <v>4</v>
      </c>
      <c r="U292" s="345" t="str">
        <f t="shared" si="119"/>
        <v>Normal</v>
      </c>
      <c r="V292" s="345" t="str">
        <f t="shared" si="120"/>
        <v>Normal</v>
      </c>
      <c r="W292" s="345">
        <f t="shared" si="121"/>
        <v>-9.1383812010443863E-2</v>
      </c>
      <c r="X292" s="416">
        <f t="shared" si="122"/>
        <v>-0.13066666666666665</v>
      </c>
      <c r="Y292" s="340"/>
      <c r="Z292" s="340"/>
      <c r="AA292" s="340"/>
      <c r="AB292" s="340"/>
      <c r="AC292" s="338"/>
      <c r="AD292" s="338"/>
      <c r="AE292" s="338"/>
      <c r="AF292" s="338"/>
      <c r="AG292" s="338"/>
      <c r="AH292" s="338"/>
      <c r="AI292" s="338"/>
      <c r="AJ292" s="47"/>
      <c r="AK292" s="47"/>
      <c r="AL292" s="47"/>
    </row>
    <row r="293" spans="1:38">
      <c r="A293" s="21">
        <v>45308</v>
      </c>
      <c r="B293" s="17">
        <f>IF(YEAR(Table7[[#This Row],[Date]]) = 2023, WEEKNUM(Table7[[#This Row],[Date]])-13, WEEKNUM(Table7[[#This Row],[Date]])+40)</f>
        <v>43</v>
      </c>
      <c r="C293" s="34" t="s">
        <v>51</v>
      </c>
      <c r="D293" s="35" t="s">
        <v>94</v>
      </c>
      <c r="E293" s="42">
        <v>378</v>
      </c>
      <c r="F293" s="42">
        <v>356</v>
      </c>
      <c r="G293" s="64">
        <f t="shared" si="137"/>
        <v>-7.874015748031496E-3</v>
      </c>
      <c r="H293" s="64">
        <f t="shared" si="137"/>
        <v>-2.9972752043596729E-2</v>
      </c>
      <c r="I293" s="1"/>
      <c r="J293" s="1"/>
      <c r="K293" s="1"/>
      <c r="L293" s="1"/>
      <c r="M293" s="18">
        <v>0.82</v>
      </c>
      <c r="N293" s="84">
        <v>0.06</v>
      </c>
      <c r="O293" s="84">
        <v>0.94</v>
      </c>
      <c r="P293" s="84">
        <v>0.65</v>
      </c>
      <c r="Q293" s="84">
        <v>1</v>
      </c>
      <c r="R293" s="293">
        <v>196</v>
      </c>
      <c r="S293" s="293">
        <v>0</v>
      </c>
      <c r="T293" s="386">
        <v>4</v>
      </c>
      <c r="U293" s="345" t="str">
        <f t="shared" si="119"/>
        <v>Normal</v>
      </c>
      <c r="V293" s="345" t="str">
        <f t="shared" si="120"/>
        <v>Normal</v>
      </c>
      <c r="W293" s="345">
        <f t="shared" si="121"/>
        <v>-7.874015748031496E-3</v>
      </c>
      <c r="X293" s="416">
        <f t="shared" si="122"/>
        <v>-2.9972752043596729E-2</v>
      </c>
      <c r="Y293" s="340"/>
      <c r="Z293" s="340"/>
      <c r="AA293" s="340"/>
      <c r="AB293" s="340"/>
      <c r="AC293" s="338"/>
      <c r="AD293" s="338"/>
      <c r="AE293" s="338"/>
      <c r="AF293" s="338"/>
      <c r="AG293" s="338"/>
      <c r="AH293" s="338"/>
      <c r="AI293" s="338"/>
    </row>
    <row r="294" spans="1:38">
      <c r="A294" s="21">
        <v>45309</v>
      </c>
      <c r="B294" s="17">
        <f>IF(YEAR(Table7[[#This Row],[Date]]) = 2023, WEEKNUM(Table7[[#This Row],[Date]])-13, WEEKNUM(Table7[[#This Row],[Date]])+40)</f>
        <v>43</v>
      </c>
      <c r="C294" s="33" t="s">
        <v>52</v>
      </c>
      <c r="D294" s="35" t="s">
        <v>94</v>
      </c>
      <c r="E294" s="41">
        <v>377</v>
      </c>
      <c r="F294" s="41">
        <v>361</v>
      </c>
      <c r="G294" s="64">
        <f t="shared" ref="G294:H294" si="138">IFERROR((E294-E287)/E287,0%)</f>
        <v>0</v>
      </c>
      <c r="H294" s="64">
        <f t="shared" si="138"/>
        <v>-2.9569892473118281E-2</v>
      </c>
      <c r="I294" s="1"/>
      <c r="J294" s="1"/>
      <c r="K294" s="1"/>
      <c r="L294" s="1"/>
      <c r="M294" s="36">
        <v>0.85</v>
      </c>
      <c r="N294" s="85">
        <v>0.04</v>
      </c>
      <c r="O294" s="85">
        <v>0.96</v>
      </c>
      <c r="P294" s="85">
        <v>0.64</v>
      </c>
      <c r="Q294" s="85">
        <v>1</v>
      </c>
      <c r="R294" s="293">
        <v>191</v>
      </c>
      <c r="S294" s="293">
        <v>0</v>
      </c>
      <c r="T294" s="386">
        <v>4</v>
      </c>
      <c r="U294" s="345" t="str">
        <f t="shared" si="119"/>
        <v>Normal</v>
      </c>
      <c r="V294" s="345" t="str">
        <f t="shared" si="120"/>
        <v>Normal</v>
      </c>
      <c r="W294" s="345">
        <f t="shared" si="121"/>
        <v>0</v>
      </c>
      <c r="X294" s="416">
        <f t="shared" si="122"/>
        <v>-2.9569892473118281E-2</v>
      </c>
      <c r="Y294" s="340"/>
      <c r="Z294" s="340"/>
      <c r="AA294" s="340"/>
      <c r="AB294" s="340"/>
      <c r="AC294" s="338"/>
      <c r="AD294" s="338"/>
      <c r="AE294" s="338"/>
      <c r="AF294" s="338"/>
      <c r="AG294" s="338"/>
      <c r="AH294" s="338"/>
      <c r="AI294" s="338"/>
    </row>
    <row r="295" spans="1:38">
      <c r="A295" s="21">
        <v>45310</v>
      </c>
      <c r="B295" s="17">
        <f>IF(YEAR(Table7[[#This Row],[Date]]) = 2023, WEEKNUM(Table7[[#This Row],[Date]])-13, WEEKNUM(Table7[[#This Row],[Date]])+40)</f>
        <v>43</v>
      </c>
      <c r="C295" s="34" t="s">
        <v>53</v>
      </c>
      <c r="D295" s="35" t="s">
        <v>94</v>
      </c>
      <c r="E295" s="42">
        <v>343</v>
      </c>
      <c r="F295" s="42">
        <v>326</v>
      </c>
      <c r="G295" s="64">
        <f t="shared" ref="G295:H297" si="139">IFERROR((E295-E288)/E288,0%)</f>
        <v>-0.13602015113350127</v>
      </c>
      <c r="H295" s="64">
        <f t="shared" si="139"/>
        <v>-0.13756613756613756</v>
      </c>
      <c r="I295" s="1"/>
      <c r="J295" s="1"/>
      <c r="K295" s="1"/>
      <c r="L295" s="1"/>
      <c r="M295" s="18">
        <v>0.88</v>
      </c>
      <c r="N295" s="84">
        <v>0.05</v>
      </c>
      <c r="O295" s="84">
        <v>0.95</v>
      </c>
      <c r="P295" s="84">
        <v>0.57999999999999996</v>
      </c>
      <c r="Q295" s="84">
        <v>1</v>
      </c>
      <c r="R295" s="293">
        <v>190</v>
      </c>
      <c r="S295" s="293">
        <v>0</v>
      </c>
      <c r="T295" s="386">
        <v>4</v>
      </c>
      <c r="U295" s="345" t="str">
        <f t="shared" si="119"/>
        <v>Normal</v>
      </c>
      <c r="V295" s="345" t="str">
        <f t="shared" si="120"/>
        <v>Normal</v>
      </c>
      <c r="W295" s="345">
        <f t="shared" si="121"/>
        <v>-0.13602015113350127</v>
      </c>
      <c r="X295" s="416">
        <f t="shared" si="122"/>
        <v>-0.13756613756613756</v>
      </c>
      <c r="Y295" s="340"/>
      <c r="Z295" s="340"/>
      <c r="AA295" s="340"/>
      <c r="AB295" s="340"/>
      <c r="AC295" s="338"/>
      <c r="AD295" s="338"/>
      <c r="AE295" s="338"/>
      <c r="AF295" s="338"/>
      <c r="AG295" s="338"/>
      <c r="AH295" s="338"/>
      <c r="AI295" s="338"/>
    </row>
    <row r="296" spans="1:38">
      <c r="A296" s="21">
        <v>45311</v>
      </c>
      <c r="B296" s="17">
        <f>IF(YEAR(Table7[[#This Row],[Date]]) = 2023, WEEKNUM(Table7[[#This Row],[Date]])-13, WEEKNUM(Table7[[#This Row],[Date]])+40)</f>
        <v>43</v>
      </c>
      <c r="C296" s="33" t="s">
        <v>54</v>
      </c>
      <c r="D296" s="35" t="s">
        <v>94</v>
      </c>
      <c r="E296" s="41">
        <v>109</v>
      </c>
      <c r="F296" s="41">
        <v>105</v>
      </c>
      <c r="G296" s="64">
        <f t="shared" si="139"/>
        <v>-0.19852941176470587</v>
      </c>
      <c r="H296" s="64">
        <f t="shared" si="139"/>
        <v>-0.21052631578947367</v>
      </c>
      <c r="I296" s="1"/>
      <c r="J296" s="1"/>
      <c r="K296" s="1"/>
      <c r="L296" s="1"/>
      <c r="M296" s="36">
        <v>0.95</v>
      </c>
      <c r="N296" s="85">
        <v>0.04</v>
      </c>
      <c r="O296" s="85">
        <v>0.96</v>
      </c>
      <c r="P296" s="85">
        <v>0.32</v>
      </c>
      <c r="Q296" s="85">
        <v>1</v>
      </c>
      <c r="R296" s="293">
        <v>151</v>
      </c>
      <c r="S296" s="293">
        <v>0</v>
      </c>
      <c r="T296" s="386">
        <v>3</v>
      </c>
      <c r="U296" s="345" t="str">
        <f t="shared" si="119"/>
        <v>Normal</v>
      </c>
      <c r="V296" s="345" t="str">
        <f t="shared" si="120"/>
        <v>Normal</v>
      </c>
      <c r="W296" s="345">
        <f t="shared" si="121"/>
        <v>-0.19852941176470587</v>
      </c>
      <c r="X296" s="416">
        <f t="shared" si="122"/>
        <v>-0.21052631578947367</v>
      </c>
      <c r="Y296" s="340"/>
      <c r="Z296" s="340"/>
      <c r="AA296" s="340"/>
      <c r="AB296" s="340"/>
      <c r="AC296" s="338"/>
      <c r="AD296" s="338"/>
      <c r="AE296" s="338"/>
      <c r="AF296" s="338"/>
      <c r="AG296" s="338"/>
      <c r="AH296" s="338"/>
      <c r="AI296" s="338"/>
    </row>
    <row r="297" spans="1:38">
      <c r="A297" s="21">
        <v>45312</v>
      </c>
      <c r="B297" s="17">
        <f>IF(YEAR(Table7[[#This Row],[Date]]) = 2023, WEEKNUM(Table7[[#This Row],[Date]])-13, WEEKNUM(Table7[[#This Row],[Date]])+40)</f>
        <v>44</v>
      </c>
      <c r="C297" s="34" t="s">
        <v>48</v>
      </c>
      <c r="D297" s="35" t="s">
        <v>94</v>
      </c>
      <c r="E297" s="42">
        <v>0</v>
      </c>
      <c r="F297" s="42">
        <v>0</v>
      </c>
      <c r="G297" s="64">
        <f t="shared" si="139"/>
        <v>0</v>
      </c>
      <c r="H297" s="64">
        <f t="shared" si="139"/>
        <v>0</v>
      </c>
      <c r="I297" s="1">
        <v>0</v>
      </c>
      <c r="J297" s="1">
        <v>0</v>
      </c>
      <c r="K297" s="1">
        <v>0</v>
      </c>
      <c r="L297" s="1">
        <v>0</v>
      </c>
      <c r="M297" s="18">
        <v>0</v>
      </c>
      <c r="N297" s="84">
        <v>0</v>
      </c>
      <c r="O297" s="84">
        <v>0</v>
      </c>
      <c r="P297" s="84">
        <v>0</v>
      </c>
      <c r="Q297" s="84">
        <v>0</v>
      </c>
      <c r="R297" s="293">
        <v>0</v>
      </c>
      <c r="S297" s="293">
        <v>0</v>
      </c>
      <c r="T297" s="386">
        <v>0</v>
      </c>
      <c r="U297" s="345" t="str">
        <f t="shared" si="119"/>
        <v>Normal</v>
      </c>
      <c r="V297" s="345" t="str">
        <f t="shared" si="120"/>
        <v>Normal</v>
      </c>
      <c r="W297" s="345">
        <f t="shared" si="121"/>
        <v>0</v>
      </c>
      <c r="X297" s="416">
        <f t="shared" si="122"/>
        <v>0</v>
      </c>
      <c r="Y297" s="340"/>
      <c r="Z297" s="340"/>
      <c r="AA297" s="340"/>
      <c r="AB297" s="340"/>
      <c r="AC297" s="338"/>
      <c r="AD297" s="338"/>
      <c r="AE297" s="338"/>
      <c r="AF297" s="338"/>
      <c r="AG297" s="338"/>
      <c r="AH297" s="338"/>
      <c r="AI297" s="338"/>
    </row>
    <row r="298" spans="1:38">
      <c r="A298" s="21">
        <v>45313</v>
      </c>
      <c r="B298" s="17">
        <f>IF(YEAR(Table7[[#This Row],[Date]]) = 2023, WEEKNUM(Table7[[#This Row],[Date]])-13, WEEKNUM(Table7[[#This Row],[Date]])+40)</f>
        <v>44</v>
      </c>
      <c r="C298" s="33" t="s">
        <v>49</v>
      </c>
      <c r="D298" s="35" t="s">
        <v>94</v>
      </c>
      <c r="E298" s="41">
        <v>438</v>
      </c>
      <c r="F298" s="41">
        <v>415</v>
      </c>
      <c r="G298" s="64">
        <f t="shared" ref="G298:H298" si="140">IFERROR((E298-E291)/E291,0%)</f>
        <v>8.4158415841584164E-2</v>
      </c>
      <c r="H298" s="64">
        <f t="shared" si="140"/>
        <v>5.5979643765903309E-2</v>
      </c>
      <c r="I298" s="31"/>
      <c r="J298" s="31"/>
      <c r="K298" s="31"/>
      <c r="L298" s="31"/>
      <c r="M298" s="36">
        <v>0.88</v>
      </c>
      <c r="N298" s="85">
        <v>0.05</v>
      </c>
      <c r="O298" s="85">
        <v>0.95</v>
      </c>
      <c r="P298" s="85">
        <v>0.74</v>
      </c>
      <c r="Q298" s="85">
        <v>1</v>
      </c>
      <c r="R298" s="293">
        <v>189</v>
      </c>
      <c r="S298" s="293">
        <v>0</v>
      </c>
      <c r="T298" s="386">
        <v>4</v>
      </c>
      <c r="U298" s="345" t="str">
        <f t="shared" si="119"/>
        <v>Normal</v>
      </c>
      <c r="V298" s="345" t="str">
        <f t="shared" si="120"/>
        <v>Normal</v>
      </c>
      <c r="W298" s="345">
        <f t="shared" si="121"/>
        <v>8.4158415841584164E-2</v>
      </c>
      <c r="X298" s="416">
        <f t="shared" si="122"/>
        <v>5.5979643765903309E-2</v>
      </c>
      <c r="Y298" s="340"/>
      <c r="Z298" s="340"/>
      <c r="AA298" s="340"/>
      <c r="AB298" s="340"/>
      <c r="AC298" s="338"/>
      <c r="AD298" s="338"/>
      <c r="AE298" s="338"/>
      <c r="AF298" s="338"/>
      <c r="AG298" s="338"/>
      <c r="AH298" s="338"/>
      <c r="AI298" s="338"/>
    </row>
    <row r="299" spans="1:38">
      <c r="A299" s="21">
        <v>45314</v>
      </c>
      <c r="B299" s="17">
        <f>IF(YEAR(Table7[[#This Row],[Date]]) = 2023, WEEKNUM(Table7[[#This Row],[Date]])-13, WEEKNUM(Table7[[#This Row],[Date]])+40)</f>
        <v>44</v>
      </c>
      <c r="C299" s="34" t="s">
        <v>50</v>
      </c>
      <c r="D299" s="35" t="s">
        <v>94</v>
      </c>
      <c r="E299" s="42">
        <v>416</v>
      </c>
      <c r="F299" s="42">
        <v>399</v>
      </c>
      <c r="G299" s="64">
        <f t="shared" ref="G299:H301" si="141">IFERROR((E299-E292)/E292,0%)</f>
        <v>0.19540229885057472</v>
      </c>
      <c r="H299" s="64">
        <f t="shared" si="141"/>
        <v>0.22392638036809817</v>
      </c>
      <c r="I299" s="1"/>
      <c r="J299" s="1"/>
      <c r="K299" s="1"/>
      <c r="L299" s="1"/>
      <c r="M299" s="18">
        <v>0.88</v>
      </c>
      <c r="N299" s="84">
        <v>0.04</v>
      </c>
      <c r="O299" s="84">
        <v>0.96</v>
      </c>
      <c r="P299" s="84">
        <v>0.56999999999999995</v>
      </c>
      <c r="Q299" s="84">
        <v>1</v>
      </c>
      <c r="R299" s="293">
        <v>191</v>
      </c>
      <c r="S299" s="293">
        <v>0</v>
      </c>
      <c r="T299" s="386">
        <v>5</v>
      </c>
      <c r="U299" s="345" t="str">
        <f t="shared" si="119"/>
        <v>Normal</v>
      </c>
      <c r="V299" s="345" t="str">
        <f t="shared" si="120"/>
        <v>Normal</v>
      </c>
      <c r="W299" s="345">
        <f t="shared" si="121"/>
        <v>0.19540229885057472</v>
      </c>
      <c r="X299" s="416">
        <f t="shared" si="122"/>
        <v>0.22392638036809817</v>
      </c>
      <c r="Y299" s="340"/>
      <c r="Z299" s="340"/>
      <c r="AA299" s="340"/>
      <c r="AB299" s="340"/>
      <c r="AC299" s="338"/>
      <c r="AD299" s="338"/>
      <c r="AE299" s="338"/>
      <c r="AF299" s="338"/>
      <c r="AG299" s="338"/>
      <c r="AH299" s="338"/>
      <c r="AI299" s="338"/>
    </row>
    <row r="300" spans="1:38">
      <c r="A300" s="21">
        <v>45315</v>
      </c>
      <c r="B300" s="17">
        <f>IF(YEAR(Table7[[#This Row],[Date]]) = 2023, WEEKNUM(Table7[[#This Row],[Date]])-13, WEEKNUM(Table7[[#This Row],[Date]])+40)</f>
        <v>44</v>
      </c>
      <c r="C300" s="33" t="s">
        <v>51</v>
      </c>
      <c r="D300" s="35" t="s">
        <v>94</v>
      </c>
      <c r="E300" s="41">
        <v>387</v>
      </c>
      <c r="F300" s="41">
        <v>369</v>
      </c>
      <c r="G300" s="64">
        <f t="shared" si="141"/>
        <v>2.3809523809523808E-2</v>
      </c>
      <c r="H300" s="64">
        <f t="shared" si="141"/>
        <v>3.6516853932584269E-2</v>
      </c>
      <c r="I300" s="1"/>
      <c r="J300" s="1"/>
      <c r="K300" s="1"/>
      <c r="L300" s="1"/>
      <c r="M300" s="36">
        <v>0.89</v>
      </c>
      <c r="N300" s="85">
        <v>0.05</v>
      </c>
      <c r="O300" s="85">
        <v>0.95</v>
      </c>
      <c r="P300" s="85">
        <v>0.54</v>
      </c>
      <c r="Q300" s="85">
        <v>1</v>
      </c>
      <c r="R300" s="293">
        <v>200</v>
      </c>
      <c r="S300" s="293">
        <v>0</v>
      </c>
      <c r="T300" s="386">
        <v>5</v>
      </c>
      <c r="U300" s="345" t="str">
        <f t="shared" si="119"/>
        <v>Normal</v>
      </c>
      <c r="V300" s="345" t="str">
        <f t="shared" si="120"/>
        <v>Normal</v>
      </c>
      <c r="W300" s="345">
        <f t="shared" si="121"/>
        <v>2.3809523809523808E-2</v>
      </c>
      <c r="X300" s="416">
        <f t="shared" si="122"/>
        <v>3.6516853932584269E-2</v>
      </c>
      <c r="Y300" s="340"/>
      <c r="Z300" s="340"/>
      <c r="AA300" s="340"/>
      <c r="AB300" s="340"/>
      <c r="AC300" s="338"/>
      <c r="AD300" s="338"/>
      <c r="AE300" s="338"/>
      <c r="AF300" s="338"/>
      <c r="AG300" s="338"/>
      <c r="AH300" s="338"/>
      <c r="AI300" s="338"/>
    </row>
    <row r="301" spans="1:38">
      <c r="A301" s="21">
        <v>45316</v>
      </c>
      <c r="B301" s="17">
        <f>IF(YEAR(Table7[[#This Row],[Date]]) = 2023, WEEKNUM(Table7[[#This Row],[Date]])-13, WEEKNUM(Table7[[#This Row],[Date]])+40)</f>
        <v>44</v>
      </c>
      <c r="C301" s="34" t="s">
        <v>52</v>
      </c>
      <c r="D301" s="35" t="s">
        <v>94</v>
      </c>
      <c r="E301" s="42">
        <v>318</v>
      </c>
      <c r="F301" s="42">
        <v>306</v>
      </c>
      <c r="G301" s="64">
        <f t="shared" si="141"/>
        <v>-0.15649867374005305</v>
      </c>
      <c r="H301" s="64">
        <f t="shared" si="141"/>
        <v>-0.1523545706371191</v>
      </c>
      <c r="I301" s="1"/>
      <c r="J301" s="1"/>
      <c r="K301" s="1"/>
      <c r="L301" s="1"/>
      <c r="M301" s="18">
        <v>0.85</v>
      </c>
      <c r="N301" s="84">
        <v>0.04</v>
      </c>
      <c r="O301" s="84">
        <v>0.96</v>
      </c>
      <c r="P301" s="84">
        <v>0.59</v>
      </c>
      <c r="Q301" s="84">
        <v>1</v>
      </c>
      <c r="R301" s="293">
        <v>214</v>
      </c>
      <c r="S301" s="293">
        <v>0</v>
      </c>
      <c r="T301" s="386">
        <v>4</v>
      </c>
      <c r="U301" s="345" t="str">
        <f t="shared" si="119"/>
        <v>Normal</v>
      </c>
      <c r="V301" s="345" t="str">
        <f t="shared" si="120"/>
        <v>Normal</v>
      </c>
      <c r="W301" s="345">
        <f t="shared" si="121"/>
        <v>-0.15649867374005305</v>
      </c>
      <c r="X301" s="416">
        <f t="shared" si="122"/>
        <v>-0.1523545706371191</v>
      </c>
      <c r="Y301" s="340"/>
      <c r="Z301" s="340"/>
      <c r="AA301" s="340"/>
      <c r="AB301" s="340"/>
      <c r="AC301" s="338"/>
      <c r="AD301" s="338"/>
      <c r="AE301" s="338"/>
      <c r="AF301" s="338"/>
      <c r="AG301" s="338"/>
      <c r="AH301" s="338"/>
      <c r="AI301" s="338"/>
    </row>
    <row r="302" spans="1:38">
      <c r="A302" s="21">
        <v>45317</v>
      </c>
      <c r="B302" s="17">
        <f>IF(YEAR(Table7[[#This Row],[Date]]) = 2023, WEEKNUM(Table7[[#This Row],[Date]])-13, WEEKNUM(Table7[[#This Row],[Date]])+40)</f>
        <v>44</v>
      </c>
      <c r="C302" s="33" t="s">
        <v>53</v>
      </c>
      <c r="D302" s="35" t="s">
        <v>94</v>
      </c>
      <c r="E302" s="41">
        <v>378</v>
      </c>
      <c r="F302" s="41">
        <v>357</v>
      </c>
      <c r="G302" s="64">
        <f t="shared" ref="G302:H302" si="142">IFERROR((E302-E295)/E295,0%)</f>
        <v>0.10204081632653061</v>
      </c>
      <c r="H302" s="64">
        <f t="shared" si="142"/>
        <v>9.5092024539877307E-2</v>
      </c>
      <c r="I302" s="1"/>
      <c r="J302" s="1"/>
      <c r="K302" s="1"/>
      <c r="L302" s="1"/>
      <c r="M302" s="36">
        <v>0.86</v>
      </c>
      <c r="N302" s="85">
        <v>0.06</v>
      </c>
      <c r="O302" s="85">
        <v>0.94</v>
      </c>
      <c r="P302" s="85">
        <v>0.69</v>
      </c>
      <c r="Q302" s="85">
        <v>1</v>
      </c>
      <c r="R302" s="293">
        <v>218</v>
      </c>
      <c r="S302" s="293">
        <v>0</v>
      </c>
      <c r="T302" s="386">
        <v>4</v>
      </c>
      <c r="U302" s="345" t="str">
        <f t="shared" si="119"/>
        <v>Normal</v>
      </c>
      <c r="V302" s="345" t="str">
        <f t="shared" si="120"/>
        <v>Normal</v>
      </c>
      <c r="W302" s="345">
        <f t="shared" si="121"/>
        <v>0.10204081632653061</v>
      </c>
      <c r="X302" s="416">
        <f t="shared" si="122"/>
        <v>9.5092024539877307E-2</v>
      </c>
      <c r="Y302" s="340"/>
      <c r="Z302" s="340"/>
      <c r="AA302" s="340"/>
      <c r="AB302" s="340"/>
      <c r="AC302" s="338"/>
      <c r="AD302" s="338"/>
      <c r="AE302" s="338"/>
      <c r="AF302" s="338"/>
      <c r="AG302" s="338"/>
      <c r="AH302" s="338"/>
      <c r="AI302" s="338"/>
    </row>
    <row r="303" spans="1:38">
      <c r="A303" s="21">
        <v>45318</v>
      </c>
      <c r="B303" s="17">
        <f>IF(YEAR(Table7[[#This Row],[Date]]) = 2023, WEEKNUM(Table7[[#This Row],[Date]])-13, WEEKNUM(Table7[[#This Row],[Date]])+40)</f>
        <v>44</v>
      </c>
      <c r="C303" s="34" t="s">
        <v>54</v>
      </c>
      <c r="D303" s="35" t="s">
        <v>94</v>
      </c>
      <c r="E303" s="42">
        <v>142</v>
      </c>
      <c r="F303" s="42">
        <v>142</v>
      </c>
      <c r="G303" s="64">
        <f t="shared" ref="G303:H305" si="143">IFERROR((E303-E296)/E296,0%)</f>
        <v>0.30275229357798167</v>
      </c>
      <c r="H303" s="64">
        <f t="shared" si="143"/>
        <v>0.35238095238095241</v>
      </c>
      <c r="I303" s="1"/>
      <c r="J303" s="1"/>
      <c r="K303" s="1"/>
      <c r="L303" s="1"/>
      <c r="M303" s="18">
        <v>0.95</v>
      </c>
      <c r="N303" s="84">
        <v>0</v>
      </c>
      <c r="O303" s="84">
        <v>1</v>
      </c>
      <c r="P303" s="84">
        <v>0.46</v>
      </c>
      <c r="Q303" s="84">
        <v>1</v>
      </c>
      <c r="R303" s="293">
        <v>209</v>
      </c>
      <c r="S303" s="293">
        <v>0</v>
      </c>
      <c r="T303" s="386">
        <v>4</v>
      </c>
      <c r="U303" s="345" t="str">
        <f t="shared" si="119"/>
        <v>Normal</v>
      </c>
      <c r="V303" s="345" t="str">
        <f t="shared" si="120"/>
        <v>Normal</v>
      </c>
      <c r="W303" s="345">
        <f t="shared" si="121"/>
        <v>0.30275229357798167</v>
      </c>
      <c r="X303" s="416">
        <f t="shared" si="122"/>
        <v>0.35238095238095241</v>
      </c>
      <c r="Y303" s="340"/>
      <c r="Z303" s="340"/>
      <c r="AA303" s="340"/>
      <c r="AB303" s="340"/>
      <c r="AC303" s="338"/>
      <c r="AD303" s="338"/>
      <c r="AE303" s="338"/>
      <c r="AF303" s="338"/>
      <c r="AG303" s="338"/>
      <c r="AH303" s="338"/>
      <c r="AI303" s="338"/>
    </row>
    <row r="304" spans="1:38">
      <c r="A304" s="21">
        <v>45319</v>
      </c>
      <c r="B304" s="17">
        <f>IF(YEAR(Table7[[#This Row],[Date]]) = 2023, WEEKNUM(Table7[[#This Row],[Date]])-13, WEEKNUM(Table7[[#This Row],[Date]])+40)</f>
        <v>45</v>
      </c>
      <c r="C304" s="33" t="s">
        <v>48</v>
      </c>
      <c r="D304" s="35" t="s">
        <v>94</v>
      </c>
      <c r="E304" s="41">
        <v>0</v>
      </c>
      <c r="F304" s="41">
        <v>0</v>
      </c>
      <c r="G304" s="64">
        <f t="shared" si="143"/>
        <v>0</v>
      </c>
      <c r="H304" s="64">
        <f t="shared" si="143"/>
        <v>0</v>
      </c>
      <c r="I304" s="1">
        <v>0</v>
      </c>
      <c r="J304" s="1">
        <v>0</v>
      </c>
      <c r="K304" s="1">
        <v>0</v>
      </c>
      <c r="L304" s="1">
        <v>0</v>
      </c>
      <c r="M304" s="36">
        <v>0</v>
      </c>
      <c r="N304" s="85">
        <v>0</v>
      </c>
      <c r="O304" s="85">
        <v>0</v>
      </c>
      <c r="P304" s="85">
        <v>0</v>
      </c>
      <c r="Q304" s="85">
        <v>0</v>
      </c>
      <c r="R304" s="293">
        <v>0</v>
      </c>
      <c r="S304" s="293">
        <v>0</v>
      </c>
      <c r="T304" s="386">
        <v>0</v>
      </c>
      <c r="U304" s="345" t="str">
        <f t="shared" si="119"/>
        <v>Normal</v>
      </c>
      <c r="V304" s="345" t="str">
        <f t="shared" si="120"/>
        <v>Normal</v>
      </c>
      <c r="W304" s="345">
        <f t="shared" si="121"/>
        <v>0</v>
      </c>
      <c r="X304" s="416">
        <f t="shared" si="122"/>
        <v>0</v>
      </c>
      <c r="Y304" s="340"/>
      <c r="Z304" s="340"/>
      <c r="AA304" s="340"/>
      <c r="AB304" s="340"/>
      <c r="AC304" s="338"/>
      <c r="AD304" s="338"/>
      <c r="AE304" s="338"/>
      <c r="AF304" s="338"/>
      <c r="AG304" s="338"/>
      <c r="AH304" s="338"/>
      <c r="AI304" s="338"/>
    </row>
    <row r="305" spans="1:38">
      <c r="A305" s="21">
        <v>45320</v>
      </c>
      <c r="B305" s="17">
        <f>IF(YEAR(Table7[[#This Row],[Date]]) = 2023, WEEKNUM(Table7[[#This Row],[Date]])-13, WEEKNUM(Table7[[#This Row],[Date]])+40)</f>
        <v>45</v>
      </c>
      <c r="C305" s="34" t="s">
        <v>49</v>
      </c>
      <c r="D305" s="35" t="s">
        <v>94</v>
      </c>
      <c r="E305" s="42">
        <v>478</v>
      </c>
      <c r="F305" s="42">
        <v>454</v>
      </c>
      <c r="G305" s="64">
        <f t="shared" si="143"/>
        <v>9.1324200913242004E-2</v>
      </c>
      <c r="H305" s="64">
        <f t="shared" si="143"/>
        <v>9.3975903614457831E-2</v>
      </c>
      <c r="I305" s="1"/>
      <c r="J305" s="1"/>
      <c r="K305" s="1"/>
      <c r="L305" s="1"/>
      <c r="M305" s="18">
        <v>0.87</v>
      </c>
      <c r="N305" s="84">
        <v>0.05</v>
      </c>
      <c r="O305" s="84">
        <v>0.95</v>
      </c>
      <c r="P305" s="84">
        <v>0.65</v>
      </c>
      <c r="Q305" s="84">
        <v>1</v>
      </c>
      <c r="R305" s="293">
        <v>196</v>
      </c>
      <c r="S305" s="293">
        <v>0</v>
      </c>
      <c r="T305" s="386">
        <v>5</v>
      </c>
      <c r="U305" s="345" t="str">
        <f t="shared" si="119"/>
        <v>Normal</v>
      </c>
      <c r="V305" s="345" t="str">
        <f t="shared" si="120"/>
        <v>Normal</v>
      </c>
      <c r="W305" s="345">
        <f t="shared" si="121"/>
        <v>9.1324200913242004E-2</v>
      </c>
      <c r="X305" s="416">
        <f t="shared" si="122"/>
        <v>9.3975903614457831E-2</v>
      </c>
      <c r="Y305" s="340"/>
      <c r="Z305" s="340"/>
      <c r="AA305" s="340"/>
      <c r="AB305" s="340"/>
      <c r="AC305" s="338"/>
      <c r="AD305" s="338"/>
      <c r="AE305" s="338"/>
      <c r="AF305" s="338"/>
      <c r="AG305" s="338"/>
      <c r="AH305" s="338"/>
      <c r="AI305" s="338"/>
    </row>
    <row r="306" spans="1:38">
      <c r="A306" s="21">
        <v>45321</v>
      </c>
      <c r="B306" s="17">
        <f>IF(YEAR(Table7[[#This Row],[Date]]) = 2023, WEEKNUM(Table7[[#This Row],[Date]])-13, WEEKNUM(Table7[[#This Row],[Date]])+40)</f>
        <v>45</v>
      </c>
      <c r="C306" s="33" t="s">
        <v>50</v>
      </c>
      <c r="D306" s="35" t="s">
        <v>94</v>
      </c>
      <c r="E306" s="41">
        <v>472</v>
      </c>
      <c r="F306" s="41">
        <v>439</v>
      </c>
      <c r="G306" s="64">
        <f t="shared" ref="G306:H306" si="144">IFERROR((E306-E299)/E299,0%)</f>
        <v>0.13461538461538461</v>
      </c>
      <c r="H306" s="64">
        <f t="shared" si="144"/>
        <v>0.10025062656641603</v>
      </c>
      <c r="I306" s="1"/>
      <c r="J306" s="1"/>
      <c r="K306" s="1"/>
      <c r="L306" s="1"/>
      <c r="M306" s="36">
        <v>0.8</v>
      </c>
      <c r="N306" s="85">
        <v>7.0000000000000007E-2</v>
      </c>
      <c r="O306" s="85">
        <v>0.93</v>
      </c>
      <c r="P306" s="85">
        <v>0.83</v>
      </c>
      <c r="Q306" s="85">
        <v>1</v>
      </c>
      <c r="R306" s="293">
        <v>209</v>
      </c>
      <c r="S306" s="293">
        <v>0</v>
      </c>
      <c r="T306" s="386">
        <v>4</v>
      </c>
      <c r="U306" s="345" t="str">
        <f t="shared" si="119"/>
        <v>Normal</v>
      </c>
      <c r="V306" s="345" t="str">
        <f t="shared" si="120"/>
        <v>Normal</v>
      </c>
      <c r="W306" s="345">
        <f t="shared" si="121"/>
        <v>0.13461538461538461</v>
      </c>
      <c r="X306" s="416">
        <f t="shared" si="122"/>
        <v>0.10025062656641603</v>
      </c>
      <c r="Y306" s="340"/>
      <c r="Z306" s="340"/>
      <c r="AA306" s="340"/>
      <c r="AB306" s="340"/>
      <c r="AC306" s="338"/>
      <c r="AD306" s="338"/>
      <c r="AE306" s="338"/>
      <c r="AF306" s="338"/>
      <c r="AG306" s="338"/>
      <c r="AH306" s="338"/>
      <c r="AI306" s="338"/>
    </row>
    <row r="307" spans="1:38" s="48" customFormat="1">
      <c r="A307" s="21">
        <v>45322</v>
      </c>
      <c r="B307" s="17">
        <f>IF(YEAR(Table7[[#This Row],[Date]]) = 2023, WEEKNUM(Table7[[#This Row],[Date]])-13, WEEKNUM(Table7[[#This Row],[Date]])+40)</f>
        <v>45</v>
      </c>
      <c r="C307" s="49" t="s">
        <v>51</v>
      </c>
      <c r="D307" s="35" t="s">
        <v>94</v>
      </c>
      <c r="E307" s="95">
        <v>419</v>
      </c>
      <c r="F307" s="95">
        <v>398</v>
      </c>
      <c r="G307" s="64">
        <f t="shared" ref="G307:H309" si="145">IFERROR((E307-E300)/E300,0%)</f>
        <v>8.2687338501291993E-2</v>
      </c>
      <c r="H307" s="64">
        <f t="shared" si="145"/>
        <v>7.8590785907859076E-2</v>
      </c>
      <c r="I307" s="50"/>
      <c r="J307" s="50"/>
      <c r="K307" s="50"/>
      <c r="L307" s="50"/>
      <c r="M307" s="51">
        <v>0.87</v>
      </c>
      <c r="N307" s="96">
        <v>0.05</v>
      </c>
      <c r="O307" s="96">
        <v>0.95</v>
      </c>
      <c r="P307" s="96">
        <v>0.62</v>
      </c>
      <c r="Q307" s="96">
        <v>1</v>
      </c>
      <c r="R307" s="310">
        <v>216</v>
      </c>
      <c r="S307" s="310">
        <v>0</v>
      </c>
      <c r="T307" s="386">
        <v>5</v>
      </c>
      <c r="U307" s="345" t="str">
        <f t="shared" si="119"/>
        <v>Normal</v>
      </c>
      <c r="V307" s="345" t="str">
        <f t="shared" si="120"/>
        <v>Normal</v>
      </c>
      <c r="W307" s="345">
        <f t="shared" si="121"/>
        <v>8.2687338501291993E-2</v>
      </c>
      <c r="X307" s="416">
        <f t="shared" si="122"/>
        <v>7.8590785907859076E-2</v>
      </c>
      <c r="Y307" s="340"/>
      <c r="Z307" s="340"/>
      <c r="AA307" s="340"/>
      <c r="AB307" s="340"/>
      <c r="AC307" s="338"/>
      <c r="AD307" s="338"/>
      <c r="AE307" s="338"/>
      <c r="AF307" s="338"/>
      <c r="AG307" s="338"/>
      <c r="AH307" s="338"/>
      <c r="AI307" s="338"/>
      <c r="AJ307"/>
      <c r="AK307"/>
      <c r="AL307"/>
    </row>
    <row r="308" spans="1:38">
      <c r="A308" s="21">
        <v>45323</v>
      </c>
      <c r="B308" s="17">
        <f>IF(YEAR(Table7[[#This Row],[Date]]) = 2023, WEEKNUM(Table7[[#This Row],[Date]])-13, WEEKNUM(Table7[[#This Row],[Date]])+40)</f>
        <v>45</v>
      </c>
      <c r="C308" s="33" t="s">
        <v>52</v>
      </c>
      <c r="D308" s="35" t="s">
        <v>94</v>
      </c>
      <c r="E308" s="41">
        <v>401</v>
      </c>
      <c r="F308" s="41">
        <v>379</v>
      </c>
      <c r="G308" s="64">
        <f t="shared" si="145"/>
        <v>0.2610062893081761</v>
      </c>
      <c r="H308" s="64">
        <f t="shared" si="145"/>
        <v>0.23856209150326799</v>
      </c>
      <c r="I308" s="1"/>
      <c r="J308" s="1"/>
      <c r="K308" s="1"/>
      <c r="L308" s="1"/>
      <c r="M308" s="36">
        <v>0.87</v>
      </c>
      <c r="N308" s="85">
        <v>0.05</v>
      </c>
      <c r="O308" s="85">
        <v>0.95</v>
      </c>
      <c r="P308" s="85">
        <v>0.72</v>
      </c>
      <c r="Q308" s="85">
        <v>1</v>
      </c>
      <c r="R308" s="293">
        <v>210</v>
      </c>
      <c r="S308" s="293">
        <v>0</v>
      </c>
      <c r="T308" s="386">
        <v>4</v>
      </c>
      <c r="U308" s="345" t="str">
        <f t="shared" si="119"/>
        <v>Normal</v>
      </c>
      <c r="V308" s="345" t="str">
        <f t="shared" si="120"/>
        <v>Normal</v>
      </c>
      <c r="W308" s="345">
        <f t="shared" si="121"/>
        <v>0.2610062893081761</v>
      </c>
      <c r="X308" s="416">
        <f t="shared" si="122"/>
        <v>0.23856209150326799</v>
      </c>
      <c r="Y308" s="340"/>
      <c r="Z308" s="340"/>
      <c r="AA308" s="340"/>
      <c r="AB308" s="340"/>
      <c r="AC308" s="338"/>
      <c r="AD308" s="338"/>
      <c r="AE308" s="338"/>
      <c r="AF308" s="338"/>
      <c r="AG308" s="338"/>
      <c r="AH308" s="338"/>
      <c r="AI308" s="338"/>
    </row>
    <row r="309" spans="1:38">
      <c r="A309" s="21">
        <v>45324</v>
      </c>
      <c r="B309" s="17">
        <f>IF(YEAR(Table7[[#This Row],[Date]]) = 2023, WEEKNUM(Table7[[#This Row],[Date]])-13, WEEKNUM(Table7[[#This Row],[Date]])+40)</f>
        <v>45</v>
      </c>
      <c r="C309" s="34" t="s">
        <v>53</v>
      </c>
      <c r="D309" s="35" t="s">
        <v>94</v>
      </c>
      <c r="E309" s="42">
        <v>425</v>
      </c>
      <c r="F309" s="42">
        <v>401</v>
      </c>
      <c r="G309" s="64">
        <f t="shared" si="145"/>
        <v>0.12433862433862433</v>
      </c>
      <c r="H309" s="64">
        <f t="shared" si="145"/>
        <v>0.12324929971988796</v>
      </c>
      <c r="I309" s="1"/>
      <c r="J309" s="1"/>
      <c r="K309" s="1"/>
      <c r="L309" s="1"/>
      <c r="M309" s="18">
        <v>0.87</v>
      </c>
      <c r="N309" s="84">
        <v>0.06</v>
      </c>
      <c r="O309" s="84">
        <v>0.94</v>
      </c>
      <c r="P309" s="84">
        <v>0.74</v>
      </c>
      <c r="Q309" s="84">
        <v>1</v>
      </c>
      <c r="R309" s="293">
        <v>203</v>
      </c>
      <c r="S309" s="293">
        <v>0</v>
      </c>
      <c r="T309" s="386">
        <v>4</v>
      </c>
      <c r="U309" s="345" t="str">
        <f t="shared" si="119"/>
        <v>Normal</v>
      </c>
      <c r="V309" s="345" t="str">
        <f t="shared" si="120"/>
        <v>Normal</v>
      </c>
      <c r="W309" s="345">
        <f t="shared" si="121"/>
        <v>0.12433862433862433</v>
      </c>
      <c r="X309" s="416">
        <f t="shared" si="122"/>
        <v>0.12324929971988796</v>
      </c>
      <c r="Y309" s="340"/>
      <c r="Z309" s="340"/>
      <c r="AA309" s="340"/>
      <c r="AB309" s="340"/>
      <c r="AC309" s="338"/>
      <c r="AD309" s="338"/>
      <c r="AE309" s="338"/>
      <c r="AF309" s="338"/>
      <c r="AG309" s="338"/>
      <c r="AH309" s="338"/>
      <c r="AI309" s="338"/>
    </row>
    <row r="310" spans="1:38">
      <c r="A310" s="21">
        <v>45325</v>
      </c>
      <c r="B310" s="17">
        <f>IF(YEAR(Table7[[#This Row],[Date]]) = 2023, WEEKNUM(Table7[[#This Row],[Date]])-13, WEEKNUM(Table7[[#This Row],[Date]])+40)</f>
        <v>45</v>
      </c>
      <c r="C310" s="33" t="s">
        <v>54</v>
      </c>
      <c r="D310" s="35" t="s">
        <v>94</v>
      </c>
      <c r="E310" s="41">
        <v>127</v>
      </c>
      <c r="F310" s="41">
        <v>114</v>
      </c>
      <c r="G310" s="64">
        <f t="shared" ref="G310:H310" si="146">IFERROR((E310-E303)/E303,0%)</f>
        <v>-0.10563380281690141</v>
      </c>
      <c r="H310" s="64">
        <f t="shared" si="146"/>
        <v>-0.19718309859154928</v>
      </c>
      <c r="I310" s="1"/>
      <c r="J310" s="1"/>
      <c r="K310" s="1"/>
      <c r="L310" s="1"/>
      <c r="M310" s="36">
        <v>0.81</v>
      </c>
      <c r="N310" s="85">
        <v>0.1</v>
      </c>
      <c r="O310" s="85">
        <v>0.9</v>
      </c>
      <c r="P310" s="85">
        <v>0.81</v>
      </c>
      <c r="Q310" s="85">
        <v>1</v>
      </c>
      <c r="R310" s="293">
        <v>170</v>
      </c>
      <c r="S310" s="293">
        <v>0</v>
      </c>
      <c r="T310" s="386">
        <v>4</v>
      </c>
      <c r="U310" s="345" t="str">
        <f t="shared" si="119"/>
        <v>Normal</v>
      </c>
      <c r="V310" s="345" t="str">
        <f t="shared" si="120"/>
        <v>Normal</v>
      </c>
      <c r="W310" s="345">
        <f t="shared" si="121"/>
        <v>-0.10563380281690141</v>
      </c>
      <c r="X310" s="416">
        <f t="shared" si="122"/>
        <v>-0.19718309859154928</v>
      </c>
      <c r="Y310" s="340"/>
      <c r="Z310" s="340"/>
      <c r="AA310" s="340"/>
      <c r="AB310" s="340"/>
      <c r="AC310" s="338"/>
      <c r="AD310" s="338"/>
      <c r="AE310" s="338"/>
      <c r="AF310" s="338"/>
      <c r="AG310" s="338"/>
      <c r="AH310" s="338"/>
      <c r="AI310" s="338"/>
    </row>
    <row r="311" spans="1:38">
      <c r="A311" s="21">
        <v>45326</v>
      </c>
      <c r="B311" s="17">
        <f>IF(YEAR(Table7[[#This Row],[Date]]) = 2023, WEEKNUM(Table7[[#This Row],[Date]])-13, WEEKNUM(Table7[[#This Row],[Date]])+40)</f>
        <v>46</v>
      </c>
      <c r="C311" s="34" t="s">
        <v>48</v>
      </c>
      <c r="D311" s="35" t="s">
        <v>94</v>
      </c>
      <c r="E311" s="42">
        <v>0</v>
      </c>
      <c r="F311" s="42">
        <v>0</v>
      </c>
      <c r="G311" s="64">
        <f t="shared" ref="G311:H313" si="147">IFERROR((E311-E304)/E304,0%)</f>
        <v>0</v>
      </c>
      <c r="H311" s="64">
        <f t="shared" si="147"/>
        <v>0</v>
      </c>
      <c r="I311" s="1"/>
      <c r="J311" s="1"/>
      <c r="K311" s="1"/>
      <c r="L311" s="1"/>
      <c r="M311" s="18">
        <v>0</v>
      </c>
      <c r="N311" s="84">
        <v>0</v>
      </c>
      <c r="O311" s="84">
        <v>0</v>
      </c>
      <c r="P311" s="84">
        <v>0</v>
      </c>
      <c r="Q311" s="84">
        <v>0</v>
      </c>
      <c r="R311" s="293">
        <v>0</v>
      </c>
      <c r="S311" s="293">
        <v>0</v>
      </c>
      <c r="T311" s="386">
        <v>0</v>
      </c>
      <c r="U311" s="345" t="str">
        <f t="shared" si="119"/>
        <v>Normal</v>
      </c>
      <c r="V311" s="345" t="str">
        <f t="shared" si="120"/>
        <v>Normal</v>
      </c>
      <c r="W311" s="345">
        <f t="shared" si="121"/>
        <v>0</v>
      </c>
      <c r="X311" s="416">
        <f t="shared" si="122"/>
        <v>0</v>
      </c>
      <c r="Y311" s="340"/>
      <c r="Z311" s="340"/>
      <c r="AA311" s="340"/>
      <c r="AB311" s="340"/>
      <c r="AC311" s="338"/>
      <c r="AD311" s="338"/>
      <c r="AE311" s="338"/>
      <c r="AF311" s="338"/>
      <c r="AG311" s="338"/>
      <c r="AH311" s="338"/>
      <c r="AI311" s="338"/>
    </row>
    <row r="312" spans="1:38">
      <c r="A312" s="21">
        <v>45327</v>
      </c>
      <c r="B312" s="17">
        <f>IF(YEAR(Table7[[#This Row],[Date]]) = 2023, WEEKNUM(Table7[[#This Row],[Date]])-13, WEEKNUM(Table7[[#This Row],[Date]])+40)</f>
        <v>46</v>
      </c>
      <c r="C312" s="35" t="s">
        <v>49</v>
      </c>
      <c r="D312" s="35" t="s">
        <v>94</v>
      </c>
      <c r="E312" s="31">
        <v>418</v>
      </c>
      <c r="F312" s="31">
        <v>383</v>
      </c>
      <c r="G312" s="64">
        <f t="shared" si="147"/>
        <v>-0.12552301255230125</v>
      </c>
      <c r="H312" s="64">
        <f t="shared" si="147"/>
        <v>-0.15638766519823788</v>
      </c>
      <c r="I312" s="31"/>
      <c r="J312" s="31"/>
      <c r="K312" s="31"/>
      <c r="L312" s="31"/>
      <c r="M312" s="36">
        <v>0.79</v>
      </c>
      <c r="N312" s="36">
        <v>0.08</v>
      </c>
      <c r="O312" s="36">
        <v>0.92</v>
      </c>
      <c r="P312" s="36">
        <v>0.71</v>
      </c>
      <c r="Q312" s="36">
        <v>1</v>
      </c>
      <c r="R312" s="307">
        <v>203</v>
      </c>
      <c r="S312" s="307">
        <v>0</v>
      </c>
      <c r="T312" s="386">
        <v>4</v>
      </c>
      <c r="U312" s="345" t="str">
        <f t="shared" si="119"/>
        <v>Normal</v>
      </c>
      <c r="V312" s="345" t="str">
        <f t="shared" si="120"/>
        <v>Normal</v>
      </c>
      <c r="W312" s="345">
        <f t="shared" si="121"/>
        <v>-0.12552301255230125</v>
      </c>
      <c r="X312" s="416">
        <f t="shared" si="122"/>
        <v>-0.15638766519823788</v>
      </c>
      <c r="Y312" s="340"/>
      <c r="Z312" s="340"/>
      <c r="AA312" s="340"/>
      <c r="AB312" s="340"/>
      <c r="AC312" s="338"/>
      <c r="AD312" s="338"/>
      <c r="AE312" s="338"/>
      <c r="AF312" s="338"/>
      <c r="AG312" s="338"/>
      <c r="AH312" s="338"/>
      <c r="AI312" s="338"/>
    </row>
    <row r="313" spans="1:38">
      <c r="A313" s="21">
        <v>45328</v>
      </c>
      <c r="B313" s="17">
        <f>IF(YEAR(Table7[[#This Row],[Date]]) = 2023, WEEKNUM(Table7[[#This Row],[Date]])-13, WEEKNUM(Table7[[#This Row],[Date]])+40)</f>
        <v>46</v>
      </c>
      <c r="C313" s="34" t="s">
        <v>50</v>
      </c>
      <c r="D313" s="35" t="s">
        <v>94</v>
      </c>
      <c r="E313" s="42">
        <v>360</v>
      </c>
      <c r="F313" s="42">
        <v>325</v>
      </c>
      <c r="G313" s="64">
        <f t="shared" si="147"/>
        <v>-0.23728813559322035</v>
      </c>
      <c r="H313" s="64">
        <f t="shared" si="147"/>
        <v>-0.25968109339407747</v>
      </c>
      <c r="I313" s="1"/>
      <c r="J313" s="1"/>
      <c r="K313" s="1"/>
      <c r="L313" s="1"/>
      <c r="M313" s="18">
        <v>0.67</v>
      </c>
      <c r="N313" s="84">
        <v>0.1</v>
      </c>
      <c r="O313" s="84">
        <v>0.9</v>
      </c>
      <c r="P313" s="84">
        <v>0.91</v>
      </c>
      <c r="Q313" s="84">
        <v>1</v>
      </c>
      <c r="R313" s="293">
        <v>252</v>
      </c>
      <c r="S313" s="293">
        <v>0</v>
      </c>
      <c r="T313" s="386">
        <v>4</v>
      </c>
      <c r="U313" s="345" t="str">
        <f t="shared" si="119"/>
        <v>Normal</v>
      </c>
      <c r="V313" s="345" t="str">
        <f t="shared" si="120"/>
        <v>Normal</v>
      </c>
      <c r="W313" s="345">
        <f t="shared" si="121"/>
        <v>-0.23728813559322035</v>
      </c>
      <c r="X313" s="416">
        <f t="shared" si="122"/>
        <v>-0.25968109339407747</v>
      </c>
      <c r="Y313" s="340"/>
      <c r="Z313" s="340"/>
      <c r="AA313" s="340"/>
      <c r="AB313" s="340"/>
      <c r="AC313" s="338"/>
      <c r="AD313" s="338"/>
      <c r="AE313" s="338"/>
      <c r="AF313" s="338"/>
      <c r="AG313" s="338"/>
      <c r="AH313" s="338"/>
      <c r="AI313" s="338"/>
    </row>
    <row r="314" spans="1:38">
      <c r="A314" s="21">
        <v>45329</v>
      </c>
      <c r="B314" s="17">
        <f>IF(YEAR(Table7[[#This Row],[Date]]) = 2023, WEEKNUM(Table7[[#This Row],[Date]])-13, WEEKNUM(Table7[[#This Row],[Date]])+40)</f>
        <v>46</v>
      </c>
      <c r="C314" s="33" t="s">
        <v>51</v>
      </c>
      <c r="D314" s="35" t="s">
        <v>94</v>
      </c>
      <c r="E314" s="42">
        <v>400</v>
      </c>
      <c r="F314" s="42">
        <v>377</v>
      </c>
      <c r="G314" s="64">
        <f t="shared" ref="G314:H314" si="148">IFERROR((E314-E307)/E307,0%)</f>
        <v>-4.5346062052505964E-2</v>
      </c>
      <c r="H314" s="64">
        <f t="shared" si="148"/>
        <v>-5.2763819095477386E-2</v>
      </c>
      <c r="I314" s="1"/>
      <c r="J314" s="1"/>
      <c r="K314" s="1"/>
      <c r="L314" s="1"/>
      <c r="M314" s="18">
        <v>0.83</v>
      </c>
      <c r="N314" s="84">
        <v>0.06</v>
      </c>
      <c r="O314" s="84">
        <v>0.94</v>
      </c>
      <c r="P314" s="84">
        <v>0.71</v>
      </c>
      <c r="Q314" s="84">
        <v>1</v>
      </c>
      <c r="R314" s="293">
        <v>208</v>
      </c>
      <c r="S314" s="293">
        <v>0</v>
      </c>
      <c r="T314" s="386">
        <v>4</v>
      </c>
      <c r="U314" s="345" t="str">
        <f t="shared" si="119"/>
        <v>Normal</v>
      </c>
      <c r="V314" s="345" t="str">
        <f t="shared" si="120"/>
        <v>Normal</v>
      </c>
      <c r="W314" s="345">
        <f t="shared" si="121"/>
        <v>-4.5346062052505964E-2</v>
      </c>
      <c r="X314" s="416">
        <f t="shared" si="122"/>
        <v>-5.2763819095477386E-2</v>
      </c>
      <c r="Y314" s="340"/>
      <c r="Z314" s="340"/>
      <c r="AA314" s="340"/>
      <c r="AB314" s="340"/>
      <c r="AC314" s="338"/>
      <c r="AD314" s="338"/>
      <c r="AE314" s="338"/>
      <c r="AF314" s="338"/>
      <c r="AG314" s="338"/>
      <c r="AH314" s="338"/>
      <c r="AI314" s="338"/>
      <c r="AJ314" s="48"/>
      <c r="AK314" s="48"/>
      <c r="AL314" s="48"/>
    </row>
    <row r="315" spans="1:38">
      <c r="A315" s="21">
        <v>45330</v>
      </c>
      <c r="B315" s="17">
        <f>IF(YEAR(Table7[[#This Row],[Date]]) = 2023, WEEKNUM(Table7[[#This Row],[Date]])-13, WEEKNUM(Table7[[#This Row],[Date]])+40)</f>
        <v>46</v>
      </c>
      <c r="C315" s="34" t="s">
        <v>52</v>
      </c>
      <c r="D315" s="35" t="s">
        <v>94</v>
      </c>
      <c r="E315" s="42">
        <v>353</v>
      </c>
      <c r="F315" s="42">
        <v>331</v>
      </c>
      <c r="G315" s="64">
        <f t="shared" ref="G315:H317" si="149">IFERROR((E315-E308)/E308,0%)</f>
        <v>-0.11970074812967581</v>
      </c>
      <c r="H315" s="64">
        <f t="shared" si="149"/>
        <v>-0.12664907651715041</v>
      </c>
      <c r="I315" s="1"/>
      <c r="J315" s="1"/>
      <c r="K315" s="1"/>
      <c r="L315" s="1"/>
      <c r="M315" s="18">
        <v>0.84</v>
      </c>
      <c r="N315" s="84">
        <v>0.06</v>
      </c>
      <c r="O315" s="84">
        <v>0.94</v>
      </c>
      <c r="P315" s="84">
        <v>0.66</v>
      </c>
      <c r="Q315" s="84">
        <v>1</v>
      </c>
      <c r="R315" s="293">
        <v>225</v>
      </c>
      <c r="S315" s="293">
        <v>0</v>
      </c>
      <c r="T315" s="386">
        <v>4</v>
      </c>
      <c r="U315" s="345" t="str">
        <f t="shared" si="119"/>
        <v>Normal</v>
      </c>
      <c r="V315" s="345" t="str">
        <f t="shared" si="120"/>
        <v>Normal</v>
      </c>
      <c r="W315" s="345">
        <f t="shared" si="121"/>
        <v>-0.11970074812967581</v>
      </c>
      <c r="X315" s="416">
        <f t="shared" si="122"/>
        <v>-0.12664907651715041</v>
      </c>
      <c r="Y315" s="340"/>
      <c r="Z315" s="340"/>
      <c r="AA315" s="340"/>
      <c r="AB315" s="340"/>
      <c r="AC315" s="338"/>
      <c r="AD315" s="338"/>
      <c r="AE315" s="338"/>
      <c r="AF315" s="338"/>
      <c r="AG315" s="338"/>
      <c r="AH315" s="338"/>
      <c r="AI315" s="338"/>
    </row>
    <row r="316" spans="1:38">
      <c r="A316" s="21">
        <v>45331</v>
      </c>
      <c r="B316" s="17">
        <f>IF(YEAR(Table7[[#This Row],[Date]]) = 2023, WEEKNUM(Table7[[#This Row],[Date]])-13, WEEKNUM(Table7[[#This Row],[Date]])+40)</f>
        <v>46</v>
      </c>
      <c r="C316" s="33" t="s">
        <v>53</v>
      </c>
      <c r="D316" s="35" t="s">
        <v>94</v>
      </c>
      <c r="E316" s="42">
        <v>344</v>
      </c>
      <c r="F316" s="42">
        <v>309</v>
      </c>
      <c r="G316" s="64">
        <f t="shared" si="149"/>
        <v>-0.19058823529411764</v>
      </c>
      <c r="H316" s="64">
        <f t="shared" si="149"/>
        <v>-0.22942643391521197</v>
      </c>
      <c r="I316" s="1"/>
      <c r="J316" s="1"/>
      <c r="K316" s="1"/>
      <c r="L316" s="1"/>
      <c r="M316" s="18">
        <v>0.8</v>
      </c>
      <c r="N316" s="84">
        <v>0.1</v>
      </c>
      <c r="O316" s="84">
        <v>0.9</v>
      </c>
      <c r="P316" s="84">
        <v>0.57999999999999996</v>
      </c>
      <c r="Q316" s="84">
        <v>1</v>
      </c>
      <c r="R316" s="293">
        <v>205</v>
      </c>
      <c r="S316" s="293">
        <v>0</v>
      </c>
      <c r="T316" s="386">
        <v>4</v>
      </c>
      <c r="U316" s="345" t="str">
        <f t="shared" si="119"/>
        <v>Normal</v>
      </c>
      <c r="V316" s="345" t="str">
        <f t="shared" si="120"/>
        <v>Normal</v>
      </c>
      <c r="W316" s="345">
        <f t="shared" si="121"/>
        <v>-0.19058823529411764</v>
      </c>
      <c r="X316" s="416">
        <f t="shared" si="122"/>
        <v>-0.22942643391521197</v>
      </c>
      <c r="Y316" s="340"/>
      <c r="Z316" s="340"/>
      <c r="AA316" s="340"/>
      <c r="AB316" s="340"/>
      <c r="AC316" s="338"/>
      <c r="AD316" s="338"/>
      <c r="AE316" s="338"/>
      <c r="AF316" s="338"/>
      <c r="AG316" s="338"/>
      <c r="AH316" s="338"/>
      <c r="AI316" s="338"/>
    </row>
    <row r="317" spans="1:38">
      <c r="A317" s="21">
        <v>45332</v>
      </c>
      <c r="B317" s="17">
        <f>IF(YEAR(Table7[[#This Row],[Date]]) = 2023, WEEKNUM(Table7[[#This Row],[Date]])-13, WEEKNUM(Table7[[#This Row],[Date]])+40)</f>
        <v>46</v>
      </c>
      <c r="C317" s="34" t="s">
        <v>54</v>
      </c>
      <c r="D317" s="35" t="s">
        <v>94</v>
      </c>
      <c r="E317" s="42">
        <v>108</v>
      </c>
      <c r="F317" s="42">
        <v>104</v>
      </c>
      <c r="G317" s="64">
        <f t="shared" si="149"/>
        <v>-0.14960629921259844</v>
      </c>
      <c r="H317" s="64">
        <f t="shared" si="149"/>
        <v>-8.771929824561403E-2</v>
      </c>
      <c r="I317" s="1"/>
      <c r="J317" s="1"/>
      <c r="K317" s="1"/>
      <c r="L317" s="1"/>
      <c r="M317" s="18">
        <v>0.9</v>
      </c>
      <c r="N317" s="84">
        <v>0.04</v>
      </c>
      <c r="O317" s="84">
        <v>0.96</v>
      </c>
      <c r="P317" s="84">
        <v>0.33</v>
      </c>
      <c r="Q317" s="84">
        <v>1</v>
      </c>
      <c r="R317" s="293">
        <v>157</v>
      </c>
      <c r="S317" s="293">
        <v>0</v>
      </c>
      <c r="T317" s="386">
        <v>3</v>
      </c>
      <c r="U317" s="345" t="str">
        <f t="shared" si="119"/>
        <v>Normal</v>
      </c>
      <c r="V317" s="345" t="str">
        <f t="shared" si="120"/>
        <v>Normal</v>
      </c>
      <c r="W317" s="345">
        <f t="shared" si="121"/>
        <v>-0.14960629921259844</v>
      </c>
      <c r="X317" s="416">
        <f t="shared" si="122"/>
        <v>-8.771929824561403E-2</v>
      </c>
      <c r="Y317" s="340"/>
      <c r="Z317" s="340"/>
      <c r="AA317" s="340"/>
      <c r="AB317" s="340"/>
      <c r="AC317" s="338"/>
      <c r="AD317" s="338"/>
      <c r="AE317" s="338"/>
      <c r="AF317" s="338"/>
      <c r="AG317" s="338"/>
      <c r="AH317" s="338"/>
      <c r="AI317" s="338"/>
    </row>
    <row r="318" spans="1:38">
      <c r="A318" s="21">
        <v>45333</v>
      </c>
      <c r="B318" s="17">
        <f>IF(YEAR(Table7[[#This Row],[Date]]) = 2023, WEEKNUM(Table7[[#This Row],[Date]])-13, WEEKNUM(Table7[[#This Row],[Date]])+40)</f>
        <v>47</v>
      </c>
      <c r="C318" s="33" t="s">
        <v>48</v>
      </c>
      <c r="D318" s="35" t="s">
        <v>94</v>
      </c>
      <c r="E318" s="42">
        <v>0</v>
      </c>
      <c r="F318" s="42">
        <v>0</v>
      </c>
      <c r="G318" s="64">
        <f t="shared" ref="G318:H318" si="150">IFERROR((E318-E311)/E311,0%)</f>
        <v>0</v>
      </c>
      <c r="H318" s="64">
        <f t="shared" si="150"/>
        <v>0</v>
      </c>
      <c r="I318" s="1">
        <v>0</v>
      </c>
      <c r="J318" s="1">
        <v>0</v>
      </c>
      <c r="K318" s="1">
        <v>0</v>
      </c>
      <c r="L318" s="1">
        <v>0</v>
      </c>
      <c r="M318" s="18">
        <v>0</v>
      </c>
      <c r="N318" s="84">
        <v>0</v>
      </c>
      <c r="O318" s="84">
        <v>0</v>
      </c>
      <c r="P318" s="84">
        <v>0</v>
      </c>
      <c r="Q318" s="84">
        <v>0</v>
      </c>
      <c r="R318" s="293">
        <v>0</v>
      </c>
      <c r="S318" s="293">
        <v>0</v>
      </c>
      <c r="T318" s="386">
        <v>0</v>
      </c>
      <c r="U318" s="345" t="str">
        <f t="shared" si="119"/>
        <v>Normal</v>
      </c>
      <c r="V318" s="345" t="str">
        <f t="shared" si="120"/>
        <v>Normal</v>
      </c>
      <c r="W318" s="345">
        <f t="shared" si="121"/>
        <v>0</v>
      </c>
      <c r="X318" s="416">
        <f t="shared" si="122"/>
        <v>0</v>
      </c>
      <c r="Y318" s="340"/>
      <c r="Z318" s="340"/>
      <c r="AA318" s="340"/>
      <c r="AB318" s="340"/>
      <c r="AC318" s="338"/>
      <c r="AD318" s="338"/>
      <c r="AE318" s="338"/>
      <c r="AF318" s="338"/>
      <c r="AG318" s="338"/>
      <c r="AH318" s="338"/>
      <c r="AI318" s="338"/>
    </row>
    <row r="319" spans="1:38">
      <c r="A319" s="21">
        <v>45334</v>
      </c>
      <c r="B319" s="17">
        <f>IF(YEAR(Table7[[#This Row],[Date]]) = 2023, WEEKNUM(Table7[[#This Row],[Date]])-13, WEEKNUM(Table7[[#This Row],[Date]])+40)</f>
        <v>47</v>
      </c>
      <c r="C319" s="34" t="s">
        <v>49</v>
      </c>
      <c r="D319" s="35" t="s">
        <v>94</v>
      </c>
      <c r="E319" s="42">
        <v>370</v>
      </c>
      <c r="F319" s="42">
        <v>359</v>
      </c>
      <c r="G319" s="64">
        <f t="shared" ref="G319:H321" si="151">IFERROR((E319-E312)/E312,0%)</f>
        <v>-0.11483253588516747</v>
      </c>
      <c r="H319" s="64">
        <f t="shared" si="151"/>
        <v>-6.2663185378590072E-2</v>
      </c>
      <c r="I319" s="1"/>
      <c r="J319" s="1"/>
      <c r="K319" s="1"/>
      <c r="L319" s="1"/>
      <c r="M319" s="18">
        <v>0.92</v>
      </c>
      <c r="N319" s="84">
        <v>0.03</v>
      </c>
      <c r="O319" s="84">
        <v>0.97</v>
      </c>
      <c r="P319" s="84">
        <v>0.64</v>
      </c>
      <c r="Q319" s="84">
        <v>1</v>
      </c>
      <c r="R319" s="293">
        <v>188</v>
      </c>
      <c r="S319" s="293">
        <v>0</v>
      </c>
      <c r="T319" s="386">
        <v>4</v>
      </c>
      <c r="U319" s="345" t="str">
        <f t="shared" si="119"/>
        <v>Normal</v>
      </c>
      <c r="V319" s="345" t="str">
        <f t="shared" si="120"/>
        <v>Normal</v>
      </c>
      <c r="W319" s="345">
        <f t="shared" si="121"/>
        <v>-0.11483253588516747</v>
      </c>
      <c r="X319" s="416">
        <f t="shared" si="122"/>
        <v>-6.2663185378590072E-2</v>
      </c>
      <c r="Y319" s="340"/>
      <c r="Z319" s="340"/>
      <c r="AA319" s="340"/>
      <c r="AB319" s="340"/>
      <c r="AC319" s="338"/>
      <c r="AD319" s="338"/>
      <c r="AE319" s="338"/>
      <c r="AF319" s="338"/>
      <c r="AG319" s="338"/>
      <c r="AH319" s="338"/>
      <c r="AI319" s="338"/>
    </row>
    <row r="320" spans="1:38">
      <c r="A320" s="21">
        <v>45335</v>
      </c>
      <c r="B320" s="17">
        <f>IF(YEAR(Table7[[#This Row],[Date]]) = 2023, WEEKNUM(Table7[[#This Row],[Date]])-13, WEEKNUM(Table7[[#This Row],[Date]])+40)</f>
        <v>47</v>
      </c>
      <c r="C320" s="33" t="s">
        <v>50</v>
      </c>
      <c r="D320" s="35" t="s">
        <v>94</v>
      </c>
      <c r="E320" s="42">
        <v>308</v>
      </c>
      <c r="F320" s="42">
        <v>292</v>
      </c>
      <c r="G320" s="64">
        <f t="shared" si="151"/>
        <v>-0.14444444444444443</v>
      </c>
      <c r="H320" s="64">
        <f t="shared" si="151"/>
        <v>-0.10153846153846154</v>
      </c>
      <c r="I320" s="1"/>
      <c r="J320" s="1"/>
      <c r="K320" s="1"/>
      <c r="L320" s="1"/>
      <c r="M320" s="18">
        <v>0.86</v>
      </c>
      <c r="N320" s="84">
        <v>0.05</v>
      </c>
      <c r="O320" s="84">
        <v>0.95</v>
      </c>
      <c r="P320" s="84">
        <v>0.53</v>
      </c>
      <c r="Q320" s="84">
        <v>1</v>
      </c>
      <c r="R320" s="293">
        <v>198</v>
      </c>
      <c r="S320" s="293">
        <v>0</v>
      </c>
      <c r="T320" s="386">
        <v>4</v>
      </c>
      <c r="U320" s="345" t="str">
        <f t="shared" si="119"/>
        <v>Normal</v>
      </c>
      <c r="V320" s="345" t="str">
        <f t="shared" si="120"/>
        <v>Normal</v>
      </c>
      <c r="W320" s="345">
        <f t="shared" si="121"/>
        <v>-0.14444444444444443</v>
      </c>
      <c r="X320" s="416">
        <f t="shared" si="122"/>
        <v>-0.10153846153846154</v>
      </c>
      <c r="Y320" s="340"/>
      <c r="Z320" s="340"/>
      <c r="AA320" s="340"/>
      <c r="AB320" s="340"/>
      <c r="AC320" s="338"/>
      <c r="AD320" s="338"/>
      <c r="AE320" s="338"/>
      <c r="AF320" s="338"/>
      <c r="AG320" s="338"/>
      <c r="AH320" s="338"/>
      <c r="AI320" s="338"/>
    </row>
    <row r="321" spans="1:35">
      <c r="A321" s="21">
        <v>45336</v>
      </c>
      <c r="B321" s="17">
        <f>IF(YEAR(Table7[[#This Row],[Date]]) = 2023, WEEKNUM(Table7[[#This Row],[Date]])-13, WEEKNUM(Table7[[#This Row],[Date]])+40)</f>
        <v>47</v>
      </c>
      <c r="C321" s="34" t="s">
        <v>51</v>
      </c>
      <c r="D321" s="35" t="s">
        <v>94</v>
      </c>
      <c r="E321" s="42">
        <v>346</v>
      </c>
      <c r="F321" s="42">
        <v>330</v>
      </c>
      <c r="G321" s="64">
        <f t="shared" si="151"/>
        <v>-0.13500000000000001</v>
      </c>
      <c r="H321" s="64">
        <f t="shared" si="151"/>
        <v>-0.12466843501326259</v>
      </c>
      <c r="I321" s="1"/>
      <c r="J321" s="1"/>
      <c r="K321" s="1"/>
      <c r="L321" s="1"/>
      <c r="M321" s="18">
        <v>0.86</v>
      </c>
      <c r="N321" s="84">
        <v>0.05</v>
      </c>
      <c r="O321" s="84">
        <v>0.95</v>
      </c>
      <c r="P321" s="84">
        <v>0.61</v>
      </c>
      <c r="Q321" s="84">
        <v>1</v>
      </c>
      <c r="R321" s="293">
        <v>202</v>
      </c>
      <c r="S321" s="293">
        <v>0</v>
      </c>
      <c r="T321" s="386">
        <v>4</v>
      </c>
      <c r="U321" s="345" t="str">
        <f t="shared" si="119"/>
        <v>Normal</v>
      </c>
      <c r="V321" s="345" t="str">
        <f t="shared" si="120"/>
        <v>Normal</v>
      </c>
      <c r="W321" s="345">
        <f t="shared" si="121"/>
        <v>-0.13500000000000001</v>
      </c>
      <c r="X321" s="416">
        <f t="shared" si="122"/>
        <v>-0.12466843501326259</v>
      </c>
      <c r="Y321" s="340"/>
      <c r="Z321" s="340"/>
      <c r="AA321" s="340"/>
      <c r="AB321" s="340"/>
      <c r="AC321" s="338"/>
      <c r="AD321" s="338"/>
      <c r="AE321" s="338"/>
      <c r="AF321" s="338"/>
      <c r="AG321" s="338"/>
      <c r="AH321" s="338"/>
      <c r="AI321" s="338"/>
    </row>
    <row r="322" spans="1:35">
      <c r="A322" s="21">
        <v>45337</v>
      </c>
      <c r="B322" s="17">
        <f>IF(YEAR(Table7[[#This Row],[Date]]) = 2023, WEEKNUM(Table7[[#This Row],[Date]])-13, WEEKNUM(Table7[[#This Row],[Date]])+40)</f>
        <v>47</v>
      </c>
      <c r="C322" s="33" t="s">
        <v>52</v>
      </c>
      <c r="D322" s="35" t="s">
        <v>94</v>
      </c>
      <c r="E322" s="42">
        <v>373</v>
      </c>
      <c r="F322" s="42">
        <v>337</v>
      </c>
      <c r="G322" s="64">
        <f t="shared" ref="G322:H322" si="152">IFERROR((E322-E315)/E315,0%)</f>
        <v>5.6657223796033995E-2</v>
      </c>
      <c r="H322" s="64">
        <f t="shared" si="152"/>
        <v>1.812688821752266E-2</v>
      </c>
      <c r="I322" s="1"/>
      <c r="J322" s="1"/>
      <c r="K322" s="1"/>
      <c r="L322" s="1"/>
      <c r="M322" s="18">
        <v>0.81</v>
      </c>
      <c r="N322" s="84">
        <v>0.1</v>
      </c>
      <c r="O322" s="84">
        <v>0.9</v>
      </c>
      <c r="P322" s="84">
        <v>0.61</v>
      </c>
      <c r="Q322" s="84">
        <v>1</v>
      </c>
      <c r="R322" s="293">
        <v>197</v>
      </c>
      <c r="S322" s="293">
        <v>0</v>
      </c>
      <c r="T322" s="386">
        <v>4</v>
      </c>
      <c r="U322" s="345" t="str">
        <f t="shared" si="119"/>
        <v>Normal</v>
      </c>
      <c r="V322" s="345" t="str">
        <f t="shared" si="120"/>
        <v>Normal</v>
      </c>
      <c r="W322" s="345">
        <f t="shared" si="121"/>
        <v>5.6657223796033995E-2</v>
      </c>
      <c r="X322" s="416">
        <f t="shared" si="122"/>
        <v>1.812688821752266E-2</v>
      </c>
      <c r="Y322" s="340"/>
      <c r="Z322" s="340"/>
      <c r="AA322" s="340"/>
      <c r="AB322" s="340"/>
      <c r="AC322" s="338"/>
      <c r="AD322" s="338"/>
      <c r="AE322" s="338"/>
      <c r="AF322" s="338"/>
      <c r="AG322" s="338"/>
      <c r="AH322" s="338"/>
      <c r="AI322" s="338"/>
    </row>
    <row r="323" spans="1:35">
      <c r="A323" s="21">
        <v>45338</v>
      </c>
      <c r="B323" s="17">
        <f>IF(YEAR(Table7[[#This Row],[Date]]) = 2023, WEEKNUM(Table7[[#This Row],[Date]])-13, WEEKNUM(Table7[[#This Row],[Date]])+40)</f>
        <v>47</v>
      </c>
      <c r="C323" s="34" t="s">
        <v>53</v>
      </c>
      <c r="D323" s="35" t="s">
        <v>94</v>
      </c>
      <c r="E323" s="42">
        <v>346</v>
      </c>
      <c r="F323" s="42">
        <v>321</v>
      </c>
      <c r="G323" s="64">
        <f t="shared" ref="G323:H325" si="153">IFERROR((E323-E316)/E316,0%)</f>
        <v>5.8139534883720929E-3</v>
      </c>
      <c r="H323" s="64">
        <f t="shared" si="153"/>
        <v>3.8834951456310676E-2</v>
      </c>
      <c r="I323" s="1"/>
      <c r="J323" s="1"/>
      <c r="K323" s="1"/>
      <c r="L323" s="1"/>
      <c r="M323" s="18">
        <v>0.84</v>
      </c>
      <c r="N323" s="84">
        <v>7.0000000000000007E-2</v>
      </c>
      <c r="O323" s="84">
        <v>0.93</v>
      </c>
      <c r="P323" s="84">
        <v>0.6</v>
      </c>
      <c r="Q323" s="84">
        <v>1</v>
      </c>
      <c r="R323" s="293">
        <v>206</v>
      </c>
      <c r="S323" s="293">
        <v>0</v>
      </c>
      <c r="T323" s="386">
        <v>4</v>
      </c>
      <c r="U323" s="345" t="str">
        <f t="shared" ref="U323:U367" si="154">IF(OR(I323&lt;$AA$5,I323&gt;$AB$5), "Outlier", "Normal")</f>
        <v>Normal</v>
      </c>
      <c r="V323" s="345" t="str">
        <f t="shared" ref="V323:V367" si="155">IF(OR(J323&lt;$AA$6,J323&gt;$AB$6), "Outlier", "Normal")</f>
        <v>Normal</v>
      </c>
      <c r="W323" s="345">
        <f t="shared" ref="W323:W367" si="156">IF(U323="Normal",$G323,IF($G323&lt;150%, $G323, $AA$9))</f>
        <v>5.8139534883720929E-3</v>
      </c>
      <c r="X323" s="416">
        <f t="shared" ref="X323:X367" si="157">IF(V323="Normal",$H323,IF($H323&lt;150%, $H323, $AE$9))</f>
        <v>3.8834951456310676E-2</v>
      </c>
      <c r="Y323" s="340"/>
      <c r="Z323" s="340"/>
      <c r="AA323" s="340"/>
      <c r="AB323" s="340"/>
      <c r="AC323" s="338"/>
      <c r="AD323" s="338"/>
      <c r="AE323" s="338"/>
      <c r="AF323" s="338"/>
      <c r="AG323" s="338"/>
      <c r="AH323" s="338"/>
      <c r="AI323" s="338"/>
    </row>
    <row r="324" spans="1:35">
      <c r="A324" s="21">
        <v>45339</v>
      </c>
      <c r="B324" s="17">
        <f>IF(YEAR(Table7[[#This Row],[Date]]) = 2023, WEEKNUM(Table7[[#This Row],[Date]])-13, WEEKNUM(Table7[[#This Row],[Date]])+40)</f>
        <v>47</v>
      </c>
      <c r="C324" s="33" t="s">
        <v>54</v>
      </c>
      <c r="D324" s="35" t="s">
        <v>94</v>
      </c>
      <c r="E324" s="42">
        <v>129</v>
      </c>
      <c r="F324" s="42">
        <v>124</v>
      </c>
      <c r="G324" s="64">
        <f t="shared" si="153"/>
        <v>0.19444444444444445</v>
      </c>
      <c r="H324" s="64">
        <f t="shared" si="153"/>
        <v>0.19230769230769232</v>
      </c>
      <c r="I324" s="1"/>
      <c r="J324" s="1"/>
      <c r="K324" s="1"/>
      <c r="L324" s="1"/>
      <c r="M324" s="18">
        <v>0.88</v>
      </c>
      <c r="N324" s="84">
        <v>0.04</v>
      </c>
      <c r="O324" s="84">
        <v>0.96</v>
      </c>
      <c r="P324" s="84">
        <v>0.36</v>
      </c>
      <c r="Q324" s="84">
        <v>1</v>
      </c>
      <c r="R324" s="293">
        <v>180</v>
      </c>
      <c r="S324" s="293">
        <v>0</v>
      </c>
      <c r="T324" s="386">
        <v>4</v>
      </c>
      <c r="U324" s="345" t="str">
        <f t="shared" si="154"/>
        <v>Normal</v>
      </c>
      <c r="V324" s="345" t="str">
        <f t="shared" si="155"/>
        <v>Normal</v>
      </c>
      <c r="W324" s="345">
        <f t="shared" si="156"/>
        <v>0.19444444444444445</v>
      </c>
      <c r="X324" s="416">
        <f t="shared" si="157"/>
        <v>0.19230769230769232</v>
      </c>
      <c r="Y324" s="340"/>
      <c r="Z324" s="340"/>
      <c r="AA324" s="340"/>
      <c r="AB324" s="340"/>
      <c r="AC324" s="338"/>
      <c r="AD324" s="338"/>
      <c r="AE324" s="338"/>
      <c r="AF324" s="338"/>
      <c r="AG324" s="338"/>
      <c r="AH324" s="338"/>
      <c r="AI324" s="338"/>
    </row>
    <row r="325" spans="1:35">
      <c r="A325" s="21">
        <v>45340</v>
      </c>
      <c r="B325" s="17">
        <f>IF(YEAR(Table7[[#This Row],[Date]]) = 2023, WEEKNUM(Table7[[#This Row],[Date]])-13, WEEKNUM(Table7[[#This Row],[Date]])+40)</f>
        <v>48</v>
      </c>
      <c r="C325" s="34" t="s">
        <v>48</v>
      </c>
      <c r="D325" s="35" t="s">
        <v>94</v>
      </c>
      <c r="E325" s="42">
        <v>0</v>
      </c>
      <c r="F325" s="42">
        <v>0</v>
      </c>
      <c r="G325" s="64">
        <f t="shared" si="153"/>
        <v>0</v>
      </c>
      <c r="H325" s="64">
        <f t="shared" si="153"/>
        <v>0</v>
      </c>
      <c r="I325" s="1">
        <v>0</v>
      </c>
      <c r="J325" s="1">
        <v>0</v>
      </c>
      <c r="K325" s="1">
        <v>0</v>
      </c>
      <c r="L325" s="1">
        <v>0</v>
      </c>
      <c r="M325" s="18">
        <v>0</v>
      </c>
      <c r="N325" s="84">
        <v>0</v>
      </c>
      <c r="O325" s="84">
        <v>0</v>
      </c>
      <c r="P325" s="84">
        <v>0</v>
      </c>
      <c r="Q325" s="84">
        <v>0</v>
      </c>
      <c r="R325" s="293">
        <v>0</v>
      </c>
      <c r="S325" s="293">
        <v>0</v>
      </c>
      <c r="T325" s="386">
        <v>0</v>
      </c>
      <c r="U325" s="345" t="str">
        <f t="shared" si="154"/>
        <v>Normal</v>
      </c>
      <c r="V325" s="345" t="str">
        <f t="shared" si="155"/>
        <v>Normal</v>
      </c>
      <c r="W325" s="345">
        <f t="shared" si="156"/>
        <v>0</v>
      </c>
      <c r="X325" s="416">
        <f t="shared" si="157"/>
        <v>0</v>
      </c>
      <c r="Y325" s="340"/>
      <c r="Z325" s="340"/>
      <c r="AA325" s="340"/>
      <c r="AB325" s="340"/>
      <c r="AC325" s="338"/>
      <c r="AD325" s="338"/>
      <c r="AE325" s="338"/>
      <c r="AF325" s="338"/>
      <c r="AG325" s="338"/>
      <c r="AH325" s="338"/>
      <c r="AI325" s="338"/>
    </row>
    <row r="326" spans="1:35">
      <c r="A326" s="21">
        <v>45341</v>
      </c>
      <c r="B326" s="17">
        <f>IF(YEAR(Table7[[#This Row],[Date]]) = 2023, WEEKNUM(Table7[[#This Row],[Date]])-13, WEEKNUM(Table7[[#This Row],[Date]])+40)</f>
        <v>48</v>
      </c>
      <c r="C326" s="33" t="s">
        <v>49</v>
      </c>
      <c r="D326" s="35" t="s">
        <v>94</v>
      </c>
      <c r="E326" s="42">
        <v>421</v>
      </c>
      <c r="F326" s="42">
        <v>398</v>
      </c>
      <c r="G326" s="64">
        <f t="shared" ref="G326:H326" si="158">IFERROR((E326-E319)/E319,0%)</f>
        <v>0.13783783783783785</v>
      </c>
      <c r="H326" s="64">
        <f t="shared" si="158"/>
        <v>0.10863509749303621</v>
      </c>
      <c r="I326" s="1"/>
      <c r="J326" s="1"/>
      <c r="K326" s="1"/>
      <c r="L326" s="1"/>
      <c r="M326" s="18">
        <v>0.84</v>
      </c>
      <c r="N326" s="84">
        <v>0.05</v>
      </c>
      <c r="O326" s="84">
        <v>0.95</v>
      </c>
      <c r="P326" s="84">
        <v>0.71</v>
      </c>
      <c r="Q326" s="84">
        <v>1</v>
      </c>
      <c r="R326" s="293">
        <v>187</v>
      </c>
      <c r="S326" s="293">
        <v>0</v>
      </c>
      <c r="T326" s="386">
        <v>4</v>
      </c>
      <c r="U326" s="345" t="str">
        <f t="shared" si="154"/>
        <v>Normal</v>
      </c>
      <c r="V326" s="345" t="str">
        <f t="shared" si="155"/>
        <v>Normal</v>
      </c>
      <c r="W326" s="345">
        <f t="shared" si="156"/>
        <v>0.13783783783783785</v>
      </c>
      <c r="X326" s="416">
        <f t="shared" si="157"/>
        <v>0.10863509749303621</v>
      </c>
      <c r="Y326" s="340"/>
      <c r="Z326" s="340"/>
      <c r="AA326" s="340"/>
      <c r="AB326" s="340"/>
      <c r="AC326" s="338"/>
      <c r="AD326" s="338"/>
      <c r="AE326" s="338"/>
      <c r="AF326" s="338"/>
      <c r="AG326" s="338"/>
      <c r="AH326" s="338"/>
      <c r="AI326" s="338"/>
    </row>
    <row r="327" spans="1:35">
      <c r="A327" s="21">
        <v>45342</v>
      </c>
      <c r="B327" s="17">
        <f>IF(YEAR(Table7[[#This Row],[Date]]) = 2023, WEEKNUM(Table7[[#This Row],[Date]])-13, WEEKNUM(Table7[[#This Row],[Date]])+40)</f>
        <v>48</v>
      </c>
      <c r="C327" s="34" t="s">
        <v>50</v>
      </c>
      <c r="D327" s="35" t="s">
        <v>94</v>
      </c>
      <c r="E327" s="42">
        <v>344</v>
      </c>
      <c r="F327" s="42">
        <v>323</v>
      </c>
      <c r="G327" s="64">
        <f t="shared" ref="G327:H329" si="159">IFERROR((E327-E320)/E320,0%)</f>
        <v>0.11688311688311688</v>
      </c>
      <c r="H327" s="64">
        <f t="shared" si="159"/>
        <v>0.10616438356164383</v>
      </c>
      <c r="I327" s="1"/>
      <c r="J327" s="1"/>
      <c r="K327" s="1"/>
      <c r="L327" s="1"/>
      <c r="M327" s="18">
        <v>0.81</v>
      </c>
      <c r="N327" s="84">
        <v>0.06</v>
      </c>
      <c r="O327" s="84">
        <v>0.94</v>
      </c>
      <c r="P327" s="84">
        <v>0.59</v>
      </c>
      <c r="Q327" s="84">
        <v>1</v>
      </c>
      <c r="R327" s="293">
        <v>199</v>
      </c>
      <c r="S327" s="293">
        <v>0</v>
      </c>
      <c r="T327" s="386">
        <v>4</v>
      </c>
      <c r="U327" s="345" t="str">
        <f t="shared" si="154"/>
        <v>Normal</v>
      </c>
      <c r="V327" s="345" t="str">
        <f t="shared" si="155"/>
        <v>Normal</v>
      </c>
      <c r="W327" s="345">
        <f t="shared" si="156"/>
        <v>0.11688311688311688</v>
      </c>
      <c r="X327" s="416">
        <f t="shared" si="157"/>
        <v>0.10616438356164383</v>
      </c>
      <c r="Y327" s="340"/>
      <c r="Z327" s="340"/>
      <c r="AA327" s="340"/>
      <c r="AB327" s="340"/>
      <c r="AC327" s="338"/>
      <c r="AD327" s="338"/>
      <c r="AE327" s="338"/>
      <c r="AF327" s="338"/>
      <c r="AG327" s="338"/>
      <c r="AH327" s="338"/>
      <c r="AI327" s="338"/>
    </row>
    <row r="328" spans="1:35">
      <c r="A328" s="21">
        <v>45343</v>
      </c>
      <c r="B328" s="17">
        <f>IF(YEAR(Table7[[#This Row],[Date]]) = 2023, WEEKNUM(Table7[[#This Row],[Date]])-13, WEEKNUM(Table7[[#This Row],[Date]])+40)</f>
        <v>48</v>
      </c>
      <c r="C328" s="33" t="s">
        <v>51</v>
      </c>
      <c r="D328" s="35" t="s">
        <v>94</v>
      </c>
      <c r="E328" s="42">
        <v>365</v>
      </c>
      <c r="F328" s="42">
        <v>348</v>
      </c>
      <c r="G328" s="64">
        <f t="shared" si="159"/>
        <v>5.4913294797687862E-2</v>
      </c>
      <c r="H328" s="64">
        <f t="shared" si="159"/>
        <v>5.4545454545454543E-2</v>
      </c>
      <c r="I328" s="1"/>
      <c r="J328" s="1"/>
      <c r="K328" s="1"/>
      <c r="L328" s="1"/>
      <c r="M328" s="18">
        <v>0.87</v>
      </c>
      <c r="N328" s="84">
        <v>0.05</v>
      </c>
      <c r="O328" s="84">
        <v>0.95</v>
      </c>
      <c r="P328" s="84">
        <v>0.54</v>
      </c>
      <c r="Q328" s="84">
        <v>1</v>
      </c>
      <c r="R328" s="293">
        <v>217</v>
      </c>
      <c r="S328" s="293">
        <v>0</v>
      </c>
      <c r="T328" s="386">
        <v>5</v>
      </c>
      <c r="U328" s="345" t="str">
        <f t="shared" si="154"/>
        <v>Normal</v>
      </c>
      <c r="V328" s="345" t="str">
        <f t="shared" si="155"/>
        <v>Normal</v>
      </c>
      <c r="W328" s="345">
        <f t="shared" si="156"/>
        <v>5.4913294797687862E-2</v>
      </c>
      <c r="X328" s="416">
        <f t="shared" si="157"/>
        <v>5.4545454545454543E-2</v>
      </c>
      <c r="Y328" s="340"/>
      <c r="Z328" s="340"/>
      <c r="AA328" s="340"/>
      <c r="AB328" s="340"/>
      <c r="AC328" s="338"/>
      <c r="AD328" s="338"/>
      <c r="AE328" s="338"/>
      <c r="AF328" s="338"/>
      <c r="AG328" s="338"/>
      <c r="AH328" s="338"/>
      <c r="AI328" s="338"/>
    </row>
    <row r="329" spans="1:35">
      <c r="A329" s="21">
        <v>45344</v>
      </c>
      <c r="B329" s="17">
        <f>IF(YEAR(Table7[[#This Row],[Date]]) = 2023, WEEKNUM(Table7[[#This Row],[Date]])-13, WEEKNUM(Table7[[#This Row],[Date]])+40)</f>
        <v>48</v>
      </c>
      <c r="C329" s="34" t="s">
        <v>52</v>
      </c>
      <c r="D329" s="35" t="s">
        <v>94</v>
      </c>
      <c r="E329" s="42">
        <v>183</v>
      </c>
      <c r="F329" s="42">
        <v>178</v>
      </c>
      <c r="G329" s="64">
        <f t="shared" si="159"/>
        <v>-0.5093833780160858</v>
      </c>
      <c r="H329" s="64">
        <f t="shared" si="159"/>
        <v>-0.47181008902077154</v>
      </c>
      <c r="I329" s="1"/>
      <c r="J329" s="1"/>
      <c r="K329" s="1"/>
      <c r="L329" s="1"/>
      <c r="M329" s="18">
        <v>0.95</v>
      </c>
      <c r="N329" s="84">
        <v>0.03</v>
      </c>
      <c r="O329" s="84">
        <v>0.97</v>
      </c>
      <c r="P329" s="84">
        <v>0.43</v>
      </c>
      <c r="Q329" s="84">
        <v>1</v>
      </c>
      <c r="R329" s="293">
        <v>199</v>
      </c>
      <c r="S329" s="293">
        <v>0</v>
      </c>
      <c r="T329" s="386">
        <v>3</v>
      </c>
      <c r="U329" s="345" t="str">
        <f t="shared" si="154"/>
        <v>Normal</v>
      </c>
      <c r="V329" s="345" t="str">
        <f t="shared" si="155"/>
        <v>Normal</v>
      </c>
      <c r="W329" s="345">
        <f t="shared" si="156"/>
        <v>-0.5093833780160858</v>
      </c>
      <c r="X329" s="416">
        <f t="shared" si="157"/>
        <v>-0.47181008902077154</v>
      </c>
      <c r="Y329" s="340"/>
      <c r="Z329" s="340"/>
      <c r="AA329" s="340"/>
      <c r="AB329" s="340"/>
      <c r="AC329" s="338"/>
      <c r="AD329" s="338"/>
      <c r="AE329" s="338"/>
      <c r="AF329" s="338"/>
      <c r="AG329" s="338"/>
      <c r="AH329" s="338"/>
      <c r="AI329" s="338"/>
    </row>
    <row r="330" spans="1:35">
      <c r="A330" s="21">
        <v>45345</v>
      </c>
      <c r="B330" s="17">
        <f>IF(YEAR(Table7[[#This Row],[Date]]) = 2023, WEEKNUM(Table7[[#This Row],[Date]])-13, WEEKNUM(Table7[[#This Row],[Date]])+40)</f>
        <v>48</v>
      </c>
      <c r="C330" s="33" t="s">
        <v>53</v>
      </c>
      <c r="D330" s="35" t="s">
        <v>94</v>
      </c>
      <c r="E330" s="42">
        <v>427</v>
      </c>
      <c r="F330" s="42">
        <v>408</v>
      </c>
      <c r="G330" s="64">
        <f t="shared" ref="G330:H330" si="160">IFERROR((E330-E323)/E323,0%)</f>
        <v>0.23410404624277456</v>
      </c>
      <c r="H330" s="64">
        <f t="shared" si="160"/>
        <v>0.27102803738317754</v>
      </c>
      <c r="I330" s="1"/>
      <c r="J330" s="1"/>
      <c r="K330" s="1"/>
      <c r="L330" s="1"/>
      <c r="M330" s="18">
        <v>0.92</v>
      </c>
      <c r="N330" s="84">
        <v>0.04</v>
      </c>
      <c r="O330" s="84">
        <v>0.96</v>
      </c>
      <c r="P330" s="84">
        <v>0.6</v>
      </c>
      <c r="Q330" s="84">
        <v>1</v>
      </c>
      <c r="R330" s="293">
        <v>197</v>
      </c>
      <c r="S330" s="293">
        <v>0</v>
      </c>
      <c r="T330" s="386">
        <v>5</v>
      </c>
      <c r="U330" s="345" t="str">
        <f t="shared" si="154"/>
        <v>Normal</v>
      </c>
      <c r="V330" s="345" t="str">
        <f t="shared" si="155"/>
        <v>Normal</v>
      </c>
      <c r="W330" s="345">
        <f t="shared" si="156"/>
        <v>0.23410404624277456</v>
      </c>
      <c r="X330" s="416">
        <f t="shared" si="157"/>
        <v>0.27102803738317754</v>
      </c>
      <c r="Y330" s="340"/>
      <c r="Z330" s="340"/>
      <c r="AA330" s="340"/>
      <c r="AB330" s="340"/>
      <c r="AC330" s="338"/>
      <c r="AD330" s="338"/>
      <c r="AE330" s="338"/>
      <c r="AF330" s="338"/>
      <c r="AG330" s="338"/>
      <c r="AH330" s="338"/>
      <c r="AI330" s="338"/>
    </row>
    <row r="331" spans="1:35">
      <c r="A331" s="21">
        <v>45346</v>
      </c>
      <c r="B331" s="17">
        <f>IF(YEAR(Table7[[#This Row],[Date]]) = 2023, WEEKNUM(Table7[[#This Row],[Date]])-13, WEEKNUM(Table7[[#This Row],[Date]])+40)</f>
        <v>48</v>
      </c>
      <c r="C331" s="34" t="s">
        <v>54</v>
      </c>
      <c r="D331" s="35" t="s">
        <v>94</v>
      </c>
      <c r="E331" s="42">
        <v>145</v>
      </c>
      <c r="F331" s="42">
        <v>138</v>
      </c>
      <c r="G331" s="64">
        <f t="shared" ref="G331:H333" si="161">IFERROR((E331-E324)/E324,0%)</f>
        <v>0.12403100775193798</v>
      </c>
      <c r="H331" s="64">
        <f t="shared" si="161"/>
        <v>0.11290322580645161</v>
      </c>
      <c r="I331" s="1"/>
      <c r="J331" s="1"/>
      <c r="K331" s="1"/>
      <c r="L331" s="1"/>
      <c r="M331" s="18">
        <v>0.88</v>
      </c>
      <c r="N331" s="84">
        <v>0.05</v>
      </c>
      <c r="O331" s="84">
        <v>0.95</v>
      </c>
      <c r="P331" s="84">
        <v>0.44</v>
      </c>
      <c r="Q331" s="84">
        <v>1</v>
      </c>
      <c r="R331" s="293">
        <v>204</v>
      </c>
      <c r="S331" s="293">
        <v>0</v>
      </c>
      <c r="T331" s="386">
        <v>4</v>
      </c>
      <c r="U331" s="345" t="str">
        <f t="shared" si="154"/>
        <v>Normal</v>
      </c>
      <c r="V331" s="345" t="str">
        <f t="shared" si="155"/>
        <v>Normal</v>
      </c>
      <c r="W331" s="345">
        <f t="shared" si="156"/>
        <v>0.12403100775193798</v>
      </c>
      <c r="X331" s="416">
        <f t="shared" si="157"/>
        <v>0.11290322580645161</v>
      </c>
      <c r="Y331" s="340"/>
      <c r="Z331" s="340"/>
      <c r="AA331" s="340"/>
      <c r="AB331" s="340"/>
      <c r="AC331" s="338"/>
      <c r="AD331" s="338"/>
      <c r="AE331" s="338"/>
      <c r="AF331" s="338"/>
      <c r="AG331" s="338"/>
      <c r="AH331" s="338"/>
      <c r="AI331" s="338"/>
    </row>
    <row r="332" spans="1:35">
      <c r="A332" s="21">
        <v>45347</v>
      </c>
      <c r="B332" s="17">
        <f>IF(YEAR(Table7[[#This Row],[Date]]) = 2023, WEEKNUM(Table7[[#This Row],[Date]])-13, WEEKNUM(Table7[[#This Row],[Date]])+40)</f>
        <v>49</v>
      </c>
      <c r="C332" s="33" t="s">
        <v>48</v>
      </c>
      <c r="D332" s="35" t="s">
        <v>94</v>
      </c>
      <c r="E332" s="42">
        <v>0</v>
      </c>
      <c r="F332" s="42">
        <v>0</v>
      </c>
      <c r="G332" s="64">
        <f t="shared" si="161"/>
        <v>0</v>
      </c>
      <c r="H332" s="64">
        <f t="shared" si="161"/>
        <v>0</v>
      </c>
      <c r="I332" s="1">
        <v>0</v>
      </c>
      <c r="J332" s="1">
        <v>0</v>
      </c>
      <c r="K332" s="1">
        <v>0</v>
      </c>
      <c r="L332" s="1">
        <v>0</v>
      </c>
      <c r="M332" s="18">
        <v>0</v>
      </c>
      <c r="N332" s="84">
        <v>0</v>
      </c>
      <c r="O332" s="84">
        <v>0</v>
      </c>
      <c r="P332" s="84">
        <v>0</v>
      </c>
      <c r="Q332" s="84">
        <v>0</v>
      </c>
      <c r="R332" s="293">
        <v>0</v>
      </c>
      <c r="S332" s="293">
        <v>0</v>
      </c>
      <c r="T332" s="386">
        <v>0</v>
      </c>
      <c r="U332" s="345" t="str">
        <f t="shared" si="154"/>
        <v>Normal</v>
      </c>
      <c r="V332" s="345" t="str">
        <f t="shared" si="155"/>
        <v>Normal</v>
      </c>
      <c r="W332" s="345">
        <f t="shared" si="156"/>
        <v>0</v>
      </c>
      <c r="X332" s="416">
        <f t="shared" si="157"/>
        <v>0</v>
      </c>
      <c r="Y332" s="340"/>
      <c r="Z332" s="340"/>
      <c r="AA332" s="340"/>
      <c r="AB332" s="340"/>
      <c r="AC332" s="338"/>
      <c r="AD332" s="338"/>
      <c r="AE332" s="338"/>
      <c r="AF332" s="338"/>
      <c r="AG332" s="338"/>
      <c r="AH332" s="338"/>
      <c r="AI332" s="338"/>
    </row>
    <row r="333" spans="1:35">
      <c r="A333" s="21">
        <v>45348</v>
      </c>
      <c r="B333" s="17">
        <f>IF(YEAR(Table7[[#This Row],[Date]]) = 2023, WEEKNUM(Table7[[#This Row],[Date]])-13, WEEKNUM(Table7[[#This Row],[Date]])+40)</f>
        <v>49</v>
      </c>
      <c r="C333" s="34" t="s">
        <v>49</v>
      </c>
      <c r="D333" s="35" t="s">
        <v>94</v>
      </c>
      <c r="E333" s="42">
        <v>419</v>
      </c>
      <c r="F333" s="42">
        <v>389</v>
      </c>
      <c r="G333" s="64">
        <f t="shared" si="161"/>
        <v>-4.7505938242280287E-3</v>
      </c>
      <c r="H333" s="64">
        <f t="shared" si="161"/>
        <v>-2.2613065326633167E-2</v>
      </c>
      <c r="I333" s="1"/>
      <c r="J333" s="1"/>
      <c r="K333" s="1"/>
      <c r="L333" s="1"/>
      <c r="M333" s="18">
        <v>0.8</v>
      </c>
      <c r="N333" s="84">
        <v>7.0000000000000007E-2</v>
      </c>
      <c r="O333" s="84">
        <v>0.93</v>
      </c>
      <c r="P333" s="84">
        <v>0.7</v>
      </c>
      <c r="Q333" s="84">
        <v>1</v>
      </c>
      <c r="R333" s="293">
        <v>195</v>
      </c>
      <c r="S333" s="293">
        <v>0</v>
      </c>
      <c r="T333" s="386">
        <v>4</v>
      </c>
      <c r="U333" s="345" t="str">
        <f t="shared" si="154"/>
        <v>Normal</v>
      </c>
      <c r="V333" s="345" t="str">
        <f t="shared" si="155"/>
        <v>Normal</v>
      </c>
      <c r="W333" s="345">
        <f t="shared" si="156"/>
        <v>-4.7505938242280287E-3</v>
      </c>
      <c r="X333" s="416">
        <f t="shared" si="157"/>
        <v>-2.2613065326633167E-2</v>
      </c>
      <c r="Y333" s="340"/>
      <c r="Z333" s="340"/>
      <c r="AA333" s="340"/>
      <c r="AB333" s="340"/>
      <c r="AC333" s="338"/>
      <c r="AD333" s="338"/>
      <c r="AE333" s="338"/>
      <c r="AF333" s="338"/>
      <c r="AG333" s="338"/>
      <c r="AH333" s="338"/>
      <c r="AI333" s="338"/>
    </row>
    <row r="334" spans="1:35">
      <c r="A334" s="21">
        <v>45349</v>
      </c>
      <c r="B334" s="17">
        <f>IF(YEAR(Table7[[#This Row],[Date]]) = 2023, WEEKNUM(Table7[[#This Row],[Date]])-13, WEEKNUM(Table7[[#This Row],[Date]])+40)</f>
        <v>49</v>
      </c>
      <c r="C334" s="33" t="s">
        <v>50</v>
      </c>
      <c r="D334" s="35" t="s">
        <v>94</v>
      </c>
      <c r="E334" s="42">
        <v>306</v>
      </c>
      <c r="F334" s="42">
        <v>294</v>
      </c>
      <c r="G334" s="64">
        <f t="shared" ref="G334:H334" si="162">IFERROR((E334-E327)/E327,0%)</f>
        <v>-0.11046511627906977</v>
      </c>
      <c r="H334" s="64">
        <f t="shared" si="162"/>
        <v>-8.9783281733746126E-2</v>
      </c>
      <c r="I334" s="1"/>
      <c r="J334" s="1"/>
      <c r="K334" s="1"/>
      <c r="L334" s="1"/>
      <c r="M334" s="18">
        <v>0.88</v>
      </c>
      <c r="N334" s="84">
        <v>0.04</v>
      </c>
      <c r="O334" s="84">
        <v>0.96</v>
      </c>
      <c r="P334" s="84">
        <v>0.54</v>
      </c>
      <c r="Q334" s="84">
        <v>1</v>
      </c>
      <c r="R334" s="293">
        <v>200</v>
      </c>
      <c r="S334" s="293">
        <v>0</v>
      </c>
      <c r="T334" s="386">
        <v>4</v>
      </c>
      <c r="U334" s="345" t="str">
        <f t="shared" si="154"/>
        <v>Normal</v>
      </c>
      <c r="V334" s="345" t="str">
        <f t="shared" si="155"/>
        <v>Normal</v>
      </c>
      <c r="W334" s="345">
        <f t="shared" si="156"/>
        <v>-0.11046511627906977</v>
      </c>
      <c r="X334" s="416">
        <f t="shared" si="157"/>
        <v>-8.9783281733746126E-2</v>
      </c>
      <c r="Y334" s="340"/>
      <c r="Z334" s="340"/>
      <c r="AA334" s="340"/>
      <c r="AB334" s="340"/>
      <c r="AC334" s="338"/>
      <c r="AD334" s="338"/>
      <c r="AE334" s="338"/>
      <c r="AF334" s="338"/>
      <c r="AG334" s="338"/>
      <c r="AH334" s="338"/>
      <c r="AI334" s="338"/>
    </row>
    <row r="335" spans="1:35">
      <c r="A335" s="21">
        <v>45350</v>
      </c>
      <c r="B335" s="17">
        <f>IF(YEAR(Table7[[#This Row],[Date]]) = 2023, WEEKNUM(Table7[[#This Row],[Date]])-13, WEEKNUM(Table7[[#This Row],[Date]])+40)</f>
        <v>49</v>
      </c>
      <c r="C335" s="34" t="s">
        <v>51</v>
      </c>
      <c r="D335" s="35" t="s">
        <v>94</v>
      </c>
      <c r="E335" s="42">
        <v>415</v>
      </c>
      <c r="F335" s="42">
        <v>389</v>
      </c>
      <c r="G335" s="64">
        <f t="shared" ref="G335:H337" si="163">IFERROR((E335-E328)/E328,0%)</f>
        <v>0.13698630136986301</v>
      </c>
      <c r="H335" s="64">
        <f t="shared" si="163"/>
        <v>0.11781609195402298</v>
      </c>
      <c r="I335" s="1"/>
      <c r="J335" s="1"/>
      <c r="K335" s="1"/>
      <c r="L335" s="1"/>
      <c r="M335" s="18">
        <v>0.85</v>
      </c>
      <c r="N335" s="84">
        <v>0.06</v>
      </c>
      <c r="O335" s="84">
        <v>0.94</v>
      </c>
      <c r="P335" s="84">
        <v>0.74</v>
      </c>
      <c r="Q335" s="84">
        <v>1</v>
      </c>
      <c r="R335" s="293">
        <v>214</v>
      </c>
      <c r="S335" s="293">
        <v>0</v>
      </c>
      <c r="T335" s="386">
        <v>4</v>
      </c>
      <c r="U335" s="345" t="str">
        <f t="shared" si="154"/>
        <v>Normal</v>
      </c>
      <c r="V335" s="345" t="str">
        <f t="shared" si="155"/>
        <v>Normal</v>
      </c>
      <c r="W335" s="345">
        <f t="shared" si="156"/>
        <v>0.13698630136986301</v>
      </c>
      <c r="X335" s="416">
        <f t="shared" si="157"/>
        <v>0.11781609195402298</v>
      </c>
      <c r="Y335" s="340"/>
      <c r="Z335" s="340"/>
      <c r="AA335" s="340"/>
      <c r="AB335" s="340"/>
      <c r="AC335" s="338"/>
      <c r="AD335" s="338"/>
      <c r="AE335" s="338"/>
      <c r="AF335" s="338"/>
      <c r="AG335" s="338"/>
      <c r="AH335" s="338"/>
      <c r="AI335" s="338"/>
    </row>
    <row r="336" spans="1:35">
      <c r="A336" s="21">
        <v>45351</v>
      </c>
      <c r="B336" s="17">
        <f>IF(YEAR(Table7[[#This Row],[Date]]) = 2023, WEEKNUM(Table7[[#This Row],[Date]])-13, WEEKNUM(Table7[[#This Row],[Date]])+40)</f>
        <v>49</v>
      </c>
      <c r="C336" s="35" t="s">
        <v>52</v>
      </c>
      <c r="D336" s="35" t="s">
        <v>94</v>
      </c>
      <c r="E336" s="31">
        <v>451</v>
      </c>
      <c r="F336" s="31">
        <v>436</v>
      </c>
      <c r="G336" s="64">
        <f t="shared" si="163"/>
        <v>1.46448087431694</v>
      </c>
      <c r="H336" s="64">
        <f t="shared" si="163"/>
        <v>1.449438202247191</v>
      </c>
      <c r="I336" s="1"/>
      <c r="J336" s="1"/>
      <c r="K336" s="1"/>
      <c r="L336" s="1"/>
      <c r="M336" s="36">
        <v>0.85</v>
      </c>
      <c r="N336" s="36">
        <v>0.03</v>
      </c>
      <c r="O336" s="36">
        <v>0.97</v>
      </c>
      <c r="P336" s="36">
        <v>0.8</v>
      </c>
      <c r="Q336" s="36">
        <v>1</v>
      </c>
      <c r="R336" s="293">
        <v>200</v>
      </c>
      <c r="S336" s="293">
        <v>0</v>
      </c>
      <c r="T336" s="386">
        <v>4</v>
      </c>
      <c r="U336" s="345" t="str">
        <f t="shared" si="154"/>
        <v>Normal</v>
      </c>
      <c r="V336" s="345" t="str">
        <f t="shared" si="155"/>
        <v>Normal</v>
      </c>
      <c r="W336" s="345">
        <f t="shared" si="156"/>
        <v>1.46448087431694</v>
      </c>
      <c r="X336" s="416">
        <f t="shared" si="157"/>
        <v>1.449438202247191</v>
      </c>
      <c r="Y336" s="340"/>
      <c r="Z336" s="340"/>
      <c r="AA336" s="340"/>
      <c r="AB336" s="340"/>
      <c r="AC336" s="338"/>
      <c r="AD336" s="338"/>
      <c r="AE336" s="338"/>
      <c r="AF336" s="338"/>
      <c r="AG336" s="338"/>
      <c r="AH336" s="338"/>
      <c r="AI336" s="338"/>
    </row>
    <row r="337" spans="1:35">
      <c r="A337" s="21">
        <v>45352</v>
      </c>
      <c r="B337" s="17">
        <f>IF(YEAR(Table7[[#This Row],[Date]]) = 2023, WEEKNUM(Table7[[#This Row],[Date]])-13, WEEKNUM(Table7[[#This Row],[Date]])+40)</f>
        <v>49</v>
      </c>
      <c r="C337" s="34" t="s">
        <v>53</v>
      </c>
      <c r="D337" s="35" t="s">
        <v>94</v>
      </c>
      <c r="E337" s="42">
        <v>408</v>
      </c>
      <c r="F337" s="42">
        <v>387</v>
      </c>
      <c r="G337" s="64">
        <f t="shared" si="163"/>
        <v>-4.449648711943794E-2</v>
      </c>
      <c r="H337" s="64">
        <f t="shared" si="163"/>
        <v>-5.1470588235294115E-2</v>
      </c>
      <c r="I337" s="1"/>
      <c r="J337" s="1"/>
      <c r="K337" s="1"/>
      <c r="L337" s="1"/>
      <c r="M337" s="18">
        <v>0.84</v>
      </c>
      <c r="N337" s="84">
        <v>0.05</v>
      </c>
      <c r="O337" s="84">
        <v>0.95</v>
      </c>
      <c r="P337" s="84">
        <v>0.7</v>
      </c>
      <c r="Q337" s="84">
        <v>1</v>
      </c>
      <c r="R337" s="293">
        <v>195</v>
      </c>
      <c r="S337" s="293">
        <v>0</v>
      </c>
      <c r="T337" s="386">
        <v>4</v>
      </c>
      <c r="U337" s="345" t="str">
        <f t="shared" si="154"/>
        <v>Normal</v>
      </c>
      <c r="V337" s="345" t="str">
        <f t="shared" si="155"/>
        <v>Normal</v>
      </c>
      <c r="W337" s="345">
        <f t="shared" si="156"/>
        <v>-4.449648711943794E-2</v>
      </c>
      <c r="X337" s="416">
        <f t="shared" si="157"/>
        <v>-5.1470588235294115E-2</v>
      </c>
      <c r="Y337" s="340"/>
      <c r="Z337" s="340"/>
      <c r="AA337" s="340"/>
      <c r="AB337" s="340"/>
      <c r="AC337" s="338"/>
      <c r="AD337" s="338"/>
      <c r="AE337" s="338"/>
      <c r="AF337" s="338"/>
      <c r="AG337" s="338"/>
      <c r="AH337" s="338"/>
      <c r="AI337" s="338"/>
    </row>
    <row r="338" spans="1:35">
      <c r="A338" s="21">
        <v>45353</v>
      </c>
      <c r="B338" s="17">
        <f>IF(YEAR(Table7[[#This Row],[Date]]) = 2023, WEEKNUM(Table7[[#This Row],[Date]])-13, WEEKNUM(Table7[[#This Row],[Date]])+40)</f>
        <v>49</v>
      </c>
      <c r="C338" s="33" t="s">
        <v>54</v>
      </c>
      <c r="D338" s="35" t="s">
        <v>94</v>
      </c>
      <c r="E338" s="42">
        <v>242</v>
      </c>
      <c r="F338" s="42">
        <v>228</v>
      </c>
      <c r="G338" s="64">
        <f t="shared" ref="G338:H338" si="164">IFERROR((E338-E331)/E331,0%)</f>
        <v>0.66896551724137931</v>
      </c>
      <c r="H338" s="64">
        <f t="shared" si="164"/>
        <v>0.65217391304347827</v>
      </c>
      <c r="I338" s="1"/>
      <c r="J338" s="1"/>
      <c r="K338" s="1"/>
      <c r="L338" s="1"/>
      <c r="M338" s="18">
        <v>0.84</v>
      </c>
      <c r="N338" s="84">
        <v>0.06</v>
      </c>
      <c r="O338" s="84">
        <v>0.97</v>
      </c>
      <c r="P338" s="84">
        <v>0.97</v>
      </c>
      <c r="Q338" s="84">
        <v>1</v>
      </c>
      <c r="R338" s="293">
        <v>204</v>
      </c>
      <c r="S338" s="293">
        <v>0</v>
      </c>
      <c r="T338" s="386">
        <v>3</v>
      </c>
      <c r="U338" s="345" t="str">
        <f t="shared" si="154"/>
        <v>Normal</v>
      </c>
      <c r="V338" s="345" t="str">
        <f t="shared" si="155"/>
        <v>Normal</v>
      </c>
      <c r="W338" s="345">
        <f t="shared" si="156"/>
        <v>0.66896551724137931</v>
      </c>
      <c r="X338" s="416">
        <f t="shared" si="157"/>
        <v>0.65217391304347827</v>
      </c>
      <c r="Y338" s="340"/>
      <c r="Z338" s="340"/>
      <c r="AA338" s="340"/>
      <c r="AB338" s="340"/>
      <c r="AC338" s="338"/>
      <c r="AD338" s="338"/>
      <c r="AE338" s="338"/>
      <c r="AF338" s="338"/>
      <c r="AG338" s="338"/>
      <c r="AH338" s="338"/>
      <c r="AI338" s="338"/>
    </row>
    <row r="339" spans="1:35">
      <c r="A339" s="21">
        <v>45354</v>
      </c>
      <c r="B339" s="17">
        <f>IF(YEAR(Table7[[#This Row],[Date]]) = 2023, WEEKNUM(Table7[[#This Row],[Date]])-13, WEEKNUM(Table7[[#This Row],[Date]])+40)</f>
        <v>50</v>
      </c>
      <c r="C339" s="34" t="s">
        <v>48</v>
      </c>
      <c r="D339" s="35" t="s">
        <v>94</v>
      </c>
      <c r="E339" s="42">
        <v>0</v>
      </c>
      <c r="F339" s="42">
        <v>0</v>
      </c>
      <c r="G339" s="64">
        <f t="shared" ref="G339:H341" si="165">IFERROR((E339-E332)/E332,0%)</f>
        <v>0</v>
      </c>
      <c r="H339" s="64">
        <f t="shared" si="165"/>
        <v>0</v>
      </c>
      <c r="I339" s="1">
        <v>0</v>
      </c>
      <c r="J339" s="1">
        <v>0</v>
      </c>
      <c r="K339" s="1">
        <v>0</v>
      </c>
      <c r="L339" s="1">
        <v>0</v>
      </c>
      <c r="M339" s="18">
        <v>0</v>
      </c>
      <c r="N339" s="84">
        <v>0</v>
      </c>
      <c r="O339" s="84">
        <v>0</v>
      </c>
      <c r="P339" s="84">
        <v>0</v>
      </c>
      <c r="Q339" s="84">
        <v>0</v>
      </c>
      <c r="R339" s="293">
        <v>0</v>
      </c>
      <c r="S339" s="293">
        <v>0</v>
      </c>
      <c r="T339" s="386">
        <v>0</v>
      </c>
      <c r="U339" s="345" t="str">
        <f t="shared" si="154"/>
        <v>Normal</v>
      </c>
      <c r="V339" s="345" t="str">
        <f t="shared" si="155"/>
        <v>Normal</v>
      </c>
      <c r="W339" s="345">
        <f t="shared" si="156"/>
        <v>0</v>
      </c>
      <c r="X339" s="416">
        <f t="shared" si="157"/>
        <v>0</v>
      </c>
      <c r="Y339" s="340"/>
      <c r="Z339" s="340"/>
      <c r="AA339" s="340"/>
      <c r="AB339" s="340"/>
      <c r="AC339" s="338"/>
      <c r="AD339" s="338"/>
      <c r="AE339" s="338"/>
      <c r="AF339" s="338"/>
      <c r="AG339" s="338"/>
      <c r="AH339" s="338"/>
      <c r="AI339" s="338"/>
    </row>
    <row r="340" spans="1:35">
      <c r="A340" s="21">
        <v>45355</v>
      </c>
      <c r="B340" s="17">
        <f>IF(YEAR(Table7[[#This Row],[Date]]) = 2023, WEEKNUM(Table7[[#This Row],[Date]])-13, WEEKNUM(Table7[[#This Row],[Date]])+40)</f>
        <v>50</v>
      </c>
      <c r="C340" s="33" t="s">
        <v>49</v>
      </c>
      <c r="D340" s="35" t="s">
        <v>94</v>
      </c>
      <c r="E340" s="42">
        <v>451</v>
      </c>
      <c r="F340" s="42">
        <v>422</v>
      </c>
      <c r="G340" s="64">
        <f t="shared" si="165"/>
        <v>7.6372315035799526E-2</v>
      </c>
      <c r="H340" s="64">
        <f t="shared" si="165"/>
        <v>8.4832904884318772E-2</v>
      </c>
      <c r="I340" s="1"/>
      <c r="J340" s="1"/>
      <c r="K340" s="1"/>
      <c r="L340" s="1"/>
      <c r="M340" s="18">
        <v>0.82</v>
      </c>
      <c r="N340" s="84">
        <v>0.06</v>
      </c>
      <c r="O340" s="84">
        <v>0.94</v>
      </c>
      <c r="P340" s="84">
        <v>0.8</v>
      </c>
      <c r="Q340" s="84">
        <v>1</v>
      </c>
      <c r="R340" s="293">
        <v>209</v>
      </c>
      <c r="S340" s="293">
        <v>0</v>
      </c>
      <c r="T340" s="386">
        <v>4</v>
      </c>
      <c r="U340" s="345" t="str">
        <f t="shared" si="154"/>
        <v>Normal</v>
      </c>
      <c r="V340" s="345" t="str">
        <f t="shared" si="155"/>
        <v>Normal</v>
      </c>
      <c r="W340" s="345">
        <f t="shared" si="156"/>
        <v>7.6372315035799526E-2</v>
      </c>
      <c r="X340" s="416">
        <f t="shared" si="157"/>
        <v>8.4832904884318772E-2</v>
      </c>
      <c r="Y340" s="340"/>
      <c r="Z340" s="340"/>
      <c r="AA340" s="340"/>
      <c r="AB340" s="340"/>
      <c r="AC340" s="338"/>
      <c r="AD340" s="338"/>
      <c r="AE340" s="338"/>
      <c r="AF340" s="338"/>
      <c r="AG340" s="338"/>
      <c r="AH340" s="338"/>
      <c r="AI340" s="338"/>
    </row>
    <row r="341" spans="1:35">
      <c r="A341" s="21">
        <v>45356</v>
      </c>
      <c r="B341" s="17">
        <f>IF(YEAR(Table7[[#This Row],[Date]]) = 2023, WEEKNUM(Table7[[#This Row],[Date]])-13, WEEKNUM(Table7[[#This Row],[Date]])+40)</f>
        <v>50</v>
      </c>
      <c r="C341" s="34" t="s">
        <v>50</v>
      </c>
      <c r="D341" s="35" t="s">
        <v>94</v>
      </c>
      <c r="E341" s="42">
        <v>422</v>
      </c>
      <c r="F341" s="42">
        <v>396</v>
      </c>
      <c r="G341" s="64">
        <f t="shared" si="165"/>
        <v>0.37908496732026142</v>
      </c>
      <c r="H341" s="64">
        <f t="shared" si="165"/>
        <v>0.34693877551020408</v>
      </c>
      <c r="I341" s="1"/>
      <c r="J341" s="1"/>
      <c r="K341" s="1"/>
      <c r="L341" s="1"/>
      <c r="M341" s="18">
        <v>0.82</v>
      </c>
      <c r="N341" s="84">
        <v>0.06</v>
      </c>
      <c r="O341" s="84">
        <v>0.94</v>
      </c>
      <c r="P341" s="84">
        <v>0.74</v>
      </c>
      <c r="Q341" s="84">
        <v>1</v>
      </c>
      <c r="R341" s="293">
        <v>207</v>
      </c>
      <c r="S341" s="293">
        <v>0</v>
      </c>
      <c r="T341" s="386">
        <v>4</v>
      </c>
      <c r="U341" s="345" t="str">
        <f t="shared" si="154"/>
        <v>Normal</v>
      </c>
      <c r="V341" s="345" t="str">
        <f t="shared" si="155"/>
        <v>Normal</v>
      </c>
      <c r="W341" s="345">
        <f t="shared" si="156"/>
        <v>0.37908496732026142</v>
      </c>
      <c r="X341" s="416">
        <f t="shared" si="157"/>
        <v>0.34693877551020408</v>
      </c>
      <c r="Y341" s="340"/>
      <c r="Z341" s="340"/>
      <c r="AA341" s="340"/>
      <c r="AB341" s="340"/>
      <c r="AC341" s="338"/>
      <c r="AD341" s="338"/>
      <c r="AE341" s="338"/>
      <c r="AF341" s="338"/>
      <c r="AG341" s="338"/>
      <c r="AH341" s="338"/>
      <c r="AI341" s="338"/>
    </row>
    <row r="342" spans="1:35">
      <c r="A342" s="21">
        <v>45357</v>
      </c>
      <c r="B342" s="17">
        <f>IF(YEAR(Table7[[#This Row],[Date]]) = 2023, WEEKNUM(Table7[[#This Row],[Date]])-13, WEEKNUM(Table7[[#This Row],[Date]])+40)</f>
        <v>50</v>
      </c>
      <c r="C342" s="35" t="s">
        <v>51</v>
      </c>
      <c r="D342" s="35" t="s">
        <v>94</v>
      </c>
      <c r="E342" s="31">
        <v>353</v>
      </c>
      <c r="F342" s="31">
        <v>334</v>
      </c>
      <c r="G342" s="64">
        <f t="shared" ref="G342:H342" si="166">IFERROR((E342-E335)/E335,0%)</f>
        <v>-0.14939759036144579</v>
      </c>
      <c r="H342" s="64">
        <f t="shared" si="166"/>
        <v>-0.14138817480719795</v>
      </c>
      <c r="I342" s="1"/>
      <c r="J342" s="1"/>
      <c r="K342" s="1"/>
      <c r="L342" s="1"/>
      <c r="M342" s="36">
        <v>0.84</v>
      </c>
      <c r="N342" s="36">
        <v>0.05</v>
      </c>
      <c r="O342" s="36">
        <v>0.95</v>
      </c>
      <c r="P342" s="36">
        <v>0.64</v>
      </c>
      <c r="Q342" s="36">
        <v>1</v>
      </c>
      <c r="R342" s="293">
        <v>212</v>
      </c>
      <c r="S342" s="293">
        <v>0</v>
      </c>
      <c r="T342" s="386">
        <v>4</v>
      </c>
      <c r="U342" s="345" t="str">
        <f t="shared" si="154"/>
        <v>Normal</v>
      </c>
      <c r="V342" s="345" t="str">
        <f t="shared" si="155"/>
        <v>Normal</v>
      </c>
      <c r="W342" s="345">
        <f t="shared" si="156"/>
        <v>-0.14939759036144579</v>
      </c>
      <c r="X342" s="416">
        <f t="shared" si="157"/>
        <v>-0.14138817480719795</v>
      </c>
      <c r="Y342" s="340"/>
      <c r="Z342" s="340"/>
      <c r="AA342" s="340"/>
      <c r="AB342" s="340"/>
      <c r="AC342" s="338"/>
      <c r="AD342" s="338"/>
      <c r="AE342" s="338"/>
      <c r="AF342" s="338"/>
      <c r="AG342" s="338"/>
      <c r="AH342" s="338"/>
      <c r="AI342" s="338"/>
    </row>
    <row r="343" spans="1:35">
      <c r="A343" s="21">
        <v>45358</v>
      </c>
      <c r="B343" s="17">
        <f>IF(YEAR(Table7[[#This Row],[Date]]) = 2023, WEEKNUM(Table7[[#This Row],[Date]])-13, WEEKNUM(Table7[[#This Row],[Date]])+40)</f>
        <v>50</v>
      </c>
      <c r="C343" s="34" t="s">
        <v>52</v>
      </c>
      <c r="D343" s="35" t="s">
        <v>94</v>
      </c>
      <c r="E343" s="42">
        <v>357</v>
      </c>
      <c r="F343" s="42">
        <v>333</v>
      </c>
      <c r="G343" s="64">
        <f t="shared" ref="G343:H345" si="167">IFERROR((E343-E336)/E336,0%)</f>
        <v>-0.20842572062084258</v>
      </c>
      <c r="H343" s="64">
        <f t="shared" si="167"/>
        <v>-0.23623853211009174</v>
      </c>
      <c r="I343" s="1"/>
      <c r="J343" s="1"/>
      <c r="K343" s="1"/>
      <c r="L343" s="1"/>
      <c r="M343" s="18">
        <v>0.86</v>
      </c>
      <c r="N343" s="84">
        <v>7.0000000000000007E-2</v>
      </c>
      <c r="O343" s="84">
        <v>0.93</v>
      </c>
      <c r="P343" s="84">
        <v>0.6</v>
      </c>
      <c r="Q343" s="84">
        <v>1</v>
      </c>
      <c r="R343" s="293">
        <v>193</v>
      </c>
      <c r="S343" s="293">
        <v>0</v>
      </c>
      <c r="T343" s="386">
        <v>4</v>
      </c>
      <c r="U343" s="345" t="str">
        <f t="shared" si="154"/>
        <v>Normal</v>
      </c>
      <c r="V343" s="345" t="str">
        <f t="shared" si="155"/>
        <v>Normal</v>
      </c>
      <c r="W343" s="345">
        <f t="shared" si="156"/>
        <v>-0.20842572062084258</v>
      </c>
      <c r="X343" s="416">
        <f t="shared" si="157"/>
        <v>-0.23623853211009174</v>
      </c>
      <c r="Y343" s="340"/>
      <c r="Z343" s="340"/>
      <c r="AA343" s="340"/>
      <c r="AB343" s="340"/>
      <c r="AC343" s="338"/>
      <c r="AD343" s="338"/>
      <c r="AE343" s="338"/>
      <c r="AF343" s="338"/>
      <c r="AG343" s="338"/>
      <c r="AH343" s="338"/>
      <c r="AI343" s="338"/>
    </row>
    <row r="344" spans="1:35">
      <c r="A344" s="21">
        <v>45359</v>
      </c>
      <c r="B344" s="17">
        <f>IF(YEAR(Table7[[#This Row],[Date]]) = 2023, WEEKNUM(Table7[[#This Row],[Date]])-13, WEEKNUM(Table7[[#This Row],[Date]])+40)</f>
        <v>50</v>
      </c>
      <c r="C344" s="33" t="s">
        <v>53</v>
      </c>
      <c r="D344" s="35" t="s">
        <v>94</v>
      </c>
      <c r="E344" s="42">
        <v>321</v>
      </c>
      <c r="F344" s="42">
        <v>312</v>
      </c>
      <c r="G344" s="64">
        <f t="shared" si="167"/>
        <v>-0.21323529411764705</v>
      </c>
      <c r="H344" s="64">
        <f t="shared" si="167"/>
        <v>-0.19379844961240311</v>
      </c>
      <c r="I344" s="1"/>
      <c r="J344" s="1"/>
      <c r="K344" s="1"/>
      <c r="L344" s="1"/>
      <c r="M344" s="18">
        <v>0.9</v>
      </c>
      <c r="N344" s="84">
        <v>0.03</v>
      </c>
      <c r="O344" s="84">
        <v>0.97</v>
      </c>
      <c r="P344" s="84">
        <v>0.56999999999999995</v>
      </c>
      <c r="Q344" s="84">
        <v>1</v>
      </c>
      <c r="R344" s="293">
        <v>200</v>
      </c>
      <c r="S344" s="293">
        <v>0</v>
      </c>
      <c r="T344" s="386">
        <v>4</v>
      </c>
      <c r="U344" s="345" t="str">
        <f t="shared" si="154"/>
        <v>Normal</v>
      </c>
      <c r="V344" s="345" t="str">
        <f t="shared" si="155"/>
        <v>Normal</v>
      </c>
      <c r="W344" s="345">
        <f t="shared" si="156"/>
        <v>-0.21323529411764705</v>
      </c>
      <c r="X344" s="416">
        <f t="shared" si="157"/>
        <v>-0.19379844961240311</v>
      </c>
      <c r="Y344" s="340"/>
      <c r="Z344" s="340"/>
      <c r="AA344" s="340"/>
      <c r="AB344" s="340"/>
      <c r="AC344" s="338"/>
      <c r="AD344" s="338"/>
      <c r="AE344" s="338"/>
      <c r="AF344" s="338"/>
      <c r="AG344" s="338"/>
      <c r="AH344" s="338"/>
      <c r="AI344" s="338"/>
    </row>
    <row r="345" spans="1:35">
      <c r="A345" s="21">
        <v>45360</v>
      </c>
      <c r="B345" s="17">
        <f>IF(YEAR(Table7[[#This Row],[Date]]) = 2023, WEEKNUM(Table7[[#This Row],[Date]])-13, WEEKNUM(Table7[[#This Row],[Date]])+40)</f>
        <v>50</v>
      </c>
      <c r="C345" s="34" t="s">
        <v>54</v>
      </c>
      <c r="D345" s="35" t="s">
        <v>94</v>
      </c>
      <c r="E345" s="42">
        <v>99</v>
      </c>
      <c r="F345" s="42">
        <v>97</v>
      </c>
      <c r="G345" s="64">
        <f t="shared" si="167"/>
        <v>-0.59090909090909094</v>
      </c>
      <c r="H345" s="64">
        <f t="shared" si="167"/>
        <v>-0.57456140350877194</v>
      </c>
      <c r="I345" s="1"/>
      <c r="J345" s="1"/>
      <c r="K345" s="1"/>
      <c r="L345" s="1"/>
      <c r="M345" s="18">
        <v>0.94</v>
      </c>
      <c r="N345" s="84">
        <v>0.02</v>
      </c>
      <c r="O345" s="84">
        <v>0.98</v>
      </c>
      <c r="P345" s="84">
        <v>0.28000000000000003</v>
      </c>
      <c r="Q345" s="84">
        <v>1</v>
      </c>
      <c r="R345" s="293">
        <v>200</v>
      </c>
      <c r="S345" s="293">
        <v>0</v>
      </c>
      <c r="T345" s="386">
        <v>4</v>
      </c>
      <c r="U345" s="345" t="str">
        <f t="shared" si="154"/>
        <v>Normal</v>
      </c>
      <c r="V345" s="345" t="str">
        <f t="shared" si="155"/>
        <v>Normal</v>
      </c>
      <c r="W345" s="345">
        <f t="shared" si="156"/>
        <v>-0.59090909090909094</v>
      </c>
      <c r="X345" s="416">
        <f t="shared" si="157"/>
        <v>-0.57456140350877194</v>
      </c>
      <c r="Y345" s="340"/>
      <c r="Z345" s="340"/>
      <c r="AA345" s="340"/>
      <c r="AB345" s="340"/>
      <c r="AC345" s="338"/>
      <c r="AD345" s="338"/>
      <c r="AE345" s="338"/>
      <c r="AF345" s="338"/>
      <c r="AG345" s="338"/>
      <c r="AH345" s="338"/>
      <c r="AI345" s="338"/>
    </row>
    <row r="346" spans="1:35">
      <c r="A346" s="21">
        <v>45361</v>
      </c>
      <c r="B346" s="17">
        <f>IF(YEAR(Table7[[#This Row],[Date]]) = 2023, WEEKNUM(Table7[[#This Row],[Date]])-13, WEEKNUM(Table7[[#This Row],[Date]])+40)</f>
        <v>51</v>
      </c>
      <c r="C346" s="33" t="s">
        <v>48</v>
      </c>
      <c r="D346" s="35" t="s">
        <v>94</v>
      </c>
      <c r="E346" s="42">
        <v>0</v>
      </c>
      <c r="F346" s="42">
        <v>0</v>
      </c>
      <c r="G346" s="64">
        <f t="shared" ref="G346:H346" si="168">IFERROR((E346-E339)/E339,0%)</f>
        <v>0</v>
      </c>
      <c r="H346" s="64">
        <f t="shared" si="168"/>
        <v>0</v>
      </c>
      <c r="I346" s="1">
        <v>0</v>
      </c>
      <c r="J346" s="1">
        <v>0</v>
      </c>
      <c r="K346" s="1">
        <v>0</v>
      </c>
      <c r="L346" s="1">
        <v>0</v>
      </c>
      <c r="M346" s="18">
        <v>0</v>
      </c>
      <c r="N346" s="84">
        <v>0</v>
      </c>
      <c r="O346" s="84">
        <v>0</v>
      </c>
      <c r="P346" s="84">
        <v>0</v>
      </c>
      <c r="Q346" s="84">
        <v>0</v>
      </c>
      <c r="R346" s="293">
        <v>0</v>
      </c>
      <c r="S346" s="293">
        <v>0</v>
      </c>
      <c r="T346" s="386">
        <v>0</v>
      </c>
      <c r="U346" s="345" t="str">
        <f t="shared" si="154"/>
        <v>Normal</v>
      </c>
      <c r="V346" s="345" t="str">
        <f t="shared" si="155"/>
        <v>Normal</v>
      </c>
      <c r="W346" s="345">
        <f t="shared" si="156"/>
        <v>0</v>
      </c>
      <c r="X346" s="416">
        <f t="shared" si="157"/>
        <v>0</v>
      </c>
      <c r="Y346" s="340"/>
      <c r="Z346" s="340"/>
      <c r="AA346" s="340"/>
      <c r="AB346" s="340"/>
      <c r="AC346" s="338"/>
      <c r="AD346" s="338"/>
      <c r="AE346" s="338"/>
      <c r="AF346" s="338"/>
      <c r="AG346" s="338"/>
      <c r="AH346" s="338"/>
      <c r="AI346" s="338"/>
    </row>
    <row r="347" spans="1:35">
      <c r="A347" s="21">
        <v>45362</v>
      </c>
      <c r="B347" s="17">
        <f>IF(YEAR(Table7[[#This Row],[Date]]) = 2023, WEEKNUM(Table7[[#This Row],[Date]])-13, WEEKNUM(Table7[[#This Row],[Date]])+40)</f>
        <v>51</v>
      </c>
      <c r="C347" s="34" t="s">
        <v>49</v>
      </c>
      <c r="D347" s="35" t="s">
        <v>94</v>
      </c>
      <c r="E347" s="42">
        <v>462</v>
      </c>
      <c r="F347" s="42">
        <v>417</v>
      </c>
      <c r="G347" s="64">
        <f t="shared" ref="G347:H349" si="169">IFERROR((E347-E340)/E340,0%)</f>
        <v>2.4390243902439025E-2</v>
      </c>
      <c r="H347" s="64">
        <f t="shared" si="169"/>
        <v>-1.1848341232227487E-2</v>
      </c>
      <c r="I347" s="1"/>
      <c r="J347" s="1"/>
      <c r="K347" s="1"/>
      <c r="L347" s="1"/>
      <c r="M347" s="18">
        <v>0.73</v>
      </c>
      <c r="N347" s="84">
        <v>0.1</v>
      </c>
      <c r="O347" s="84">
        <v>0.9</v>
      </c>
      <c r="P347" s="84">
        <v>0.75</v>
      </c>
      <c r="Q347" s="84">
        <v>1</v>
      </c>
      <c r="R347" s="293">
        <v>195</v>
      </c>
      <c r="S347" s="293">
        <v>0</v>
      </c>
      <c r="T347" s="386">
        <v>4</v>
      </c>
      <c r="U347" s="345" t="str">
        <f t="shared" si="154"/>
        <v>Normal</v>
      </c>
      <c r="V347" s="345" t="str">
        <f t="shared" si="155"/>
        <v>Normal</v>
      </c>
      <c r="W347" s="345">
        <f t="shared" si="156"/>
        <v>2.4390243902439025E-2</v>
      </c>
      <c r="X347" s="416">
        <f t="shared" si="157"/>
        <v>-1.1848341232227487E-2</v>
      </c>
      <c r="Y347" s="340"/>
      <c r="Z347" s="340"/>
      <c r="AA347" s="340"/>
      <c r="AB347" s="340"/>
      <c r="AC347" s="338"/>
      <c r="AD347" s="338"/>
      <c r="AE347" s="338"/>
      <c r="AF347" s="338"/>
      <c r="AG347" s="338"/>
      <c r="AH347" s="338"/>
      <c r="AI347" s="338"/>
    </row>
    <row r="348" spans="1:35">
      <c r="A348" s="21">
        <v>45363</v>
      </c>
      <c r="B348" s="17">
        <f>IF(YEAR(Table7[[#This Row],[Date]]) = 2023, WEEKNUM(Table7[[#This Row],[Date]])-13, WEEKNUM(Table7[[#This Row],[Date]])+40)</f>
        <v>51</v>
      </c>
      <c r="C348" s="33" t="s">
        <v>50</v>
      </c>
      <c r="D348" s="35" t="s">
        <v>94</v>
      </c>
      <c r="E348" s="42">
        <v>359</v>
      </c>
      <c r="F348" s="42">
        <v>337</v>
      </c>
      <c r="G348" s="64">
        <f t="shared" si="169"/>
        <v>-0.14928909952606634</v>
      </c>
      <c r="H348" s="64">
        <f t="shared" si="169"/>
        <v>-0.14898989898989898</v>
      </c>
      <c r="I348" s="1"/>
      <c r="J348" s="1"/>
      <c r="K348" s="1"/>
      <c r="L348" s="1"/>
      <c r="M348" s="18">
        <v>0.79</v>
      </c>
      <c r="N348" s="84">
        <v>0.06</v>
      </c>
      <c r="O348" s="84">
        <v>0.94</v>
      </c>
      <c r="P348" s="84">
        <v>0.6</v>
      </c>
      <c r="Q348" s="84">
        <v>1</v>
      </c>
      <c r="R348" s="293">
        <v>189</v>
      </c>
      <c r="S348" s="293">
        <v>0</v>
      </c>
      <c r="T348" s="386">
        <v>4</v>
      </c>
      <c r="U348" s="345" t="str">
        <f t="shared" si="154"/>
        <v>Normal</v>
      </c>
      <c r="V348" s="345" t="str">
        <f t="shared" si="155"/>
        <v>Normal</v>
      </c>
      <c r="W348" s="345">
        <f t="shared" si="156"/>
        <v>-0.14928909952606634</v>
      </c>
      <c r="X348" s="416">
        <f t="shared" si="157"/>
        <v>-0.14898989898989898</v>
      </c>
      <c r="Y348" s="340"/>
      <c r="Z348" s="340"/>
      <c r="AA348" s="340"/>
      <c r="AB348" s="340"/>
      <c r="AC348" s="338"/>
      <c r="AD348" s="338"/>
      <c r="AE348" s="338"/>
      <c r="AF348" s="338"/>
      <c r="AG348" s="338"/>
      <c r="AH348" s="338"/>
      <c r="AI348" s="338"/>
    </row>
    <row r="349" spans="1:35">
      <c r="A349" s="21">
        <v>45364</v>
      </c>
      <c r="B349" s="17">
        <f>IF(YEAR(Table7[[#This Row],[Date]]) = 2023, WEEKNUM(Table7[[#This Row],[Date]])-13, WEEKNUM(Table7[[#This Row],[Date]])+40)</f>
        <v>51</v>
      </c>
      <c r="C349" s="34" t="s">
        <v>51</v>
      </c>
      <c r="D349" s="35" t="s">
        <v>94</v>
      </c>
      <c r="E349" s="42">
        <v>353</v>
      </c>
      <c r="F349" s="42">
        <v>333</v>
      </c>
      <c r="G349" s="64">
        <f t="shared" si="169"/>
        <v>0</v>
      </c>
      <c r="H349" s="64">
        <f t="shared" si="169"/>
        <v>-2.9940119760479044E-3</v>
      </c>
      <c r="I349" s="1"/>
      <c r="J349" s="1"/>
      <c r="K349" s="1"/>
      <c r="L349" s="1"/>
      <c r="M349" s="18">
        <v>0.83</v>
      </c>
      <c r="N349" s="84">
        <v>0.06</v>
      </c>
      <c r="O349" s="84">
        <v>0.94</v>
      </c>
      <c r="P349" s="84">
        <v>0.6</v>
      </c>
      <c r="Q349" s="84">
        <v>1</v>
      </c>
      <c r="R349" s="293">
        <v>194</v>
      </c>
      <c r="S349" s="293">
        <v>0</v>
      </c>
      <c r="T349" s="386">
        <v>4</v>
      </c>
      <c r="U349" s="345" t="str">
        <f t="shared" si="154"/>
        <v>Normal</v>
      </c>
      <c r="V349" s="345" t="str">
        <f t="shared" si="155"/>
        <v>Normal</v>
      </c>
      <c r="W349" s="345">
        <f t="shared" si="156"/>
        <v>0</v>
      </c>
      <c r="X349" s="416">
        <f t="shared" si="157"/>
        <v>-2.9940119760479044E-3</v>
      </c>
      <c r="Y349" s="340"/>
      <c r="Z349" s="340"/>
      <c r="AA349" s="340"/>
      <c r="AB349" s="340"/>
      <c r="AC349" s="338"/>
      <c r="AD349" s="338"/>
      <c r="AE349" s="338"/>
      <c r="AF349" s="338"/>
      <c r="AG349" s="338"/>
      <c r="AH349" s="338"/>
      <c r="AI349" s="338"/>
    </row>
    <row r="350" spans="1:35">
      <c r="A350" s="21">
        <v>45365</v>
      </c>
      <c r="B350" s="17">
        <f>IF(YEAR(Table7[[#This Row],[Date]]) = 2023, WEEKNUM(Table7[[#This Row],[Date]])-13, WEEKNUM(Table7[[#This Row],[Date]])+40)</f>
        <v>51</v>
      </c>
      <c r="C350" s="35" t="s">
        <v>52</v>
      </c>
      <c r="D350" s="35" t="s">
        <v>94</v>
      </c>
      <c r="E350" s="31">
        <v>256</v>
      </c>
      <c r="F350" s="31">
        <v>234</v>
      </c>
      <c r="G350" s="64">
        <f t="shared" ref="G350:H350" si="170">IFERROR((E350-E343)/E343,0%)</f>
        <v>-0.28291316526610644</v>
      </c>
      <c r="H350" s="64">
        <f t="shared" si="170"/>
        <v>-0.29729729729729731</v>
      </c>
      <c r="I350" s="1"/>
      <c r="J350" s="1"/>
      <c r="K350" s="1"/>
      <c r="L350" s="1"/>
      <c r="M350" s="36">
        <v>0.81</v>
      </c>
      <c r="N350" s="36">
        <v>0.09</v>
      </c>
      <c r="O350" s="36">
        <v>0.91</v>
      </c>
      <c r="P350" s="36">
        <v>0.45</v>
      </c>
      <c r="Q350" s="36">
        <v>1</v>
      </c>
      <c r="R350" s="293">
        <v>209</v>
      </c>
      <c r="S350" s="293">
        <v>0</v>
      </c>
      <c r="T350" s="386">
        <v>4</v>
      </c>
      <c r="U350" s="345" t="str">
        <f t="shared" si="154"/>
        <v>Normal</v>
      </c>
      <c r="V350" s="345" t="str">
        <f t="shared" si="155"/>
        <v>Normal</v>
      </c>
      <c r="W350" s="345">
        <f t="shared" si="156"/>
        <v>-0.28291316526610644</v>
      </c>
      <c r="X350" s="416">
        <f t="shared" si="157"/>
        <v>-0.29729729729729731</v>
      </c>
      <c r="Y350" s="340"/>
      <c r="Z350" s="340"/>
      <c r="AA350" s="340"/>
      <c r="AB350" s="340"/>
      <c r="AC350" s="338"/>
      <c r="AD350" s="338"/>
      <c r="AE350" s="338"/>
      <c r="AF350" s="338"/>
      <c r="AG350" s="338"/>
      <c r="AH350" s="338"/>
      <c r="AI350" s="338"/>
    </row>
    <row r="351" spans="1:35">
      <c r="A351" s="21">
        <v>45366</v>
      </c>
      <c r="B351" s="17">
        <f>IF(YEAR(Table7[[#This Row],[Date]]) = 2023, WEEKNUM(Table7[[#This Row],[Date]])-13, WEEKNUM(Table7[[#This Row],[Date]])+40)</f>
        <v>51</v>
      </c>
      <c r="C351" s="34" t="s">
        <v>53</v>
      </c>
      <c r="D351" s="35" t="s">
        <v>94</v>
      </c>
      <c r="E351" s="42">
        <v>346</v>
      </c>
      <c r="F351" s="42">
        <v>325</v>
      </c>
      <c r="G351" s="64">
        <f t="shared" ref="G351:H353" si="171">IFERROR((E351-E344)/E344,0%)</f>
        <v>7.7881619937694699E-2</v>
      </c>
      <c r="H351" s="64">
        <f t="shared" si="171"/>
        <v>4.1666666666666664E-2</v>
      </c>
      <c r="I351" s="1"/>
      <c r="J351" s="1"/>
      <c r="K351" s="1"/>
      <c r="L351" s="1"/>
      <c r="M351" s="18">
        <v>0.79</v>
      </c>
      <c r="N351" s="84">
        <v>0.06</v>
      </c>
      <c r="O351" s="84">
        <v>0.94</v>
      </c>
      <c r="P351" s="84">
        <v>0.6</v>
      </c>
      <c r="Q351" s="84">
        <v>1</v>
      </c>
      <c r="R351" s="293">
        <v>201</v>
      </c>
      <c r="S351" s="293">
        <v>0</v>
      </c>
      <c r="T351" s="386">
        <v>4</v>
      </c>
      <c r="U351" s="345" t="str">
        <f t="shared" si="154"/>
        <v>Normal</v>
      </c>
      <c r="V351" s="345" t="str">
        <f t="shared" si="155"/>
        <v>Normal</v>
      </c>
      <c r="W351" s="345">
        <f t="shared" si="156"/>
        <v>7.7881619937694699E-2</v>
      </c>
      <c r="X351" s="416">
        <f t="shared" si="157"/>
        <v>4.1666666666666664E-2</v>
      </c>
      <c r="Y351" s="340"/>
      <c r="Z351" s="340"/>
      <c r="AA351" s="340"/>
      <c r="AB351" s="340"/>
      <c r="AC351" s="338"/>
      <c r="AD351" s="338"/>
      <c r="AE351" s="338"/>
      <c r="AF351" s="338"/>
      <c r="AG351" s="338"/>
      <c r="AH351" s="338"/>
      <c r="AI351" s="338"/>
    </row>
    <row r="352" spans="1:35">
      <c r="A352" s="21">
        <v>45367</v>
      </c>
      <c r="B352" s="17">
        <f>IF(YEAR(Table7[[#This Row],[Date]]) = 2023, WEEKNUM(Table7[[#This Row],[Date]])-13, WEEKNUM(Table7[[#This Row],[Date]])+40)</f>
        <v>51</v>
      </c>
      <c r="C352" s="35" t="s">
        <v>54</v>
      </c>
      <c r="D352" s="35" t="s">
        <v>94</v>
      </c>
      <c r="E352" s="42">
        <v>144</v>
      </c>
      <c r="F352" s="42">
        <v>133</v>
      </c>
      <c r="G352" s="64">
        <f t="shared" si="171"/>
        <v>0.45454545454545453</v>
      </c>
      <c r="H352" s="64">
        <f t="shared" si="171"/>
        <v>0.37113402061855671</v>
      </c>
      <c r="I352" s="1"/>
      <c r="J352" s="1"/>
      <c r="K352" s="1"/>
      <c r="L352" s="1"/>
      <c r="M352" s="18">
        <v>0.85</v>
      </c>
      <c r="N352" s="84">
        <v>0.08</v>
      </c>
      <c r="O352" s="84">
        <v>0.92</v>
      </c>
      <c r="P352" s="84">
        <v>0.31</v>
      </c>
      <c r="Q352" s="84">
        <v>1</v>
      </c>
      <c r="R352" s="293">
        <v>159</v>
      </c>
      <c r="S352" s="293">
        <v>0</v>
      </c>
      <c r="T352" s="386">
        <v>4</v>
      </c>
      <c r="U352" s="345" t="str">
        <f t="shared" si="154"/>
        <v>Normal</v>
      </c>
      <c r="V352" s="345" t="str">
        <f t="shared" si="155"/>
        <v>Normal</v>
      </c>
      <c r="W352" s="345">
        <f t="shared" si="156"/>
        <v>0.45454545454545453</v>
      </c>
      <c r="X352" s="416">
        <f t="shared" si="157"/>
        <v>0.37113402061855671</v>
      </c>
      <c r="Y352" s="340"/>
      <c r="Z352" s="340"/>
      <c r="AA352" s="340"/>
      <c r="AB352" s="340"/>
      <c r="AC352" s="338"/>
      <c r="AD352" s="338"/>
      <c r="AE352" s="338"/>
      <c r="AF352" s="338"/>
      <c r="AG352" s="338"/>
      <c r="AH352" s="338"/>
      <c r="AI352" s="338"/>
    </row>
    <row r="353" spans="1:35">
      <c r="A353" s="21">
        <v>45368</v>
      </c>
      <c r="B353" s="17">
        <f>IF(YEAR(Table7[[#This Row],[Date]]) = 2023, WEEKNUM(Table7[[#This Row],[Date]])-13, WEEKNUM(Table7[[#This Row],[Date]])+40)</f>
        <v>52</v>
      </c>
      <c r="C353" s="34" t="s">
        <v>48</v>
      </c>
      <c r="D353" s="35" t="s">
        <v>94</v>
      </c>
      <c r="E353" s="42">
        <v>0</v>
      </c>
      <c r="F353" s="42">
        <v>0</v>
      </c>
      <c r="G353" s="64">
        <f t="shared" si="171"/>
        <v>0</v>
      </c>
      <c r="H353" s="64">
        <f t="shared" si="171"/>
        <v>0</v>
      </c>
      <c r="I353" s="1">
        <v>0</v>
      </c>
      <c r="J353" s="1">
        <v>0</v>
      </c>
      <c r="K353" s="1">
        <v>0</v>
      </c>
      <c r="L353" s="1">
        <v>0</v>
      </c>
      <c r="M353" s="18">
        <v>0</v>
      </c>
      <c r="N353" s="84">
        <v>0</v>
      </c>
      <c r="O353" s="84">
        <v>0</v>
      </c>
      <c r="P353" s="84">
        <v>0</v>
      </c>
      <c r="Q353" s="84">
        <v>0</v>
      </c>
      <c r="R353" s="293">
        <v>0</v>
      </c>
      <c r="S353" s="293">
        <v>0</v>
      </c>
      <c r="T353" s="386">
        <v>0</v>
      </c>
      <c r="U353" s="345" t="str">
        <f t="shared" si="154"/>
        <v>Normal</v>
      </c>
      <c r="V353" s="345" t="str">
        <f t="shared" si="155"/>
        <v>Normal</v>
      </c>
      <c r="W353" s="345">
        <f t="shared" si="156"/>
        <v>0</v>
      </c>
      <c r="X353" s="416">
        <f t="shared" si="157"/>
        <v>0</v>
      </c>
      <c r="Y353" s="340"/>
      <c r="Z353" s="340"/>
      <c r="AA353" s="340"/>
      <c r="AB353" s="340"/>
      <c r="AC353" s="338"/>
      <c r="AD353" s="338"/>
      <c r="AE353" s="338"/>
      <c r="AF353" s="338"/>
      <c r="AG353" s="338"/>
      <c r="AH353" s="338"/>
      <c r="AI353" s="338"/>
    </row>
    <row r="354" spans="1:35">
      <c r="A354" s="21">
        <v>45369</v>
      </c>
      <c r="B354" s="17">
        <f>IF(YEAR(Table7[[#This Row],[Date]]) = 2023, WEEKNUM(Table7[[#This Row],[Date]])-13, WEEKNUM(Table7[[#This Row],[Date]])+40)</f>
        <v>52</v>
      </c>
      <c r="C354" s="35" t="s">
        <v>49</v>
      </c>
      <c r="D354" s="35" t="s">
        <v>94</v>
      </c>
      <c r="E354" s="42">
        <v>394</v>
      </c>
      <c r="F354" s="42">
        <v>373</v>
      </c>
      <c r="G354" s="64">
        <f t="shared" ref="G354:H354" si="172">IFERROR((E354-E347)/E347,0%)</f>
        <v>-0.1471861471861472</v>
      </c>
      <c r="H354" s="64">
        <f t="shared" si="172"/>
        <v>-0.10551558752997602</v>
      </c>
      <c r="I354" s="1"/>
      <c r="J354" s="1"/>
      <c r="K354" s="1"/>
      <c r="L354" s="1"/>
      <c r="M354" s="18">
        <v>0.8</v>
      </c>
      <c r="N354" s="84">
        <v>0.05</v>
      </c>
      <c r="O354" s="84">
        <v>0.95</v>
      </c>
      <c r="P354" s="84">
        <v>0.69</v>
      </c>
      <c r="Q354" s="84">
        <v>1</v>
      </c>
      <c r="R354" s="293">
        <v>204</v>
      </c>
      <c r="S354" s="293">
        <v>0</v>
      </c>
      <c r="T354" s="386">
        <v>4</v>
      </c>
      <c r="U354" s="345" t="str">
        <f t="shared" si="154"/>
        <v>Normal</v>
      </c>
      <c r="V354" s="345" t="str">
        <f t="shared" si="155"/>
        <v>Normal</v>
      </c>
      <c r="W354" s="345">
        <f t="shared" si="156"/>
        <v>-0.1471861471861472</v>
      </c>
      <c r="X354" s="416">
        <f t="shared" si="157"/>
        <v>-0.10551558752997602</v>
      </c>
      <c r="Y354" s="340"/>
      <c r="Z354" s="340"/>
      <c r="AA354" s="340"/>
      <c r="AB354" s="340"/>
      <c r="AC354" s="338"/>
      <c r="AD354" s="338"/>
      <c r="AE354" s="338"/>
      <c r="AF354" s="338"/>
      <c r="AG354" s="338"/>
      <c r="AH354" s="338"/>
      <c r="AI354" s="338"/>
    </row>
    <row r="355" spans="1:35">
      <c r="A355" s="21">
        <v>45370</v>
      </c>
      <c r="B355" s="17">
        <f>IF(YEAR(Table7[[#This Row],[Date]]) = 2023, WEEKNUM(Table7[[#This Row],[Date]])-13, WEEKNUM(Table7[[#This Row],[Date]])+40)</f>
        <v>52</v>
      </c>
      <c r="C355" s="34" t="s">
        <v>50</v>
      </c>
      <c r="D355" s="35" t="s">
        <v>94</v>
      </c>
      <c r="E355" s="42">
        <v>356</v>
      </c>
      <c r="F355" s="42">
        <v>337</v>
      </c>
      <c r="G355" s="64">
        <f t="shared" ref="G355:H357" si="173">IFERROR((E355-E348)/E348,0%)</f>
        <v>-8.356545961002786E-3</v>
      </c>
      <c r="H355" s="64">
        <f t="shared" si="173"/>
        <v>0</v>
      </c>
      <c r="I355" s="1"/>
      <c r="J355" s="1"/>
      <c r="K355" s="1"/>
      <c r="L355" s="1"/>
      <c r="M355" s="18">
        <v>0.85</v>
      </c>
      <c r="N355" s="84">
        <v>0.06</v>
      </c>
      <c r="O355" s="84">
        <v>0.94</v>
      </c>
      <c r="P355" s="84">
        <v>0.61</v>
      </c>
      <c r="Q355" s="84">
        <v>1</v>
      </c>
      <c r="R355" s="293">
        <v>196</v>
      </c>
      <c r="S355" s="293">
        <v>0</v>
      </c>
      <c r="T355" s="386">
        <v>4</v>
      </c>
      <c r="U355" s="345" t="str">
        <f t="shared" si="154"/>
        <v>Normal</v>
      </c>
      <c r="V355" s="345" t="str">
        <f t="shared" si="155"/>
        <v>Normal</v>
      </c>
      <c r="W355" s="345">
        <f t="shared" si="156"/>
        <v>-8.356545961002786E-3</v>
      </c>
      <c r="X355" s="416">
        <f t="shared" si="157"/>
        <v>0</v>
      </c>
      <c r="Y355" s="340"/>
      <c r="Z355" s="340"/>
      <c r="AA355" s="340"/>
      <c r="AB355" s="340"/>
      <c r="AC355" s="338"/>
      <c r="AD355" s="338"/>
      <c r="AE355" s="338"/>
      <c r="AF355" s="338"/>
      <c r="AG355" s="338"/>
      <c r="AH355" s="338"/>
      <c r="AI355" s="338"/>
    </row>
    <row r="356" spans="1:35">
      <c r="A356" s="21">
        <v>45371</v>
      </c>
      <c r="B356" s="17">
        <f>IF(YEAR(Table7[[#This Row],[Date]]) = 2023, WEEKNUM(Table7[[#This Row],[Date]])-13, WEEKNUM(Table7[[#This Row],[Date]])+40)</f>
        <v>52</v>
      </c>
      <c r="C356" s="34" t="s">
        <v>51</v>
      </c>
      <c r="D356" s="35" t="s">
        <v>94</v>
      </c>
      <c r="E356" s="42">
        <v>317</v>
      </c>
      <c r="F356" s="42">
        <v>307</v>
      </c>
      <c r="G356" s="64">
        <f t="shared" si="173"/>
        <v>-0.10198300283286119</v>
      </c>
      <c r="H356" s="64">
        <f t="shared" si="173"/>
        <v>-7.8078078078078081E-2</v>
      </c>
      <c r="I356" s="1"/>
      <c r="J356" s="1"/>
      <c r="K356" s="1"/>
      <c r="L356" s="1"/>
      <c r="M356" s="18">
        <v>0.91</v>
      </c>
      <c r="N356" s="84">
        <v>0.03</v>
      </c>
      <c r="O356" s="84">
        <v>0.97</v>
      </c>
      <c r="P356" s="84">
        <v>0.54</v>
      </c>
      <c r="Q356" s="84">
        <v>1</v>
      </c>
      <c r="R356" s="293">
        <v>185</v>
      </c>
      <c r="S356" s="293">
        <v>0</v>
      </c>
      <c r="T356" s="386">
        <v>4</v>
      </c>
      <c r="U356" s="345" t="str">
        <f t="shared" si="154"/>
        <v>Normal</v>
      </c>
      <c r="V356" s="345" t="str">
        <f t="shared" si="155"/>
        <v>Normal</v>
      </c>
      <c r="W356" s="345">
        <f t="shared" si="156"/>
        <v>-0.10198300283286119</v>
      </c>
      <c r="X356" s="416">
        <f t="shared" si="157"/>
        <v>-7.8078078078078081E-2</v>
      </c>
      <c r="Y356" s="340"/>
      <c r="Z356" s="340"/>
      <c r="AA356" s="340"/>
      <c r="AB356" s="340"/>
      <c r="AC356" s="338"/>
      <c r="AD356" s="338"/>
      <c r="AE356" s="338"/>
      <c r="AF356" s="338"/>
      <c r="AG356" s="338"/>
      <c r="AH356" s="338"/>
      <c r="AI356" s="338"/>
    </row>
    <row r="357" spans="1:35">
      <c r="A357" s="21">
        <v>45372</v>
      </c>
      <c r="B357" s="17">
        <f>IF(YEAR(Table7[[#This Row],[Date]]) = 2023, WEEKNUM(Table7[[#This Row],[Date]])-13, WEEKNUM(Table7[[#This Row],[Date]])+40)</f>
        <v>52</v>
      </c>
      <c r="C357" s="34" t="s">
        <v>52</v>
      </c>
      <c r="D357" s="35" t="s">
        <v>94</v>
      </c>
      <c r="E357" s="42">
        <v>340</v>
      </c>
      <c r="F357" s="42">
        <v>320</v>
      </c>
      <c r="G357" s="64">
        <f t="shared" si="173"/>
        <v>0.328125</v>
      </c>
      <c r="H357" s="64">
        <f t="shared" si="173"/>
        <v>0.36752136752136755</v>
      </c>
      <c r="I357" s="1"/>
      <c r="J357" s="1"/>
      <c r="K357" s="1"/>
      <c r="L357" s="1"/>
      <c r="M357" s="18">
        <v>0.81</v>
      </c>
      <c r="N357" s="84">
        <v>0.06</v>
      </c>
      <c r="O357" s="84">
        <v>0.94</v>
      </c>
      <c r="P357" s="84">
        <v>0.56999999999999995</v>
      </c>
      <c r="Q357" s="84">
        <v>1</v>
      </c>
      <c r="R357" s="293">
        <v>190</v>
      </c>
      <c r="S357" s="293">
        <v>0</v>
      </c>
      <c r="T357" s="386">
        <v>4</v>
      </c>
      <c r="U357" s="345" t="str">
        <f t="shared" si="154"/>
        <v>Normal</v>
      </c>
      <c r="V357" s="345" t="str">
        <f t="shared" si="155"/>
        <v>Normal</v>
      </c>
      <c r="W357" s="345">
        <f t="shared" si="156"/>
        <v>0.328125</v>
      </c>
      <c r="X357" s="416">
        <f t="shared" si="157"/>
        <v>0.36752136752136755</v>
      </c>
      <c r="Y357" s="340"/>
      <c r="Z357" s="340"/>
      <c r="AA357" s="340"/>
      <c r="AB357" s="340"/>
      <c r="AC357" s="338"/>
      <c r="AD357" s="338"/>
      <c r="AE357" s="338"/>
      <c r="AF357" s="338"/>
      <c r="AG357" s="338"/>
      <c r="AH357" s="338"/>
      <c r="AI357" s="338"/>
    </row>
    <row r="358" spans="1:35">
      <c r="A358" s="21">
        <v>45373</v>
      </c>
      <c r="B358" s="17">
        <f>IF(YEAR(Table7[[#This Row],[Date]]) = 2023, WEEKNUM(Table7[[#This Row],[Date]])-13, WEEKNUM(Table7[[#This Row],[Date]])+40)</f>
        <v>52</v>
      </c>
      <c r="C358" s="35" t="s">
        <v>53</v>
      </c>
      <c r="D358" s="35" t="s">
        <v>94</v>
      </c>
      <c r="E358" s="31">
        <v>340</v>
      </c>
      <c r="F358" s="31">
        <v>320</v>
      </c>
      <c r="G358" s="64">
        <f t="shared" ref="G358:H358" si="174">IFERROR((E358-E351)/E351,0%)</f>
        <v>-1.7341040462427744E-2</v>
      </c>
      <c r="H358" s="64">
        <f t="shared" si="174"/>
        <v>-1.5384615384615385E-2</v>
      </c>
      <c r="I358" s="1"/>
      <c r="J358" s="1"/>
      <c r="K358" s="1"/>
      <c r="L358" s="1"/>
      <c r="M358" s="36">
        <v>0.86</v>
      </c>
      <c r="N358" s="36">
        <v>0.06</v>
      </c>
      <c r="O358" s="36">
        <v>0.94</v>
      </c>
      <c r="P358" s="36">
        <v>0.46</v>
      </c>
      <c r="Q358" s="36">
        <v>1</v>
      </c>
      <c r="R358" s="293">
        <v>153</v>
      </c>
      <c r="S358" s="293">
        <v>0</v>
      </c>
      <c r="T358" s="386">
        <v>4</v>
      </c>
      <c r="U358" s="345" t="str">
        <f t="shared" si="154"/>
        <v>Normal</v>
      </c>
      <c r="V358" s="345" t="str">
        <f t="shared" si="155"/>
        <v>Normal</v>
      </c>
      <c r="W358" s="345">
        <f t="shared" si="156"/>
        <v>-1.7341040462427744E-2</v>
      </c>
      <c r="X358" s="416">
        <f t="shared" si="157"/>
        <v>-1.5384615384615385E-2</v>
      </c>
      <c r="Y358" s="340"/>
      <c r="Z358" s="340"/>
      <c r="AA358" s="340"/>
      <c r="AB358" s="340"/>
      <c r="AC358" s="338"/>
      <c r="AD358" s="338"/>
      <c r="AE358" s="338"/>
      <c r="AF358" s="338"/>
      <c r="AG358" s="338"/>
      <c r="AH358" s="338"/>
      <c r="AI358" s="338"/>
    </row>
    <row r="359" spans="1:35">
      <c r="A359" s="21">
        <v>45374</v>
      </c>
      <c r="B359" s="17">
        <f>IF(YEAR(Table7[[#This Row],[Date]]) = 2023, WEEKNUM(Table7[[#This Row],[Date]])-13, WEEKNUM(Table7[[#This Row],[Date]])+40)</f>
        <v>52</v>
      </c>
      <c r="C359" s="34" t="s">
        <v>54</v>
      </c>
      <c r="D359" s="35" t="s">
        <v>94</v>
      </c>
      <c r="E359" s="42">
        <v>138</v>
      </c>
      <c r="F359" s="42">
        <v>135</v>
      </c>
      <c r="G359" s="64">
        <f t="shared" ref="G359:H361" si="175">IFERROR((E359-E352)/E352,0%)</f>
        <v>-4.1666666666666664E-2</v>
      </c>
      <c r="H359" s="64">
        <f t="shared" si="175"/>
        <v>1.5037593984962405E-2</v>
      </c>
      <c r="I359" s="1"/>
      <c r="J359" s="1"/>
      <c r="K359" s="1"/>
      <c r="L359" s="1"/>
      <c r="M359" s="18">
        <v>0.93</v>
      </c>
      <c r="N359" s="84">
        <v>0.02</v>
      </c>
      <c r="O359" s="84">
        <v>0.98</v>
      </c>
      <c r="P359" s="84">
        <v>0.41</v>
      </c>
      <c r="Q359" s="84">
        <v>1</v>
      </c>
      <c r="R359" s="293">
        <v>193</v>
      </c>
      <c r="S359" s="293">
        <v>0</v>
      </c>
      <c r="T359" s="386">
        <v>4</v>
      </c>
      <c r="U359" s="345" t="str">
        <f t="shared" si="154"/>
        <v>Normal</v>
      </c>
      <c r="V359" s="345" t="str">
        <f t="shared" si="155"/>
        <v>Normal</v>
      </c>
      <c r="W359" s="345">
        <f t="shared" si="156"/>
        <v>-4.1666666666666664E-2</v>
      </c>
      <c r="X359" s="416">
        <f t="shared" si="157"/>
        <v>1.5037593984962405E-2</v>
      </c>
      <c r="Y359" s="340"/>
      <c r="Z359" s="340"/>
      <c r="AA359" s="340"/>
      <c r="AB359" s="340"/>
      <c r="AC359" s="338"/>
      <c r="AD359" s="338"/>
      <c r="AE359" s="338"/>
      <c r="AF359" s="338"/>
      <c r="AG359" s="338"/>
      <c r="AH359" s="338"/>
      <c r="AI359" s="338"/>
    </row>
    <row r="360" spans="1:35">
      <c r="A360" s="21">
        <v>45375</v>
      </c>
      <c r="B360" s="17">
        <f>IF(YEAR(Table7[[#This Row],[Date]]) = 2023, WEEKNUM(Table7[[#This Row],[Date]])-13, WEEKNUM(Table7[[#This Row],[Date]])+40)</f>
        <v>53</v>
      </c>
      <c r="C360" s="34" t="s">
        <v>48</v>
      </c>
      <c r="D360" s="35" t="s">
        <v>94</v>
      </c>
      <c r="E360" s="42">
        <v>0</v>
      </c>
      <c r="F360" s="42">
        <v>0</v>
      </c>
      <c r="G360" s="64">
        <f t="shared" si="175"/>
        <v>0</v>
      </c>
      <c r="H360" s="64">
        <f t="shared" si="175"/>
        <v>0</v>
      </c>
      <c r="I360" s="1">
        <v>0</v>
      </c>
      <c r="J360" s="1">
        <v>0</v>
      </c>
      <c r="K360" s="1">
        <v>0</v>
      </c>
      <c r="L360" s="1">
        <v>0</v>
      </c>
      <c r="M360" s="18">
        <v>0</v>
      </c>
      <c r="N360" s="84">
        <v>0</v>
      </c>
      <c r="O360" s="84">
        <v>0</v>
      </c>
      <c r="P360" s="84">
        <v>0</v>
      </c>
      <c r="Q360" s="84">
        <v>0</v>
      </c>
      <c r="R360" s="293">
        <v>0</v>
      </c>
      <c r="S360" s="293">
        <v>0</v>
      </c>
      <c r="T360" s="386">
        <v>0</v>
      </c>
      <c r="U360" s="345" t="str">
        <f t="shared" si="154"/>
        <v>Normal</v>
      </c>
      <c r="V360" s="345" t="str">
        <f t="shared" si="155"/>
        <v>Normal</v>
      </c>
      <c r="W360" s="345">
        <f t="shared" si="156"/>
        <v>0</v>
      </c>
      <c r="X360" s="416">
        <f t="shared" si="157"/>
        <v>0</v>
      </c>
      <c r="Y360" s="340"/>
      <c r="Z360" s="340"/>
      <c r="AA360" s="340"/>
      <c r="AB360" s="340"/>
      <c r="AC360" s="338"/>
      <c r="AD360" s="338"/>
      <c r="AE360" s="338"/>
      <c r="AF360" s="338"/>
      <c r="AG360" s="338"/>
      <c r="AH360" s="338"/>
      <c r="AI360" s="338"/>
    </row>
    <row r="361" spans="1:35">
      <c r="A361" s="21">
        <v>45376</v>
      </c>
      <c r="B361" s="17">
        <f>IF(YEAR(Table7[[#This Row],[Date]]) = 2023, WEEKNUM(Table7[[#This Row],[Date]])-13, WEEKNUM(Table7[[#This Row],[Date]])+40)</f>
        <v>53</v>
      </c>
      <c r="C361" s="34" t="s">
        <v>49</v>
      </c>
      <c r="D361" s="35" t="s">
        <v>94</v>
      </c>
      <c r="E361" s="42">
        <v>404</v>
      </c>
      <c r="F361" s="42">
        <v>383</v>
      </c>
      <c r="G361" s="64">
        <f t="shared" si="175"/>
        <v>2.5380710659898477E-2</v>
      </c>
      <c r="H361" s="64">
        <f t="shared" si="175"/>
        <v>2.6809651474530832E-2</v>
      </c>
      <c r="I361" s="1"/>
      <c r="J361" s="1"/>
      <c r="K361" s="1"/>
      <c r="L361" s="1"/>
      <c r="M361" s="18">
        <v>0.87</v>
      </c>
      <c r="N361" s="84">
        <v>0.05</v>
      </c>
      <c r="O361" s="84">
        <v>0.95</v>
      </c>
      <c r="P361" s="84">
        <v>0.7</v>
      </c>
      <c r="Q361" s="84">
        <v>1</v>
      </c>
      <c r="R361" s="293">
        <v>199</v>
      </c>
      <c r="S361" s="293">
        <v>0</v>
      </c>
      <c r="T361" s="386">
        <v>4</v>
      </c>
      <c r="U361" s="345" t="str">
        <f t="shared" si="154"/>
        <v>Normal</v>
      </c>
      <c r="V361" s="345" t="str">
        <f t="shared" si="155"/>
        <v>Normal</v>
      </c>
      <c r="W361" s="345">
        <f t="shared" si="156"/>
        <v>2.5380710659898477E-2</v>
      </c>
      <c r="X361" s="416">
        <f t="shared" si="157"/>
        <v>2.6809651474530832E-2</v>
      </c>
      <c r="Y361" s="340"/>
      <c r="Z361" s="340"/>
      <c r="AA361" s="340"/>
      <c r="AB361" s="340"/>
      <c r="AC361" s="338"/>
      <c r="AD361" s="338"/>
      <c r="AE361" s="338"/>
      <c r="AF361" s="338"/>
      <c r="AG361" s="338"/>
      <c r="AH361" s="338"/>
      <c r="AI361" s="338"/>
    </row>
    <row r="362" spans="1:35">
      <c r="A362" s="21">
        <v>45377</v>
      </c>
      <c r="B362" s="17">
        <f>IF(YEAR(Table7[[#This Row],[Date]]) = 2023, WEEKNUM(Table7[[#This Row],[Date]])-13, WEEKNUM(Table7[[#This Row],[Date]])+40)</f>
        <v>53</v>
      </c>
      <c r="C362" s="34" t="s">
        <v>50</v>
      </c>
      <c r="D362" s="35" t="s">
        <v>94</v>
      </c>
      <c r="E362" s="42">
        <v>412</v>
      </c>
      <c r="F362" s="42">
        <v>368</v>
      </c>
      <c r="G362" s="64">
        <f t="shared" ref="G362:H362" si="176">IFERROR((E362-E355)/E355,0%)</f>
        <v>0.15730337078651685</v>
      </c>
      <c r="H362" s="64">
        <f t="shared" si="176"/>
        <v>9.1988130563798218E-2</v>
      </c>
      <c r="I362" s="1"/>
      <c r="J362" s="1"/>
      <c r="K362" s="1"/>
      <c r="L362" s="1"/>
      <c r="M362" s="18">
        <v>0.75</v>
      </c>
      <c r="N362" s="84">
        <v>0.11</v>
      </c>
      <c r="O362" s="84">
        <v>0.89</v>
      </c>
      <c r="P362" s="84">
        <v>0.69</v>
      </c>
      <c r="Q362" s="84">
        <v>1</v>
      </c>
      <c r="R362" s="293">
        <v>205</v>
      </c>
      <c r="S362" s="293">
        <v>0</v>
      </c>
      <c r="T362" s="386">
        <v>4</v>
      </c>
      <c r="U362" s="345" t="str">
        <f t="shared" si="154"/>
        <v>Normal</v>
      </c>
      <c r="V362" s="345" t="str">
        <f t="shared" si="155"/>
        <v>Normal</v>
      </c>
      <c r="W362" s="345">
        <f t="shared" si="156"/>
        <v>0.15730337078651685</v>
      </c>
      <c r="X362" s="416">
        <f t="shared" si="157"/>
        <v>9.1988130563798218E-2</v>
      </c>
      <c r="Y362" s="340"/>
      <c r="Z362" s="340"/>
      <c r="AA362" s="340"/>
      <c r="AB362" s="340"/>
      <c r="AC362" s="338"/>
      <c r="AD362" s="338"/>
      <c r="AE362" s="338"/>
      <c r="AF362" s="338"/>
      <c r="AG362" s="338"/>
      <c r="AH362" s="338"/>
      <c r="AI362" s="338"/>
    </row>
    <row r="363" spans="1:35">
      <c r="A363" s="21">
        <v>45378</v>
      </c>
      <c r="B363" s="17">
        <f>IF(YEAR(Table7[[#This Row],[Date]]) = 2023, WEEKNUM(Table7[[#This Row],[Date]])-13, WEEKNUM(Table7[[#This Row],[Date]])+40)</f>
        <v>53</v>
      </c>
      <c r="C363" s="34" t="s">
        <v>51</v>
      </c>
      <c r="D363" s="35" t="s">
        <v>94</v>
      </c>
      <c r="E363" s="42">
        <v>374</v>
      </c>
      <c r="F363" s="42">
        <v>358</v>
      </c>
      <c r="G363" s="64">
        <f t="shared" ref="G363:H364" si="177">IFERROR((E363-E356)/E356,0%)</f>
        <v>0.17981072555205047</v>
      </c>
      <c r="H363" s="64">
        <f t="shared" si="177"/>
        <v>0.16612377850162866</v>
      </c>
      <c r="I363" s="1"/>
      <c r="J363" s="1"/>
      <c r="K363" s="1"/>
      <c r="L363" s="1"/>
      <c r="M363" s="18">
        <v>0.89</v>
      </c>
      <c r="N363" s="84">
        <v>0.04</v>
      </c>
      <c r="O363" s="84">
        <v>0.96</v>
      </c>
      <c r="P363" s="84">
        <v>0.65</v>
      </c>
      <c r="Q363" s="84">
        <v>1</v>
      </c>
      <c r="R363" s="293">
        <v>196</v>
      </c>
      <c r="S363" s="293">
        <v>0</v>
      </c>
      <c r="T363" s="386">
        <v>4</v>
      </c>
      <c r="U363" s="345" t="str">
        <f t="shared" si="154"/>
        <v>Normal</v>
      </c>
      <c r="V363" s="345" t="str">
        <f t="shared" si="155"/>
        <v>Normal</v>
      </c>
      <c r="W363" s="345">
        <f t="shared" si="156"/>
        <v>0.17981072555205047</v>
      </c>
      <c r="X363" s="416">
        <f t="shared" si="157"/>
        <v>0.16612377850162866</v>
      </c>
      <c r="Y363" s="340"/>
      <c r="Z363" s="340"/>
      <c r="AA363" s="340"/>
      <c r="AB363" s="340"/>
      <c r="AC363" s="338"/>
      <c r="AD363" s="338"/>
      <c r="AE363" s="338"/>
      <c r="AF363" s="338"/>
      <c r="AG363" s="338"/>
      <c r="AH363" s="338"/>
      <c r="AI363" s="338"/>
    </row>
    <row r="364" spans="1:35">
      <c r="A364" s="21">
        <v>45379</v>
      </c>
      <c r="B364" s="17">
        <f>IF(YEAR(Table7[[#This Row],[Date]]) = 2023, WEEKNUM(Table7[[#This Row],[Date]])-13, WEEKNUM(Table7[[#This Row],[Date]])+40)</f>
        <v>53</v>
      </c>
      <c r="C364" s="34" t="s">
        <v>52</v>
      </c>
      <c r="D364" s="35" t="s">
        <v>94</v>
      </c>
      <c r="E364" s="42">
        <v>332</v>
      </c>
      <c r="F364" s="42">
        <v>317</v>
      </c>
      <c r="G364" s="64">
        <f t="shared" si="177"/>
        <v>-2.3529411764705882E-2</v>
      </c>
      <c r="H364" s="64">
        <f t="shared" si="177"/>
        <v>-9.3749999999999997E-3</v>
      </c>
      <c r="I364" s="1"/>
      <c r="J364" s="1"/>
      <c r="K364" s="1"/>
      <c r="L364" s="1"/>
      <c r="M364" s="18">
        <v>0.88</v>
      </c>
      <c r="N364" s="84">
        <v>0.05</v>
      </c>
      <c r="O364" s="84">
        <v>0.95</v>
      </c>
      <c r="P364" s="84">
        <v>0.61</v>
      </c>
      <c r="Q364" s="84">
        <v>1</v>
      </c>
      <c r="R364" s="293">
        <v>213</v>
      </c>
      <c r="S364" s="293">
        <v>0</v>
      </c>
      <c r="T364" s="386">
        <v>4</v>
      </c>
      <c r="U364" s="345" t="str">
        <f t="shared" si="154"/>
        <v>Normal</v>
      </c>
      <c r="V364" s="345" t="str">
        <f t="shared" si="155"/>
        <v>Normal</v>
      </c>
      <c r="W364" s="345">
        <f t="shared" si="156"/>
        <v>-2.3529411764705882E-2</v>
      </c>
      <c r="X364" s="416">
        <f t="shared" si="157"/>
        <v>-9.3749999999999997E-3</v>
      </c>
      <c r="Y364" s="340"/>
      <c r="Z364" s="340"/>
      <c r="AA364" s="340"/>
      <c r="AB364" s="340"/>
      <c r="AC364" s="338"/>
      <c r="AD364" s="338"/>
      <c r="AE364" s="338"/>
      <c r="AF364" s="338"/>
      <c r="AG364" s="338"/>
      <c r="AH364" s="338"/>
      <c r="AI364" s="338"/>
    </row>
    <row r="365" spans="1:35">
      <c r="A365" s="21">
        <v>45380</v>
      </c>
      <c r="B365" s="17">
        <f>IF(YEAR(Table7[[#This Row],[Date]]) = 2023, WEEKNUM(Table7[[#This Row],[Date]])-13, WEEKNUM(Table7[[#This Row],[Date]])+40)</f>
        <v>53</v>
      </c>
      <c r="C365" s="34" t="s">
        <v>64</v>
      </c>
      <c r="D365" s="35" t="s">
        <v>94</v>
      </c>
      <c r="E365" s="42">
        <v>0</v>
      </c>
      <c r="F365" s="42">
        <v>0</v>
      </c>
      <c r="G365" s="64">
        <v>0</v>
      </c>
      <c r="H365" s="64">
        <v>0</v>
      </c>
      <c r="I365" s="1">
        <v>0</v>
      </c>
      <c r="J365" s="1">
        <v>0</v>
      </c>
      <c r="K365" s="1">
        <v>0</v>
      </c>
      <c r="L365" s="1">
        <v>0</v>
      </c>
      <c r="M365" s="18">
        <v>0</v>
      </c>
      <c r="N365" s="84">
        <v>0</v>
      </c>
      <c r="O365" s="84">
        <v>0</v>
      </c>
      <c r="P365" s="84">
        <v>0</v>
      </c>
      <c r="Q365" s="84">
        <v>0</v>
      </c>
      <c r="R365" s="293">
        <v>0</v>
      </c>
      <c r="S365" s="293">
        <v>0</v>
      </c>
      <c r="T365" s="386">
        <v>0</v>
      </c>
      <c r="U365" s="345" t="str">
        <f t="shared" si="154"/>
        <v>Normal</v>
      </c>
      <c r="V365" s="345" t="str">
        <f t="shared" si="155"/>
        <v>Normal</v>
      </c>
      <c r="W365" s="345">
        <f t="shared" si="156"/>
        <v>0</v>
      </c>
      <c r="X365" s="416">
        <f t="shared" si="157"/>
        <v>0</v>
      </c>
      <c r="Y365" s="340"/>
      <c r="Z365" s="340"/>
      <c r="AA365" s="340"/>
      <c r="AB365" s="340"/>
      <c r="AC365" s="338"/>
      <c r="AD365" s="338"/>
      <c r="AE365" s="338"/>
      <c r="AF365" s="338"/>
      <c r="AG365" s="338"/>
      <c r="AH365" s="338"/>
      <c r="AI365" s="338"/>
    </row>
    <row r="366" spans="1:35">
      <c r="A366" s="21">
        <v>45381</v>
      </c>
      <c r="B366" s="17">
        <f>IF(YEAR(Table7[[#This Row],[Date]]) = 2023, WEEKNUM(Table7[[#This Row],[Date]])-13, WEEKNUM(Table7[[#This Row],[Date]])+40)</f>
        <v>53</v>
      </c>
      <c r="C366" s="34" t="s">
        <v>54</v>
      </c>
      <c r="D366" s="35" t="s">
        <v>94</v>
      </c>
      <c r="E366" s="42">
        <v>138</v>
      </c>
      <c r="F366" s="42">
        <v>138</v>
      </c>
      <c r="G366" s="64">
        <f t="shared" ref="G366:H366" si="178">IFERROR((E366-E359)/E359,0%)</f>
        <v>0</v>
      </c>
      <c r="H366" s="64">
        <f t="shared" si="178"/>
        <v>2.2222222222222223E-2</v>
      </c>
      <c r="I366" s="1"/>
      <c r="J366" s="1"/>
      <c r="K366" s="1"/>
      <c r="L366" s="1"/>
      <c r="M366" s="18">
        <v>0.98</v>
      </c>
      <c r="N366" s="84">
        <v>0</v>
      </c>
      <c r="O366" s="84">
        <v>1</v>
      </c>
      <c r="P366" s="84">
        <v>0.34</v>
      </c>
      <c r="Q366" s="84">
        <v>1</v>
      </c>
      <c r="R366" s="293">
        <v>170</v>
      </c>
      <c r="S366" s="293">
        <v>0</v>
      </c>
      <c r="T366" s="386">
        <v>4</v>
      </c>
      <c r="U366" s="345" t="str">
        <f t="shared" si="154"/>
        <v>Normal</v>
      </c>
      <c r="V366" s="345" t="str">
        <f t="shared" si="155"/>
        <v>Normal</v>
      </c>
      <c r="W366" s="345">
        <f t="shared" si="156"/>
        <v>0</v>
      </c>
      <c r="X366" s="416">
        <f t="shared" si="157"/>
        <v>2.2222222222222223E-2</v>
      </c>
      <c r="Y366" s="340"/>
      <c r="Z366" s="340"/>
      <c r="AA366" s="340"/>
      <c r="AB366" s="340"/>
      <c r="AC366" s="338"/>
      <c r="AD366" s="338"/>
      <c r="AE366" s="338"/>
      <c r="AF366" s="338"/>
      <c r="AG366" s="338"/>
      <c r="AH366" s="338"/>
      <c r="AI366" s="338"/>
    </row>
    <row r="367" spans="1:35">
      <c r="A367" s="21">
        <v>45382</v>
      </c>
      <c r="B367" s="17">
        <f>IF(YEAR(Table7[[#This Row],[Date]]) = 2023, WEEKNUM(Table7[[#This Row],[Date]])-13, WEEKNUM(Table7[[#This Row],[Date]])+40)</f>
        <v>54</v>
      </c>
      <c r="C367" s="34" t="s">
        <v>48</v>
      </c>
      <c r="D367" s="35" t="s">
        <v>94</v>
      </c>
      <c r="E367" s="42">
        <v>0</v>
      </c>
      <c r="F367" s="42">
        <v>0</v>
      </c>
      <c r="G367" s="64">
        <f t="shared" ref="G367:H367" si="179">IFERROR((E367-E360)/E360,0%)</f>
        <v>0</v>
      </c>
      <c r="H367" s="64">
        <f t="shared" si="179"/>
        <v>0</v>
      </c>
      <c r="I367" s="1">
        <v>0</v>
      </c>
      <c r="J367" s="1">
        <v>0</v>
      </c>
      <c r="K367" s="1">
        <v>0</v>
      </c>
      <c r="L367" s="1">
        <v>0</v>
      </c>
      <c r="M367" s="18">
        <v>0</v>
      </c>
      <c r="N367" s="84">
        <v>0</v>
      </c>
      <c r="O367" s="84">
        <v>0</v>
      </c>
      <c r="P367" s="84">
        <v>0</v>
      </c>
      <c r="Q367" s="84">
        <v>0</v>
      </c>
      <c r="R367" s="293">
        <v>0</v>
      </c>
      <c r="S367" s="419">
        <v>0</v>
      </c>
      <c r="T367" s="412">
        <v>0</v>
      </c>
      <c r="U367" s="417" t="str">
        <f t="shared" si="154"/>
        <v>Normal</v>
      </c>
      <c r="V367" s="417" t="str">
        <f t="shared" si="155"/>
        <v>Normal</v>
      </c>
      <c r="W367" s="417">
        <f t="shared" si="156"/>
        <v>0</v>
      </c>
      <c r="X367" s="418">
        <f t="shared" si="157"/>
        <v>0</v>
      </c>
      <c r="Y367" s="340"/>
      <c r="Z367" s="340"/>
      <c r="AA367" s="340"/>
      <c r="AB367" s="340"/>
      <c r="AC367" s="338"/>
      <c r="AD367" s="338"/>
      <c r="AE367" s="338"/>
      <c r="AF367" s="338"/>
      <c r="AG367" s="338"/>
      <c r="AH367" s="338"/>
      <c r="AI367" s="338"/>
    </row>
    <row r="374" spans="13:17">
      <c r="M374" s="337">
        <f>AVERAGEIF(M2:M92, "&lt;&gt;0")</f>
        <v>0.90191780821917855</v>
      </c>
      <c r="N374">
        <f t="shared" ref="N374:Q374" si="180">AVERAGEIF(N2:N92, "&lt;&gt;0")</f>
        <v>4.0410958904109569E-2</v>
      </c>
      <c r="O374">
        <f t="shared" si="180"/>
        <v>0.9595890410958906</v>
      </c>
      <c r="P374" s="337">
        <f t="shared" si="180"/>
        <v>0.56027777777777787</v>
      </c>
      <c r="Q374">
        <f t="shared" si="180"/>
        <v>1</v>
      </c>
    </row>
  </sheetData>
  <mergeCells count="6">
    <mergeCell ref="BB134:BC134"/>
    <mergeCell ref="Z3:AB3"/>
    <mergeCell ref="AD3:AE3"/>
    <mergeCell ref="AG3:AH3"/>
    <mergeCell ref="Z8:AA8"/>
    <mergeCell ref="AD8:AE8"/>
  </mergeCells>
  <phoneticPr fontId="8" type="noConversion"/>
  <dataValidations disablePrompts="1" count="3">
    <dataValidation type="list" showInputMessage="1" showErrorMessage="1" sqref="AL127" xr:uid="{580175D9-E308-4204-A0F3-FA6EDD86E3C3}">
      <formula1>period_OECS</formula1>
    </dataValidation>
    <dataValidation type="list" allowBlank="1" showInputMessage="1" showErrorMessage="1" sqref="AL128" xr:uid="{79599377-70F8-49FB-9DAC-DE588EADEA64}">
      <formula1>period_OECS</formula1>
    </dataValidation>
    <dataValidation type="list" allowBlank="1" showInputMessage="1" showErrorMessage="1" sqref="AO7:AO8" xr:uid="{B8BB15A2-7ADB-4430-9759-82509986C7CD}">
      <formula1>WoW_dates_OECS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EF15-24EC-4123-A7AB-EEB4467F0080}">
  <sheetPr codeName="Sheet9"/>
  <dimension ref="A1:AN370"/>
  <sheetViews>
    <sheetView zoomScale="70" zoomScaleNormal="70" workbookViewId="0">
      <pane xSplit="1" ySplit="1" topLeftCell="K342" activePane="bottomRight" state="frozen"/>
      <selection pane="topRight" activeCell="B1" sqref="B1"/>
      <selection pane="bottomLeft" activeCell="A3" sqref="A3"/>
      <selection pane="bottomRight" activeCell="A367" sqref="A367"/>
    </sheetView>
  </sheetViews>
  <sheetFormatPr defaultRowHeight="14.5"/>
  <cols>
    <col min="2" max="2" width="19.26953125" bestFit="1" customWidth="1"/>
    <col min="3" max="3" width="19" bestFit="1" customWidth="1"/>
    <col min="4" max="4" width="18.08984375" bestFit="1" customWidth="1"/>
    <col min="5" max="5" width="10.36328125" customWidth="1"/>
    <col min="6" max="6" width="13.7265625" bestFit="1" customWidth="1"/>
    <col min="7" max="7" width="24.81640625" bestFit="1" customWidth="1"/>
    <col min="8" max="8" width="24.08984375" bestFit="1" customWidth="1"/>
    <col min="9" max="9" width="21.81640625" bestFit="1" customWidth="1"/>
    <col min="10" max="10" width="18.36328125" bestFit="1" customWidth="1"/>
    <col min="11" max="11" width="21" bestFit="1" customWidth="1"/>
    <col min="12" max="12" width="17.6328125" bestFit="1" customWidth="1"/>
    <col min="16" max="16" width="9" customWidth="1"/>
    <col min="20" max="20" width="20.453125" style="115" bestFit="1" customWidth="1"/>
    <col min="21" max="35" width="20.453125" style="338" customWidth="1"/>
    <col min="36" max="36" width="9.90625" customWidth="1"/>
    <col min="37" max="37" width="10.08984375" customWidth="1"/>
    <col min="38" max="38" width="23.1796875" customWidth="1"/>
    <col min="39" max="39" width="10.6328125" bestFit="1" customWidth="1"/>
  </cols>
  <sheetData>
    <row r="1" spans="1:40" ht="53.5" customHeight="1">
      <c r="A1" s="38" t="s">
        <v>36</v>
      </c>
      <c r="B1" s="38" t="s">
        <v>255</v>
      </c>
      <c r="C1" s="39" t="s">
        <v>55</v>
      </c>
      <c r="D1" s="39" t="s">
        <v>60</v>
      </c>
      <c r="E1" s="39" t="s">
        <v>59</v>
      </c>
      <c r="F1" s="39" t="s">
        <v>34</v>
      </c>
      <c r="G1" s="39" t="s">
        <v>234</v>
      </c>
      <c r="H1" s="39" t="s">
        <v>235</v>
      </c>
      <c r="I1" s="39" t="s">
        <v>56</v>
      </c>
      <c r="J1" s="39" t="s">
        <v>57</v>
      </c>
      <c r="K1" s="39" t="s">
        <v>100</v>
      </c>
      <c r="L1" s="39" t="s">
        <v>58</v>
      </c>
      <c r="M1" s="39" t="s">
        <v>32</v>
      </c>
      <c r="N1" s="39" t="s">
        <v>5</v>
      </c>
      <c r="O1" s="39" t="s">
        <v>4</v>
      </c>
      <c r="P1" s="39" t="s">
        <v>119</v>
      </c>
      <c r="Q1" s="40" t="s">
        <v>7</v>
      </c>
      <c r="R1" s="40" t="s">
        <v>79</v>
      </c>
      <c r="S1" s="40" t="s">
        <v>80</v>
      </c>
      <c r="T1" s="363" t="s">
        <v>77</v>
      </c>
      <c r="U1" s="367" t="s">
        <v>236</v>
      </c>
      <c r="V1" s="367" t="s">
        <v>237</v>
      </c>
      <c r="W1" s="367" t="s">
        <v>238</v>
      </c>
      <c r="X1" s="367" t="s">
        <v>239</v>
      </c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</row>
    <row r="2" spans="1:40">
      <c r="A2" s="32">
        <v>45017</v>
      </c>
      <c r="B2" s="32">
        <f>IF(YEAR(Table7[[#This Row],[Date]]) = 2023, WEEKNUM(Table7[[#This Row],[Date]])-13, WEEKNUM(Table7[[#This Row],[Date]])+40)</f>
        <v>0</v>
      </c>
      <c r="C2" s="34" t="s">
        <v>54</v>
      </c>
      <c r="D2" s="34" t="s">
        <v>94</v>
      </c>
      <c r="E2" s="1">
        <v>156</v>
      </c>
      <c r="F2" s="1">
        <v>150</v>
      </c>
      <c r="G2" s="64">
        <v>0.11428571428571428</v>
      </c>
      <c r="H2" s="64">
        <v>8.6956521739130432E-2</v>
      </c>
      <c r="I2" s="1">
        <v>156</v>
      </c>
      <c r="J2" s="1">
        <v>150</v>
      </c>
      <c r="K2" s="1">
        <v>156</v>
      </c>
      <c r="L2" s="1">
        <v>150</v>
      </c>
      <c r="M2" s="18">
        <v>0.97</v>
      </c>
      <c r="N2" s="18">
        <v>0.04</v>
      </c>
      <c r="O2" s="18">
        <v>0.96</v>
      </c>
      <c r="P2" s="18">
        <v>0.63</v>
      </c>
      <c r="Q2" s="22">
        <v>1</v>
      </c>
      <c r="R2" s="292">
        <v>79</v>
      </c>
      <c r="S2" s="292">
        <v>0</v>
      </c>
      <c r="T2" s="364">
        <v>3</v>
      </c>
      <c r="U2" s="368" t="str">
        <f>IF(OR(G2&lt;$AA$5,G2&gt;$AB$5), "Outlier", "Normal")</f>
        <v>Normal</v>
      </c>
      <c r="V2" s="368" t="str">
        <f>IF(OR(H2&lt;$AA$6,H2&gt;$AB$6), "Outlier", "Normal")</f>
        <v>Normal</v>
      </c>
      <c r="W2" s="81">
        <f>IF(U2="Normal",$G2,IF($G2&lt;150%, $G2, $AA$9))</f>
        <v>0.11428571428571428</v>
      </c>
      <c r="X2" s="81">
        <f>IF(V2="Normal",$H2,IF($H2&lt;150%, $H2, $AE$9))</f>
        <v>8.6956521739130432E-2</v>
      </c>
    </row>
    <row r="3" spans="1:40">
      <c r="A3" s="32">
        <v>45018</v>
      </c>
      <c r="B3" s="408">
        <f>IF(YEAR(Table7[[#This Row],[Date]]) = 2023, WEEKNUM(Table7[[#This Row],[Date]])-13, WEEKNUM(Table7[[#This Row],[Date]])+40)</f>
        <v>1</v>
      </c>
      <c r="C3" s="34" t="s">
        <v>48</v>
      </c>
      <c r="D3" s="34" t="s">
        <v>94</v>
      </c>
      <c r="E3" s="1">
        <v>0</v>
      </c>
      <c r="F3" s="1">
        <v>0</v>
      </c>
      <c r="G3" s="64">
        <v>0</v>
      </c>
      <c r="H3" s="64">
        <v>0</v>
      </c>
      <c r="I3" s="1">
        <v>0</v>
      </c>
      <c r="J3" s="1">
        <v>0</v>
      </c>
      <c r="K3" s="1">
        <v>0</v>
      </c>
      <c r="L3" s="1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293">
        <v>0</v>
      </c>
      <c r="S3" s="294">
        <v>0</v>
      </c>
      <c r="T3" s="365">
        <v>0</v>
      </c>
      <c r="U3" s="368" t="str">
        <f t="shared" ref="U3:U66" si="0">IF(OR(G3&lt;$AA$5,G3&gt;$AB$5), "Outlier", "Normal")</f>
        <v>Normal</v>
      </c>
      <c r="V3" s="368" t="str">
        <f t="shared" ref="V3:V66" si="1">IF(OR(H3&lt;$AA$6,H3&gt;$AB$6), "Outlier", "Normal")</f>
        <v>Normal</v>
      </c>
      <c r="W3" s="81">
        <f t="shared" ref="W3:W66" si="2">IF(U3="Normal",$G3,IF($G3&lt;150%, $G3, $AA$9))</f>
        <v>0</v>
      </c>
      <c r="X3" s="81">
        <f t="shared" ref="X3:X66" si="3">IF(V3="Normal",$H3,IF($H3&lt;150%, $H3, $AE$9))</f>
        <v>0</v>
      </c>
      <c r="Z3" s="431" t="s">
        <v>240</v>
      </c>
      <c r="AA3" s="431"/>
      <c r="AB3" s="431"/>
      <c r="AC3"/>
      <c r="AD3" s="431" t="s">
        <v>241</v>
      </c>
      <c r="AE3" s="431"/>
      <c r="AF3"/>
      <c r="AG3" s="431" t="s">
        <v>242</v>
      </c>
      <c r="AH3" s="431"/>
      <c r="AM3" t="s">
        <v>68</v>
      </c>
      <c r="AN3" s="16">
        <v>44654</v>
      </c>
    </row>
    <row r="4" spans="1:40">
      <c r="A4" s="32">
        <v>45019</v>
      </c>
      <c r="B4" s="408">
        <f>IF(YEAR(Table7[[#This Row],[Date]]) = 2023, WEEKNUM(Table7[[#This Row],[Date]])-13, WEEKNUM(Table7[[#This Row],[Date]])+40)</f>
        <v>1</v>
      </c>
      <c r="C4" s="34" t="s">
        <v>49</v>
      </c>
      <c r="D4" s="34" t="s">
        <v>94</v>
      </c>
      <c r="E4" s="1">
        <v>258</v>
      </c>
      <c r="F4" s="1">
        <v>248</v>
      </c>
      <c r="G4" s="64">
        <v>-1.1494252873563218E-2</v>
      </c>
      <c r="H4" s="64">
        <v>-1.5873015873015872E-2</v>
      </c>
      <c r="I4" s="1">
        <v>414</v>
      </c>
      <c r="J4" s="1">
        <v>398</v>
      </c>
      <c r="K4" s="1">
        <v>414</v>
      </c>
      <c r="L4" s="1">
        <v>398</v>
      </c>
      <c r="M4" s="18">
        <v>0.9</v>
      </c>
      <c r="N4" s="18">
        <v>0.04</v>
      </c>
      <c r="O4" s="18">
        <v>0.96</v>
      </c>
      <c r="P4" s="18">
        <v>0.76</v>
      </c>
      <c r="Q4" s="22">
        <v>1</v>
      </c>
      <c r="R4" s="294">
        <v>82</v>
      </c>
      <c r="S4" s="294">
        <v>0</v>
      </c>
      <c r="T4" s="365">
        <v>4</v>
      </c>
      <c r="U4" s="368" t="str">
        <f t="shared" si="0"/>
        <v>Normal</v>
      </c>
      <c r="V4" s="368" t="str">
        <f t="shared" si="1"/>
        <v>Normal</v>
      </c>
      <c r="W4" s="81">
        <f t="shared" si="2"/>
        <v>-1.1494252873563218E-2</v>
      </c>
      <c r="X4" s="81">
        <f t="shared" si="3"/>
        <v>-1.5873015873015872E-2</v>
      </c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-9.9520356692487835E-2</v>
      </c>
      <c r="AF4"/>
      <c r="AG4" s="1" t="s">
        <v>246</v>
      </c>
      <c r="AH4" s="346">
        <f>_xlfn.QUARTILE.INC(H:H, 1)</f>
        <v>-9.9714828897338403E-2</v>
      </c>
      <c r="AM4" t="s">
        <v>69</v>
      </c>
      <c r="AN4" s="16">
        <v>44675</v>
      </c>
    </row>
    <row r="5" spans="1:40">
      <c r="A5" s="32">
        <v>45020</v>
      </c>
      <c r="B5" s="408">
        <f>IF(YEAR(Table7[[#This Row],[Date]]) = 2023, WEEKNUM(Table7[[#This Row],[Date]])-13, WEEKNUM(Table7[[#This Row],[Date]])+40)</f>
        <v>1</v>
      </c>
      <c r="C5" s="34" t="s">
        <v>50</v>
      </c>
      <c r="D5" s="34" t="s">
        <v>94</v>
      </c>
      <c r="E5" s="1">
        <v>263</v>
      </c>
      <c r="F5" s="1">
        <v>259</v>
      </c>
      <c r="G5" s="64">
        <v>-1.4981273408239701E-2</v>
      </c>
      <c r="H5" s="64">
        <v>-1.893939393939394E-2</v>
      </c>
      <c r="I5" s="1">
        <v>677</v>
      </c>
      <c r="J5" s="1">
        <v>657</v>
      </c>
      <c r="K5" s="1">
        <v>677</v>
      </c>
      <c r="L5" s="1">
        <v>657</v>
      </c>
      <c r="M5" s="18">
        <v>0.87</v>
      </c>
      <c r="N5" s="18">
        <v>0.02</v>
      </c>
      <c r="O5" s="18">
        <v>0.98</v>
      </c>
      <c r="P5" s="18">
        <v>0.79</v>
      </c>
      <c r="Q5" s="22">
        <v>1</v>
      </c>
      <c r="R5" s="294">
        <v>80</v>
      </c>
      <c r="S5" s="294">
        <v>0</v>
      </c>
      <c r="T5" s="365">
        <v>3</v>
      </c>
      <c r="U5" s="368" t="str">
        <f t="shared" si="0"/>
        <v>Normal</v>
      </c>
      <c r="V5" s="368" t="str">
        <f t="shared" si="1"/>
        <v>Normal</v>
      </c>
      <c r="W5" s="81">
        <f t="shared" si="2"/>
        <v>-1.4981273408239701E-2</v>
      </c>
      <c r="X5" s="81">
        <f t="shared" si="3"/>
        <v>-1.893939393939394E-2</v>
      </c>
      <c r="Z5" s="218" t="s">
        <v>247</v>
      </c>
      <c r="AA5" s="19">
        <f>AE4-1.5*AE6</f>
        <v>-0.45398782641762869</v>
      </c>
      <c r="AB5" s="19">
        <f>AE5+1.5*AE6</f>
        <v>0.49125875951608028</v>
      </c>
      <c r="AC5"/>
      <c r="AD5" s="1" t="s">
        <v>248</v>
      </c>
      <c r="AE5" s="346">
        <f>_xlfn.QUARTILE.INC(G:G, 3)</f>
        <v>0.13679128979093941</v>
      </c>
      <c r="AF5"/>
      <c r="AG5" s="1" t="s">
        <v>248</v>
      </c>
      <c r="AH5" s="346">
        <f>_xlfn.QUARTILE.INC(H:H, 3)</f>
        <v>0.12680525571354129</v>
      </c>
    </row>
    <row r="6" spans="1:40">
      <c r="A6" s="32">
        <v>45021</v>
      </c>
      <c r="B6" s="408">
        <f>IF(YEAR(Table7[[#This Row],[Date]]) = 2023, WEEKNUM(Table7[[#This Row],[Date]])-13, WEEKNUM(Table7[[#This Row],[Date]])+40)</f>
        <v>1</v>
      </c>
      <c r="C6" s="34" t="s">
        <v>51</v>
      </c>
      <c r="D6" s="34" t="s">
        <v>94</v>
      </c>
      <c r="E6" s="1">
        <v>207</v>
      </c>
      <c r="F6" s="1">
        <v>202</v>
      </c>
      <c r="G6" s="64">
        <v>-1.8957345971563982E-2</v>
      </c>
      <c r="H6" s="64">
        <v>0.01</v>
      </c>
      <c r="I6" s="1">
        <v>884</v>
      </c>
      <c r="J6" s="1">
        <v>859</v>
      </c>
      <c r="K6" s="1">
        <v>884</v>
      </c>
      <c r="L6" s="1">
        <v>859</v>
      </c>
      <c r="M6" s="18">
        <v>0.9</v>
      </c>
      <c r="N6" s="18">
        <v>0.02</v>
      </c>
      <c r="O6" s="18">
        <v>0.98</v>
      </c>
      <c r="P6" s="18">
        <v>0.91</v>
      </c>
      <c r="Q6" s="22">
        <v>1</v>
      </c>
      <c r="R6" s="294">
        <v>125</v>
      </c>
      <c r="S6" s="294">
        <v>0</v>
      </c>
      <c r="T6" s="365">
        <v>3</v>
      </c>
      <c r="U6" s="368" t="str">
        <f t="shared" si="0"/>
        <v>Normal</v>
      </c>
      <c r="V6" s="368" t="str">
        <f t="shared" si="1"/>
        <v>Normal</v>
      </c>
      <c r="W6" s="81">
        <f t="shared" si="2"/>
        <v>-1.8957345971563982E-2</v>
      </c>
      <c r="X6" s="81">
        <f t="shared" si="3"/>
        <v>0.01</v>
      </c>
      <c r="Z6" s="218" t="s">
        <v>34</v>
      </c>
      <c r="AA6" s="19">
        <f>AH4-1.5*AH6</f>
        <v>-0.43949495581365794</v>
      </c>
      <c r="AB6" s="19">
        <f>AH5+1.5*AH6</f>
        <v>0.46658538262986082</v>
      </c>
      <c r="AC6"/>
      <c r="AD6" s="65" t="s">
        <v>249</v>
      </c>
      <c r="AE6" s="347">
        <f>AE5-AE4</f>
        <v>0.23631164648342723</v>
      </c>
      <c r="AF6"/>
      <c r="AG6" s="65" t="s">
        <v>249</v>
      </c>
      <c r="AH6" s="347">
        <f>AH5-AH4</f>
        <v>0.22652008461087969</v>
      </c>
    </row>
    <row r="7" spans="1:40">
      <c r="A7" s="32">
        <v>45022</v>
      </c>
      <c r="B7" s="408">
        <f>IF(YEAR(Table7[[#This Row],[Date]]) = 2023, WEEKNUM(Table7[[#This Row],[Date]])-13, WEEKNUM(Table7[[#This Row],[Date]])+40)</f>
        <v>1</v>
      </c>
      <c r="C7" s="34" t="s">
        <v>52</v>
      </c>
      <c r="D7" s="34" t="s">
        <v>94</v>
      </c>
      <c r="E7" s="1">
        <v>163</v>
      </c>
      <c r="F7" s="1">
        <v>156</v>
      </c>
      <c r="G7" s="64">
        <v>-0.29130434782608694</v>
      </c>
      <c r="H7" s="64">
        <v>-0.28767123287671231</v>
      </c>
      <c r="I7" s="1">
        <v>1047</v>
      </c>
      <c r="J7" s="1">
        <v>1015</v>
      </c>
      <c r="K7" s="1">
        <v>1047</v>
      </c>
      <c r="L7" s="1">
        <v>1015</v>
      </c>
      <c r="M7" s="18">
        <v>0.92</v>
      </c>
      <c r="N7" s="18">
        <v>0.04</v>
      </c>
      <c r="O7" s="18">
        <v>0.96</v>
      </c>
      <c r="P7" s="18">
        <v>0.76</v>
      </c>
      <c r="Q7" s="22">
        <v>1</v>
      </c>
      <c r="R7" s="294">
        <v>156</v>
      </c>
      <c r="S7" s="294">
        <v>0</v>
      </c>
      <c r="T7" s="365">
        <v>4</v>
      </c>
      <c r="U7" s="368" t="str">
        <f t="shared" si="0"/>
        <v>Normal</v>
      </c>
      <c r="V7" s="368" t="str">
        <f t="shared" si="1"/>
        <v>Normal</v>
      </c>
      <c r="W7" s="81">
        <f t="shared" si="2"/>
        <v>-0.29130434782608694</v>
      </c>
      <c r="X7" s="81">
        <f t="shared" si="3"/>
        <v>-0.28767123287671231</v>
      </c>
      <c r="Z7"/>
      <c r="AA7"/>
      <c r="AB7"/>
      <c r="AC7"/>
      <c r="AD7"/>
      <c r="AE7"/>
      <c r="AF7"/>
      <c r="AG7"/>
      <c r="AH7"/>
      <c r="AJ7" s="6" t="s">
        <v>65</v>
      </c>
      <c r="AK7" s="7" t="s">
        <v>66</v>
      </c>
      <c r="AL7" s="93" t="s">
        <v>67</v>
      </c>
    </row>
    <row r="8" spans="1:40">
      <c r="A8" s="32">
        <v>45023</v>
      </c>
      <c r="B8" s="408">
        <f>IF(YEAR(Table7[[#This Row],[Date]]) = 2023, WEEKNUM(Table7[[#This Row],[Date]])-13, WEEKNUM(Table7[[#This Row],[Date]])+40)</f>
        <v>1</v>
      </c>
      <c r="C8" s="34" t="s">
        <v>64</v>
      </c>
      <c r="D8" s="34" t="s">
        <v>94</v>
      </c>
      <c r="E8" s="1">
        <v>0</v>
      </c>
      <c r="F8" s="1">
        <v>0</v>
      </c>
      <c r="G8" s="64">
        <v>0</v>
      </c>
      <c r="H8" s="64">
        <v>0</v>
      </c>
      <c r="I8" s="1">
        <v>0</v>
      </c>
      <c r="J8" s="1">
        <v>0</v>
      </c>
      <c r="K8" s="1">
        <v>0</v>
      </c>
      <c r="L8" s="1">
        <v>0</v>
      </c>
      <c r="M8" s="18">
        <v>0</v>
      </c>
      <c r="N8" s="18">
        <v>0</v>
      </c>
      <c r="O8" s="18">
        <v>0</v>
      </c>
      <c r="P8" s="18">
        <v>0</v>
      </c>
      <c r="Q8" s="22">
        <v>0</v>
      </c>
      <c r="R8" s="294">
        <v>0</v>
      </c>
      <c r="S8" s="294">
        <v>0</v>
      </c>
      <c r="T8" s="365">
        <v>0</v>
      </c>
      <c r="U8" s="368" t="str">
        <f t="shared" si="0"/>
        <v>Normal</v>
      </c>
      <c r="V8" s="368" t="str">
        <f t="shared" si="1"/>
        <v>Normal</v>
      </c>
      <c r="W8" s="81">
        <f t="shared" si="2"/>
        <v>0</v>
      </c>
      <c r="X8" s="81">
        <f t="shared" si="3"/>
        <v>0</v>
      </c>
      <c r="Z8" s="432" t="s">
        <v>250</v>
      </c>
      <c r="AA8" s="433"/>
      <c r="AB8"/>
      <c r="AC8"/>
      <c r="AD8" s="432" t="s">
        <v>251</v>
      </c>
      <c r="AE8" s="433"/>
      <c r="AF8"/>
      <c r="AG8"/>
      <c r="AH8"/>
      <c r="AJ8" s="27">
        <v>45020</v>
      </c>
      <c r="AK8" s="1">
        <v>841</v>
      </c>
      <c r="AL8" s="94">
        <v>816</v>
      </c>
    </row>
    <row r="9" spans="1:40">
      <c r="A9" s="32">
        <v>45024</v>
      </c>
      <c r="B9" s="408">
        <f>IF(YEAR(Table7[[#This Row],[Date]]) = 2023, WEEKNUM(Table7[[#This Row],[Date]])-13, WEEKNUM(Table7[[#This Row],[Date]])+40)</f>
        <v>1</v>
      </c>
      <c r="C9" s="34" t="s">
        <v>54</v>
      </c>
      <c r="D9" s="34" t="s">
        <v>94</v>
      </c>
      <c r="E9" s="1">
        <v>208</v>
      </c>
      <c r="F9" s="1">
        <v>199</v>
      </c>
      <c r="G9" s="64">
        <v>0.33333333333333331</v>
      </c>
      <c r="H9" s="64">
        <v>0.32666666666666666</v>
      </c>
      <c r="I9" s="1">
        <v>1255</v>
      </c>
      <c r="J9" s="1">
        <v>1214</v>
      </c>
      <c r="K9" s="1">
        <v>1255</v>
      </c>
      <c r="L9" s="1">
        <v>1214</v>
      </c>
      <c r="M9" s="18">
        <v>0.88</v>
      </c>
      <c r="N9" s="18">
        <v>0.04</v>
      </c>
      <c r="O9" s="18">
        <v>0.96</v>
      </c>
      <c r="P9" s="18">
        <v>0.73</v>
      </c>
      <c r="Q9" s="22">
        <v>0.99</v>
      </c>
      <c r="R9" s="294">
        <v>74</v>
      </c>
      <c r="S9" s="294">
        <v>0</v>
      </c>
      <c r="T9" s="365">
        <v>2</v>
      </c>
      <c r="U9" s="368" t="str">
        <f t="shared" si="0"/>
        <v>Normal</v>
      </c>
      <c r="V9" s="368" t="str">
        <f t="shared" si="1"/>
        <v>Normal</v>
      </c>
      <c r="W9" s="81">
        <f t="shared" si="2"/>
        <v>0.33333333333333331</v>
      </c>
      <c r="X9" s="81">
        <f t="shared" si="3"/>
        <v>0.32666666666666666</v>
      </c>
      <c r="Z9" s="1" t="s">
        <v>252</v>
      </c>
      <c r="AA9" s="64">
        <f>AVERAGE(G2:G367)</f>
        <v>0.30866978799112715</v>
      </c>
      <c r="AB9"/>
      <c r="AC9"/>
      <c r="AD9" s="1" t="s">
        <v>252</v>
      </c>
      <c r="AE9" s="64">
        <f>AVERAGE(H2:H367)</f>
        <v>0.30815517891211569</v>
      </c>
      <c r="AF9"/>
      <c r="AG9"/>
      <c r="AH9"/>
      <c r="AJ9" s="27">
        <v>45027</v>
      </c>
      <c r="AK9" s="1">
        <v>1306</v>
      </c>
      <c r="AL9" s="94">
        <v>1234</v>
      </c>
    </row>
    <row r="10" spans="1:40">
      <c r="A10" s="32">
        <v>45025</v>
      </c>
      <c r="B10" s="408">
        <f>IF(YEAR(Table7[[#This Row],[Date]]) = 2023, WEEKNUM(Table7[[#This Row],[Date]])-13, WEEKNUM(Table7[[#This Row],[Date]])+40)</f>
        <v>2</v>
      </c>
      <c r="C10" s="34" t="s">
        <v>48</v>
      </c>
      <c r="D10" s="34" t="s">
        <v>94</v>
      </c>
      <c r="E10" s="1">
        <v>0</v>
      </c>
      <c r="F10" s="1">
        <v>0</v>
      </c>
      <c r="G10" s="64">
        <v>0</v>
      </c>
      <c r="H10" s="64">
        <v>0</v>
      </c>
      <c r="I10" s="1">
        <v>0</v>
      </c>
      <c r="J10" s="1">
        <v>0</v>
      </c>
      <c r="K10" s="1">
        <v>0</v>
      </c>
      <c r="L10" s="1">
        <v>0</v>
      </c>
      <c r="M10" s="18">
        <v>0</v>
      </c>
      <c r="N10" s="18">
        <v>0</v>
      </c>
      <c r="O10" s="18">
        <v>0</v>
      </c>
      <c r="P10" s="18">
        <v>0</v>
      </c>
      <c r="Q10" s="22">
        <v>0</v>
      </c>
      <c r="R10" s="294">
        <v>0</v>
      </c>
      <c r="S10" s="294">
        <v>0</v>
      </c>
      <c r="T10" s="365">
        <v>0</v>
      </c>
      <c r="U10" s="368" t="str">
        <f t="shared" si="0"/>
        <v>Normal</v>
      </c>
      <c r="V10" s="368" t="str">
        <f t="shared" si="1"/>
        <v>Normal</v>
      </c>
      <c r="W10" s="81">
        <f t="shared" si="2"/>
        <v>0</v>
      </c>
      <c r="X10" s="81">
        <f t="shared" si="3"/>
        <v>0</v>
      </c>
      <c r="Z10" s="1" t="s">
        <v>253</v>
      </c>
      <c r="AA10" s="19">
        <f>MEDIAN(G2:G367)</f>
        <v>0</v>
      </c>
      <c r="AB10"/>
      <c r="AC10"/>
      <c r="AD10" s="1" t="s">
        <v>253</v>
      </c>
      <c r="AE10" s="19">
        <f>MEDIAN(H2:H367)</f>
        <v>0</v>
      </c>
      <c r="AF10"/>
      <c r="AG10"/>
      <c r="AH10"/>
      <c r="AJ10" s="27">
        <v>45034</v>
      </c>
      <c r="AK10" s="1">
        <v>1421</v>
      </c>
      <c r="AL10" s="94">
        <v>1364</v>
      </c>
    </row>
    <row r="11" spans="1:40">
      <c r="A11" s="32">
        <v>45026</v>
      </c>
      <c r="B11" s="408">
        <f>IF(YEAR(Table7[[#This Row],[Date]]) = 2023, WEEKNUM(Table7[[#This Row],[Date]])-13, WEEKNUM(Table7[[#This Row],[Date]])+40)</f>
        <v>2</v>
      </c>
      <c r="C11" s="34" t="s">
        <v>64</v>
      </c>
      <c r="D11" s="34" t="s">
        <v>94</v>
      </c>
      <c r="E11" s="1">
        <v>0</v>
      </c>
      <c r="F11" s="1">
        <v>0</v>
      </c>
      <c r="G11" s="64">
        <v>0</v>
      </c>
      <c r="H11" s="64">
        <v>0</v>
      </c>
      <c r="I11" s="1">
        <v>0</v>
      </c>
      <c r="J11" s="1">
        <v>0</v>
      </c>
      <c r="K11" s="1">
        <v>0</v>
      </c>
      <c r="L11" s="1">
        <v>0</v>
      </c>
      <c r="M11" s="18">
        <v>0</v>
      </c>
      <c r="N11" s="18">
        <v>0</v>
      </c>
      <c r="O11" s="18">
        <v>0</v>
      </c>
      <c r="P11" s="18">
        <v>0</v>
      </c>
      <c r="Q11" s="22">
        <v>0</v>
      </c>
      <c r="R11" s="294">
        <v>0</v>
      </c>
      <c r="S11" s="294">
        <v>0</v>
      </c>
      <c r="T11" s="365">
        <v>0</v>
      </c>
      <c r="U11" s="368" t="str">
        <f t="shared" si="0"/>
        <v>Normal</v>
      </c>
      <c r="V11" s="368" t="str">
        <f t="shared" si="1"/>
        <v>Normal</v>
      </c>
      <c r="W11" s="81">
        <f t="shared" si="2"/>
        <v>0</v>
      </c>
      <c r="X11" s="81">
        <f t="shared" si="3"/>
        <v>0</v>
      </c>
      <c r="Z11" s="1" t="s">
        <v>254</v>
      </c>
      <c r="AA11" s="17">
        <f>_xlfn.MODE.SNGL(F2:F123)</f>
        <v>0</v>
      </c>
      <c r="AB11"/>
      <c r="AC11"/>
      <c r="AD11" s="1" t="s">
        <v>254</v>
      </c>
      <c r="AE11" s="1">
        <f>_xlfn.MODE.SNGL(I2:I123)</f>
        <v>0</v>
      </c>
      <c r="AF11"/>
      <c r="AG11"/>
      <c r="AH11"/>
      <c r="AJ11" s="27">
        <v>45041</v>
      </c>
      <c r="AK11" s="1">
        <v>1188</v>
      </c>
      <c r="AL11" s="94">
        <v>1141</v>
      </c>
    </row>
    <row r="12" spans="1:40">
      <c r="A12" s="32">
        <v>45027</v>
      </c>
      <c r="B12" s="408">
        <f>IF(YEAR(Table7[[#This Row],[Date]]) = 2023, WEEKNUM(Table7[[#This Row],[Date]])-13, WEEKNUM(Table7[[#This Row],[Date]])+40)</f>
        <v>2</v>
      </c>
      <c r="C12" s="34" t="s">
        <v>50</v>
      </c>
      <c r="D12" s="34" t="s">
        <v>94</v>
      </c>
      <c r="E12" s="1">
        <v>215</v>
      </c>
      <c r="F12" s="1">
        <v>206</v>
      </c>
      <c r="G12" s="64">
        <v>-0.18250950570342206</v>
      </c>
      <c r="H12" s="64">
        <v>-0.20463320463320464</v>
      </c>
      <c r="I12" s="1">
        <v>1470</v>
      </c>
      <c r="J12" s="1">
        <v>1420</v>
      </c>
      <c r="K12" s="1">
        <v>1470</v>
      </c>
      <c r="L12" s="1">
        <v>1420</v>
      </c>
      <c r="M12" s="18">
        <v>0.92</v>
      </c>
      <c r="N12" s="18">
        <v>0.04</v>
      </c>
      <c r="O12" s="18">
        <v>0.96</v>
      </c>
      <c r="P12" s="18">
        <v>0.71</v>
      </c>
      <c r="Q12" s="22">
        <v>1</v>
      </c>
      <c r="R12" s="294">
        <v>109</v>
      </c>
      <c r="S12" s="294">
        <v>0</v>
      </c>
      <c r="T12" s="365">
        <v>3</v>
      </c>
      <c r="U12" s="368" t="str">
        <f t="shared" si="0"/>
        <v>Normal</v>
      </c>
      <c r="V12" s="368" t="str">
        <f t="shared" si="1"/>
        <v>Normal</v>
      </c>
      <c r="W12" s="81">
        <f t="shared" si="2"/>
        <v>-0.18250950570342206</v>
      </c>
      <c r="X12" s="81">
        <f t="shared" si="3"/>
        <v>-0.20463320463320464</v>
      </c>
      <c r="AJ12" s="27">
        <v>45048</v>
      </c>
      <c r="AK12" s="1">
        <v>1385</v>
      </c>
      <c r="AL12" s="94">
        <v>1344</v>
      </c>
    </row>
    <row r="13" spans="1:40">
      <c r="A13" s="32">
        <v>45028</v>
      </c>
      <c r="B13" s="408">
        <f>IF(YEAR(Table7[[#This Row],[Date]]) = 2023, WEEKNUM(Table7[[#This Row],[Date]])-13, WEEKNUM(Table7[[#This Row],[Date]])+40)</f>
        <v>2</v>
      </c>
      <c r="C13" s="34" t="s">
        <v>51</v>
      </c>
      <c r="D13" s="34" t="s">
        <v>94</v>
      </c>
      <c r="E13" s="1">
        <v>253</v>
      </c>
      <c r="F13" s="1">
        <v>227</v>
      </c>
      <c r="G13" s="64">
        <v>0.22222222222222221</v>
      </c>
      <c r="H13" s="64">
        <v>0.12376237623762376</v>
      </c>
      <c r="I13" s="1">
        <v>1723</v>
      </c>
      <c r="J13" s="1">
        <v>1647</v>
      </c>
      <c r="K13" s="1">
        <v>1723</v>
      </c>
      <c r="L13" s="1">
        <v>1647</v>
      </c>
      <c r="M13" s="18">
        <v>0.76</v>
      </c>
      <c r="N13" s="18">
        <v>0.1</v>
      </c>
      <c r="O13" s="18">
        <v>0.9</v>
      </c>
      <c r="P13" s="18">
        <v>0.81</v>
      </c>
      <c r="Q13" s="22">
        <v>1</v>
      </c>
      <c r="R13" s="294">
        <v>156</v>
      </c>
      <c r="S13" s="294">
        <v>0</v>
      </c>
      <c r="T13" s="365">
        <v>2</v>
      </c>
      <c r="U13" s="368" t="str">
        <f t="shared" si="0"/>
        <v>Normal</v>
      </c>
      <c r="V13" s="368" t="str">
        <f t="shared" si="1"/>
        <v>Normal</v>
      </c>
      <c r="W13" s="81">
        <f t="shared" si="2"/>
        <v>0.22222222222222221</v>
      </c>
      <c r="X13" s="81">
        <f t="shared" si="3"/>
        <v>0.12376237623762376</v>
      </c>
      <c r="AJ13" s="27">
        <v>45055</v>
      </c>
      <c r="AK13" s="1">
        <v>1003</v>
      </c>
      <c r="AL13" s="94">
        <v>966</v>
      </c>
    </row>
    <row r="14" spans="1:40">
      <c r="A14" s="32">
        <v>45029</v>
      </c>
      <c r="B14" s="408">
        <f>IF(YEAR(Table7[[#This Row],[Date]]) = 2023, WEEKNUM(Table7[[#This Row],[Date]])-13, WEEKNUM(Table7[[#This Row],[Date]])+40)</f>
        <v>2</v>
      </c>
      <c r="C14" s="34" t="s">
        <v>52</v>
      </c>
      <c r="D14" s="34" t="s">
        <v>94</v>
      </c>
      <c r="E14" s="1">
        <v>191</v>
      </c>
      <c r="F14" s="1">
        <v>186</v>
      </c>
      <c r="G14" s="64">
        <v>0.17177914110429449</v>
      </c>
      <c r="H14" s="64">
        <v>0.19230769230769232</v>
      </c>
      <c r="I14" s="1">
        <v>1914</v>
      </c>
      <c r="J14" s="1">
        <v>1833</v>
      </c>
      <c r="K14" s="1">
        <v>1914</v>
      </c>
      <c r="L14" s="1">
        <v>1833</v>
      </c>
      <c r="M14" s="18">
        <v>0.96</v>
      </c>
      <c r="N14" s="18">
        <v>0.03</v>
      </c>
      <c r="O14" s="18">
        <v>0.97</v>
      </c>
      <c r="P14" s="18">
        <v>0.65</v>
      </c>
      <c r="Q14" s="22">
        <v>1</v>
      </c>
      <c r="R14" s="294">
        <v>107</v>
      </c>
      <c r="S14" s="294">
        <v>0</v>
      </c>
      <c r="T14" s="365">
        <v>3</v>
      </c>
      <c r="U14" s="368" t="str">
        <f t="shared" si="0"/>
        <v>Normal</v>
      </c>
      <c r="V14" s="368" t="str">
        <f t="shared" si="1"/>
        <v>Normal</v>
      </c>
      <c r="W14" s="81">
        <f t="shared" si="2"/>
        <v>0.17177914110429449</v>
      </c>
      <c r="X14" s="81">
        <f t="shared" si="3"/>
        <v>0.19230769230769232</v>
      </c>
      <c r="AJ14" s="27">
        <v>45062</v>
      </c>
      <c r="AK14" s="1">
        <v>1077</v>
      </c>
      <c r="AL14" s="94">
        <v>1024</v>
      </c>
    </row>
    <row r="15" spans="1:40">
      <c r="A15" s="32">
        <v>45030</v>
      </c>
      <c r="B15" s="408">
        <f>IF(YEAR(Table7[[#This Row],[Date]]) = 2023, WEEKNUM(Table7[[#This Row],[Date]])-13, WEEKNUM(Table7[[#This Row],[Date]])+40)</f>
        <v>2</v>
      </c>
      <c r="C15" s="34" t="s">
        <v>53</v>
      </c>
      <c r="D15" s="34" t="s">
        <v>94</v>
      </c>
      <c r="E15" s="1">
        <v>227</v>
      </c>
      <c r="F15" s="1">
        <v>215</v>
      </c>
      <c r="G15" s="64">
        <v>0</v>
      </c>
      <c r="H15" s="64">
        <v>0</v>
      </c>
      <c r="I15" s="1">
        <v>2141</v>
      </c>
      <c r="J15" s="1">
        <v>2048</v>
      </c>
      <c r="K15" s="1">
        <v>2141</v>
      </c>
      <c r="L15" s="1">
        <v>2048</v>
      </c>
      <c r="M15" s="18">
        <v>0.84</v>
      </c>
      <c r="N15" s="18">
        <v>0.05</v>
      </c>
      <c r="O15" s="18">
        <v>0.95</v>
      </c>
      <c r="P15" s="18">
        <v>0.65</v>
      </c>
      <c r="Q15" s="22">
        <v>1</v>
      </c>
      <c r="R15" s="294">
        <v>107</v>
      </c>
      <c r="S15" s="294">
        <v>0</v>
      </c>
      <c r="T15" s="365">
        <v>2</v>
      </c>
      <c r="U15" s="368" t="str">
        <f t="shared" si="0"/>
        <v>Normal</v>
      </c>
      <c r="V15" s="368" t="str">
        <f t="shared" si="1"/>
        <v>Normal</v>
      </c>
      <c r="W15" s="81">
        <f t="shared" si="2"/>
        <v>0</v>
      </c>
      <c r="X15" s="81">
        <f t="shared" si="3"/>
        <v>0</v>
      </c>
      <c r="AJ15" s="27">
        <v>45069</v>
      </c>
      <c r="AK15" s="1">
        <v>944</v>
      </c>
      <c r="AL15" s="94">
        <v>903</v>
      </c>
    </row>
    <row r="16" spans="1:40">
      <c r="A16" s="32">
        <v>45031</v>
      </c>
      <c r="B16" s="408">
        <f>IF(YEAR(Table7[[#This Row],[Date]]) = 2023, WEEKNUM(Table7[[#This Row],[Date]])-13, WEEKNUM(Table7[[#This Row],[Date]])+40)</f>
        <v>2</v>
      </c>
      <c r="C16" s="34" t="s">
        <v>54</v>
      </c>
      <c r="D16" s="34" t="s">
        <v>94</v>
      </c>
      <c r="E16" s="1">
        <v>123</v>
      </c>
      <c r="F16" s="1">
        <v>117</v>
      </c>
      <c r="G16" s="64">
        <v>-0.40865384615384615</v>
      </c>
      <c r="H16" s="64">
        <v>-0.4120603015075377</v>
      </c>
      <c r="I16" s="1">
        <v>2264</v>
      </c>
      <c r="J16" s="1">
        <v>2165</v>
      </c>
      <c r="K16" s="1">
        <v>2264</v>
      </c>
      <c r="L16" s="1">
        <v>2165</v>
      </c>
      <c r="M16" s="18">
        <v>0.95</v>
      </c>
      <c r="N16" s="18">
        <v>0.05</v>
      </c>
      <c r="O16" s="18">
        <v>0.95</v>
      </c>
      <c r="P16" s="18">
        <v>0.56999999999999995</v>
      </c>
      <c r="Q16" s="18">
        <v>1</v>
      </c>
      <c r="R16" s="294">
        <v>71</v>
      </c>
      <c r="S16" s="294">
        <v>0</v>
      </c>
      <c r="T16" s="365">
        <v>5</v>
      </c>
      <c r="U16" s="368" t="str">
        <f t="shared" si="0"/>
        <v>Normal</v>
      </c>
      <c r="V16" s="368" t="str">
        <f t="shared" si="1"/>
        <v>Normal</v>
      </c>
      <c r="W16" s="81">
        <f t="shared" si="2"/>
        <v>-0.40865384615384615</v>
      </c>
      <c r="X16" s="81">
        <f t="shared" si="3"/>
        <v>-0.4120603015075377</v>
      </c>
      <c r="AJ16" s="27">
        <v>45076</v>
      </c>
      <c r="AK16" s="1">
        <v>411</v>
      </c>
      <c r="AL16" s="94">
        <v>391</v>
      </c>
    </row>
    <row r="17" spans="1:38">
      <c r="A17" s="32">
        <v>45032</v>
      </c>
      <c r="B17" s="408">
        <f>IF(YEAR(Table7[[#This Row],[Date]]) = 2023, WEEKNUM(Table7[[#This Row],[Date]])-13, WEEKNUM(Table7[[#This Row],[Date]])+40)</f>
        <v>3</v>
      </c>
      <c r="C17" s="34" t="s">
        <v>48</v>
      </c>
      <c r="D17" s="34" t="s">
        <v>94</v>
      </c>
      <c r="E17" s="1">
        <v>0</v>
      </c>
      <c r="F17" s="1">
        <v>0</v>
      </c>
      <c r="G17" s="64">
        <v>0</v>
      </c>
      <c r="H17" s="64">
        <v>0</v>
      </c>
      <c r="I17" s="1">
        <v>0</v>
      </c>
      <c r="J17" s="1">
        <v>0</v>
      </c>
      <c r="K17" s="1">
        <v>0</v>
      </c>
      <c r="L17" s="1">
        <v>0</v>
      </c>
      <c r="M17" s="18">
        <v>0</v>
      </c>
      <c r="N17" s="18">
        <v>0</v>
      </c>
      <c r="O17" s="18">
        <v>0</v>
      </c>
      <c r="P17" s="18">
        <v>0</v>
      </c>
      <c r="Q17" s="22">
        <v>0</v>
      </c>
      <c r="R17" s="294">
        <v>0</v>
      </c>
      <c r="S17" s="294">
        <v>0</v>
      </c>
      <c r="T17" s="365">
        <v>0</v>
      </c>
      <c r="U17" s="368" t="str">
        <f t="shared" si="0"/>
        <v>Normal</v>
      </c>
      <c r="V17" s="368" t="str">
        <f t="shared" si="1"/>
        <v>Normal</v>
      </c>
      <c r="W17" s="81">
        <f t="shared" si="2"/>
        <v>0</v>
      </c>
      <c r="X17" s="81">
        <f t="shared" si="3"/>
        <v>0</v>
      </c>
      <c r="AJ17" s="27">
        <v>45083</v>
      </c>
      <c r="AK17" s="1">
        <v>0</v>
      </c>
      <c r="AL17" s="94">
        <v>0</v>
      </c>
    </row>
    <row r="18" spans="1:38">
      <c r="A18" s="32">
        <v>45033</v>
      </c>
      <c r="B18" s="408">
        <f>IF(YEAR(Table7[[#This Row],[Date]]) = 2023, WEEKNUM(Table7[[#This Row],[Date]])-13, WEEKNUM(Table7[[#This Row],[Date]])+40)</f>
        <v>3</v>
      </c>
      <c r="C18" s="34" t="s">
        <v>49</v>
      </c>
      <c r="D18" s="34" t="s">
        <v>94</v>
      </c>
      <c r="E18" s="1">
        <v>297</v>
      </c>
      <c r="F18" s="1">
        <v>283</v>
      </c>
      <c r="G18" s="64">
        <v>0</v>
      </c>
      <c r="H18" s="64">
        <v>0</v>
      </c>
      <c r="I18" s="1">
        <v>2561</v>
      </c>
      <c r="J18" s="1">
        <v>2448</v>
      </c>
      <c r="K18" s="1">
        <v>2561</v>
      </c>
      <c r="L18" s="1">
        <v>2448</v>
      </c>
      <c r="M18" s="18">
        <v>0.94</v>
      </c>
      <c r="N18" s="18">
        <v>0.05</v>
      </c>
      <c r="O18" s="18">
        <v>0.95</v>
      </c>
      <c r="P18" s="18">
        <v>0.73</v>
      </c>
      <c r="Q18" s="22">
        <v>1</v>
      </c>
      <c r="R18" s="294">
        <v>79</v>
      </c>
      <c r="S18" s="294">
        <v>0</v>
      </c>
      <c r="T18" s="365">
        <v>3</v>
      </c>
      <c r="U18" s="368" t="str">
        <f t="shared" si="0"/>
        <v>Normal</v>
      </c>
      <c r="V18" s="368" t="str">
        <f t="shared" si="1"/>
        <v>Normal</v>
      </c>
      <c r="W18" s="81">
        <f t="shared" si="2"/>
        <v>0</v>
      </c>
      <c r="X18" s="81">
        <f t="shared" si="3"/>
        <v>0</v>
      </c>
      <c r="AJ18" s="27">
        <v>45090</v>
      </c>
      <c r="AK18" s="1">
        <v>0</v>
      </c>
      <c r="AL18" s="94">
        <v>0</v>
      </c>
    </row>
    <row r="19" spans="1:38">
      <c r="A19" s="32">
        <v>45034</v>
      </c>
      <c r="B19" s="408">
        <f>IF(YEAR(Table7[[#This Row],[Date]]) = 2023, WEEKNUM(Table7[[#This Row],[Date]])-13, WEEKNUM(Table7[[#This Row],[Date]])+40)</f>
        <v>3</v>
      </c>
      <c r="C19" s="34" t="s">
        <v>50</v>
      </c>
      <c r="D19" s="34" t="s">
        <v>94</v>
      </c>
      <c r="E19" s="1">
        <v>298</v>
      </c>
      <c r="F19" s="1">
        <v>290</v>
      </c>
      <c r="G19" s="64">
        <v>0.38604651162790699</v>
      </c>
      <c r="H19" s="64">
        <v>0.40776699029126212</v>
      </c>
      <c r="I19" s="1">
        <v>2859</v>
      </c>
      <c r="J19" s="1">
        <v>2738</v>
      </c>
      <c r="K19" s="1">
        <v>2859</v>
      </c>
      <c r="L19" s="1">
        <v>2738</v>
      </c>
      <c r="M19" s="18">
        <v>0.94</v>
      </c>
      <c r="N19" s="18">
        <v>0.03</v>
      </c>
      <c r="O19" s="18">
        <v>0.97</v>
      </c>
      <c r="P19" s="18">
        <v>0.84</v>
      </c>
      <c r="Q19" s="22">
        <v>1</v>
      </c>
      <c r="R19" s="294">
        <v>64</v>
      </c>
      <c r="S19" s="294">
        <v>0</v>
      </c>
      <c r="T19" s="365">
        <v>3</v>
      </c>
      <c r="U19" s="368" t="str">
        <f t="shared" si="0"/>
        <v>Normal</v>
      </c>
      <c r="V19" s="368" t="str">
        <f t="shared" si="1"/>
        <v>Normal</v>
      </c>
      <c r="W19" s="81">
        <f t="shared" si="2"/>
        <v>0.38604651162790699</v>
      </c>
      <c r="X19" s="81">
        <f t="shared" si="3"/>
        <v>0.40776699029126212</v>
      </c>
      <c r="AJ19" s="27">
        <v>45097</v>
      </c>
      <c r="AK19" s="1">
        <v>0</v>
      </c>
      <c r="AL19" s="94">
        <v>0</v>
      </c>
    </row>
    <row r="20" spans="1:38">
      <c r="A20" s="32">
        <v>45035</v>
      </c>
      <c r="B20" s="408">
        <f>IF(YEAR(Table7[[#This Row],[Date]]) = 2023, WEEKNUM(Table7[[#This Row],[Date]])-13, WEEKNUM(Table7[[#This Row],[Date]])+40)</f>
        <v>3</v>
      </c>
      <c r="C20" s="34" t="s">
        <v>51</v>
      </c>
      <c r="D20" s="34" t="s">
        <v>94</v>
      </c>
      <c r="E20" s="1">
        <v>248</v>
      </c>
      <c r="F20" s="1">
        <v>240</v>
      </c>
      <c r="G20" s="64">
        <v>-1.9762845849802372E-2</v>
      </c>
      <c r="H20" s="64">
        <v>5.7268722466960353E-2</v>
      </c>
      <c r="I20" s="1">
        <v>3107</v>
      </c>
      <c r="J20" s="1">
        <v>2978</v>
      </c>
      <c r="K20" s="1">
        <v>3107</v>
      </c>
      <c r="L20" s="1">
        <v>2978</v>
      </c>
      <c r="M20" s="18">
        <v>0.89</v>
      </c>
      <c r="N20" s="18">
        <v>0.03</v>
      </c>
      <c r="O20" s="18">
        <v>0.97</v>
      </c>
      <c r="P20" s="18">
        <v>0.8</v>
      </c>
      <c r="Q20" s="22">
        <v>1</v>
      </c>
      <c r="R20" s="294">
        <v>90</v>
      </c>
      <c r="S20" s="294">
        <v>0</v>
      </c>
      <c r="T20" s="365">
        <v>3</v>
      </c>
      <c r="U20" s="368" t="str">
        <f t="shared" si="0"/>
        <v>Normal</v>
      </c>
      <c r="V20" s="368" t="str">
        <f t="shared" si="1"/>
        <v>Normal</v>
      </c>
      <c r="W20" s="81">
        <f t="shared" si="2"/>
        <v>-1.9762845849802372E-2</v>
      </c>
      <c r="X20" s="81">
        <f t="shared" si="3"/>
        <v>5.7268722466960353E-2</v>
      </c>
      <c r="AJ20" s="27">
        <v>45104</v>
      </c>
      <c r="AK20" s="1">
        <v>0</v>
      </c>
      <c r="AL20" s="94">
        <v>0</v>
      </c>
    </row>
    <row r="21" spans="1:38">
      <c r="A21" s="32">
        <v>45036</v>
      </c>
      <c r="B21" s="408">
        <f>IF(YEAR(Table7[[#This Row],[Date]]) = 2023, WEEKNUM(Table7[[#This Row],[Date]])-13, WEEKNUM(Table7[[#This Row],[Date]])+40)</f>
        <v>3</v>
      </c>
      <c r="C21" s="34" t="s">
        <v>52</v>
      </c>
      <c r="D21" s="34" t="s">
        <v>94</v>
      </c>
      <c r="E21" s="1">
        <v>290</v>
      </c>
      <c r="F21" s="1">
        <v>274</v>
      </c>
      <c r="G21" s="64">
        <v>0.51832460732984298</v>
      </c>
      <c r="H21" s="64">
        <v>0.4731182795698925</v>
      </c>
      <c r="I21" s="1">
        <v>3397</v>
      </c>
      <c r="J21" s="1">
        <v>3252</v>
      </c>
      <c r="K21" s="1">
        <v>3397</v>
      </c>
      <c r="L21" s="1">
        <v>3252</v>
      </c>
      <c r="M21" s="18">
        <v>0.83</v>
      </c>
      <c r="N21" s="18">
        <v>0.06</v>
      </c>
      <c r="O21" s="18">
        <v>0.94</v>
      </c>
      <c r="P21" s="18">
        <v>0.73</v>
      </c>
      <c r="Q21" s="22">
        <v>1</v>
      </c>
      <c r="R21" s="294">
        <v>80</v>
      </c>
      <c r="S21" s="294">
        <v>0</v>
      </c>
      <c r="T21" s="365">
        <v>3</v>
      </c>
      <c r="U21" s="368" t="str">
        <f t="shared" si="0"/>
        <v>Outlier</v>
      </c>
      <c r="V21" s="368" t="str">
        <f t="shared" si="1"/>
        <v>Outlier</v>
      </c>
      <c r="W21" s="81">
        <f t="shared" si="2"/>
        <v>0.51832460732984298</v>
      </c>
      <c r="X21" s="81">
        <f t="shared" si="3"/>
        <v>0.4731182795698925</v>
      </c>
      <c r="AJ21" s="27">
        <v>45111</v>
      </c>
      <c r="AK21" s="1">
        <v>0</v>
      </c>
      <c r="AL21" s="94">
        <v>0</v>
      </c>
    </row>
    <row r="22" spans="1:38">
      <c r="A22" s="32">
        <v>45037</v>
      </c>
      <c r="B22" s="408">
        <f>IF(YEAR(Table7[[#This Row],[Date]]) = 2023, WEEKNUM(Table7[[#This Row],[Date]])-13, WEEKNUM(Table7[[#This Row],[Date]])+40)</f>
        <v>3</v>
      </c>
      <c r="C22" s="34" t="s">
        <v>53</v>
      </c>
      <c r="D22" s="34" t="s">
        <v>94</v>
      </c>
      <c r="E22" s="1">
        <v>178</v>
      </c>
      <c r="F22" s="1">
        <v>170</v>
      </c>
      <c r="G22" s="64">
        <v>-0.21585903083700442</v>
      </c>
      <c r="H22" s="64">
        <v>-0.20930232558139536</v>
      </c>
      <c r="I22" s="1">
        <v>3575</v>
      </c>
      <c r="J22" s="1">
        <v>3422</v>
      </c>
      <c r="K22" s="1">
        <v>3575</v>
      </c>
      <c r="L22" s="1">
        <v>3422</v>
      </c>
      <c r="M22" s="18">
        <v>0.92</v>
      </c>
      <c r="N22" s="18">
        <v>0.04</v>
      </c>
      <c r="O22" s="18">
        <v>0.96</v>
      </c>
      <c r="P22" s="18">
        <v>0.59</v>
      </c>
      <c r="Q22" s="22">
        <v>1</v>
      </c>
      <c r="R22" s="294">
        <v>94</v>
      </c>
      <c r="S22" s="294">
        <v>0</v>
      </c>
      <c r="T22" s="365">
        <v>3</v>
      </c>
      <c r="U22" s="368" t="str">
        <f t="shared" si="0"/>
        <v>Normal</v>
      </c>
      <c r="V22" s="368" t="str">
        <f t="shared" si="1"/>
        <v>Normal</v>
      </c>
      <c r="W22" s="81">
        <f t="shared" si="2"/>
        <v>-0.21585903083700442</v>
      </c>
      <c r="X22" s="81">
        <f t="shared" si="3"/>
        <v>-0.20930232558139536</v>
      </c>
      <c r="AJ22" s="27">
        <v>45118</v>
      </c>
      <c r="AK22" s="1">
        <v>0</v>
      </c>
      <c r="AL22" s="94">
        <v>0</v>
      </c>
    </row>
    <row r="23" spans="1:38">
      <c r="A23" s="32">
        <v>45038</v>
      </c>
      <c r="B23" s="408">
        <f>IF(YEAR(Table7[[#This Row],[Date]]) = 2023, WEEKNUM(Table7[[#This Row],[Date]])-13, WEEKNUM(Table7[[#This Row],[Date]])+40)</f>
        <v>3</v>
      </c>
      <c r="C23" s="34" t="s">
        <v>54</v>
      </c>
      <c r="D23" s="34" t="s">
        <v>94</v>
      </c>
      <c r="E23" s="1">
        <v>140</v>
      </c>
      <c r="F23" s="1">
        <v>133</v>
      </c>
      <c r="G23" s="64">
        <v>0.13821138211382114</v>
      </c>
      <c r="H23" s="64">
        <v>0.13675213675213677</v>
      </c>
      <c r="I23" s="1">
        <v>3715</v>
      </c>
      <c r="J23" s="1">
        <v>3555</v>
      </c>
      <c r="K23" s="1">
        <v>3715</v>
      </c>
      <c r="L23" s="1">
        <v>3555</v>
      </c>
      <c r="M23" s="18">
        <v>0.9</v>
      </c>
      <c r="N23" s="18">
        <v>0.05</v>
      </c>
      <c r="O23" s="18">
        <v>0.95</v>
      </c>
      <c r="P23" s="18">
        <v>0.66</v>
      </c>
      <c r="Q23" s="22">
        <v>1</v>
      </c>
      <c r="R23" s="294">
        <v>100</v>
      </c>
      <c r="S23" s="294">
        <v>0</v>
      </c>
      <c r="T23" s="365">
        <v>2</v>
      </c>
      <c r="U23" s="368" t="str">
        <f t="shared" si="0"/>
        <v>Normal</v>
      </c>
      <c r="V23" s="368" t="str">
        <f t="shared" si="1"/>
        <v>Normal</v>
      </c>
      <c r="W23" s="81">
        <f t="shared" si="2"/>
        <v>0.13821138211382114</v>
      </c>
      <c r="X23" s="81">
        <f t="shared" si="3"/>
        <v>0.13675213675213677</v>
      </c>
      <c r="AJ23" s="27">
        <v>45125</v>
      </c>
      <c r="AK23" s="1">
        <v>0</v>
      </c>
      <c r="AL23" s="94">
        <v>0</v>
      </c>
    </row>
    <row r="24" spans="1:38">
      <c r="A24" s="32">
        <v>45039</v>
      </c>
      <c r="B24" s="408">
        <f>IF(YEAR(Table7[[#This Row],[Date]]) = 2023, WEEKNUM(Table7[[#This Row],[Date]])-13, WEEKNUM(Table7[[#This Row],[Date]])+40)</f>
        <v>4</v>
      </c>
      <c r="C24" s="34" t="s">
        <v>48</v>
      </c>
      <c r="D24" s="34" t="s">
        <v>94</v>
      </c>
      <c r="E24" s="1">
        <v>0</v>
      </c>
      <c r="F24" s="1">
        <v>0</v>
      </c>
      <c r="G24" s="64">
        <v>0</v>
      </c>
      <c r="H24" s="64">
        <v>0</v>
      </c>
      <c r="I24" s="1">
        <v>0</v>
      </c>
      <c r="J24" s="1">
        <v>0</v>
      </c>
      <c r="K24" s="1">
        <v>0</v>
      </c>
      <c r="L24" s="1">
        <v>0</v>
      </c>
      <c r="M24" s="18">
        <v>0</v>
      </c>
      <c r="N24" s="18">
        <v>0</v>
      </c>
      <c r="O24" s="18">
        <v>0</v>
      </c>
      <c r="P24" s="18">
        <v>0</v>
      </c>
      <c r="Q24" s="22">
        <v>0</v>
      </c>
      <c r="R24" s="294">
        <v>0</v>
      </c>
      <c r="S24" s="294">
        <v>0</v>
      </c>
      <c r="T24" s="365">
        <v>0</v>
      </c>
      <c r="U24" s="368" t="str">
        <f t="shared" si="0"/>
        <v>Normal</v>
      </c>
      <c r="V24" s="368" t="str">
        <f t="shared" si="1"/>
        <v>Normal</v>
      </c>
      <c r="W24" s="81">
        <f t="shared" si="2"/>
        <v>0</v>
      </c>
      <c r="X24" s="81">
        <f t="shared" si="3"/>
        <v>0</v>
      </c>
      <c r="AJ24" s="32">
        <v>45132</v>
      </c>
      <c r="AK24" s="37">
        <v>0</v>
      </c>
      <c r="AL24" s="92">
        <v>0</v>
      </c>
    </row>
    <row r="25" spans="1:38">
      <c r="A25" s="32">
        <v>45040</v>
      </c>
      <c r="B25" s="408">
        <f>IF(YEAR(Table7[[#This Row],[Date]]) = 2023, WEEKNUM(Table7[[#This Row],[Date]])-13, WEEKNUM(Table7[[#This Row],[Date]])+40)</f>
        <v>4</v>
      </c>
      <c r="C25" s="34" t="s">
        <v>49</v>
      </c>
      <c r="D25" s="34" t="s">
        <v>94</v>
      </c>
      <c r="E25" s="1">
        <v>267</v>
      </c>
      <c r="F25" s="1">
        <v>257</v>
      </c>
      <c r="G25" s="64">
        <v>-0.10101010101010101</v>
      </c>
      <c r="H25" s="64">
        <v>-9.187279151943463E-2</v>
      </c>
      <c r="I25" s="1">
        <v>3982</v>
      </c>
      <c r="J25" s="1">
        <v>3812</v>
      </c>
      <c r="K25" s="1">
        <v>3982</v>
      </c>
      <c r="L25" s="1">
        <v>3812</v>
      </c>
      <c r="M25" s="18">
        <v>0.96</v>
      </c>
      <c r="N25" s="18">
        <v>0.04</v>
      </c>
      <c r="O25" s="18">
        <v>0.96</v>
      </c>
      <c r="P25" s="18">
        <v>0.63</v>
      </c>
      <c r="Q25" s="22">
        <v>1</v>
      </c>
      <c r="R25" s="294">
        <v>100</v>
      </c>
      <c r="S25" s="294">
        <v>0</v>
      </c>
      <c r="T25" s="365">
        <v>4</v>
      </c>
      <c r="U25" s="368" t="str">
        <f t="shared" si="0"/>
        <v>Normal</v>
      </c>
      <c r="V25" s="368" t="str">
        <f t="shared" si="1"/>
        <v>Normal</v>
      </c>
      <c r="W25" s="81">
        <f t="shared" si="2"/>
        <v>-0.10101010101010101</v>
      </c>
      <c r="X25" s="81">
        <f t="shared" si="3"/>
        <v>-9.187279151943463E-2</v>
      </c>
      <c r="AJ25" s="32">
        <v>45139</v>
      </c>
      <c r="AK25" s="1">
        <v>0</v>
      </c>
      <c r="AL25" s="94">
        <v>0</v>
      </c>
    </row>
    <row r="26" spans="1:38">
      <c r="A26" s="32">
        <v>45041</v>
      </c>
      <c r="B26" s="408">
        <f>IF(YEAR(Table7[[#This Row],[Date]]) = 2023, WEEKNUM(Table7[[#This Row],[Date]])-13, WEEKNUM(Table7[[#This Row],[Date]])+40)</f>
        <v>4</v>
      </c>
      <c r="C26" s="34" t="s">
        <v>50</v>
      </c>
      <c r="D26" s="34" t="s">
        <v>94</v>
      </c>
      <c r="E26" s="1">
        <v>264</v>
      </c>
      <c r="F26" s="1">
        <v>258</v>
      </c>
      <c r="G26" s="64">
        <v>-0.11409395973154363</v>
      </c>
      <c r="H26" s="64">
        <v>-0.1103448275862069</v>
      </c>
      <c r="I26" s="1">
        <v>4246</v>
      </c>
      <c r="J26" s="1">
        <v>4070</v>
      </c>
      <c r="K26" s="1">
        <v>4246</v>
      </c>
      <c r="L26" s="1">
        <v>4070</v>
      </c>
      <c r="M26" s="18">
        <v>0.93</v>
      </c>
      <c r="N26" s="18">
        <v>0.02</v>
      </c>
      <c r="O26" s="18">
        <v>0.98</v>
      </c>
      <c r="P26" s="18">
        <v>0.76</v>
      </c>
      <c r="Q26" s="22">
        <v>0.99</v>
      </c>
      <c r="R26" s="294">
        <v>100</v>
      </c>
      <c r="S26" s="294">
        <v>0</v>
      </c>
      <c r="T26" s="365">
        <v>4</v>
      </c>
      <c r="U26" s="368" t="str">
        <f t="shared" si="0"/>
        <v>Normal</v>
      </c>
      <c r="V26" s="368" t="str">
        <f t="shared" si="1"/>
        <v>Normal</v>
      </c>
      <c r="W26" s="81">
        <f t="shared" si="2"/>
        <v>-0.11409395973154363</v>
      </c>
      <c r="X26" s="81">
        <f t="shared" si="3"/>
        <v>-0.1103448275862069</v>
      </c>
      <c r="AJ26" s="32">
        <v>45146</v>
      </c>
      <c r="AK26" s="1">
        <v>0</v>
      </c>
      <c r="AL26" s="94">
        <v>0</v>
      </c>
    </row>
    <row r="27" spans="1:38">
      <c r="A27" s="32">
        <v>45042</v>
      </c>
      <c r="B27" s="408">
        <f>IF(YEAR(Table7[[#This Row],[Date]]) = 2023, WEEKNUM(Table7[[#This Row],[Date]])-13, WEEKNUM(Table7[[#This Row],[Date]])+40)</f>
        <v>4</v>
      </c>
      <c r="C27" s="34" t="s">
        <v>51</v>
      </c>
      <c r="D27" s="34" t="s">
        <v>94</v>
      </c>
      <c r="E27" s="1">
        <v>214</v>
      </c>
      <c r="F27" s="1">
        <v>206</v>
      </c>
      <c r="G27" s="64">
        <v>-0.13709677419354838</v>
      </c>
      <c r="H27" s="64">
        <v>-0.14166666666666666</v>
      </c>
      <c r="I27" s="1">
        <v>4460</v>
      </c>
      <c r="J27" s="1">
        <v>4276</v>
      </c>
      <c r="K27" s="1">
        <v>4460</v>
      </c>
      <c r="L27" s="1">
        <v>4276</v>
      </c>
      <c r="M27" s="18">
        <v>0.92</v>
      </c>
      <c r="N27" s="18">
        <v>0.04</v>
      </c>
      <c r="O27" s="18">
        <v>0.96</v>
      </c>
      <c r="P27" s="18">
        <v>0.72</v>
      </c>
      <c r="Q27" s="22">
        <v>1</v>
      </c>
      <c r="R27" s="294">
        <v>115</v>
      </c>
      <c r="S27" s="294">
        <v>0</v>
      </c>
      <c r="T27" s="365">
        <v>3</v>
      </c>
      <c r="U27" s="368" t="str">
        <f t="shared" si="0"/>
        <v>Normal</v>
      </c>
      <c r="V27" s="368" t="str">
        <f t="shared" si="1"/>
        <v>Normal</v>
      </c>
      <c r="W27" s="81">
        <f t="shared" si="2"/>
        <v>-0.13709677419354838</v>
      </c>
      <c r="X27" s="81">
        <f t="shared" si="3"/>
        <v>-0.14166666666666666</v>
      </c>
      <c r="AJ27" s="32">
        <v>45153</v>
      </c>
      <c r="AK27" s="1">
        <v>0</v>
      </c>
      <c r="AL27" s="94">
        <v>0</v>
      </c>
    </row>
    <row r="28" spans="1:38">
      <c r="A28" s="32">
        <v>45043</v>
      </c>
      <c r="B28" s="408">
        <f>IF(YEAR(Table7[[#This Row],[Date]]) = 2023, WEEKNUM(Table7[[#This Row],[Date]])-13, WEEKNUM(Table7[[#This Row],[Date]])+40)</f>
        <v>4</v>
      </c>
      <c r="C28" s="34" t="s">
        <v>52</v>
      </c>
      <c r="D28" s="34" t="s">
        <v>94</v>
      </c>
      <c r="E28" s="1">
        <v>268</v>
      </c>
      <c r="F28" s="1">
        <v>260</v>
      </c>
      <c r="G28" s="64">
        <v>-7.586206896551724E-2</v>
      </c>
      <c r="H28" s="64">
        <v>-5.1094890510948905E-2</v>
      </c>
      <c r="I28" s="1">
        <v>4728</v>
      </c>
      <c r="J28" s="1">
        <v>4536</v>
      </c>
      <c r="K28" s="1">
        <v>4728</v>
      </c>
      <c r="L28" s="1">
        <v>4536</v>
      </c>
      <c r="M28" s="18">
        <v>0.88</v>
      </c>
      <c r="N28" s="18">
        <v>0.03</v>
      </c>
      <c r="O28" s="18">
        <v>0.97</v>
      </c>
      <c r="P28" s="18">
        <v>0.78</v>
      </c>
      <c r="Q28" s="22">
        <v>1</v>
      </c>
      <c r="R28" s="294">
        <v>88</v>
      </c>
      <c r="S28" s="294">
        <v>0</v>
      </c>
      <c r="T28" s="365">
        <v>3</v>
      </c>
      <c r="U28" s="368" t="str">
        <f t="shared" si="0"/>
        <v>Normal</v>
      </c>
      <c r="V28" s="368" t="str">
        <f t="shared" si="1"/>
        <v>Normal</v>
      </c>
      <c r="W28" s="81">
        <f t="shared" si="2"/>
        <v>-7.586206896551724E-2</v>
      </c>
      <c r="X28" s="81">
        <f t="shared" si="3"/>
        <v>-5.1094890510948905E-2</v>
      </c>
      <c r="AJ28" s="32">
        <v>45160</v>
      </c>
      <c r="AK28" s="1">
        <v>0</v>
      </c>
      <c r="AL28" s="94">
        <v>0</v>
      </c>
    </row>
    <row r="29" spans="1:38">
      <c r="A29" s="32">
        <v>45044</v>
      </c>
      <c r="B29" s="408">
        <f>IF(YEAR(Table7[[#This Row],[Date]]) = 2023, WEEKNUM(Table7[[#This Row],[Date]])-13, WEEKNUM(Table7[[#This Row],[Date]])+40)</f>
        <v>4</v>
      </c>
      <c r="C29" s="34" t="s">
        <v>53</v>
      </c>
      <c r="D29" s="34" t="s">
        <v>94</v>
      </c>
      <c r="E29" s="1">
        <v>248</v>
      </c>
      <c r="F29" s="1">
        <v>237</v>
      </c>
      <c r="G29" s="64">
        <v>0.39325842696629215</v>
      </c>
      <c r="H29" s="64">
        <v>0.39411764705882352</v>
      </c>
      <c r="I29" s="1">
        <v>4976</v>
      </c>
      <c r="J29" s="1">
        <v>4773</v>
      </c>
      <c r="K29" s="1">
        <v>4976</v>
      </c>
      <c r="L29" s="1">
        <v>4773</v>
      </c>
      <c r="M29" s="18">
        <v>0.84</v>
      </c>
      <c r="N29" s="18">
        <v>0.04</v>
      </c>
      <c r="O29" s="18">
        <v>0.96</v>
      </c>
      <c r="P29" s="18">
        <v>0.72</v>
      </c>
      <c r="Q29" s="22">
        <v>1</v>
      </c>
      <c r="R29" s="294">
        <v>79</v>
      </c>
      <c r="S29" s="294">
        <v>0</v>
      </c>
      <c r="T29" s="365">
        <v>3</v>
      </c>
      <c r="U29" s="368" t="str">
        <f t="shared" si="0"/>
        <v>Normal</v>
      </c>
      <c r="V29" s="368" t="str">
        <f t="shared" si="1"/>
        <v>Normal</v>
      </c>
      <c r="W29" s="81">
        <f t="shared" si="2"/>
        <v>0.39325842696629215</v>
      </c>
      <c r="X29" s="81">
        <f t="shared" si="3"/>
        <v>0.39411764705882352</v>
      </c>
      <c r="AJ29" s="32">
        <v>45167</v>
      </c>
      <c r="AK29" s="1">
        <v>0</v>
      </c>
      <c r="AL29" s="94">
        <v>0</v>
      </c>
    </row>
    <row r="30" spans="1:38">
      <c r="A30" s="32">
        <v>45045</v>
      </c>
      <c r="B30" s="408">
        <f>IF(YEAR(Table7[[#This Row],[Date]]) = 2023, WEEKNUM(Table7[[#This Row],[Date]])-13, WEEKNUM(Table7[[#This Row],[Date]])+40)</f>
        <v>4</v>
      </c>
      <c r="C30" s="34" t="s">
        <v>54</v>
      </c>
      <c r="D30" s="34" t="s">
        <v>94</v>
      </c>
      <c r="E30" s="1">
        <v>194</v>
      </c>
      <c r="F30" s="1">
        <v>180</v>
      </c>
      <c r="G30" s="64">
        <v>0.38571428571428573</v>
      </c>
      <c r="H30" s="64">
        <v>0.35338345864661652</v>
      </c>
      <c r="I30" s="1">
        <v>5170</v>
      </c>
      <c r="J30" s="1">
        <v>4953</v>
      </c>
      <c r="K30" s="1">
        <v>5170</v>
      </c>
      <c r="L30" s="1">
        <v>4953</v>
      </c>
      <c r="M30" s="18">
        <v>0.9</v>
      </c>
      <c r="N30" s="18">
        <v>7.0000000000000007E-2</v>
      </c>
      <c r="O30" s="18">
        <v>0.93</v>
      </c>
      <c r="P30" s="18">
        <v>0.94</v>
      </c>
      <c r="Q30" s="22">
        <v>1</v>
      </c>
      <c r="R30" s="294">
        <v>107</v>
      </c>
      <c r="S30" s="294">
        <v>0</v>
      </c>
      <c r="T30" s="365">
        <v>3</v>
      </c>
      <c r="U30" s="368" t="str">
        <f t="shared" si="0"/>
        <v>Normal</v>
      </c>
      <c r="V30" s="368" t="str">
        <f t="shared" si="1"/>
        <v>Normal</v>
      </c>
      <c r="W30" s="81">
        <f t="shared" si="2"/>
        <v>0.38571428571428573</v>
      </c>
      <c r="X30" s="81">
        <f t="shared" si="3"/>
        <v>0.35338345864661652</v>
      </c>
      <c r="AJ30" s="32">
        <v>45174</v>
      </c>
      <c r="AK30" s="1">
        <v>0</v>
      </c>
      <c r="AL30" s="94">
        <v>0</v>
      </c>
    </row>
    <row r="31" spans="1:38">
      <c r="A31" s="32">
        <v>45046</v>
      </c>
      <c r="B31" s="408">
        <f>IF(YEAR(Table7[[#This Row],[Date]]) = 2023, WEEKNUM(Table7[[#This Row],[Date]])-13, WEEKNUM(Table7[[#This Row],[Date]])+40)</f>
        <v>5</v>
      </c>
      <c r="C31" s="34" t="s">
        <v>48</v>
      </c>
      <c r="D31" s="34" t="s">
        <v>94</v>
      </c>
      <c r="E31" s="1">
        <v>0</v>
      </c>
      <c r="F31" s="1">
        <v>0</v>
      </c>
      <c r="G31" s="64">
        <v>0</v>
      </c>
      <c r="H31" s="64">
        <v>0</v>
      </c>
      <c r="I31" s="1">
        <v>0</v>
      </c>
      <c r="J31" s="1">
        <v>0</v>
      </c>
      <c r="K31" s="1">
        <v>0</v>
      </c>
      <c r="L31" s="1">
        <v>0</v>
      </c>
      <c r="M31" s="18">
        <v>0</v>
      </c>
      <c r="N31" s="18">
        <v>0</v>
      </c>
      <c r="O31" s="18">
        <v>0</v>
      </c>
      <c r="P31" s="18">
        <v>0</v>
      </c>
      <c r="Q31" s="22">
        <v>0</v>
      </c>
      <c r="R31" s="294">
        <v>0</v>
      </c>
      <c r="S31" s="294">
        <v>0</v>
      </c>
      <c r="T31" s="365">
        <v>0</v>
      </c>
      <c r="U31" s="368" t="str">
        <f t="shared" si="0"/>
        <v>Normal</v>
      </c>
      <c r="V31" s="368" t="str">
        <f t="shared" si="1"/>
        <v>Normal</v>
      </c>
      <c r="W31" s="81">
        <f t="shared" si="2"/>
        <v>0</v>
      </c>
      <c r="X31" s="81">
        <f t="shared" si="3"/>
        <v>0</v>
      </c>
      <c r="AJ31" s="32">
        <v>45181</v>
      </c>
      <c r="AK31" s="1">
        <v>0</v>
      </c>
      <c r="AL31" s="94">
        <v>0</v>
      </c>
    </row>
    <row r="32" spans="1:38">
      <c r="A32" s="32">
        <v>45047</v>
      </c>
      <c r="B32" s="408">
        <f>IF(YEAR(Table7[[#This Row],[Date]]) = 2023, WEEKNUM(Table7[[#This Row],[Date]])-13, WEEKNUM(Table7[[#This Row],[Date]])+40)</f>
        <v>5</v>
      </c>
      <c r="C32" s="34" t="s">
        <v>64</v>
      </c>
      <c r="D32" s="34" t="s">
        <v>94</v>
      </c>
      <c r="E32" s="1">
        <v>0</v>
      </c>
      <c r="F32" s="1">
        <v>0</v>
      </c>
      <c r="G32" s="64">
        <v>0</v>
      </c>
      <c r="H32" s="64">
        <v>0</v>
      </c>
      <c r="I32" s="1">
        <v>0</v>
      </c>
      <c r="J32" s="1">
        <v>0</v>
      </c>
      <c r="K32" s="1">
        <v>0</v>
      </c>
      <c r="L32" s="1">
        <v>0</v>
      </c>
      <c r="M32" s="18">
        <v>0</v>
      </c>
      <c r="N32" s="18">
        <v>0</v>
      </c>
      <c r="O32" s="18">
        <v>0</v>
      </c>
      <c r="P32" s="18">
        <v>0</v>
      </c>
      <c r="Q32" s="22">
        <v>0</v>
      </c>
      <c r="R32" s="294">
        <v>0</v>
      </c>
      <c r="S32" s="294">
        <v>0</v>
      </c>
      <c r="T32" s="365">
        <v>0</v>
      </c>
      <c r="U32" s="368" t="str">
        <f t="shared" si="0"/>
        <v>Normal</v>
      </c>
      <c r="V32" s="368" t="str">
        <f t="shared" si="1"/>
        <v>Normal</v>
      </c>
      <c r="W32" s="81">
        <f t="shared" si="2"/>
        <v>0</v>
      </c>
      <c r="X32" s="81">
        <f t="shared" si="3"/>
        <v>0</v>
      </c>
      <c r="AJ32" s="32">
        <v>45188</v>
      </c>
      <c r="AK32" s="1">
        <v>0</v>
      </c>
      <c r="AL32" s="94">
        <v>0</v>
      </c>
    </row>
    <row r="33" spans="1:39">
      <c r="A33" s="32">
        <v>45048</v>
      </c>
      <c r="B33" s="408">
        <f>IF(YEAR(Table7[[#This Row],[Date]]) = 2023, WEEKNUM(Table7[[#This Row],[Date]])-13, WEEKNUM(Table7[[#This Row],[Date]])+40)</f>
        <v>5</v>
      </c>
      <c r="C33" s="34" t="s">
        <v>50</v>
      </c>
      <c r="D33" s="34" t="s">
        <v>94</v>
      </c>
      <c r="E33" s="1">
        <v>283</v>
      </c>
      <c r="F33" s="1">
        <v>275</v>
      </c>
      <c r="G33" s="64">
        <v>7.1969696969696975E-2</v>
      </c>
      <c r="H33" s="64">
        <v>6.589147286821706E-2</v>
      </c>
      <c r="I33" s="1">
        <v>283</v>
      </c>
      <c r="J33" s="1">
        <v>275</v>
      </c>
      <c r="K33" s="1">
        <v>5453</v>
      </c>
      <c r="L33" s="1">
        <v>5228</v>
      </c>
      <c r="M33" s="18">
        <v>0.88</v>
      </c>
      <c r="N33" s="18">
        <v>0.03</v>
      </c>
      <c r="O33" s="18">
        <v>0.97</v>
      </c>
      <c r="P33" s="18">
        <v>0.82</v>
      </c>
      <c r="Q33" s="22">
        <v>0.98</v>
      </c>
      <c r="R33" s="294">
        <v>95</v>
      </c>
      <c r="S33" s="294">
        <v>0</v>
      </c>
      <c r="T33" s="365">
        <v>3</v>
      </c>
      <c r="U33" s="368" t="str">
        <f t="shared" si="0"/>
        <v>Normal</v>
      </c>
      <c r="V33" s="368" t="str">
        <f t="shared" si="1"/>
        <v>Normal</v>
      </c>
      <c r="W33" s="81">
        <f t="shared" si="2"/>
        <v>7.1969696969696975E-2</v>
      </c>
      <c r="X33" s="81">
        <f t="shared" si="3"/>
        <v>6.589147286821706E-2</v>
      </c>
      <c r="AJ33" s="32">
        <v>45195</v>
      </c>
      <c r="AK33" s="1">
        <v>300</v>
      </c>
      <c r="AL33" s="94">
        <v>289</v>
      </c>
    </row>
    <row r="34" spans="1:39">
      <c r="A34" s="32">
        <v>45049</v>
      </c>
      <c r="B34" s="408">
        <f>IF(YEAR(Table7[[#This Row],[Date]]) = 2023, WEEKNUM(Table7[[#This Row],[Date]])-13, WEEKNUM(Table7[[#This Row],[Date]])+40)</f>
        <v>5</v>
      </c>
      <c r="C34" s="34" t="s">
        <v>51</v>
      </c>
      <c r="D34" s="34" t="s">
        <v>94</v>
      </c>
      <c r="E34" s="1">
        <v>264</v>
      </c>
      <c r="F34" s="1">
        <v>254</v>
      </c>
      <c r="G34" s="64">
        <v>0.23364485981308411</v>
      </c>
      <c r="H34" s="64">
        <v>0.23300970873786409</v>
      </c>
      <c r="I34" s="1">
        <v>547</v>
      </c>
      <c r="J34" s="1">
        <v>529</v>
      </c>
      <c r="K34" s="1">
        <v>5717</v>
      </c>
      <c r="L34" s="1">
        <v>5482</v>
      </c>
      <c r="M34" s="18">
        <v>0.89</v>
      </c>
      <c r="N34" s="18">
        <v>0.04</v>
      </c>
      <c r="O34" s="18">
        <v>0.96</v>
      </c>
      <c r="P34" s="18">
        <v>0.71</v>
      </c>
      <c r="Q34" s="22">
        <v>1</v>
      </c>
      <c r="R34" s="294">
        <v>89</v>
      </c>
      <c r="S34" s="294">
        <v>0</v>
      </c>
      <c r="T34" s="365">
        <v>4</v>
      </c>
      <c r="U34" s="368" t="str">
        <f t="shared" si="0"/>
        <v>Normal</v>
      </c>
      <c r="V34" s="368" t="str">
        <f t="shared" si="1"/>
        <v>Normal</v>
      </c>
      <c r="W34" s="81">
        <f t="shared" si="2"/>
        <v>0.23364485981308411</v>
      </c>
      <c r="X34" s="81">
        <f t="shared" si="3"/>
        <v>0.23300970873786409</v>
      </c>
      <c r="AJ34" s="32">
        <v>45202</v>
      </c>
      <c r="AK34" s="1">
        <v>1682</v>
      </c>
      <c r="AL34" s="94">
        <v>1609</v>
      </c>
    </row>
    <row r="35" spans="1:39">
      <c r="A35" s="32">
        <v>45050</v>
      </c>
      <c r="B35" s="408">
        <f>IF(YEAR(Table7[[#This Row],[Date]]) = 2023, WEEKNUM(Table7[[#This Row],[Date]])-13, WEEKNUM(Table7[[#This Row],[Date]])+40)</f>
        <v>5</v>
      </c>
      <c r="C35" s="34" t="s">
        <v>52</v>
      </c>
      <c r="D35" s="34" t="s">
        <v>94</v>
      </c>
      <c r="E35" s="1">
        <v>305</v>
      </c>
      <c r="F35" s="1">
        <v>298</v>
      </c>
      <c r="G35" s="64">
        <v>0.13805970149253732</v>
      </c>
      <c r="H35" s="64">
        <v>0.14615384615384616</v>
      </c>
      <c r="I35" s="1">
        <v>852</v>
      </c>
      <c r="J35" s="1">
        <v>827</v>
      </c>
      <c r="K35" s="1">
        <v>6022</v>
      </c>
      <c r="L35" s="1">
        <v>5780</v>
      </c>
      <c r="M35" s="18">
        <v>0.96</v>
      </c>
      <c r="N35" s="18">
        <v>0.02</v>
      </c>
      <c r="O35" s="18">
        <v>0.98</v>
      </c>
      <c r="P35" s="18">
        <v>0.75</v>
      </c>
      <c r="Q35" s="22">
        <v>1</v>
      </c>
      <c r="R35" s="294">
        <v>70</v>
      </c>
      <c r="S35" s="294">
        <v>0</v>
      </c>
      <c r="T35" s="365">
        <v>4</v>
      </c>
      <c r="U35" s="368" t="str">
        <f t="shared" si="0"/>
        <v>Normal</v>
      </c>
      <c r="V35" s="368" t="str">
        <f t="shared" si="1"/>
        <v>Normal</v>
      </c>
      <c r="W35" s="81">
        <f t="shared" si="2"/>
        <v>0.13805970149253732</v>
      </c>
      <c r="X35" s="81">
        <f t="shared" si="3"/>
        <v>0.14615384615384616</v>
      </c>
      <c r="AJ35" s="32">
        <v>45209</v>
      </c>
      <c r="AK35" s="1">
        <v>1274</v>
      </c>
      <c r="AL35" s="94">
        <v>1209</v>
      </c>
    </row>
    <row r="36" spans="1:39">
      <c r="A36" s="32">
        <v>45051</v>
      </c>
      <c r="B36" s="408">
        <f>IF(YEAR(Table7[[#This Row],[Date]]) = 2023, WEEKNUM(Table7[[#This Row],[Date]])-13, WEEKNUM(Table7[[#This Row],[Date]])+40)</f>
        <v>5</v>
      </c>
      <c r="C36" s="34" t="s">
        <v>53</v>
      </c>
      <c r="D36" s="34" t="s">
        <v>94</v>
      </c>
      <c r="E36" s="1">
        <v>0</v>
      </c>
      <c r="F36" s="1">
        <v>0</v>
      </c>
      <c r="G36" s="64">
        <v>0</v>
      </c>
      <c r="H36" s="64">
        <v>0</v>
      </c>
      <c r="I36" s="1">
        <v>0</v>
      </c>
      <c r="J36" s="1">
        <v>0</v>
      </c>
      <c r="K36" s="1">
        <v>0</v>
      </c>
      <c r="L36" s="1">
        <v>0</v>
      </c>
      <c r="M36" s="18">
        <v>0</v>
      </c>
      <c r="N36" s="18">
        <v>0</v>
      </c>
      <c r="O36" s="18">
        <v>0</v>
      </c>
      <c r="P36" s="18">
        <v>0</v>
      </c>
      <c r="Q36" s="22">
        <v>0</v>
      </c>
      <c r="R36" s="294">
        <v>0</v>
      </c>
      <c r="S36" s="294">
        <v>0</v>
      </c>
      <c r="T36" s="365">
        <v>0</v>
      </c>
      <c r="U36" s="368" t="str">
        <f t="shared" si="0"/>
        <v>Normal</v>
      </c>
      <c r="V36" s="368" t="str">
        <f t="shared" si="1"/>
        <v>Normal</v>
      </c>
      <c r="W36" s="81">
        <f t="shared" si="2"/>
        <v>0</v>
      </c>
      <c r="X36" s="81">
        <f t="shared" si="3"/>
        <v>0</v>
      </c>
      <c r="AJ36" s="32">
        <v>45216</v>
      </c>
      <c r="AK36" s="1">
        <v>1509</v>
      </c>
      <c r="AL36" s="94">
        <v>1439</v>
      </c>
    </row>
    <row r="37" spans="1:39">
      <c r="A37" s="32">
        <v>45052</v>
      </c>
      <c r="B37" s="408">
        <f>IF(YEAR(Table7[[#This Row],[Date]]) = 2023, WEEKNUM(Table7[[#This Row],[Date]])-13, WEEKNUM(Table7[[#This Row],[Date]])+40)</f>
        <v>5</v>
      </c>
      <c r="C37" s="34" t="s">
        <v>54</v>
      </c>
      <c r="D37" s="34" t="s">
        <v>94</v>
      </c>
      <c r="E37" s="1">
        <v>205</v>
      </c>
      <c r="F37" s="1">
        <v>200</v>
      </c>
      <c r="G37" s="64">
        <v>5.6701030927835051E-2</v>
      </c>
      <c r="H37" s="64">
        <v>0.1111111111111111</v>
      </c>
      <c r="I37" s="1">
        <v>1057</v>
      </c>
      <c r="J37" s="1">
        <v>1027</v>
      </c>
      <c r="K37" s="1">
        <v>6227</v>
      </c>
      <c r="L37" s="1">
        <v>5980</v>
      </c>
      <c r="M37" s="18">
        <v>0.93</v>
      </c>
      <c r="N37" s="18">
        <v>0.02</v>
      </c>
      <c r="O37" s="18">
        <v>0.98</v>
      </c>
      <c r="P37" s="18">
        <v>1.21</v>
      </c>
      <c r="Q37" s="22">
        <v>1</v>
      </c>
      <c r="R37" s="294">
        <v>115</v>
      </c>
      <c r="S37" s="294">
        <v>0</v>
      </c>
      <c r="T37" s="365">
        <v>4</v>
      </c>
      <c r="U37" s="368" t="str">
        <f t="shared" si="0"/>
        <v>Normal</v>
      </c>
      <c r="V37" s="368" t="str">
        <f t="shared" si="1"/>
        <v>Normal</v>
      </c>
      <c r="W37" s="81">
        <f t="shared" si="2"/>
        <v>5.6701030927835051E-2</v>
      </c>
      <c r="X37" s="81">
        <f t="shared" si="3"/>
        <v>0.1111111111111111</v>
      </c>
      <c r="AJ37" s="32">
        <v>45223</v>
      </c>
      <c r="AK37" s="1">
        <v>1539</v>
      </c>
      <c r="AL37" s="94">
        <v>1431</v>
      </c>
    </row>
    <row r="38" spans="1:39">
      <c r="A38" s="32">
        <v>45053</v>
      </c>
      <c r="B38" s="408">
        <f>IF(YEAR(Table7[[#This Row],[Date]]) = 2023, WEEKNUM(Table7[[#This Row],[Date]])-13, WEEKNUM(Table7[[#This Row],[Date]])+40)</f>
        <v>6</v>
      </c>
      <c r="C38" s="34" t="s">
        <v>48</v>
      </c>
      <c r="D38" s="34" t="s">
        <v>94</v>
      </c>
      <c r="E38" s="1">
        <v>0</v>
      </c>
      <c r="F38" s="1">
        <v>0</v>
      </c>
      <c r="G38" s="64">
        <v>0</v>
      </c>
      <c r="H38" s="64">
        <v>0</v>
      </c>
      <c r="I38" s="1">
        <v>0</v>
      </c>
      <c r="J38" s="1">
        <v>0</v>
      </c>
      <c r="K38" s="1">
        <v>0</v>
      </c>
      <c r="L38" s="1">
        <v>0</v>
      </c>
      <c r="M38" s="18">
        <v>0</v>
      </c>
      <c r="N38" s="18">
        <v>0</v>
      </c>
      <c r="O38" s="18">
        <v>0</v>
      </c>
      <c r="P38" s="18">
        <v>0</v>
      </c>
      <c r="Q38" s="22">
        <v>0</v>
      </c>
      <c r="R38" s="294">
        <v>0</v>
      </c>
      <c r="S38" s="294">
        <v>0</v>
      </c>
      <c r="T38" s="365">
        <v>0</v>
      </c>
      <c r="U38" s="368" t="str">
        <f t="shared" si="0"/>
        <v>Normal</v>
      </c>
      <c r="V38" s="368" t="str">
        <f t="shared" si="1"/>
        <v>Normal</v>
      </c>
      <c r="W38" s="81">
        <f t="shared" si="2"/>
        <v>0</v>
      </c>
      <c r="X38" s="81">
        <f t="shared" si="3"/>
        <v>0</v>
      </c>
      <c r="AJ38" s="32">
        <v>45230</v>
      </c>
      <c r="AK38" s="1">
        <v>292</v>
      </c>
      <c r="AL38" s="94">
        <v>278</v>
      </c>
    </row>
    <row r="39" spans="1:39">
      <c r="A39" s="32">
        <v>45054</v>
      </c>
      <c r="B39" s="408">
        <f>IF(YEAR(Table7[[#This Row],[Date]]) = 2023, WEEKNUM(Table7[[#This Row],[Date]])-13, WEEKNUM(Table7[[#This Row],[Date]])+40)</f>
        <v>6</v>
      </c>
      <c r="C39" s="34" t="s">
        <v>49</v>
      </c>
      <c r="D39" s="34" t="s">
        <v>94</v>
      </c>
      <c r="E39" s="1">
        <v>328</v>
      </c>
      <c r="F39" s="1">
        <v>317</v>
      </c>
      <c r="G39" s="64">
        <v>0</v>
      </c>
      <c r="H39" s="64">
        <v>0</v>
      </c>
      <c r="I39" s="1">
        <v>1385</v>
      </c>
      <c r="J39" s="1">
        <v>1344</v>
      </c>
      <c r="K39" s="1">
        <v>6555</v>
      </c>
      <c r="L39" s="1">
        <v>6297</v>
      </c>
      <c r="M39" s="18">
        <v>0.89</v>
      </c>
      <c r="N39" s="18">
        <v>0.03</v>
      </c>
      <c r="O39" s="18">
        <v>0.97</v>
      </c>
      <c r="P39" s="18">
        <v>0.81</v>
      </c>
      <c r="Q39" s="22">
        <v>1</v>
      </c>
      <c r="R39" s="294">
        <v>93</v>
      </c>
      <c r="S39" s="294">
        <v>0</v>
      </c>
      <c r="T39" s="365">
        <v>4</v>
      </c>
      <c r="U39" s="368" t="str">
        <f t="shared" si="0"/>
        <v>Normal</v>
      </c>
      <c r="V39" s="368" t="str">
        <f t="shared" si="1"/>
        <v>Normal</v>
      </c>
      <c r="W39" s="81">
        <f t="shared" si="2"/>
        <v>0</v>
      </c>
      <c r="X39" s="81">
        <f t="shared" si="3"/>
        <v>0</v>
      </c>
      <c r="AJ39" s="32">
        <v>45237</v>
      </c>
      <c r="AK39" s="1">
        <v>0</v>
      </c>
      <c r="AL39" s="94">
        <v>0</v>
      </c>
    </row>
    <row r="40" spans="1:39">
      <c r="A40" s="32">
        <v>45055</v>
      </c>
      <c r="B40" s="408">
        <f>IF(YEAR(Table7[[#This Row],[Date]]) = 2023, WEEKNUM(Table7[[#This Row],[Date]])-13, WEEKNUM(Table7[[#This Row],[Date]])+40)</f>
        <v>6</v>
      </c>
      <c r="C40" s="34" t="s">
        <v>50</v>
      </c>
      <c r="D40" s="34" t="s">
        <v>94</v>
      </c>
      <c r="E40" s="1">
        <v>201</v>
      </c>
      <c r="F40" s="1">
        <v>190</v>
      </c>
      <c r="G40" s="64">
        <v>-0.28975265017667845</v>
      </c>
      <c r="H40" s="64">
        <v>-0.30909090909090908</v>
      </c>
      <c r="I40" s="1">
        <v>1586</v>
      </c>
      <c r="J40" s="1">
        <v>1534</v>
      </c>
      <c r="K40" s="1">
        <v>6756</v>
      </c>
      <c r="L40" s="1">
        <v>6487</v>
      </c>
      <c r="M40" s="18">
        <v>0.83</v>
      </c>
      <c r="N40" s="18">
        <v>0.06</v>
      </c>
      <c r="O40" s="18">
        <v>0.94</v>
      </c>
      <c r="P40" s="18">
        <v>0.68</v>
      </c>
      <c r="Q40" s="22">
        <v>1</v>
      </c>
      <c r="R40" s="294">
        <v>110</v>
      </c>
      <c r="S40" s="294">
        <v>0</v>
      </c>
      <c r="T40" s="365">
        <v>3</v>
      </c>
      <c r="U40" s="368" t="str">
        <f t="shared" si="0"/>
        <v>Normal</v>
      </c>
      <c r="V40" s="368" t="str">
        <f t="shared" si="1"/>
        <v>Normal</v>
      </c>
      <c r="W40" s="81">
        <f t="shared" si="2"/>
        <v>-0.28975265017667845</v>
      </c>
      <c r="X40" s="81">
        <f t="shared" si="3"/>
        <v>-0.30909090909090908</v>
      </c>
      <c r="AJ40" s="32">
        <v>45244</v>
      </c>
      <c r="AK40" s="1">
        <v>0</v>
      </c>
      <c r="AL40" s="94">
        <v>0</v>
      </c>
    </row>
    <row r="41" spans="1:39">
      <c r="A41" s="32">
        <v>45056</v>
      </c>
      <c r="B41" s="408">
        <f>IF(YEAR(Table7[[#This Row],[Date]]) = 2023, WEEKNUM(Table7[[#This Row],[Date]])-13, WEEKNUM(Table7[[#This Row],[Date]])+40)</f>
        <v>6</v>
      </c>
      <c r="C41" s="34" t="s">
        <v>51</v>
      </c>
      <c r="D41" s="34" t="s">
        <v>94</v>
      </c>
      <c r="E41" s="1">
        <v>192</v>
      </c>
      <c r="F41" s="1">
        <v>189</v>
      </c>
      <c r="G41" s="64">
        <v>-0.27272727272727271</v>
      </c>
      <c r="H41" s="64">
        <v>-0.25590551181102361</v>
      </c>
      <c r="I41" s="1">
        <v>1778</v>
      </c>
      <c r="J41" s="1">
        <v>1723</v>
      </c>
      <c r="K41" s="1">
        <v>6948</v>
      </c>
      <c r="L41" s="1">
        <v>6676</v>
      </c>
      <c r="M41" s="18">
        <v>0.99</v>
      </c>
      <c r="N41" s="18">
        <v>0.02</v>
      </c>
      <c r="O41" s="18">
        <v>0.98</v>
      </c>
      <c r="P41" s="18">
        <v>0.62</v>
      </c>
      <c r="Q41" s="22">
        <v>1</v>
      </c>
      <c r="R41" s="294">
        <v>121</v>
      </c>
      <c r="S41" s="294">
        <v>0</v>
      </c>
      <c r="T41" s="365">
        <v>4</v>
      </c>
      <c r="U41" s="368" t="str">
        <f t="shared" si="0"/>
        <v>Normal</v>
      </c>
      <c r="V41" s="368" t="str">
        <f t="shared" si="1"/>
        <v>Normal</v>
      </c>
      <c r="W41" s="81">
        <f t="shared" si="2"/>
        <v>-0.27272727272727271</v>
      </c>
      <c r="X41" s="81">
        <f t="shared" si="3"/>
        <v>-0.25590551181102361</v>
      </c>
      <c r="AJ41" s="32">
        <v>45251</v>
      </c>
      <c r="AK41" s="1">
        <v>0</v>
      </c>
      <c r="AL41" s="94">
        <v>0</v>
      </c>
    </row>
    <row r="42" spans="1:39">
      <c r="A42" s="32">
        <v>45057</v>
      </c>
      <c r="B42" s="408">
        <f>IF(YEAR(Table7[[#This Row],[Date]]) = 2023, WEEKNUM(Table7[[#This Row],[Date]])-13, WEEKNUM(Table7[[#This Row],[Date]])+40)</f>
        <v>6</v>
      </c>
      <c r="C42" s="34" t="s">
        <v>52</v>
      </c>
      <c r="D42" s="34" t="s">
        <v>94</v>
      </c>
      <c r="E42" s="1">
        <v>148</v>
      </c>
      <c r="F42" s="1">
        <v>144</v>
      </c>
      <c r="G42" s="64">
        <v>-0.51475409836065578</v>
      </c>
      <c r="H42" s="64">
        <v>-0.51677852348993292</v>
      </c>
      <c r="I42" s="1">
        <v>1926</v>
      </c>
      <c r="J42" s="1">
        <v>1867</v>
      </c>
      <c r="K42" s="1">
        <v>7096</v>
      </c>
      <c r="L42" s="1">
        <v>6820</v>
      </c>
      <c r="M42" s="18">
        <v>0.97</v>
      </c>
      <c r="N42" s="18">
        <v>0.03</v>
      </c>
      <c r="O42" s="18">
        <v>0.97</v>
      </c>
      <c r="P42" s="18">
        <v>0.79</v>
      </c>
      <c r="Q42" s="22">
        <v>1</v>
      </c>
      <c r="R42" s="294">
        <v>130</v>
      </c>
      <c r="S42" s="294">
        <v>0</v>
      </c>
      <c r="T42" s="365">
        <v>3</v>
      </c>
      <c r="U42" s="368" t="str">
        <f t="shared" si="0"/>
        <v>Outlier</v>
      </c>
      <c r="V42" s="368" t="str">
        <f t="shared" si="1"/>
        <v>Outlier</v>
      </c>
      <c r="W42" s="81">
        <f t="shared" si="2"/>
        <v>-0.51475409836065578</v>
      </c>
      <c r="X42" s="81">
        <f t="shared" si="3"/>
        <v>-0.51677852348993292</v>
      </c>
      <c r="AJ42" s="32">
        <v>45258</v>
      </c>
      <c r="AK42" s="1">
        <v>0</v>
      </c>
      <c r="AL42" s="94">
        <v>0</v>
      </c>
    </row>
    <row r="43" spans="1:39">
      <c r="A43" s="32">
        <v>45058</v>
      </c>
      <c r="B43" s="408">
        <f>IF(YEAR(Table7[[#This Row],[Date]]) = 2023, WEEKNUM(Table7[[#This Row],[Date]])-13, WEEKNUM(Table7[[#This Row],[Date]])+40)</f>
        <v>6</v>
      </c>
      <c r="C43" s="34" t="s">
        <v>53</v>
      </c>
      <c r="D43" s="34" t="s">
        <v>94</v>
      </c>
      <c r="E43" s="1">
        <v>161</v>
      </c>
      <c r="F43" s="1">
        <v>153</v>
      </c>
      <c r="G43" s="64">
        <v>0</v>
      </c>
      <c r="H43" s="64">
        <v>0</v>
      </c>
      <c r="I43" s="1">
        <v>2087</v>
      </c>
      <c r="J43" s="1">
        <v>2020</v>
      </c>
      <c r="K43" s="1">
        <v>7257</v>
      </c>
      <c r="L43" s="1">
        <v>6973</v>
      </c>
      <c r="M43" s="18">
        <v>0.92</v>
      </c>
      <c r="N43" s="18">
        <v>0.05</v>
      </c>
      <c r="O43" s="18">
        <v>0.95</v>
      </c>
      <c r="P43" s="18">
        <v>0.67</v>
      </c>
      <c r="Q43" s="22">
        <v>1</v>
      </c>
      <c r="R43" s="294">
        <v>112</v>
      </c>
      <c r="S43" s="294">
        <v>0</v>
      </c>
      <c r="T43" s="365">
        <v>4</v>
      </c>
      <c r="U43" s="368" t="str">
        <f t="shared" si="0"/>
        <v>Normal</v>
      </c>
      <c r="V43" s="368" t="str">
        <f t="shared" si="1"/>
        <v>Normal</v>
      </c>
      <c r="W43" s="81">
        <f t="shared" si="2"/>
        <v>0</v>
      </c>
      <c r="X43" s="81">
        <f t="shared" si="3"/>
        <v>0</v>
      </c>
      <c r="AJ43" s="32">
        <v>45265</v>
      </c>
      <c r="AK43" s="1">
        <v>0</v>
      </c>
      <c r="AL43" s="94">
        <v>0</v>
      </c>
    </row>
    <row r="44" spans="1:39">
      <c r="A44" s="32">
        <v>45059</v>
      </c>
      <c r="B44" s="408">
        <f>IF(YEAR(Table7[[#This Row],[Date]]) = 2023, WEEKNUM(Table7[[#This Row],[Date]])-13, WEEKNUM(Table7[[#This Row],[Date]])+40)</f>
        <v>6</v>
      </c>
      <c r="C44" s="34" t="s">
        <v>54</v>
      </c>
      <c r="D44" s="34" t="s">
        <v>94</v>
      </c>
      <c r="E44" s="1">
        <v>117</v>
      </c>
      <c r="F44" s="1">
        <v>114</v>
      </c>
      <c r="G44" s="64">
        <v>-0.42926829268292682</v>
      </c>
      <c r="H44" s="64">
        <v>-0.43</v>
      </c>
      <c r="I44" s="1">
        <v>2204</v>
      </c>
      <c r="J44" s="1">
        <v>2134</v>
      </c>
      <c r="K44" s="1">
        <v>7374</v>
      </c>
      <c r="L44" s="1">
        <v>7087</v>
      </c>
      <c r="M44" s="18">
        <v>0.89</v>
      </c>
      <c r="N44" s="18">
        <v>0.03</v>
      </c>
      <c r="O44" s="18">
        <v>0.97</v>
      </c>
      <c r="P44" s="18">
        <v>0.54</v>
      </c>
      <c r="Q44" s="22">
        <v>0.99</v>
      </c>
      <c r="R44" s="294">
        <v>120</v>
      </c>
      <c r="S44" s="294">
        <v>0</v>
      </c>
      <c r="T44" s="365">
        <v>3</v>
      </c>
      <c r="U44" s="368" t="str">
        <f t="shared" si="0"/>
        <v>Normal</v>
      </c>
      <c r="V44" s="368" t="str">
        <f t="shared" si="1"/>
        <v>Normal</v>
      </c>
      <c r="W44" s="81">
        <f t="shared" si="2"/>
        <v>-0.42926829268292682</v>
      </c>
      <c r="X44" s="81">
        <f t="shared" si="3"/>
        <v>-0.43</v>
      </c>
      <c r="AJ44" s="32">
        <v>45272</v>
      </c>
      <c r="AK44" s="1">
        <v>0</v>
      </c>
      <c r="AL44" s="94">
        <v>0</v>
      </c>
    </row>
    <row r="45" spans="1:39">
      <c r="A45" s="32">
        <v>45060</v>
      </c>
      <c r="B45" s="408">
        <f>IF(YEAR(Table7[[#This Row],[Date]]) = 2023, WEEKNUM(Table7[[#This Row],[Date]])-13, WEEKNUM(Table7[[#This Row],[Date]])+40)</f>
        <v>7</v>
      </c>
      <c r="C45" s="34" t="s">
        <v>48</v>
      </c>
      <c r="D45" s="34" t="s">
        <v>94</v>
      </c>
      <c r="E45" s="1">
        <v>0</v>
      </c>
      <c r="F45" s="1">
        <v>0</v>
      </c>
      <c r="G45" s="64">
        <v>0</v>
      </c>
      <c r="H45" s="64">
        <v>0</v>
      </c>
      <c r="I45" s="1">
        <v>0</v>
      </c>
      <c r="J45" s="1">
        <v>0</v>
      </c>
      <c r="K45" s="1">
        <v>0</v>
      </c>
      <c r="L45" s="1">
        <v>0</v>
      </c>
      <c r="M45" s="18">
        <v>0</v>
      </c>
      <c r="N45" s="18">
        <v>0</v>
      </c>
      <c r="O45" s="18">
        <v>0</v>
      </c>
      <c r="P45" s="18">
        <v>0</v>
      </c>
      <c r="Q45" s="22">
        <v>0</v>
      </c>
      <c r="R45" s="294">
        <v>0</v>
      </c>
      <c r="S45" s="294">
        <v>0</v>
      </c>
      <c r="T45" s="365">
        <v>0</v>
      </c>
      <c r="U45" s="368" t="str">
        <f t="shared" si="0"/>
        <v>Normal</v>
      </c>
      <c r="V45" s="368" t="str">
        <f t="shared" si="1"/>
        <v>Normal</v>
      </c>
      <c r="W45" s="81">
        <f t="shared" si="2"/>
        <v>0</v>
      </c>
      <c r="X45" s="81">
        <f t="shared" si="3"/>
        <v>0</v>
      </c>
      <c r="AJ45" s="32">
        <v>45279</v>
      </c>
      <c r="AK45" s="1">
        <v>0</v>
      </c>
      <c r="AL45" s="94">
        <v>0</v>
      </c>
    </row>
    <row r="46" spans="1:39">
      <c r="A46" s="32">
        <v>45061</v>
      </c>
      <c r="B46" s="408">
        <f>IF(YEAR(Table7[[#This Row],[Date]]) = 2023, WEEKNUM(Table7[[#This Row],[Date]])-13, WEEKNUM(Table7[[#This Row],[Date]])+40)</f>
        <v>7</v>
      </c>
      <c r="C46" s="34" t="s">
        <v>49</v>
      </c>
      <c r="D46" s="34" t="s">
        <v>94</v>
      </c>
      <c r="E46" s="1">
        <v>184</v>
      </c>
      <c r="F46" s="1">
        <v>176</v>
      </c>
      <c r="G46" s="64">
        <v>-0.43902439024390244</v>
      </c>
      <c r="H46" s="64">
        <v>-0.44479495268138802</v>
      </c>
      <c r="I46" s="1">
        <v>2388</v>
      </c>
      <c r="J46" s="1">
        <v>2310</v>
      </c>
      <c r="K46" s="1">
        <v>7558</v>
      </c>
      <c r="L46" s="1">
        <v>7263</v>
      </c>
      <c r="M46" s="18">
        <v>0.85</v>
      </c>
      <c r="N46" s="18">
        <v>0.04</v>
      </c>
      <c r="O46" s="18">
        <v>0.96</v>
      </c>
      <c r="P46" s="18">
        <v>0.47</v>
      </c>
      <c r="Q46" s="22">
        <v>1</v>
      </c>
      <c r="R46" s="294">
        <v>110</v>
      </c>
      <c r="S46" s="294">
        <v>0</v>
      </c>
      <c r="T46" s="365">
        <v>3</v>
      </c>
      <c r="U46" s="368" t="str">
        <f t="shared" si="0"/>
        <v>Normal</v>
      </c>
      <c r="V46" s="368" t="str">
        <f t="shared" si="1"/>
        <v>Outlier</v>
      </c>
      <c r="W46" s="81">
        <f t="shared" si="2"/>
        <v>-0.43902439024390244</v>
      </c>
      <c r="X46" s="81">
        <f t="shared" si="3"/>
        <v>-0.44479495268138802</v>
      </c>
      <c r="AJ46" s="32">
        <v>45286</v>
      </c>
      <c r="AK46" s="1">
        <v>0</v>
      </c>
      <c r="AL46" s="94">
        <v>0</v>
      </c>
      <c r="AM46" s="16"/>
    </row>
    <row r="47" spans="1:39">
      <c r="A47" s="32">
        <v>45062</v>
      </c>
      <c r="B47" s="408">
        <f>IF(YEAR(Table7[[#This Row],[Date]]) = 2023, WEEKNUM(Table7[[#This Row],[Date]])-13, WEEKNUM(Table7[[#This Row],[Date]])+40)</f>
        <v>7</v>
      </c>
      <c r="C47" s="34" t="s">
        <v>50</v>
      </c>
      <c r="D47" s="34" t="s">
        <v>94</v>
      </c>
      <c r="E47" s="1">
        <v>170</v>
      </c>
      <c r="F47" s="1">
        <v>166</v>
      </c>
      <c r="G47" s="64">
        <v>-0.15422885572139303</v>
      </c>
      <c r="H47" s="64">
        <v>-0.12631578947368421</v>
      </c>
      <c r="I47" s="1">
        <v>2558</v>
      </c>
      <c r="J47" s="1">
        <v>2476</v>
      </c>
      <c r="K47" s="1">
        <v>7728</v>
      </c>
      <c r="L47" s="1">
        <v>7429</v>
      </c>
      <c r="M47" s="18">
        <v>0.94</v>
      </c>
      <c r="N47" s="18">
        <v>0.02</v>
      </c>
      <c r="O47" s="18">
        <v>0.98</v>
      </c>
      <c r="P47" s="18">
        <v>0.42</v>
      </c>
      <c r="Q47" s="22">
        <v>1</v>
      </c>
      <c r="R47" s="294">
        <v>121</v>
      </c>
      <c r="S47" s="294">
        <v>0</v>
      </c>
      <c r="T47" s="365">
        <v>3</v>
      </c>
      <c r="U47" s="368" t="str">
        <f t="shared" si="0"/>
        <v>Normal</v>
      </c>
      <c r="V47" s="368" t="str">
        <f t="shared" si="1"/>
        <v>Normal</v>
      </c>
      <c r="W47" s="81">
        <f t="shared" si="2"/>
        <v>-0.15422885572139303</v>
      </c>
      <c r="X47" s="81">
        <f t="shared" si="3"/>
        <v>-0.12631578947368421</v>
      </c>
      <c r="AJ47" s="32">
        <v>45293</v>
      </c>
      <c r="AK47" s="1">
        <v>0</v>
      </c>
      <c r="AL47" s="94">
        <v>0</v>
      </c>
      <c r="AM47" s="16"/>
    </row>
    <row r="48" spans="1:39">
      <c r="A48" s="32">
        <v>45063</v>
      </c>
      <c r="B48" s="408">
        <f>IF(YEAR(Table7[[#This Row],[Date]]) = 2023, WEEKNUM(Table7[[#This Row],[Date]])-13, WEEKNUM(Table7[[#This Row],[Date]])+40)</f>
        <v>7</v>
      </c>
      <c r="C48" s="34" t="s">
        <v>51</v>
      </c>
      <c r="D48" s="34" t="s">
        <v>94</v>
      </c>
      <c r="E48" s="1">
        <v>158</v>
      </c>
      <c r="F48" s="1">
        <v>151</v>
      </c>
      <c r="G48" s="64">
        <v>-0.17708333333333334</v>
      </c>
      <c r="H48" s="64">
        <v>-0.20105820105820105</v>
      </c>
      <c r="I48" s="1">
        <v>2716</v>
      </c>
      <c r="J48" s="1">
        <v>2627</v>
      </c>
      <c r="K48" s="1">
        <v>7886</v>
      </c>
      <c r="L48" s="1">
        <v>7580</v>
      </c>
      <c r="M48" s="18">
        <v>0.86</v>
      </c>
      <c r="N48" s="18">
        <v>0.04</v>
      </c>
      <c r="O48" s="18">
        <v>0.96</v>
      </c>
      <c r="P48" s="18">
        <v>0.31</v>
      </c>
      <c r="Q48" s="22">
        <v>1</v>
      </c>
      <c r="R48" s="294">
        <v>125</v>
      </c>
      <c r="S48" s="294">
        <v>0</v>
      </c>
      <c r="T48" s="365">
        <v>3</v>
      </c>
      <c r="U48" s="368" t="str">
        <f t="shared" si="0"/>
        <v>Normal</v>
      </c>
      <c r="V48" s="368" t="str">
        <f t="shared" si="1"/>
        <v>Normal</v>
      </c>
      <c r="W48" s="81">
        <f t="shared" si="2"/>
        <v>-0.17708333333333334</v>
      </c>
      <c r="X48" s="81">
        <f t="shared" si="3"/>
        <v>-0.20105820105820105</v>
      </c>
      <c r="AJ48" s="32">
        <v>45300</v>
      </c>
      <c r="AK48" s="1">
        <v>0</v>
      </c>
      <c r="AL48" s="94">
        <v>0</v>
      </c>
    </row>
    <row r="49" spans="1:38">
      <c r="A49" s="32">
        <v>45064</v>
      </c>
      <c r="B49" s="408">
        <f>IF(YEAR(Table7[[#This Row],[Date]]) = 2023, WEEKNUM(Table7[[#This Row],[Date]])-13, WEEKNUM(Table7[[#This Row],[Date]])+40)</f>
        <v>7</v>
      </c>
      <c r="C49" s="34" t="s">
        <v>52</v>
      </c>
      <c r="D49" s="34" t="s">
        <v>94</v>
      </c>
      <c r="E49" s="1">
        <v>187</v>
      </c>
      <c r="F49" s="1">
        <v>178</v>
      </c>
      <c r="G49" s="64">
        <v>0.26351351351351349</v>
      </c>
      <c r="H49" s="64">
        <v>0.2361111111111111</v>
      </c>
      <c r="I49" s="1">
        <v>2903</v>
      </c>
      <c r="J49" s="1">
        <v>2805</v>
      </c>
      <c r="K49" s="1">
        <v>8073</v>
      </c>
      <c r="L49" s="1">
        <v>7758</v>
      </c>
      <c r="M49" s="18">
        <v>0.86</v>
      </c>
      <c r="N49" s="18">
        <v>0.04</v>
      </c>
      <c r="O49" s="18">
        <v>0.96</v>
      </c>
      <c r="P49" s="18">
        <v>0.49</v>
      </c>
      <c r="Q49" s="22">
        <v>1</v>
      </c>
      <c r="R49" s="294">
        <v>125</v>
      </c>
      <c r="S49" s="294">
        <v>0</v>
      </c>
      <c r="T49" s="365">
        <v>3</v>
      </c>
      <c r="U49" s="368" t="str">
        <f t="shared" si="0"/>
        <v>Normal</v>
      </c>
      <c r="V49" s="368" t="str">
        <f t="shared" si="1"/>
        <v>Normal</v>
      </c>
      <c r="W49" s="81">
        <f t="shared" si="2"/>
        <v>0.26351351351351349</v>
      </c>
      <c r="X49" s="81">
        <f t="shared" si="3"/>
        <v>0.2361111111111111</v>
      </c>
      <c r="AJ49" s="32">
        <v>45307</v>
      </c>
      <c r="AK49" s="1">
        <v>0</v>
      </c>
      <c r="AL49" s="94">
        <v>0</v>
      </c>
    </row>
    <row r="50" spans="1:38">
      <c r="A50" s="32">
        <v>45065</v>
      </c>
      <c r="B50" s="408">
        <f>IF(YEAR(Table7[[#This Row],[Date]]) = 2023, WEEKNUM(Table7[[#This Row],[Date]])-13, WEEKNUM(Table7[[#This Row],[Date]])+40)</f>
        <v>7</v>
      </c>
      <c r="C50" s="34" t="s">
        <v>53</v>
      </c>
      <c r="D50" s="34" t="s">
        <v>94</v>
      </c>
      <c r="E50" s="1">
        <v>190</v>
      </c>
      <c r="F50" s="1">
        <v>178</v>
      </c>
      <c r="G50" s="64">
        <v>0.18012422360248448</v>
      </c>
      <c r="H50" s="64">
        <v>0.16339869281045752</v>
      </c>
      <c r="I50" s="1">
        <v>3093</v>
      </c>
      <c r="J50" s="1">
        <v>2983</v>
      </c>
      <c r="K50" s="1">
        <v>8263</v>
      </c>
      <c r="L50" s="1">
        <v>7936</v>
      </c>
      <c r="M50" s="18">
        <v>0.77</v>
      </c>
      <c r="N50" s="18">
        <v>0.06</v>
      </c>
      <c r="O50" s="18">
        <v>0.94</v>
      </c>
      <c r="P50" s="18">
        <v>0.55000000000000004</v>
      </c>
      <c r="Q50" s="22">
        <v>1</v>
      </c>
      <c r="R50" s="294">
        <v>120</v>
      </c>
      <c r="S50" s="294">
        <v>0</v>
      </c>
      <c r="T50" s="365">
        <v>3</v>
      </c>
      <c r="U50" s="368" t="str">
        <f t="shared" si="0"/>
        <v>Normal</v>
      </c>
      <c r="V50" s="368" t="str">
        <f t="shared" si="1"/>
        <v>Normal</v>
      </c>
      <c r="W50" s="81">
        <f t="shared" si="2"/>
        <v>0.18012422360248448</v>
      </c>
      <c r="X50" s="81">
        <f t="shared" si="3"/>
        <v>0.16339869281045752</v>
      </c>
      <c r="AJ50" s="32">
        <v>45314</v>
      </c>
      <c r="AK50" s="1">
        <v>0</v>
      </c>
      <c r="AL50" s="94">
        <v>0</v>
      </c>
    </row>
    <row r="51" spans="1:38">
      <c r="A51" s="32">
        <v>45066</v>
      </c>
      <c r="B51" s="408">
        <f>IF(YEAR(Table7[[#This Row],[Date]]) = 2023, WEEKNUM(Table7[[#This Row],[Date]])-13, WEEKNUM(Table7[[#This Row],[Date]])+40)</f>
        <v>7</v>
      </c>
      <c r="C51" s="34" t="s">
        <v>54</v>
      </c>
      <c r="D51" s="34" t="s">
        <v>94</v>
      </c>
      <c r="E51" s="1">
        <v>142</v>
      </c>
      <c r="F51" s="1">
        <v>130</v>
      </c>
      <c r="G51" s="64">
        <v>0.21367521367521367</v>
      </c>
      <c r="H51" s="64">
        <v>0.14035087719298245</v>
      </c>
      <c r="I51" s="1">
        <v>3235</v>
      </c>
      <c r="J51" s="1">
        <v>3113</v>
      </c>
      <c r="K51" s="1">
        <v>8405</v>
      </c>
      <c r="L51" s="1">
        <v>8066</v>
      </c>
      <c r="M51" s="18">
        <v>0.75</v>
      </c>
      <c r="N51" s="18">
        <v>0.08</v>
      </c>
      <c r="O51" s="18">
        <v>0.92</v>
      </c>
      <c r="P51" s="18">
        <v>0.6</v>
      </c>
      <c r="Q51" s="22">
        <v>1</v>
      </c>
      <c r="R51" s="294">
        <v>748</v>
      </c>
      <c r="S51" s="294">
        <v>0</v>
      </c>
      <c r="T51" s="365">
        <v>3</v>
      </c>
      <c r="U51" s="368" t="str">
        <f t="shared" si="0"/>
        <v>Normal</v>
      </c>
      <c r="V51" s="368" t="str">
        <f t="shared" si="1"/>
        <v>Normal</v>
      </c>
      <c r="W51" s="81">
        <f t="shared" si="2"/>
        <v>0.21367521367521367</v>
      </c>
      <c r="X51" s="81">
        <f t="shared" si="3"/>
        <v>0.14035087719298245</v>
      </c>
      <c r="AJ51" s="32">
        <v>45321</v>
      </c>
      <c r="AK51" s="1">
        <v>0</v>
      </c>
      <c r="AL51" s="94">
        <v>0</v>
      </c>
    </row>
    <row r="52" spans="1:38">
      <c r="A52" s="32">
        <v>45067</v>
      </c>
      <c r="B52" s="408">
        <f>IF(YEAR(Table7[[#This Row],[Date]]) = 2023, WEEKNUM(Table7[[#This Row],[Date]])-13, WEEKNUM(Table7[[#This Row],[Date]])+40)</f>
        <v>8</v>
      </c>
      <c r="C52" s="34" t="s">
        <v>48</v>
      </c>
      <c r="D52" s="34" t="s">
        <v>94</v>
      </c>
      <c r="E52" s="1">
        <v>16</v>
      </c>
      <c r="F52" s="1">
        <v>16</v>
      </c>
      <c r="G52" s="64">
        <v>0</v>
      </c>
      <c r="H52" s="64">
        <v>0</v>
      </c>
      <c r="I52" s="1">
        <v>3251</v>
      </c>
      <c r="J52" s="1">
        <v>3129</v>
      </c>
      <c r="K52" s="1">
        <v>8421</v>
      </c>
      <c r="L52" s="1">
        <v>8082</v>
      </c>
      <c r="M52" s="18">
        <v>0.94</v>
      </c>
      <c r="N52" s="18">
        <v>0</v>
      </c>
      <c r="O52" s="18">
        <v>1</v>
      </c>
      <c r="P52" s="18">
        <v>0.1</v>
      </c>
      <c r="Q52" s="22">
        <v>1</v>
      </c>
      <c r="R52" s="294">
        <v>175</v>
      </c>
      <c r="S52" s="294">
        <v>0</v>
      </c>
      <c r="T52" s="365">
        <v>1</v>
      </c>
      <c r="U52" s="368" t="str">
        <f t="shared" si="0"/>
        <v>Normal</v>
      </c>
      <c r="V52" s="368" t="str">
        <f t="shared" si="1"/>
        <v>Normal</v>
      </c>
      <c r="W52" s="81">
        <f t="shared" si="2"/>
        <v>0</v>
      </c>
      <c r="X52" s="81">
        <f t="shared" si="3"/>
        <v>0</v>
      </c>
      <c r="AJ52" s="32">
        <v>45328</v>
      </c>
      <c r="AK52" s="1">
        <v>0</v>
      </c>
      <c r="AL52" s="94">
        <v>0</v>
      </c>
    </row>
    <row r="53" spans="1:38">
      <c r="A53" s="32">
        <v>45068</v>
      </c>
      <c r="B53" s="408">
        <f>IF(YEAR(Table7[[#This Row],[Date]]) = 2023, WEEKNUM(Table7[[#This Row],[Date]])-13, WEEKNUM(Table7[[#This Row],[Date]])+40)</f>
        <v>8</v>
      </c>
      <c r="C53" s="34" t="s">
        <v>49</v>
      </c>
      <c r="D53" s="34" t="s">
        <v>94</v>
      </c>
      <c r="E53" s="1">
        <v>214</v>
      </c>
      <c r="F53" s="1">
        <v>205</v>
      </c>
      <c r="G53" s="64">
        <v>0.16304347826086957</v>
      </c>
      <c r="H53" s="64">
        <v>0.16477272727272727</v>
      </c>
      <c r="I53" s="1">
        <v>3465</v>
      </c>
      <c r="J53" s="1">
        <v>3334</v>
      </c>
      <c r="K53" s="1">
        <v>8635</v>
      </c>
      <c r="L53" s="1">
        <v>8287</v>
      </c>
      <c r="M53" s="18">
        <v>0.83</v>
      </c>
      <c r="N53" s="18">
        <v>0.04</v>
      </c>
      <c r="O53" s="18">
        <v>0.96</v>
      </c>
      <c r="P53" s="18">
        <v>0.6</v>
      </c>
      <c r="Q53" s="22">
        <v>1</v>
      </c>
      <c r="R53" s="294">
        <v>110</v>
      </c>
      <c r="S53" s="294">
        <v>0</v>
      </c>
      <c r="T53" s="365">
        <v>4</v>
      </c>
      <c r="U53" s="368" t="str">
        <f t="shared" si="0"/>
        <v>Normal</v>
      </c>
      <c r="V53" s="368" t="str">
        <f t="shared" si="1"/>
        <v>Normal</v>
      </c>
      <c r="W53" s="81">
        <f t="shared" si="2"/>
        <v>0.16304347826086957</v>
      </c>
      <c r="X53" s="81">
        <f t="shared" si="3"/>
        <v>0.16477272727272727</v>
      </c>
      <c r="AJ53" s="32">
        <v>45335</v>
      </c>
      <c r="AK53" s="1">
        <v>0</v>
      </c>
      <c r="AL53" s="94">
        <v>0</v>
      </c>
    </row>
    <row r="54" spans="1:38">
      <c r="A54" s="32">
        <v>45069</v>
      </c>
      <c r="B54" s="408">
        <f>IF(YEAR(Table7[[#This Row],[Date]]) = 2023, WEEKNUM(Table7[[#This Row],[Date]])-13, WEEKNUM(Table7[[#This Row],[Date]])+40)</f>
        <v>8</v>
      </c>
      <c r="C54" s="34" t="s">
        <v>50</v>
      </c>
      <c r="D54" s="34" t="s">
        <v>94</v>
      </c>
      <c r="E54" s="1">
        <v>243</v>
      </c>
      <c r="F54" s="1">
        <v>227</v>
      </c>
      <c r="G54" s="64">
        <v>0.42941176470588233</v>
      </c>
      <c r="H54" s="64">
        <v>0.36746987951807231</v>
      </c>
      <c r="I54" s="1">
        <v>3708</v>
      </c>
      <c r="J54" s="1">
        <v>3561</v>
      </c>
      <c r="K54" s="1">
        <v>8878</v>
      </c>
      <c r="L54" s="1">
        <v>8514</v>
      </c>
      <c r="M54" s="18">
        <v>0.54</v>
      </c>
      <c r="N54" s="18">
        <v>7.0000000000000007E-2</v>
      </c>
      <c r="O54" s="18">
        <v>0.93</v>
      </c>
      <c r="P54" s="18">
        <v>0.7</v>
      </c>
      <c r="Q54" s="22">
        <v>1</v>
      </c>
      <c r="R54" s="294">
        <v>102</v>
      </c>
      <c r="S54" s="294">
        <v>0</v>
      </c>
      <c r="T54" s="365">
        <v>3</v>
      </c>
      <c r="U54" s="368" t="str">
        <f t="shared" si="0"/>
        <v>Normal</v>
      </c>
      <c r="V54" s="368" t="str">
        <f t="shared" si="1"/>
        <v>Normal</v>
      </c>
      <c r="W54" s="81">
        <f t="shared" si="2"/>
        <v>0.42941176470588233</v>
      </c>
      <c r="X54" s="81">
        <f t="shared" si="3"/>
        <v>0.36746987951807231</v>
      </c>
      <c r="AJ54" s="32">
        <v>45342</v>
      </c>
      <c r="AK54" s="1">
        <v>0</v>
      </c>
      <c r="AL54" s="94">
        <v>0</v>
      </c>
    </row>
    <row r="55" spans="1:38">
      <c r="A55" s="32">
        <v>45070</v>
      </c>
      <c r="B55" s="408">
        <f>IF(YEAR(Table7[[#This Row],[Date]]) = 2023, WEEKNUM(Table7[[#This Row],[Date]])-13, WEEKNUM(Table7[[#This Row],[Date]])+40)</f>
        <v>8</v>
      </c>
      <c r="C55" s="34" t="s">
        <v>51</v>
      </c>
      <c r="D55" s="34" t="s">
        <v>94</v>
      </c>
      <c r="E55" s="1">
        <v>161</v>
      </c>
      <c r="F55" s="1">
        <v>156</v>
      </c>
      <c r="G55" s="64">
        <v>0</v>
      </c>
      <c r="H55" s="64">
        <v>0</v>
      </c>
      <c r="I55" s="1">
        <v>0</v>
      </c>
      <c r="J55" s="1">
        <v>0</v>
      </c>
      <c r="K55" s="1">
        <v>0</v>
      </c>
      <c r="L55" s="1">
        <v>0</v>
      </c>
      <c r="M55" s="18">
        <v>0</v>
      </c>
      <c r="N55" s="18">
        <v>0</v>
      </c>
      <c r="O55" s="18">
        <v>0</v>
      </c>
      <c r="P55" s="18">
        <v>0</v>
      </c>
      <c r="Q55" s="22">
        <v>0</v>
      </c>
      <c r="R55" s="294">
        <v>0</v>
      </c>
      <c r="S55" s="294">
        <v>0</v>
      </c>
      <c r="T55" s="365">
        <v>0</v>
      </c>
      <c r="U55" s="368" t="str">
        <f t="shared" si="0"/>
        <v>Normal</v>
      </c>
      <c r="V55" s="368" t="str">
        <f t="shared" si="1"/>
        <v>Normal</v>
      </c>
      <c r="W55" s="81">
        <f t="shared" si="2"/>
        <v>0</v>
      </c>
      <c r="X55" s="81">
        <f t="shared" si="3"/>
        <v>0</v>
      </c>
      <c r="AJ55" s="32">
        <v>45349</v>
      </c>
      <c r="AK55" s="1">
        <v>0</v>
      </c>
      <c r="AL55" s="94">
        <v>0</v>
      </c>
    </row>
    <row r="56" spans="1:38">
      <c r="A56" s="32">
        <v>45071</v>
      </c>
      <c r="B56" s="408">
        <f>IF(YEAR(Table7[[#This Row],[Date]]) = 2023, WEEKNUM(Table7[[#This Row],[Date]])-13, WEEKNUM(Table7[[#This Row],[Date]])+40)</f>
        <v>8</v>
      </c>
      <c r="C56" s="34" t="s">
        <v>52</v>
      </c>
      <c r="D56" s="34" t="s">
        <v>94</v>
      </c>
      <c r="E56" s="1">
        <v>174</v>
      </c>
      <c r="F56" s="1">
        <v>168</v>
      </c>
      <c r="G56" s="64">
        <v>-6.9518716577540107E-2</v>
      </c>
      <c r="H56" s="64">
        <v>-5.6179775280898875E-2</v>
      </c>
      <c r="I56" s="1">
        <v>3951</v>
      </c>
      <c r="J56" s="1">
        <v>3729</v>
      </c>
      <c r="K56" s="1">
        <v>9052</v>
      </c>
      <c r="L56" s="1">
        <v>8682</v>
      </c>
      <c r="M56" s="18">
        <v>0.84</v>
      </c>
      <c r="N56" s="18">
        <v>0.03</v>
      </c>
      <c r="O56" s="18">
        <v>0.97</v>
      </c>
      <c r="P56" s="18">
        <v>0.62</v>
      </c>
      <c r="Q56" s="22">
        <v>1</v>
      </c>
      <c r="R56" s="294">
        <v>133</v>
      </c>
      <c r="S56" s="294">
        <v>0</v>
      </c>
      <c r="T56" s="365">
        <v>3</v>
      </c>
      <c r="U56" s="368" t="str">
        <f t="shared" si="0"/>
        <v>Normal</v>
      </c>
      <c r="V56" s="368" t="str">
        <f t="shared" si="1"/>
        <v>Normal</v>
      </c>
      <c r="W56" s="81">
        <f t="shared" si="2"/>
        <v>-6.9518716577540107E-2</v>
      </c>
      <c r="X56" s="81">
        <f t="shared" si="3"/>
        <v>-5.6179775280898875E-2</v>
      </c>
      <c r="AJ56" s="32">
        <v>45356</v>
      </c>
      <c r="AK56" s="1">
        <v>0</v>
      </c>
      <c r="AL56" s="94">
        <v>0</v>
      </c>
    </row>
    <row r="57" spans="1:38">
      <c r="A57" s="32">
        <v>45072</v>
      </c>
      <c r="B57" s="408">
        <f>IF(YEAR(Table7[[#This Row],[Date]]) = 2023, WEEKNUM(Table7[[#This Row],[Date]])-13, WEEKNUM(Table7[[#This Row],[Date]])+40)</f>
        <v>8</v>
      </c>
      <c r="C57" s="279" t="s">
        <v>64</v>
      </c>
      <c r="D57" s="34" t="s">
        <v>94</v>
      </c>
      <c r="E57" s="1">
        <v>0</v>
      </c>
      <c r="F57" s="1">
        <v>0</v>
      </c>
      <c r="G57" s="64">
        <v>0</v>
      </c>
      <c r="H57" s="64">
        <v>0</v>
      </c>
      <c r="I57" s="1">
        <v>0</v>
      </c>
      <c r="J57" s="1">
        <v>0</v>
      </c>
      <c r="K57" s="1">
        <v>0</v>
      </c>
      <c r="L57" s="1">
        <v>0</v>
      </c>
      <c r="M57" s="18">
        <v>0</v>
      </c>
      <c r="N57" s="18">
        <v>0</v>
      </c>
      <c r="O57" s="18">
        <v>0</v>
      </c>
      <c r="P57" s="18">
        <v>0</v>
      </c>
      <c r="Q57" s="22">
        <v>0</v>
      </c>
      <c r="R57" s="294">
        <v>0</v>
      </c>
      <c r="S57" s="294">
        <v>0</v>
      </c>
      <c r="T57" s="365">
        <v>0</v>
      </c>
      <c r="U57" s="368" t="str">
        <f t="shared" si="0"/>
        <v>Normal</v>
      </c>
      <c r="V57" s="368" t="str">
        <f t="shared" si="1"/>
        <v>Normal</v>
      </c>
      <c r="W57" s="81">
        <f t="shared" si="2"/>
        <v>0</v>
      </c>
      <c r="X57" s="81">
        <f t="shared" si="3"/>
        <v>0</v>
      </c>
      <c r="AJ57" s="32">
        <v>45363</v>
      </c>
      <c r="AK57" s="1">
        <v>0</v>
      </c>
      <c r="AL57" s="94">
        <v>0</v>
      </c>
    </row>
    <row r="58" spans="1:38">
      <c r="A58" s="32">
        <v>45073</v>
      </c>
      <c r="B58" s="408">
        <f>IF(YEAR(Table7[[#This Row],[Date]]) = 2023, WEEKNUM(Table7[[#This Row],[Date]])-13, WEEKNUM(Table7[[#This Row],[Date]])+40)</f>
        <v>8</v>
      </c>
      <c r="C58" s="34" t="s">
        <v>54</v>
      </c>
      <c r="D58" s="34" t="s">
        <v>94</v>
      </c>
      <c r="E58" s="1">
        <v>154</v>
      </c>
      <c r="F58" s="1">
        <v>148</v>
      </c>
      <c r="G58" s="64">
        <v>8.4507042253521125E-2</v>
      </c>
      <c r="H58" s="64">
        <v>0.13846153846153847</v>
      </c>
      <c r="I58" s="1">
        <v>4105</v>
      </c>
      <c r="J58" s="1">
        <v>3897</v>
      </c>
      <c r="K58" s="1">
        <v>9206</v>
      </c>
      <c r="L58" s="1">
        <v>8830</v>
      </c>
      <c r="M58" s="18">
        <v>0.92</v>
      </c>
      <c r="N58" s="18">
        <v>0.04</v>
      </c>
      <c r="O58" s="18">
        <v>0.96</v>
      </c>
      <c r="P58" s="18">
        <v>0.67</v>
      </c>
      <c r="Q58" s="22">
        <v>1</v>
      </c>
      <c r="R58" s="294">
        <v>130</v>
      </c>
      <c r="S58" s="294">
        <v>0</v>
      </c>
      <c r="T58" s="365">
        <v>3</v>
      </c>
      <c r="U58" s="368" t="str">
        <f t="shared" si="0"/>
        <v>Normal</v>
      </c>
      <c r="V58" s="368" t="str">
        <f t="shared" si="1"/>
        <v>Normal</v>
      </c>
      <c r="W58" s="81">
        <f t="shared" si="2"/>
        <v>8.4507042253521125E-2</v>
      </c>
      <c r="X58" s="81">
        <f t="shared" si="3"/>
        <v>0.13846153846153847</v>
      </c>
      <c r="AJ58" s="32">
        <v>45370</v>
      </c>
      <c r="AK58" s="1">
        <v>0</v>
      </c>
      <c r="AL58" s="94">
        <v>0</v>
      </c>
    </row>
    <row r="59" spans="1:38">
      <c r="A59" s="32">
        <v>45074</v>
      </c>
      <c r="B59" s="408">
        <f>IF(YEAR(Table7[[#This Row],[Date]]) = 2023, WEEKNUM(Table7[[#This Row],[Date]])-13, WEEKNUM(Table7[[#This Row],[Date]])+40)</f>
        <v>9</v>
      </c>
      <c r="C59" s="34" t="s">
        <v>48</v>
      </c>
      <c r="D59" s="34" t="s">
        <v>94</v>
      </c>
      <c r="E59" s="1">
        <v>13</v>
      </c>
      <c r="F59" s="1">
        <v>12</v>
      </c>
      <c r="G59" s="64">
        <v>-0.1875</v>
      </c>
      <c r="H59" s="64">
        <v>-0.25</v>
      </c>
      <c r="I59" s="1">
        <v>4118</v>
      </c>
      <c r="J59" s="1">
        <v>3909</v>
      </c>
      <c r="K59" s="1">
        <v>9219</v>
      </c>
      <c r="L59" s="1">
        <v>8842</v>
      </c>
      <c r="M59" s="18">
        <v>0.88</v>
      </c>
      <c r="N59" s="18">
        <v>0.08</v>
      </c>
      <c r="O59" s="18">
        <v>0.92</v>
      </c>
      <c r="P59" s="18">
        <v>0.08</v>
      </c>
      <c r="Q59" s="22">
        <v>0.99</v>
      </c>
      <c r="R59" s="294">
        <v>136</v>
      </c>
      <c r="S59" s="294">
        <v>0</v>
      </c>
      <c r="T59" s="365">
        <v>1</v>
      </c>
      <c r="U59" s="368" t="str">
        <f t="shared" si="0"/>
        <v>Normal</v>
      </c>
      <c r="V59" s="368" t="str">
        <f t="shared" si="1"/>
        <v>Normal</v>
      </c>
      <c r="W59" s="81">
        <f t="shared" si="2"/>
        <v>-0.1875</v>
      </c>
      <c r="X59" s="81">
        <f t="shared" si="3"/>
        <v>-0.25</v>
      </c>
      <c r="AJ59" s="32">
        <v>45377</v>
      </c>
      <c r="AK59" s="1">
        <v>0</v>
      </c>
      <c r="AL59" s="94">
        <v>0</v>
      </c>
    </row>
    <row r="60" spans="1:38">
      <c r="A60" s="32">
        <v>45075</v>
      </c>
      <c r="B60" s="408">
        <f>IF(YEAR(Table7[[#This Row],[Date]]) = 2023, WEEKNUM(Table7[[#This Row],[Date]])-13, WEEKNUM(Table7[[#This Row],[Date]])+40)</f>
        <v>9</v>
      </c>
      <c r="C60" s="34" t="s">
        <v>49</v>
      </c>
      <c r="D60" s="34" t="s">
        <v>94</v>
      </c>
      <c r="E60" s="1">
        <v>199</v>
      </c>
      <c r="F60" s="1">
        <v>192</v>
      </c>
      <c r="G60" s="64">
        <v>-7.0093457943925228E-2</v>
      </c>
      <c r="H60" s="64">
        <v>-6.3414634146341464E-2</v>
      </c>
      <c r="I60" s="1">
        <v>4317</v>
      </c>
      <c r="J60" s="1">
        <v>4101</v>
      </c>
      <c r="K60" s="1">
        <v>9418</v>
      </c>
      <c r="L60" s="1">
        <v>9034</v>
      </c>
      <c r="M60" s="18">
        <v>0.88</v>
      </c>
      <c r="N60" s="18">
        <v>0.04</v>
      </c>
      <c r="O60" s="18">
        <v>0.96</v>
      </c>
      <c r="P60" s="18">
        <v>0.99</v>
      </c>
      <c r="Q60" s="22">
        <v>1</v>
      </c>
      <c r="R60" s="294">
        <v>109</v>
      </c>
      <c r="S60" s="294">
        <v>0</v>
      </c>
      <c r="T60" s="365">
        <v>3</v>
      </c>
      <c r="U60" s="368" t="str">
        <f t="shared" si="0"/>
        <v>Normal</v>
      </c>
      <c r="V60" s="368" t="str">
        <f t="shared" si="1"/>
        <v>Normal</v>
      </c>
      <c r="W60" s="81">
        <f t="shared" si="2"/>
        <v>-7.0093457943925228E-2</v>
      </c>
      <c r="X60" s="81">
        <f t="shared" si="3"/>
        <v>-6.3414634146341464E-2</v>
      </c>
      <c r="AJ60" s="32">
        <v>45017</v>
      </c>
      <c r="AK60" s="37">
        <v>0</v>
      </c>
      <c r="AL60" s="92">
        <v>0</v>
      </c>
    </row>
    <row r="61" spans="1:38">
      <c r="A61" s="32">
        <v>45076</v>
      </c>
      <c r="B61" s="408">
        <f>IF(YEAR(Table7[[#This Row],[Date]]) = 2023, WEEKNUM(Table7[[#This Row],[Date]])-13, WEEKNUM(Table7[[#This Row],[Date]])+40)</f>
        <v>9</v>
      </c>
      <c r="C61" s="34" t="s">
        <v>50</v>
      </c>
      <c r="D61" s="34" t="s">
        <v>94</v>
      </c>
      <c r="E61" s="1">
        <v>185</v>
      </c>
      <c r="F61" s="1">
        <v>182</v>
      </c>
      <c r="G61" s="64">
        <v>-0.23868312757201646</v>
      </c>
      <c r="H61" s="64">
        <v>-0.19823788546255505</v>
      </c>
      <c r="I61" s="1">
        <v>4502</v>
      </c>
      <c r="J61" s="1">
        <v>4283</v>
      </c>
      <c r="K61" s="1">
        <v>9603</v>
      </c>
      <c r="L61" s="1">
        <v>9216</v>
      </c>
      <c r="M61" s="18">
        <v>0.64</v>
      </c>
      <c r="N61" s="18">
        <v>0.02</v>
      </c>
      <c r="O61" s="18">
        <v>0.98</v>
      </c>
      <c r="P61" s="18">
        <v>0.43</v>
      </c>
      <c r="Q61" s="22">
        <v>1</v>
      </c>
      <c r="R61" s="294">
        <v>94</v>
      </c>
      <c r="S61" s="294">
        <v>0</v>
      </c>
      <c r="T61" s="365">
        <v>3</v>
      </c>
      <c r="U61" s="368" t="str">
        <f t="shared" si="0"/>
        <v>Normal</v>
      </c>
      <c r="V61" s="368" t="str">
        <f t="shared" si="1"/>
        <v>Normal</v>
      </c>
      <c r="W61" s="81">
        <f t="shared" si="2"/>
        <v>-0.23868312757201646</v>
      </c>
      <c r="X61" s="81">
        <f t="shared" si="3"/>
        <v>-0.19823788546255505</v>
      </c>
    </row>
    <row r="62" spans="1:38" s="47" customFormat="1">
      <c r="A62" s="32">
        <v>45077</v>
      </c>
      <c r="B62" s="408">
        <f>IF(YEAR(Table7[[#This Row],[Date]]) = 2023, WEEKNUM(Table7[[#This Row],[Date]])-13, WEEKNUM(Table7[[#This Row],[Date]])+40)</f>
        <v>9</v>
      </c>
      <c r="C62" s="76" t="s">
        <v>51</v>
      </c>
      <c r="D62" s="34" t="s">
        <v>94</v>
      </c>
      <c r="E62" s="1">
        <v>226</v>
      </c>
      <c r="F62" s="1">
        <v>209</v>
      </c>
      <c r="G62" s="64">
        <v>0.40372670807453415</v>
      </c>
      <c r="H62" s="64">
        <v>0.33974358974358976</v>
      </c>
      <c r="I62" s="1">
        <v>4728</v>
      </c>
      <c r="J62" s="1">
        <v>4492</v>
      </c>
      <c r="K62" s="1">
        <v>9829</v>
      </c>
      <c r="L62" s="1">
        <v>9425</v>
      </c>
      <c r="M62" s="18">
        <v>0.71</v>
      </c>
      <c r="N62" s="18">
        <v>0.08</v>
      </c>
      <c r="O62" s="18">
        <v>0.92</v>
      </c>
      <c r="P62" s="18">
        <v>0.71</v>
      </c>
      <c r="Q62" s="22">
        <v>1</v>
      </c>
      <c r="R62" s="294">
        <v>82</v>
      </c>
      <c r="S62" s="294">
        <v>0</v>
      </c>
      <c r="T62" s="365">
        <v>2</v>
      </c>
      <c r="U62" s="368" t="str">
        <f t="shared" si="0"/>
        <v>Normal</v>
      </c>
      <c r="V62" s="368" t="str">
        <f t="shared" si="1"/>
        <v>Normal</v>
      </c>
      <c r="W62" s="81">
        <f t="shared" si="2"/>
        <v>0.40372670807453415</v>
      </c>
      <c r="X62" s="81">
        <f t="shared" si="3"/>
        <v>0.33974358974358976</v>
      </c>
      <c r="Y62" s="338"/>
      <c r="Z62" s="338"/>
      <c r="AA62" s="338"/>
      <c r="AB62" s="338"/>
      <c r="AC62" s="338"/>
      <c r="AD62" s="338"/>
      <c r="AE62" s="338"/>
      <c r="AF62" s="338"/>
      <c r="AG62" s="338"/>
      <c r="AH62" s="338"/>
      <c r="AI62" s="338"/>
      <c r="AJ62"/>
      <c r="AK62"/>
      <c r="AL62"/>
    </row>
    <row r="63" spans="1:38">
      <c r="A63" s="32">
        <v>45078</v>
      </c>
      <c r="B63" s="408">
        <f>IF(YEAR(Table7[[#This Row],[Date]]) = 2023, WEEKNUM(Table7[[#This Row],[Date]])-13, WEEKNUM(Table7[[#This Row],[Date]])+40)</f>
        <v>9</v>
      </c>
      <c r="C63" s="34" t="s">
        <v>52</v>
      </c>
      <c r="D63" s="34" t="s">
        <v>94</v>
      </c>
      <c r="E63" s="1">
        <v>159</v>
      </c>
      <c r="F63" s="1">
        <v>152</v>
      </c>
      <c r="G63" s="64">
        <f>IFERROR((E63-E56)/E56,0%)</f>
        <v>-8.6206896551724144E-2</v>
      </c>
      <c r="H63" s="64">
        <f>IFERROR((F63-F56)/F56,0%)</f>
        <v>-9.5238095238095233E-2</v>
      </c>
      <c r="I63" s="1"/>
      <c r="J63" s="1"/>
      <c r="K63" s="1"/>
      <c r="L63" s="1"/>
      <c r="M63" s="18">
        <v>0.84</v>
      </c>
      <c r="N63" s="18">
        <v>0.04</v>
      </c>
      <c r="O63" s="18">
        <v>0.96</v>
      </c>
      <c r="P63" s="18">
        <v>0.82</v>
      </c>
      <c r="Q63" s="22">
        <v>1</v>
      </c>
      <c r="R63" s="294">
        <v>133</v>
      </c>
      <c r="S63" s="294">
        <v>0</v>
      </c>
      <c r="T63" s="365">
        <v>1</v>
      </c>
      <c r="U63" s="368" t="str">
        <f t="shared" si="0"/>
        <v>Normal</v>
      </c>
      <c r="V63" s="368" t="str">
        <f t="shared" si="1"/>
        <v>Normal</v>
      </c>
      <c r="W63" s="81">
        <f t="shared" si="2"/>
        <v>-8.6206896551724144E-2</v>
      </c>
      <c r="X63" s="81">
        <f t="shared" si="3"/>
        <v>-9.5238095238095233E-2</v>
      </c>
      <c r="AJ63" s="144"/>
    </row>
    <row r="64" spans="1:38">
      <c r="A64" s="32">
        <v>45079</v>
      </c>
      <c r="B64" s="408">
        <f>IF(YEAR(Table7[[#This Row],[Date]]) = 2023, WEEKNUM(Table7[[#This Row],[Date]])-13, WEEKNUM(Table7[[#This Row],[Date]])+40)</f>
        <v>9</v>
      </c>
      <c r="C64" s="34" t="s">
        <v>53</v>
      </c>
      <c r="D64" s="34" t="s">
        <v>94</v>
      </c>
      <c r="E64" s="1">
        <v>153</v>
      </c>
      <c r="F64" s="1">
        <v>143</v>
      </c>
      <c r="G64" s="64">
        <f t="shared" ref="G64:H64" si="4">IFERROR((E64-E57)/E57,0%)</f>
        <v>0</v>
      </c>
      <c r="H64" s="64">
        <f t="shared" si="4"/>
        <v>0</v>
      </c>
      <c r="I64" s="1"/>
      <c r="J64" s="1"/>
      <c r="K64" s="1"/>
      <c r="L64" s="1"/>
      <c r="M64" s="18">
        <v>0.85</v>
      </c>
      <c r="N64" s="18">
        <v>7.0000000000000007E-2</v>
      </c>
      <c r="O64" s="18">
        <v>0.93</v>
      </c>
      <c r="P64" s="18">
        <v>0.67</v>
      </c>
      <c r="Q64" s="22">
        <v>1</v>
      </c>
      <c r="R64" s="294">
        <v>116</v>
      </c>
      <c r="S64" s="294">
        <v>0</v>
      </c>
      <c r="T64" s="365">
        <v>2</v>
      </c>
      <c r="U64" s="368" t="str">
        <f t="shared" si="0"/>
        <v>Normal</v>
      </c>
      <c r="V64" s="368" t="str">
        <f t="shared" si="1"/>
        <v>Normal</v>
      </c>
      <c r="W64" s="81">
        <f t="shared" si="2"/>
        <v>0</v>
      </c>
      <c r="X64" s="81">
        <f t="shared" si="3"/>
        <v>0</v>
      </c>
    </row>
    <row r="65" spans="1:24">
      <c r="A65" s="32">
        <v>45080</v>
      </c>
      <c r="B65" s="408">
        <f>IF(YEAR(Table7[[#This Row],[Date]]) = 2023, WEEKNUM(Table7[[#This Row],[Date]])-13, WEEKNUM(Table7[[#This Row],[Date]])+40)</f>
        <v>9</v>
      </c>
      <c r="C65" s="34" t="s">
        <v>54</v>
      </c>
      <c r="D65" s="34" t="s">
        <v>94</v>
      </c>
      <c r="E65" s="1">
        <v>146</v>
      </c>
      <c r="F65" s="1">
        <v>138</v>
      </c>
      <c r="G65" s="64">
        <f t="shared" ref="G65:H65" si="5">IFERROR((E65-E58)/E58,0%)</f>
        <v>-5.1948051948051951E-2</v>
      </c>
      <c r="H65" s="64">
        <f t="shared" si="5"/>
        <v>-6.7567567567567571E-2</v>
      </c>
      <c r="I65" s="1"/>
      <c r="J65" s="1"/>
      <c r="K65" s="1"/>
      <c r="L65" s="1"/>
      <c r="M65" s="18">
        <v>0.76</v>
      </c>
      <c r="N65" s="18">
        <v>0.05</v>
      </c>
      <c r="O65" s="18">
        <v>0.95</v>
      </c>
      <c r="P65" s="18">
        <v>0.42</v>
      </c>
      <c r="Q65" s="22">
        <v>1</v>
      </c>
      <c r="R65" s="294">
        <v>129</v>
      </c>
      <c r="S65" s="294">
        <v>0</v>
      </c>
      <c r="T65" s="365">
        <v>3</v>
      </c>
      <c r="U65" s="368" t="str">
        <f t="shared" si="0"/>
        <v>Normal</v>
      </c>
      <c r="V65" s="368" t="str">
        <f t="shared" si="1"/>
        <v>Normal</v>
      </c>
      <c r="W65" s="81">
        <f t="shared" si="2"/>
        <v>-5.1948051948051951E-2</v>
      </c>
      <c r="X65" s="81">
        <f t="shared" si="3"/>
        <v>-6.7567567567567571E-2</v>
      </c>
    </row>
    <row r="66" spans="1:24">
      <c r="A66" s="32">
        <v>45081</v>
      </c>
      <c r="B66" s="408">
        <f>IF(YEAR(Table7[[#This Row],[Date]]) = 2023, WEEKNUM(Table7[[#This Row],[Date]])-13, WEEKNUM(Table7[[#This Row],[Date]])+40)</f>
        <v>10</v>
      </c>
      <c r="C66" s="34" t="s">
        <v>48</v>
      </c>
      <c r="D66" s="34" t="s">
        <v>94</v>
      </c>
      <c r="E66" s="1">
        <v>0</v>
      </c>
      <c r="F66" s="1">
        <v>0</v>
      </c>
      <c r="G66" s="64">
        <v>0</v>
      </c>
      <c r="H66" s="64">
        <v>0</v>
      </c>
      <c r="I66" s="1">
        <v>0</v>
      </c>
      <c r="J66" s="1">
        <v>0</v>
      </c>
      <c r="K66" s="1">
        <v>0</v>
      </c>
      <c r="L66" s="1">
        <v>0</v>
      </c>
      <c r="M66" s="18">
        <v>0</v>
      </c>
      <c r="N66" s="18">
        <v>0</v>
      </c>
      <c r="O66" s="18">
        <v>0</v>
      </c>
      <c r="P66" s="18">
        <v>0</v>
      </c>
      <c r="Q66" s="22">
        <v>0</v>
      </c>
      <c r="R66" s="294">
        <v>0</v>
      </c>
      <c r="S66" s="294">
        <v>0</v>
      </c>
      <c r="T66" s="365">
        <v>0</v>
      </c>
      <c r="U66" s="368" t="str">
        <f t="shared" si="0"/>
        <v>Normal</v>
      </c>
      <c r="V66" s="368" t="str">
        <f t="shared" si="1"/>
        <v>Normal</v>
      </c>
      <c r="W66" s="81">
        <f t="shared" si="2"/>
        <v>0</v>
      </c>
      <c r="X66" s="81">
        <f t="shared" si="3"/>
        <v>0</v>
      </c>
    </row>
    <row r="67" spans="1:24">
      <c r="A67" s="32">
        <v>45082</v>
      </c>
      <c r="B67" s="408">
        <f>IF(YEAR(Table7[[#This Row],[Date]]) = 2023, WEEKNUM(Table7[[#This Row],[Date]])-13, WEEKNUM(Table7[[#This Row],[Date]])+40)</f>
        <v>10</v>
      </c>
      <c r="C67" s="34" t="s">
        <v>49</v>
      </c>
      <c r="D67" s="34" t="s">
        <v>94</v>
      </c>
      <c r="E67" s="1">
        <v>167</v>
      </c>
      <c r="F67" s="1">
        <v>163</v>
      </c>
      <c r="G67" s="64">
        <f t="shared" ref="G67:H67" si="6">IFERROR((E67-E60)/E60,0%)</f>
        <v>-0.16080402010050251</v>
      </c>
      <c r="H67" s="64">
        <f t="shared" si="6"/>
        <v>-0.15104166666666666</v>
      </c>
      <c r="I67" s="1"/>
      <c r="J67" s="1"/>
      <c r="K67" s="1"/>
      <c r="L67" s="1"/>
      <c r="M67" s="18">
        <v>0.95</v>
      </c>
      <c r="N67" s="18">
        <v>0.02</v>
      </c>
      <c r="O67" s="18">
        <v>0.98</v>
      </c>
      <c r="P67" s="18">
        <v>0.4</v>
      </c>
      <c r="Q67" s="22">
        <v>1</v>
      </c>
      <c r="R67" s="294">
        <v>103</v>
      </c>
      <c r="S67" s="294">
        <v>0</v>
      </c>
      <c r="T67" s="365">
        <v>4</v>
      </c>
      <c r="U67" s="368" t="str">
        <f t="shared" ref="U67:U92" si="7">IF(OR(G67&lt;$AA$5,G67&gt;$AB$5), "Outlier", "Normal")</f>
        <v>Normal</v>
      </c>
      <c r="V67" s="368" t="str">
        <f t="shared" ref="V67:V92" si="8">IF(OR(H67&lt;$AA$6,H67&gt;$AB$6), "Outlier", "Normal")</f>
        <v>Normal</v>
      </c>
      <c r="W67" s="81">
        <f t="shared" ref="W67:W92" si="9">IF(U67="Normal",$G67,IF($G67&lt;150%, $G67, $AA$9))</f>
        <v>-0.16080402010050251</v>
      </c>
      <c r="X67" s="81">
        <f t="shared" ref="X67:X92" si="10">IF(V67="Normal",$H67,IF($H67&lt;150%, $H67, $AE$9))</f>
        <v>-0.15104166666666666</v>
      </c>
    </row>
    <row r="68" spans="1:24">
      <c r="A68" s="32">
        <v>45083</v>
      </c>
      <c r="B68" s="408">
        <f>IF(YEAR(Table7[[#This Row],[Date]]) = 2023, WEEKNUM(Table7[[#This Row],[Date]])-13, WEEKNUM(Table7[[#This Row],[Date]])+40)</f>
        <v>10</v>
      </c>
      <c r="C68" s="34" t="s">
        <v>50</v>
      </c>
      <c r="D68" s="34" t="s">
        <v>94</v>
      </c>
      <c r="E68" s="1">
        <v>190</v>
      </c>
      <c r="F68" s="1">
        <v>184</v>
      </c>
      <c r="G68" s="64">
        <f t="shared" ref="G68:H68" si="11">IFERROR((E68-E61)/E61,0%)</f>
        <v>2.7027027027027029E-2</v>
      </c>
      <c r="H68" s="64">
        <f t="shared" si="11"/>
        <v>1.098901098901099E-2</v>
      </c>
      <c r="I68" s="1"/>
      <c r="J68" s="1"/>
      <c r="K68" s="1"/>
      <c r="L68" s="1"/>
      <c r="M68" s="18">
        <v>0.97</v>
      </c>
      <c r="N68" s="18">
        <v>0.03</v>
      </c>
      <c r="O68" s="18">
        <v>0.97</v>
      </c>
      <c r="P68" s="18">
        <v>0.44</v>
      </c>
      <c r="Q68" s="22">
        <v>1</v>
      </c>
      <c r="R68" s="294">
        <v>109</v>
      </c>
      <c r="S68" s="294">
        <v>0</v>
      </c>
      <c r="T68" s="365">
        <v>3</v>
      </c>
      <c r="U68" s="368" t="str">
        <f t="shared" si="7"/>
        <v>Normal</v>
      </c>
      <c r="V68" s="368" t="str">
        <f t="shared" si="8"/>
        <v>Normal</v>
      </c>
      <c r="W68" s="81">
        <f t="shared" si="9"/>
        <v>2.7027027027027029E-2</v>
      </c>
      <c r="X68" s="81">
        <f t="shared" si="10"/>
        <v>1.098901098901099E-2</v>
      </c>
    </row>
    <row r="69" spans="1:24">
      <c r="A69" s="32">
        <v>45084</v>
      </c>
      <c r="B69" s="408">
        <f>IF(YEAR(Table7[[#This Row],[Date]]) = 2023, WEEKNUM(Table7[[#This Row],[Date]])-13, WEEKNUM(Table7[[#This Row],[Date]])+40)</f>
        <v>10</v>
      </c>
      <c r="C69" s="34" t="s">
        <v>51</v>
      </c>
      <c r="D69" s="34" t="s">
        <v>94</v>
      </c>
      <c r="E69" s="1">
        <v>161</v>
      </c>
      <c r="F69" s="1">
        <v>145</v>
      </c>
      <c r="G69" s="64">
        <f t="shared" ref="G69:H69" si="12">IFERROR((E69-E62)/E62,0%)</f>
        <v>-0.28761061946902655</v>
      </c>
      <c r="H69" s="64">
        <f t="shared" si="12"/>
        <v>-0.30622009569377989</v>
      </c>
      <c r="I69" s="1"/>
      <c r="J69" s="1"/>
      <c r="K69" s="1"/>
      <c r="L69" s="1"/>
      <c r="M69" s="18">
        <v>0.87</v>
      </c>
      <c r="N69" s="18">
        <v>0.1</v>
      </c>
      <c r="O69" s="18">
        <v>0.9</v>
      </c>
      <c r="P69" s="18">
        <v>0.43</v>
      </c>
      <c r="Q69" s="22">
        <v>1</v>
      </c>
      <c r="R69" s="294">
        <v>119</v>
      </c>
      <c r="S69" s="294">
        <v>0</v>
      </c>
      <c r="T69" s="365">
        <v>3</v>
      </c>
      <c r="U69" s="368" t="str">
        <f t="shared" si="7"/>
        <v>Normal</v>
      </c>
      <c r="V69" s="368" t="str">
        <f t="shared" si="8"/>
        <v>Normal</v>
      </c>
      <c r="W69" s="81">
        <f t="shared" si="9"/>
        <v>-0.28761061946902655</v>
      </c>
      <c r="X69" s="81">
        <f t="shared" si="10"/>
        <v>-0.30622009569377989</v>
      </c>
    </row>
    <row r="70" spans="1:24">
      <c r="A70" s="32">
        <v>45085</v>
      </c>
      <c r="B70" s="408">
        <f>IF(YEAR(Table7[[#This Row],[Date]]) = 2023, WEEKNUM(Table7[[#This Row],[Date]])-13, WEEKNUM(Table7[[#This Row],[Date]])+40)</f>
        <v>10</v>
      </c>
      <c r="C70" s="34" t="s">
        <v>52</v>
      </c>
      <c r="D70" s="34" t="s">
        <v>94</v>
      </c>
      <c r="E70" s="1">
        <v>139</v>
      </c>
      <c r="F70" s="1">
        <v>132</v>
      </c>
      <c r="G70" s="64">
        <f t="shared" ref="G70:H70" si="13">IFERROR((E70-E63)/E63,0%)</f>
        <v>-0.12578616352201258</v>
      </c>
      <c r="H70" s="64">
        <f t="shared" si="13"/>
        <v>-0.13157894736842105</v>
      </c>
      <c r="I70" s="1"/>
      <c r="J70" s="1"/>
      <c r="K70" s="1"/>
      <c r="L70" s="1"/>
      <c r="M70" s="18">
        <v>0.94</v>
      </c>
      <c r="N70" s="18">
        <v>0.05</v>
      </c>
      <c r="O70" s="18">
        <v>0.95</v>
      </c>
      <c r="P70" s="18">
        <v>0.33</v>
      </c>
      <c r="Q70" s="22">
        <v>0.97</v>
      </c>
      <c r="R70" s="294">
        <v>81</v>
      </c>
      <c r="S70" s="294">
        <v>0</v>
      </c>
      <c r="T70" s="365">
        <v>3</v>
      </c>
      <c r="U70" s="368" t="str">
        <f t="shared" si="7"/>
        <v>Normal</v>
      </c>
      <c r="V70" s="368" t="str">
        <f t="shared" si="8"/>
        <v>Normal</v>
      </c>
      <c r="W70" s="81">
        <f t="shared" si="9"/>
        <v>-0.12578616352201258</v>
      </c>
      <c r="X70" s="81">
        <f t="shared" si="10"/>
        <v>-0.13157894736842105</v>
      </c>
    </row>
    <row r="71" spans="1:24">
      <c r="A71" s="32">
        <v>45086</v>
      </c>
      <c r="B71" s="408">
        <f>IF(YEAR(Table7[[#This Row],[Date]]) = 2023, WEEKNUM(Table7[[#This Row],[Date]])-13, WEEKNUM(Table7[[#This Row],[Date]])+40)</f>
        <v>10</v>
      </c>
      <c r="C71" s="34" t="s">
        <v>53</v>
      </c>
      <c r="D71" s="34" t="s">
        <v>94</v>
      </c>
      <c r="E71" s="1">
        <v>136</v>
      </c>
      <c r="F71" s="1">
        <v>134</v>
      </c>
      <c r="G71" s="64">
        <f t="shared" ref="G71:H71" si="14">IFERROR((E71-E64)/E64,0%)</f>
        <v>-0.1111111111111111</v>
      </c>
      <c r="H71" s="64">
        <f t="shared" si="14"/>
        <v>-6.2937062937062943E-2</v>
      </c>
      <c r="I71" s="1"/>
      <c r="J71" s="1"/>
      <c r="K71" s="1"/>
      <c r="L71" s="1"/>
      <c r="M71" s="18">
        <v>0.97</v>
      </c>
      <c r="N71" s="18">
        <v>0.01</v>
      </c>
      <c r="O71" s="18">
        <v>0.99</v>
      </c>
      <c r="P71" s="18">
        <v>0.35</v>
      </c>
      <c r="Q71" s="22">
        <v>1</v>
      </c>
      <c r="R71" s="294">
        <v>103</v>
      </c>
      <c r="S71" s="294">
        <v>0</v>
      </c>
      <c r="T71" s="365">
        <v>3</v>
      </c>
      <c r="U71" s="368" t="str">
        <f t="shared" si="7"/>
        <v>Normal</v>
      </c>
      <c r="V71" s="368" t="str">
        <f t="shared" si="8"/>
        <v>Normal</v>
      </c>
      <c r="W71" s="81">
        <f t="shared" si="9"/>
        <v>-0.1111111111111111</v>
      </c>
      <c r="X71" s="81">
        <f t="shared" si="10"/>
        <v>-6.2937062937062943E-2</v>
      </c>
    </row>
    <row r="72" spans="1:24">
      <c r="A72" s="32">
        <v>45087</v>
      </c>
      <c r="B72" s="408">
        <f>IF(YEAR(Table7[[#This Row],[Date]]) = 2023, WEEKNUM(Table7[[#This Row],[Date]])-13, WEEKNUM(Table7[[#This Row],[Date]])+40)</f>
        <v>10</v>
      </c>
      <c r="C72" s="34" t="s">
        <v>54</v>
      </c>
      <c r="D72" s="34" t="s">
        <v>94</v>
      </c>
      <c r="E72" s="1">
        <v>127</v>
      </c>
      <c r="F72" s="1">
        <v>118</v>
      </c>
      <c r="G72" s="64">
        <f t="shared" ref="G72:H72" si="15">IFERROR((E72-E65)/E65,0%)</f>
        <v>-0.13013698630136986</v>
      </c>
      <c r="H72" s="64">
        <f t="shared" si="15"/>
        <v>-0.14492753623188406</v>
      </c>
      <c r="I72" s="1"/>
      <c r="J72" s="1"/>
      <c r="K72" s="1"/>
      <c r="L72" s="1"/>
      <c r="M72" s="18">
        <v>0.8</v>
      </c>
      <c r="N72" s="18">
        <v>7.0000000000000007E-2</v>
      </c>
      <c r="O72" s="18">
        <v>0.93</v>
      </c>
      <c r="P72" s="18">
        <v>0.39</v>
      </c>
      <c r="Q72" s="22">
        <v>1</v>
      </c>
      <c r="R72" s="294">
        <v>88</v>
      </c>
      <c r="S72" s="294">
        <v>0</v>
      </c>
      <c r="T72" s="365">
        <v>3</v>
      </c>
      <c r="U72" s="368" t="str">
        <f t="shared" si="7"/>
        <v>Normal</v>
      </c>
      <c r="V72" s="368" t="str">
        <f t="shared" si="8"/>
        <v>Normal</v>
      </c>
      <c r="W72" s="81">
        <f t="shared" si="9"/>
        <v>-0.13013698630136986</v>
      </c>
      <c r="X72" s="81">
        <f t="shared" si="10"/>
        <v>-0.14492753623188406</v>
      </c>
    </row>
    <row r="73" spans="1:24">
      <c r="A73" s="32">
        <v>45088</v>
      </c>
      <c r="B73" s="408">
        <f>IF(YEAR(Table7[[#This Row],[Date]]) = 2023, WEEKNUM(Table7[[#This Row],[Date]])-13, WEEKNUM(Table7[[#This Row],[Date]])+40)</f>
        <v>11</v>
      </c>
      <c r="C73" s="34" t="s">
        <v>48</v>
      </c>
      <c r="D73" s="34" t="s">
        <v>94</v>
      </c>
      <c r="E73" s="1">
        <v>0</v>
      </c>
      <c r="F73" s="1">
        <v>0</v>
      </c>
      <c r="G73" s="64">
        <f t="shared" ref="G73:H73" si="16">IFERROR((E73-E66)/E66,0%)</f>
        <v>0</v>
      </c>
      <c r="H73" s="64">
        <f t="shared" si="16"/>
        <v>0</v>
      </c>
      <c r="I73" s="1">
        <v>0</v>
      </c>
      <c r="J73" s="1">
        <v>0</v>
      </c>
      <c r="K73" s="1">
        <v>0</v>
      </c>
      <c r="L73" s="1">
        <v>0</v>
      </c>
      <c r="M73" s="18">
        <v>0</v>
      </c>
      <c r="N73" s="18">
        <v>0</v>
      </c>
      <c r="O73" s="18">
        <v>0</v>
      </c>
      <c r="P73" s="18">
        <v>0</v>
      </c>
      <c r="Q73" s="22">
        <v>0</v>
      </c>
      <c r="R73" s="294">
        <v>0</v>
      </c>
      <c r="S73" s="294">
        <v>0</v>
      </c>
      <c r="T73" s="365">
        <v>0</v>
      </c>
      <c r="U73" s="368" t="str">
        <f t="shared" si="7"/>
        <v>Normal</v>
      </c>
      <c r="V73" s="368" t="str">
        <f t="shared" si="8"/>
        <v>Normal</v>
      </c>
      <c r="W73" s="81">
        <f t="shared" si="9"/>
        <v>0</v>
      </c>
      <c r="X73" s="81">
        <f t="shared" si="10"/>
        <v>0</v>
      </c>
    </row>
    <row r="74" spans="1:24">
      <c r="A74" s="32">
        <v>45089</v>
      </c>
      <c r="B74" s="408">
        <f>IF(YEAR(Table7[[#This Row],[Date]]) = 2023, WEEKNUM(Table7[[#This Row],[Date]])-13, WEEKNUM(Table7[[#This Row],[Date]])+40)</f>
        <v>11</v>
      </c>
      <c r="C74" s="34" t="s">
        <v>49</v>
      </c>
      <c r="D74" s="34" t="s">
        <v>94</v>
      </c>
      <c r="E74" s="1">
        <v>144</v>
      </c>
      <c r="F74" s="1">
        <v>137</v>
      </c>
      <c r="G74" s="64">
        <f t="shared" ref="G74:H74" si="17">IFERROR((E74-E67)/E67,0%)</f>
        <v>-0.1377245508982036</v>
      </c>
      <c r="H74" s="64">
        <f t="shared" si="17"/>
        <v>-0.15950920245398773</v>
      </c>
      <c r="I74" s="1"/>
      <c r="J74" s="1"/>
      <c r="K74" s="1"/>
      <c r="L74" s="1"/>
      <c r="M74" s="18">
        <v>0.87</v>
      </c>
      <c r="N74" s="18">
        <v>0.05</v>
      </c>
      <c r="O74" s="18">
        <v>0.95</v>
      </c>
      <c r="P74" s="18">
        <v>0.49</v>
      </c>
      <c r="Q74" s="22">
        <v>1</v>
      </c>
      <c r="R74" s="294">
        <v>102</v>
      </c>
      <c r="S74" s="294">
        <v>0</v>
      </c>
      <c r="T74" s="365">
        <v>4</v>
      </c>
      <c r="U74" s="368" t="str">
        <f t="shared" si="7"/>
        <v>Normal</v>
      </c>
      <c r="V74" s="368" t="str">
        <f t="shared" si="8"/>
        <v>Normal</v>
      </c>
      <c r="W74" s="81">
        <f t="shared" si="9"/>
        <v>-0.1377245508982036</v>
      </c>
      <c r="X74" s="81">
        <f t="shared" si="10"/>
        <v>-0.15950920245398773</v>
      </c>
    </row>
    <row r="75" spans="1:24">
      <c r="A75" s="32">
        <v>45090</v>
      </c>
      <c r="B75" s="408">
        <f>IF(YEAR(Table7[[#This Row],[Date]]) = 2023, WEEKNUM(Table7[[#This Row],[Date]])-13, WEEKNUM(Table7[[#This Row],[Date]])+40)</f>
        <v>11</v>
      </c>
      <c r="C75" s="34" t="s">
        <v>50</v>
      </c>
      <c r="D75" s="34" t="s">
        <v>94</v>
      </c>
      <c r="E75" s="1">
        <v>172</v>
      </c>
      <c r="F75" s="1">
        <v>167</v>
      </c>
      <c r="G75" s="64">
        <f t="shared" ref="G75:H75" si="18">IFERROR((E75-E68)/E68,0%)</f>
        <v>-9.4736842105263161E-2</v>
      </c>
      <c r="H75" s="64">
        <f t="shared" si="18"/>
        <v>-9.2391304347826081E-2</v>
      </c>
      <c r="I75" s="1"/>
      <c r="J75" s="1"/>
      <c r="K75" s="1"/>
      <c r="L75" s="1"/>
      <c r="M75" s="18">
        <v>0.96</v>
      </c>
      <c r="N75" s="18">
        <v>0.03</v>
      </c>
      <c r="O75" s="18">
        <v>0.97</v>
      </c>
      <c r="P75" s="18">
        <v>0.53</v>
      </c>
      <c r="Q75" s="22">
        <v>0.99</v>
      </c>
      <c r="R75" s="294">
        <v>91</v>
      </c>
      <c r="S75" s="294">
        <v>0</v>
      </c>
      <c r="T75" s="365">
        <v>4</v>
      </c>
      <c r="U75" s="368" t="str">
        <f t="shared" si="7"/>
        <v>Normal</v>
      </c>
      <c r="V75" s="368" t="str">
        <f t="shared" si="8"/>
        <v>Normal</v>
      </c>
      <c r="W75" s="81">
        <f t="shared" si="9"/>
        <v>-9.4736842105263161E-2</v>
      </c>
      <c r="X75" s="81">
        <f t="shared" si="10"/>
        <v>-9.2391304347826081E-2</v>
      </c>
    </row>
    <row r="76" spans="1:24">
      <c r="A76" s="32">
        <v>45091</v>
      </c>
      <c r="B76" s="408">
        <f>IF(YEAR(Table7[[#This Row],[Date]]) = 2023, WEEKNUM(Table7[[#This Row],[Date]])-13, WEEKNUM(Table7[[#This Row],[Date]])+40)</f>
        <v>11</v>
      </c>
      <c r="C76" s="34" t="s">
        <v>51</v>
      </c>
      <c r="D76" s="34" t="s">
        <v>94</v>
      </c>
      <c r="E76" s="1">
        <v>188</v>
      </c>
      <c r="F76" s="1">
        <v>185</v>
      </c>
      <c r="G76" s="64">
        <f t="shared" ref="G76:H76" si="19">IFERROR((E76-E69)/E69,0%)</f>
        <v>0.16770186335403728</v>
      </c>
      <c r="H76" s="64">
        <f t="shared" si="19"/>
        <v>0.27586206896551724</v>
      </c>
      <c r="I76" s="1"/>
      <c r="J76" s="1"/>
      <c r="K76" s="1"/>
      <c r="L76" s="1"/>
      <c r="M76" s="18">
        <v>0.93</v>
      </c>
      <c r="N76" s="18">
        <v>0.02</v>
      </c>
      <c r="O76" s="18">
        <v>0.98</v>
      </c>
      <c r="P76" s="18">
        <v>0.67</v>
      </c>
      <c r="Q76" s="22">
        <v>1</v>
      </c>
      <c r="R76" s="294">
        <v>119</v>
      </c>
      <c r="S76" s="294">
        <v>0</v>
      </c>
      <c r="T76" s="365">
        <v>4</v>
      </c>
      <c r="U76" s="368" t="str">
        <f t="shared" si="7"/>
        <v>Normal</v>
      </c>
      <c r="V76" s="368" t="str">
        <f t="shared" si="8"/>
        <v>Normal</v>
      </c>
      <c r="W76" s="81">
        <f t="shared" si="9"/>
        <v>0.16770186335403728</v>
      </c>
      <c r="X76" s="81">
        <f t="shared" si="10"/>
        <v>0.27586206896551724</v>
      </c>
    </row>
    <row r="77" spans="1:24">
      <c r="A77" s="32">
        <v>45092</v>
      </c>
      <c r="B77" s="408">
        <f>IF(YEAR(Table7[[#This Row],[Date]]) = 2023, WEEKNUM(Table7[[#This Row],[Date]])-13, WEEKNUM(Table7[[#This Row],[Date]])+40)</f>
        <v>11</v>
      </c>
      <c r="C77" s="34" t="s">
        <v>52</v>
      </c>
      <c r="D77" s="34" t="s">
        <v>94</v>
      </c>
      <c r="E77" s="1">
        <v>179</v>
      </c>
      <c r="F77" s="1">
        <v>171</v>
      </c>
      <c r="G77" s="64">
        <f t="shared" ref="G77:H77" si="20">IFERROR((E77-E70)/E70,0%)</f>
        <v>0.28776978417266186</v>
      </c>
      <c r="H77" s="64">
        <f t="shared" si="20"/>
        <v>0.29545454545454547</v>
      </c>
      <c r="I77" s="1"/>
      <c r="J77" s="1"/>
      <c r="K77" s="1"/>
      <c r="L77" s="1"/>
      <c r="M77" s="18">
        <v>0.85</v>
      </c>
      <c r="N77" s="18">
        <v>0.04</v>
      </c>
      <c r="O77" s="18">
        <v>0.96</v>
      </c>
      <c r="P77" s="18">
        <v>0.62</v>
      </c>
      <c r="Q77" s="22">
        <v>0.99</v>
      </c>
      <c r="R77" s="294">
        <v>109</v>
      </c>
      <c r="S77" s="294">
        <v>0</v>
      </c>
      <c r="T77" s="365">
        <v>3</v>
      </c>
      <c r="U77" s="368" t="str">
        <f t="shared" si="7"/>
        <v>Normal</v>
      </c>
      <c r="V77" s="368" t="str">
        <f t="shared" si="8"/>
        <v>Normal</v>
      </c>
      <c r="W77" s="81">
        <f t="shared" si="9"/>
        <v>0.28776978417266186</v>
      </c>
      <c r="X77" s="81">
        <f t="shared" si="10"/>
        <v>0.29545454545454547</v>
      </c>
    </row>
    <row r="78" spans="1:24">
      <c r="A78" s="32">
        <v>45093</v>
      </c>
      <c r="B78" s="408">
        <f>IF(YEAR(Table7[[#This Row],[Date]]) = 2023, WEEKNUM(Table7[[#This Row],[Date]])-13, WEEKNUM(Table7[[#This Row],[Date]])+40)</f>
        <v>11</v>
      </c>
      <c r="C78" s="34" t="s">
        <v>53</v>
      </c>
      <c r="D78" s="34" t="s">
        <v>94</v>
      </c>
      <c r="E78" s="1">
        <v>180</v>
      </c>
      <c r="F78" s="1">
        <v>167</v>
      </c>
      <c r="G78" s="64">
        <f t="shared" ref="G78:H78" si="21">IFERROR((E78-E71)/E71,0%)</f>
        <v>0.3235294117647059</v>
      </c>
      <c r="H78" s="64">
        <f t="shared" si="21"/>
        <v>0.2462686567164179</v>
      </c>
      <c r="I78" s="1"/>
      <c r="J78" s="1"/>
      <c r="K78" s="1"/>
      <c r="L78" s="1"/>
      <c r="M78" s="18">
        <v>0.75</v>
      </c>
      <c r="N78" s="18">
        <v>7.0000000000000007E-2</v>
      </c>
      <c r="O78" s="18">
        <v>0.93</v>
      </c>
      <c r="P78" s="18">
        <v>0.54</v>
      </c>
      <c r="Q78" s="22">
        <v>0.99</v>
      </c>
      <c r="R78" s="294">
        <v>107</v>
      </c>
      <c r="S78" s="294">
        <v>0</v>
      </c>
      <c r="T78" s="365">
        <v>3</v>
      </c>
      <c r="U78" s="368" t="str">
        <f t="shared" si="7"/>
        <v>Normal</v>
      </c>
      <c r="V78" s="368" t="str">
        <f t="shared" si="8"/>
        <v>Normal</v>
      </c>
      <c r="W78" s="81">
        <f t="shared" si="9"/>
        <v>0.3235294117647059</v>
      </c>
      <c r="X78" s="81">
        <f t="shared" si="10"/>
        <v>0.2462686567164179</v>
      </c>
    </row>
    <row r="79" spans="1:24">
      <c r="A79" s="32">
        <v>45094</v>
      </c>
      <c r="B79" s="408">
        <f>IF(YEAR(Table7[[#This Row],[Date]]) = 2023, WEEKNUM(Table7[[#This Row],[Date]])-13, WEEKNUM(Table7[[#This Row],[Date]])+40)</f>
        <v>11</v>
      </c>
      <c r="C79" s="34" t="s">
        <v>54</v>
      </c>
      <c r="D79" s="34" t="s">
        <v>94</v>
      </c>
      <c r="E79" s="1">
        <v>118</v>
      </c>
      <c r="F79" s="1">
        <v>115</v>
      </c>
      <c r="G79" s="64">
        <f t="shared" ref="G79:H79" si="22">IFERROR((E79-E72)/E72,0%)</f>
        <v>-7.0866141732283464E-2</v>
      </c>
      <c r="H79" s="64">
        <f t="shared" si="22"/>
        <v>-2.5423728813559324E-2</v>
      </c>
      <c r="I79" s="1"/>
      <c r="J79" s="1"/>
      <c r="K79" s="1"/>
      <c r="L79" s="1"/>
      <c r="M79" s="18">
        <v>0.93</v>
      </c>
      <c r="N79" s="18">
        <v>0.03</v>
      </c>
      <c r="O79" s="18">
        <v>0.97</v>
      </c>
      <c r="P79" s="18">
        <v>0.54</v>
      </c>
      <c r="Q79" s="22">
        <v>1</v>
      </c>
      <c r="R79" s="294">
        <v>108</v>
      </c>
      <c r="S79" s="294">
        <v>0</v>
      </c>
      <c r="T79" s="365">
        <v>3</v>
      </c>
      <c r="U79" s="368" t="str">
        <f t="shared" si="7"/>
        <v>Normal</v>
      </c>
      <c r="V79" s="368" t="str">
        <f t="shared" si="8"/>
        <v>Normal</v>
      </c>
      <c r="W79" s="81">
        <f t="shared" si="9"/>
        <v>-7.0866141732283464E-2</v>
      </c>
      <c r="X79" s="81">
        <f t="shared" si="10"/>
        <v>-2.5423728813559324E-2</v>
      </c>
    </row>
    <row r="80" spans="1:24">
      <c r="A80" s="32">
        <v>45095</v>
      </c>
      <c r="B80" s="408">
        <f>IF(YEAR(Table7[[#This Row],[Date]]) = 2023, WEEKNUM(Table7[[#This Row],[Date]])-13, WEEKNUM(Table7[[#This Row],[Date]])+40)</f>
        <v>12</v>
      </c>
      <c r="C80" s="34" t="s">
        <v>48</v>
      </c>
      <c r="D80" s="34" t="s">
        <v>94</v>
      </c>
      <c r="E80" s="1">
        <v>0</v>
      </c>
      <c r="F80" s="1">
        <v>0</v>
      </c>
      <c r="G80" s="64">
        <f t="shared" ref="G80:H80" si="23">IFERROR((E80-E73)/E73,0%)</f>
        <v>0</v>
      </c>
      <c r="H80" s="64">
        <f t="shared" si="23"/>
        <v>0</v>
      </c>
      <c r="I80" s="1">
        <v>0</v>
      </c>
      <c r="J80" s="1">
        <v>0</v>
      </c>
      <c r="K80" s="1">
        <v>0</v>
      </c>
      <c r="L80" s="1">
        <v>0</v>
      </c>
      <c r="M80" s="18">
        <v>0</v>
      </c>
      <c r="N80" s="18">
        <v>0</v>
      </c>
      <c r="O80" s="18">
        <v>0</v>
      </c>
      <c r="P80" s="18">
        <v>0</v>
      </c>
      <c r="Q80" s="22">
        <v>0</v>
      </c>
      <c r="R80" s="294">
        <v>0</v>
      </c>
      <c r="S80" s="294">
        <v>0</v>
      </c>
      <c r="T80" s="365">
        <v>0</v>
      </c>
      <c r="U80" s="368" t="str">
        <f t="shared" si="7"/>
        <v>Normal</v>
      </c>
      <c r="V80" s="368" t="str">
        <f t="shared" si="8"/>
        <v>Normal</v>
      </c>
      <c r="W80" s="81">
        <f t="shared" si="9"/>
        <v>0</v>
      </c>
      <c r="X80" s="81">
        <f t="shared" si="10"/>
        <v>0</v>
      </c>
    </row>
    <row r="81" spans="1:24">
      <c r="A81" s="32">
        <v>45096</v>
      </c>
      <c r="B81" s="408">
        <f>IF(YEAR(Table7[[#This Row],[Date]]) = 2023, WEEKNUM(Table7[[#This Row],[Date]])-13, WEEKNUM(Table7[[#This Row],[Date]])+40)</f>
        <v>12</v>
      </c>
      <c r="C81" s="34" t="s">
        <v>49</v>
      </c>
      <c r="D81" s="34" t="s">
        <v>94</v>
      </c>
      <c r="E81" s="1">
        <v>206</v>
      </c>
      <c r="F81" s="1">
        <v>191</v>
      </c>
      <c r="G81" s="64">
        <f t="shared" ref="G81:H81" si="24">IFERROR((E81-E74)/E74,0%)</f>
        <v>0.43055555555555558</v>
      </c>
      <c r="H81" s="64">
        <f t="shared" si="24"/>
        <v>0.39416058394160586</v>
      </c>
      <c r="I81" s="1"/>
      <c r="J81" s="1"/>
      <c r="K81" s="1"/>
      <c r="L81" s="1"/>
      <c r="M81" s="18">
        <v>0.75</v>
      </c>
      <c r="N81" s="18">
        <v>7.0000000000000007E-2</v>
      </c>
      <c r="O81" s="18">
        <v>0.93</v>
      </c>
      <c r="P81" s="18">
        <v>0.55000000000000004</v>
      </c>
      <c r="Q81" s="22">
        <v>1</v>
      </c>
      <c r="R81" s="294">
        <v>101</v>
      </c>
      <c r="S81" s="294">
        <v>0</v>
      </c>
      <c r="T81" s="365">
        <v>3</v>
      </c>
      <c r="U81" s="368" t="str">
        <f t="shared" si="7"/>
        <v>Normal</v>
      </c>
      <c r="V81" s="368" t="str">
        <f t="shared" si="8"/>
        <v>Normal</v>
      </c>
      <c r="W81" s="81">
        <f t="shared" si="9"/>
        <v>0.43055555555555558</v>
      </c>
      <c r="X81" s="81">
        <f t="shared" si="10"/>
        <v>0.39416058394160586</v>
      </c>
    </row>
    <row r="82" spans="1:24">
      <c r="A82" s="32">
        <v>45097</v>
      </c>
      <c r="B82" s="408">
        <f>IF(YEAR(Table7[[#This Row],[Date]]) = 2023, WEEKNUM(Table7[[#This Row],[Date]])-13, WEEKNUM(Table7[[#This Row],[Date]])+40)</f>
        <v>12</v>
      </c>
      <c r="C82" s="34" t="s">
        <v>50</v>
      </c>
      <c r="D82" s="34" t="s">
        <v>94</v>
      </c>
      <c r="E82" s="1">
        <v>172</v>
      </c>
      <c r="F82" s="1">
        <v>171</v>
      </c>
      <c r="G82" s="64">
        <f t="shared" ref="G82:H82" si="25">IFERROR((E82-E75)/E75,0%)</f>
        <v>0</v>
      </c>
      <c r="H82" s="64">
        <f t="shared" si="25"/>
        <v>2.3952095808383235E-2</v>
      </c>
      <c r="I82" s="1"/>
      <c r="J82" s="1"/>
      <c r="K82" s="1"/>
      <c r="L82" s="1"/>
      <c r="M82" s="18">
        <v>0.94</v>
      </c>
      <c r="N82" s="18">
        <v>0.01</v>
      </c>
      <c r="O82" s="18">
        <v>0.99</v>
      </c>
      <c r="P82" s="18">
        <v>0.64</v>
      </c>
      <c r="Q82" s="22">
        <v>1</v>
      </c>
      <c r="R82" s="294">
        <v>130</v>
      </c>
      <c r="S82" s="294">
        <v>0</v>
      </c>
      <c r="T82" s="365">
        <v>3</v>
      </c>
      <c r="U82" s="368" t="str">
        <f t="shared" si="7"/>
        <v>Normal</v>
      </c>
      <c r="V82" s="368" t="str">
        <f t="shared" si="8"/>
        <v>Normal</v>
      </c>
      <c r="W82" s="81">
        <f t="shared" si="9"/>
        <v>0</v>
      </c>
      <c r="X82" s="81">
        <f t="shared" si="10"/>
        <v>2.3952095808383235E-2</v>
      </c>
    </row>
    <row r="83" spans="1:24">
      <c r="A83" s="32">
        <v>45098</v>
      </c>
      <c r="B83" s="408">
        <f>IF(YEAR(Table7[[#This Row],[Date]]) = 2023, WEEKNUM(Table7[[#This Row],[Date]])-13, WEEKNUM(Table7[[#This Row],[Date]])+40)</f>
        <v>12</v>
      </c>
      <c r="C83" s="34" t="s">
        <v>51</v>
      </c>
      <c r="D83" s="34" t="s">
        <v>94</v>
      </c>
      <c r="E83" s="1">
        <v>194</v>
      </c>
      <c r="F83" s="1">
        <v>187</v>
      </c>
      <c r="G83" s="64">
        <f t="shared" ref="G83:H83" si="26">IFERROR((E83-E76)/E76,0%)</f>
        <v>3.1914893617021274E-2</v>
      </c>
      <c r="H83" s="64">
        <f t="shared" si="26"/>
        <v>1.0810810810810811E-2</v>
      </c>
      <c r="I83" s="1"/>
      <c r="J83" s="1"/>
      <c r="K83" s="1"/>
      <c r="L83" s="1"/>
      <c r="M83" s="18">
        <v>0.92</v>
      </c>
      <c r="N83" s="18">
        <v>0.04</v>
      </c>
      <c r="O83" s="18">
        <v>0.96</v>
      </c>
      <c r="P83" s="18">
        <v>0.74</v>
      </c>
      <c r="Q83" s="22">
        <v>1</v>
      </c>
      <c r="R83" s="294">
        <v>114</v>
      </c>
      <c r="S83" s="294">
        <v>0</v>
      </c>
      <c r="T83" s="365">
        <v>3</v>
      </c>
      <c r="U83" s="368" t="str">
        <f t="shared" si="7"/>
        <v>Normal</v>
      </c>
      <c r="V83" s="368" t="str">
        <f t="shared" si="8"/>
        <v>Normal</v>
      </c>
      <c r="W83" s="81">
        <f t="shared" si="9"/>
        <v>3.1914893617021274E-2</v>
      </c>
      <c r="X83" s="81">
        <f t="shared" si="10"/>
        <v>1.0810810810810811E-2</v>
      </c>
    </row>
    <row r="84" spans="1:24">
      <c r="A84" s="32">
        <v>45099</v>
      </c>
      <c r="B84" s="408">
        <f>IF(YEAR(Table7[[#This Row],[Date]]) = 2023, WEEKNUM(Table7[[#This Row],[Date]])-13, WEEKNUM(Table7[[#This Row],[Date]])+40)</f>
        <v>12</v>
      </c>
      <c r="C84" s="34" t="s">
        <v>52</v>
      </c>
      <c r="D84" s="34" t="s">
        <v>94</v>
      </c>
      <c r="E84" s="1">
        <v>206</v>
      </c>
      <c r="F84" s="1">
        <v>193</v>
      </c>
      <c r="G84" s="64">
        <f t="shared" ref="G84:H84" si="27">IFERROR((E84-E77)/E77,0%)</f>
        <v>0.15083798882681565</v>
      </c>
      <c r="H84" s="64">
        <f t="shared" si="27"/>
        <v>0.12865497076023391</v>
      </c>
      <c r="I84" s="1"/>
      <c r="J84" s="1"/>
      <c r="K84" s="1"/>
      <c r="L84" s="1"/>
      <c r="M84" s="18">
        <v>0.79</v>
      </c>
      <c r="N84" s="18">
        <v>0.06</v>
      </c>
      <c r="O84" s="18">
        <v>0.94</v>
      </c>
      <c r="P84" s="18">
        <v>0.63</v>
      </c>
      <c r="Q84" s="22">
        <v>1</v>
      </c>
      <c r="R84" s="294">
        <v>123</v>
      </c>
      <c r="S84" s="294">
        <v>0</v>
      </c>
      <c r="T84" s="365">
        <v>3</v>
      </c>
      <c r="U84" s="368" t="str">
        <f t="shared" si="7"/>
        <v>Normal</v>
      </c>
      <c r="V84" s="368" t="str">
        <f t="shared" si="8"/>
        <v>Normal</v>
      </c>
      <c r="W84" s="81">
        <f t="shared" si="9"/>
        <v>0.15083798882681565</v>
      </c>
      <c r="X84" s="81">
        <f t="shared" si="10"/>
        <v>0.12865497076023391</v>
      </c>
    </row>
    <row r="85" spans="1:24">
      <c r="A85" s="32">
        <v>45100</v>
      </c>
      <c r="B85" s="408">
        <f>IF(YEAR(Table7[[#This Row],[Date]]) = 2023, WEEKNUM(Table7[[#This Row],[Date]])-13, WEEKNUM(Table7[[#This Row],[Date]])+40)</f>
        <v>12</v>
      </c>
      <c r="C85" s="34" t="s">
        <v>53</v>
      </c>
      <c r="D85" s="34" t="s">
        <v>94</v>
      </c>
      <c r="E85" s="1">
        <v>178</v>
      </c>
      <c r="F85" s="1">
        <v>171</v>
      </c>
      <c r="G85" s="64">
        <f t="shared" ref="G85:H85" si="28">IFERROR((E85-E78)/E78,0%)</f>
        <v>-1.1111111111111112E-2</v>
      </c>
      <c r="H85" s="64">
        <f t="shared" si="28"/>
        <v>2.3952095808383235E-2</v>
      </c>
      <c r="I85" s="1"/>
      <c r="J85" s="1"/>
      <c r="K85" s="1"/>
      <c r="L85" s="1"/>
      <c r="M85" s="18">
        <v>0.86</v>
      </c>
      <c r="N85" s="18">
        <v>0.04</v>
      </c>
      <c r="O85" s="18">
        <v>0.96</v>
      </c>
      <c r="P85" s="18">
        <v>0.61</v>
      </c>
      <c r="Q85" s="22">
        <v>1</v>
      </c>
      <c r="R85" s="294">
        <v>115</v>
      </c>
      <c r="S85" s="294">
        <v>0</v>
      </c>
      <c r="T85" s="365">
        <v>2</v>
      </c>
      <c r="U85" s="368" t="str">
        <f t="shared" si="7"/>
        <v>Normal</v>
      </c>
      <c r="V85" s="368" t="str">
        <f t="shared" si="8"/>
        <v>Normal</v>
      </c>
      <c r="W85" s="81">
        <f t="shared" si="9"/>
        <v>-1.1111111111111112E-2</v>
      </c>
      <c r="X85" s="81">
        <f t="shared" si="10"/>
        <v>2.3952095808383235E-2</v>
      </c>
    </row>
    <row r="86" spans="1:24">
      <c r="A86" s="32">
        <v>45101</v>
      </c>
      <c r="B86" s="408">
        <f>IF(YEAR(Table7[[#This Row],[Date]]) = 2023, WEEKNUM(Table7[[#This Row],[Date]])-13, WEEKNUM(Table7[[#This Row],[Date]])+40)</f>
        <v>12</v>
      </c>
      <c r="C86" s="34" t="s">
        <v>54</v>
      </c>
      <c r="D86" s="34" t="s">
        <v>94</v>
      </c>
      <c r="E86" s="1">
        <v>123</v>
      </c>
      <c r="F86" s="1">
        <v>120</v>
      </c>
      <c r="G86" s="64">
        <f t="shared" ref="G86:H86" si="29">IFERROR((E86-E79)/E79,0%)</f>
        <v>4.2372881355932202E-2</v>
      </c>
      <c r="H86" s="64">
        <f t="shared" si="29"/>
        <v>4.3478260869565216E-2</v>
      </c>
      <c r="I86" s="1"/>
      <c r="J86" s="1"/>
      <c r="K86" s="1"/>
      <c r="L86" s="1"/>
      <c r="M86" s="18">
        <v>0.99</v>
      </c>
      <c r="N86" s="18">
        <v>0.02</v>
      </c>
      <c r="O86" s="18">
        <v>0.98</v>
      </c>
      <c r="P86" s="18">
        <v>0.44</v>
      </c>
      <c r="Q86" s="22">
        <v>1</v>
      </c>
      <c r="R86" s="294">
        <v>76</v>
      </c>
      <c r="S86" s="294">
        <v>0</v>
      </c>
      <c r="T86" s="365">
        <v>3</v>
      </c>
      <c r="U86" s="368" t="str">
        <f t="shared" si="7"/>
        <v>Normal</v>
      </c>
      <c r="V86" s="368" t="str">
        <f t="shared" si="8"/>
        <v>Normal</v>
      </c>
      <c r="W86" s="81">
        <f t="shared" si="9"/>
        <v>4.2372881355932202E-2</v>
      </c>
      <c r="X86" s="81">
        <f t="shared" si="10"/>
        <v>4.3478260869565216E-2</v>
      </c>
    </row>
    <row r="87" spans="1:24">
      <c r="A87" s="32">
        <v>45102</v>
      </c>
      <c r="B87" s="408">
        <f>IF(YEAR(Table7[[#This Row],[Date]]) = 2023, WEEKNUM(Table7[[#This Row],[Date]])-13, WEEKNUM(Table7[[#This Row],[Date]])+40)</f>
        <v>13</v>
      </c>
      <c r="C87" s="34" t="s">
        <v>48</v>
      </c>
      <c r="D87" s="34" t="s">
        <v>94</v>
      </c>
      <c r="E87" s="1">
        <v>0</v>
      </c>
      <c r="F87" s="1">
        <v>0</v>
      </c>
      <c r="G87" s="64">
        <f t="shared" ref="G87:H87" si="30">IFERROR((E87-E80)/E80,0%)</f>
        <v>0</v>
      </c>
      <c r="H87" s="64">
        <f t="shared" si="30"/>
        <v>0</v>
      </c>
      <c r="I87" s="1">
        <v>0</v>
      </c>
      <c r="J87" s="1">
        <v>0</v>
      </c>
      <c r="K87" s="1">
        <v>0</v>
      </c>
      <c r="L87" s="1">
        <v>0</v>
      </c>
      <c r="M87" s="18">
        <v>0</v>
      </c>
      <c r="N87" s="18">
        <v>0</v>
      </c>
      <c r="O87" s="18">
        <v>0</v>
      </c>
      <c r="P87" s="18">
        <v>0</v>
      </c>
      <c r="Q87" s="22">
        <v>0</v>
      </c>
      <c r="R87" s="294">
        <v>0</v>
      </c>
      <c r="S87" s="294">
        <v>0</v>
      </c>
      <c r="T87" s="365">
        <v>0</v>
      </c>
      <c r="U87" s="368" t="str">
        <f t="shared" si="7"/>
        <v>Normal</v>
      </c>
      <c r="V87" s="368" t="str">
        <f t="shared" si="8"/>
        <v>Normal</v>
      </c>
      <c r="W87" s="81">
        <f t="shared" si="9"/>
        <v>0</v>
      </c>
      <c r="X87" s="81">
        <f t="shared" si="10"/>
        <v>0</v>
      </c>
    </row>
    <row r="88" spans="1:24">
      <c r="A88" s="32">
        <v>45103</v>
      </c>
      <c r="B88" s="408">
        <f>IF(YEAR(Table7[[#This Row],[Date]]) = 2023, WEEKNUM(Table7[[#This Row],[Date]])-13, WEEKNUM(Table7[[#This Row],[Date]])+40)</f>
        <v>13</v>
      </c>
      <c r="C88" s="34" t="s">
        <v>49</v>
      </c>
      <c r="D88" s="34" t="s">
        <v>94</v>
      </c>
      <c r="E88" s="1">
        <v>9</v>
      </c>
      <c r="F88" s="1">
        <v>8</v>
      </c>
      <c r="G88" s="64">
        <f t="shared" ref="G88:H88" si="31">IFERROR((E88-E81)/E81,0%)</f>
        <v>-0.9563106796116505</v>
      </c>
      <c r="H88" s="64">
        <f t="shared" si="31"/>
        <v>-0.95811518324607325</v>
      </c>
      <c r="I88" s="1"/>
      <c r="J88" s="1"/>
      <c r="K88" s="1"/>
      <c r="L88" s="1"/>
      <c r="M88" s="18">
        <v>0.89</v>
      </c>
      <c r="N88" s="18">
        <v>0.11</v>
      </c>
      <c r="O88" s="18">
        <v>0.89</v>
      </c>
      <c r="P88" s="18">
        <v>0.06</v>
      </c>
      <c r="Q88" s="22">
        <v>0.94</v>
      </c>
      <c r="R88" s="294">
        <v>100</v>
      </c>
      <c r="S88" s="294">
        <v>0</v>
      </c>
      <c r="T88" s="365">
        <v>4</v>
      </c>
      <c r="U88" s="368" t="str">
        <f t="shared" si="7"/>
        <v>Outlier</v>
      </c>
      <c r="V88" s="368" t="str">
        <f t="shared" si="8"/>
        <v>Outlier</v>
      </c>
      <c r="W88" s="81">
        <f t="shared" si="9"/>
        <v>-0.9563106796116505</v>
      </c>
      <c r="X88" s="81">
        <f t="shared" si="10"/>
        <v>-0.95811518324607325</v>
      </c>
    </row>
    <row r="89" spans="1:24">
      <c r="A89" s="32">
        <v>45104</v>
      </c>
      <c r="B89" s="408">
        <f>IF(YEAR(Table7[[#This Row],[Date]]) = 2023, WEEKNUM(Table7[[#This Row],[Date]])-13, WEEKNUM(Table7[[#This Row],[Date]])+40)</f>
        <v>13</v>
      </c>
      <c r="C89" s="34" t="s">
        <v>50</v>
      </c>
      <c r="D89" s="34" t="s">
        <v>94</v>
      </c>
      <c r="E89" s="1">
        <v>244</v>
      </c>
      <c r="F89" s="1">
        <v>242</v>
      </c>
      <c r="G89" s="64">
        <f t="shared" ref="G89:H89" si="32">IFERROR((E89-E82)/E82,0%)</f>
        <v>0.41860465116279072</v>
      </c>
      <c r="H89" s="64">
        <f t="shared" si="32"/>
        <v>0.41520467836257308</v>
      </c>
      <c r="I89" s="1"/>
      <c r="J89" s="1"/>
      <c r="K89" s="1"/>
      <c r="L89" s="1"/>
      <c r="M89" s="18">
        <v>0.97</v>
      </c>
      <c r="N89" s="18">
        <v>0.01</v>
      </c>
      <c r="O89" s="18">
        <v>0.99</v>
      </c>
      <c r="P89" s="18">
        <v>0.57999999999999996</v>
      </c>
      <c r="Q89" s="22">
        <v>1</v>
      </c>
      <c r="R89" s="294">
        <v>111</v>
      </c>
      <c r="S89" s="294">
        <v>0</v>
      </c>
      <c r="T89" s="365">
        <v>3</v>
      </c>
      <c r="U89" s="368" t="str">
        <f t="shared" si="7"/>
        <v>Normal</v>
      </c>
      <c r="V89" s="368" t="str">
        <f t="shared" si="8"/>
        <v>Normal</v>
      </c>
      <c r="W89" s="81">
        <f t="shared" si="9"/>
        <v>0.41860465116279072</v>
      </c>
      <c r="X89" s="81">
        <f t="shared" si="10"/>
        <v>0.41520467836257308</v>
      </c>
    </row>
    <row r="90" spans="1:24">
      <c r="A90" s="32">
        <v>45105</v>
      </c>
      <c r="B90" s="408">
        <f>IF(YEAR(Table7[[#This Row],[Date]]) = 2023, WEEKNUM(Table7[[#This Row],[Date]])-13, WEEKNUM(Table7[[#This Row],[Date]])+40)</f>
        <v>13</v>
      </c>
      <c r="C90" s="34" t="s">
        <v>51</v>
      </c>
      <c r="D90" s="34" t="s">
        <v>94</v>
      </c>
      <c r="E90" s="1">
        <v>233</v>
      </c>
      <c r="F90" s="1">
        <v>222</v>
      </c>
      <c r="G90" s="64">
        <f t="shared" ref="G90:H90" si="33">IFERROR((E90-E83)/E83,0%)</f>
        <v>0.20103092783505155</v>
      </c>
      <c r="H90" s="64">
        <f t="shared" si="33"/>
        <v>0.18716577540106952</v>
      </c>
      <c r="I90" s="1"/>
      <c r="J90" s="1"/>
      <c r="K90" s="1"/>
      <c r="L90" s="1"/>
      <c r="M90" s="18">
        <v>0.8</v>
      </c>
      <c r="N90" s="18">
        <v>0.05</v>
      </c>
      <c r="O90" s="18">
        <v>0.95</v>
      </c>
      <c r="P90" s="18">
        <v>0.73</v>
      </c>
      <c r="Q90" s="22">
        <v>1</v>
      </c>
      <c r="R90" s="294">
        <v>109</v>
      </c>
      <c r="S90" s="294">
        <v>0</v>
      </c>
      <c r="T90" s="365">
        <v>3</v>
      </c>
      <c r="U90" s="368" t="str">
        <f t="shared" si="7"/>
        <v>Normal</v>
      </c>
      <c r="V90" s="368" t="str">
        <f t="shared" si="8"/>
        <v>Normal</v>
      </c>
      <c r="W90" s="81">
        <f t="shared" si="9"/>
        <v>0.20103092783505155</v>
      </c>
      <c r="X90" s="81">
        <f t="shared" si="10"/>
        <v>0.18716577540106952</v>
      </c>
    </row>
    <row r="91" spans="1:24">
      <c r="A91" s="32">
        <v>45106</v>
      </c>
      <c r="B91" s="408">
        <f>IF(YEAR(Table7[[#This Row],[Date]]) = 2023, WEEKNUM(Table7[[#This Row],[Date]])-13, WEEKNUM(Table7[[#This Row],[Date]])+40)</f>
        <v>13</v>
      </c>
      <c r="C91" s="34" t="s">
        <v>64</v>
      </c>
      <c r="D91" s="34" t="s">
        <v>94</v>
      </c>
      <c r="E91" s="1">
        <v>0</v>
      </c>
      <c r="F91" s="1">
        <v>0</v>
      </c>
      <c r="G91" s="64">
        <v>0</v>
      </c>
      <c r="H91" s="64">
        <v>0</v>
      </c>
      <c r="I91" s="1">
        <v>0</v>
      </c>
      <c r="J91" s="1">
        <v>0</v>
      </c>
      <c r="K91" s="1">
        <v>0</v>
      </c>
      <c r="L91" s="1">
        <v>0</v>
      </c>
      <c r="M91" s="18">
        <v>0</v>
      </c>
      <c r="N91" s="18">
        <v>0</v>
      </c>
      <c r="O91" s="18">
        <v>0</v>
      </c>
      <c r="P91" s="18">
        <v>0</v>
      </c>
      <c r="Q91" s="22">
        <v>0</v>
      </c>
      <c r="R91" s="294">
        <v>0</v>
      </c>
      <c r="S91" s="294">
        <v>0</v>
      </c>
      <c r="T91" s="365">
        <v>0</v>
      </c>
      <c r="U91" s="368" t="str">
        <f t="shared" si="7"/>
        <v>Normal</v>
      </c>
      <c r="V91" s="368" t="str">
        <f t="shared" si="8"/>
        <v>Normal</v>
      </c>
      <c r="W91" s="81">
        <f t="shared" si="9"/>
        <v>0</v>
      </c>
      <c r="X91" s="81">
        <f t="shared" si="10"/>
        <v>0</v>
      </c>
    </row>
    <row r="92" spans="1:24">
      <c r="A92" s="32">
        <v>45107</v>
      </c>
      <c r="B92" s="408">
        <f>IF(YEAR(Table7[[#This Row],[Date]]) = 2023, WEEKNUM(Table7[[#This Row],[Date]])-13, WEEKNUM(Table7[[#This Row],[Date]])+40)</f>
        <v>13</v>
      </c>
      <c r="C92" s="34" t="s">
        <v>53</v>
      </c>
      <c r="D92" s="34" t="s">
        <v>94</v>
      </c>
      <c r="E92" s="1">
        <v>338</v>
      </c>
      <c r="F92" s="1">
        <v>320</v>
      </c>
      <c r="G92" s="64">
        <f t="shared" ref="G92:H92" si="34">IFERROR((E92-E85)/E85,0%)</f>
        <v>0.898876404494382</v>
      </c>
      <c r="H92" s="64">
        <f t="shared" si="34"/>
        <v>0.87134502923976609</v>
      </c>
      <c r="I92" s="1"/>
      <c r="J92" s="1"/>
      <c r="K92" s="1"/>
      <c r="L92" s="1"/>
      <c r="M92" s="18">
        <v>0.79</v>
      </c>
      <c r="N92" s="18">
        <v>0.05</v>
      </c>
      <c r="O92" s="18">
        <v>0.95</v>
      </c>
      <c r="P92" s="18">
        <v>0.69</v>
      </c>
      <c r="Q92" s="22">
        <v>1</v>
      </c>
      <c r="R92" s="294">
        <v>98</v>
      </c>
      <c r="S92" s="294">
        <v>0</v>
      </c>
      <c r="T92" s="365">
        <v>3</v>
      </c>
      <c r="U92" s="368" t="str">
        <f t="shared" si="7"/>
        <v>Outlier</v>
      </c>
      <c r="V92" s="368" t="str">
        <f t="shared" si="8"/>
        <v>Outlier</v>
      </c>
      <c r="W92" s="81">
        <f t="shared" si="9"/>
        <v>0.898876404494382</v>
      </c>
      <c r="X92" s="81">
        <f t="shared" si="10"/>
        <v>0.87134502923976609</v>
      </c>
    </row>
    <row r="93" spans="1:24">
      <c r="A93" s="207">
        <v>45108</v>
      </c>
      <c r="B93" s="409">
        <f>IF(YEAR(Table7[[#This Row],[Date]]) = 2023, WEEKNUM(Table7[[#This Row],[Date]])-13, WEEKNUM(Table7[[#This Row],[Date]])+40)</f>
        <v>13</v>
      </c>
      <c r="C93" s="76" t="s">
        <v>54</v>
      </c>
      <c r="D93" s="76" t="s">
        <v>94</v>
      </c>
      <c r="E93" s="65">
        <v>205</v>
      </c>
      <c r="F93" s="65">
        <v>195</v>
      </c>
      <c r="G93" s="64">
        <f t="shared" ref="G93:H93" si="35">IFERROR((E93-E86)/E86,0%)</f>
        <v>0.66666666666666663</v>
      </c>
      <c r="H93" s="64">
        <f t="shared" si="35"/>
        <v>0.625</v>
      </c>
      <c r="I93" s="65"/>
      <c r="J93" s="65"/>
      <c r="K93" s="65"/>
      <c r="L93" s="65"/>
      <c r="M93" s="2">
        <v>0.94</v>
      </c>
      <c r="N93" s="2">
        <v>0.05</v>
      </c>
      <c r="O93" s="2">
        <v>0.95</v>
      </c>
      <c r="P93" s="2">
        <v>0.68</v>
      </c>
      <c r="Q93" s="12">
        <v>1</v>
      </c>
      <c r="R93" s="295">
        <v>97</v>
      </c>
      <c r="S93" s="295">
        <v>0</v>
      </c>
      <c r="T93" s="366">
        <v>3</v>
      </c>
      <c r="U93" s="338" t="str">
        <f t="shared" ref="U93:U156" si="36">IF(OR(G93&lt;$AA$5,G93&gt;$AB$5), "Outlier", "Normal")</f>
        <v>Outlier</v>
      </c>
      <c r="V93" s="338" t="str">
        <f t="shared" ref="V93:V156" si="37">IF(OR(H93&lt;$AA$6,H93&gt;$AB$6), "Outlier", "Normal")</f>
        <v>Outlier</v>
      </c>
      <c r="W93" s="420">
        <f t="shared" ref="W93:W156" si="38">IF(U93="Normal",$G93,IF($G93&lt;150%, $G93, $AA$9))</f>
        <v>0.66666666666666663</v>
      </c>
      <c r="X93" s="420">
        <f t="shared" ref="X93:X156" si="39">IF(V93="Normal",$H93,IF($H93&lt;150%, $H93, $AE$9))</f>
        <v>0.625</v>
      </c>
    </row>
    <row r="94" spans="1:24">
      <c r="A94" s="32">
        <v>45109</v>
      </c>
      <c r="B94" s="408">
        <f>IF(YEAR(Table7[[#This Row],[Date]]) = 2023, WEEKNUM(Table7[[#This Row],[Date]])-13, WEEKNUM(Table7[[#This Row],[Date]])+40)</f>
        <v>14</v>
      </c>
      <c r="C94" s="34" t="s">
        <v>48</v>
      </c>
      <c r="D94" s="34" t="s">
        <v>94</v>
      </c>
      <c r="E94" s="1">
        <v>0</v>
      </c>
      <c r="F94" s="1">
        <v>0</v>
      </c>
      <c r="G94" s="64">
        <f t="shared" ref="G94:H94" si="40">IFERROR((E94-E87)/E87,0%)</f>
        <v>0</v>
      </c>
      <c r="H94" s="64">
        <f t="shared" si="40"/>
        <v>0</v>
      </c>
      <c r="I94" s="1">
        <v>0</v>
      </c>
      <c r="J94" s="1">
        <v>0</v>
      </c>
      <c r="K94" s="1">
        <v>0</v>
      </c>
      <c r="L94" s="1">
        <v>0</v>
      </c>
      <c r="M94" s="18">
        <v>0</v>
      </c>
      <c r="N94" s="18">
        <v>0</v>
      </c>
      <c r="O94" s="18">
        <v>0</v>
      </c>
      <c r="P94" s="18">
        <v>0</v>
      </c>
      <c r="Q94" s="22">
        <v>0</v>
      </c>
      <c r="R94" s="294">
        <v>0</v>
      </c>
      <c r="S94" s="294">
        <v>0</v>
      </c>
      <c r="T94" s="365">
        <v>0</v>
      </c>
      <c r="U94" s="338" t="str">
        <f t="shared" si="36"/>
        <v>Normal</v>
      </c>
      <c r="V94" s="338" t="str">
        <f t="shared" si="37"/>
        <v>Normal</v>
      </c>
      <c r="W94" s="420">
        <f t="shared" si="38"/>
        <v>0</v>
      </c>
      <c r="X94" s="420">
        <f t="shared" si="39"/>
        <v>0</v>
      </c>
    </row>
    <row r="95" spans="1:24">
      <c r="A95" s="32">
        <v>45110</v>
      </c>
      <c r="B95" s="408">
        <f>IF(YEAR(Table7[[#This Row],[Date]]) = 2023, WEEKNUM(Table7[[#This Row],[Date]])-13, WEEKNUM(Table7[[#This Row],[Date]])+40)</f>
        <v>14</v>
      </c>
      <c r="C95" s="34" t="s">
        <v>49</v>
      </c>
      <c r="D95" s="34" t="s">
        <v>94</v>
      </c>
      <c r="E95" s="1">
        <v>299</v>
      </c>
      <c r="F95" s="1">
        <v>286</v>
      </c>
      <c r="G95" s="64">
        <f t="shared" ref="G95:H95" si="41">IFERROR((E95-E88)/E88,0%)</f>
        <v>32.222222222222221</v>
      </c>
      <c r="H95" s="64">
        <f t="shared" si="41"/>
        <v>34.75</v>
      </c>
      <c r="I95" s="1"/>
      <c r="J95" s="1"/>
      <c r="K95" s="1"/>
      <c r="L95" s="1"/>
      <c r="M95" s="18">
        <v>0.63</v>
      </c>
      <c r="N95" s="18">
        <v>0.04</v>
      </c>
      <c r="O95" s="18">
        <v>0.96</v>
      </c>
      <c r="P95" s="18">
        <v>0.98</v>
      </c>
      <c r="Q95" s="22">
        <v>1</v>
      </c>
      <c r="R95" s="294">
        <v>122</v>
      </c>
      <c r="S95" s="294">
        <v>0</v>
      </c>
      <c r="T95" s="365">
        <v>3</v>
      </c>
      <c r="U95" s="338" t="str">
        <f t="shared" si="36"/>
        <v>Outlier</v>
      </c>
      <c r="V95" s="338" t="str">
        <f t="shared" si="37"/>
        <v>Outlier</v>
      </c>
      <c r="W95" s="420">
        <f t="shared" si="38"/>
        <v>0.30866978799112715</v>
      </c>
      <c r="X95" s="420">
        <f t="shared" si="39"/>
        <v>0.30815517891211569</v>
      </c>
    </row>
    <row r="96" spans="1:24">
      <c r="A96" s="32">
        <v>45111</v>
      </c>
      <c r="B96" s="408">
        <f>IF(YEAR(Table7[[#This Row],[Date]]) = 2023, WEEKNUM(Table7[[#This Row],[Date]])-13, WEEKNUM(Table7[[#This Row],[Date]])+40)</f>
        <v>14</v>
      </c>
      <c r="C96" s="34" t="s">
        <v>50</v>
      </c>
      <c r="D96" s="34" t="s">
        <v>94</v>
      </c>
      <c r="E96" s="1">
        <v>103</v>
      </c>
      <c r="F96" s="1">
        <v>99</v>
      </c>
      <c r="G96" s="64">
        <f t="shared" ref="G96:H96" si="42">IFERROR((E96-E89)/E89,0%)</f>
        <v>-0.57786885245901642</v>
      </c>
      <c r="H96" s="64">
        <f t="shared" si="42"/>
        <v>-0.59090909090909094</v>
      </c>
      <c r="I96" s="1"/>
      <c r="J96" s="1"/>
      <c r="K96" s="1"/>
      <c r="L96" s="1"/>
      <c r="M96" s="18">
        <v>0.89</v>
      </c>
      <c r="N96" s="18">
        <v>0.04</v>
      </c>
      <c r="O96" s="18">
        <v>0.96</v>
      </c>
      <c r="P96" s="18">
        <v>0.75</v>
      </c>
      <c r="Q96" s="22">
        <v>1</v>
      </c>
      <c r="R96" s="294">
        <v>124</v>
      </c>
      <c r="S96" s="294">
        <v>0</v>
      </c>
      <c r="T96" s="365">
        <v>3</v>
      </c>
      <c r="U96" s="338" t="str">
        <f t="shared" si="36"/>
        <v>Outlier</v>
      </c>
      <c r="V96" s="338" t="str">
        <f t="shared" si="37"/>
        <v>Outlier</v>
      </c>
      <c r="W96" s="420">
        <f t="shared" si="38"/>
        <v>-0.57786885245901642</v>
      </c>
      <c r="X96" s="420">
        <f t="shared" si="39"/>
        <v>-0.59090909090909094</v>
      </c>
    </row>
    <row r="97" spans="1:38">
      <c r="A97" s="32">
        <v>45112</v>
      </c>
      <c r="B97" s="408">
        <f>IF(YEAR(Table7[[#This Row],[Date]]) = 2023, WEEKNUM(Table7[[#This Row],[Date]])-13, WEEKNUM(Table7[[#This Row],[Date]])+40)</f>
        <v>14</v>
      </c>
      <c r="C97" s="34" t="s">
        <v>51</v>
      </c>
      <c r="D97" s="34" t="s">
        <v>94</v>
      </c>
      <c r="E97" s="1">
        <v>252</v>
      </c>
      <c r="F97" s="1">
        <v>227</v>
      </c>
      <c r="G97" s="64">
        <f t="shared" ref="G97:H97" si="43">IFERROR((E97-E90)/E90,0%)</f>
        <v>8.15450643776824E-2</v>
      </c>
      <c r="H97" s="64">
        <f t="shared" si="43"/>
        <v>2.2522522522522521E-2</v>
      </c>
      <c r="I97" s="1"/>
      <c r="J97" s="1"/>
      <c r="K97" s="1"/>
      <c r="L97" s="1"/>
      <c r="M97" s="18">
        <v>0.5</v>
      </c>
      <c r="N97" s="18">
        <v>0.1</v>
      </c>
      <c r="O97" s="18">
        <v>0.9</v>
      </c>
      <c r="P97" s="18">
        <v>0.75</v>
      </c>
      <c r="Q97" s="22">
        <v>1</v>
      </c>
      <c r="R97" s="294">
        <v>106</v>
      </c>
      <c r="S97" s="294">
        <v>0</v>
      </c>
      <c r="T97" s="365">
        <v>3</v>
      </c>
      <c r="U97" s="338" t="str">
        <f t="shared" si="36"/>
        <v>Normal</v>
      </c>
      <c r="V97" s="338" t="str">
        <f t="shared" si="37"/>
        <v>Normal</v>
      </c>
      <c r="W97" s="420">
        <f t="shared" si="38"/>
        <v>8.15450643776824E-2</v>
      </c>
      <c r="X97" s="420">
        <f t="shared" si="39"/>
        <v>2.2522522522522521E-2</v>
      </c>
      <c r="AJ97" s="47"/>
      <c r="AK97" s="47"/>
      <c r="AL97" s="47"/>
    </row>
    <row r="98" spans="1:38">
      <c r="A98" s="32">
        <v>45113</v>
      </c>
      <c r="B98" s="408">
        <f>IF(YEAR(Table7[[#This Row],[Date]]) = 2023, WEEKNUM(Table7[[#This Row],[Date]])-13, WEEKNUM(Table7[[#This Row],[Date]])+40)</f>
        <v>14</v>
      </c>
      <c r="C98" s="34" t="s">
        <v>52</v>
      </c>
      <c r="D98" s="34" t="s">
        <v>94</v>
      </c>
      <c r="E98" s="1">
        <v>218</v>
      </c>
      <c r="F98" s="1">
        <v>197</v>
      </c>
      <c r="G98" s="64">
        <f t="shared" ref="G98:H98" si="44">IFERROR((E98-E91)/E91,0%)</f>
        <v>0</v>
      </c>
      <c r="H98" s="64">
        <f t="shared" si="44"/>
        <v>0</v>
      </c>
      <c r="I98" s="1"/>
      <c r="J98" s="1"/>
      <c r="K98" s="1"/>
      <c r="L98" s="1"/>
      <c r="M98" s="18">
        <v>0.69</v>
      </c>
      <c r="N98" s="18">
        <v>0.1</v>
      </c>
      <c r="O98" s="18">
        <v>0.9</v>
      </c>
      <c r="P98" s="18">
        <v>0.95</v>
      </c>
      <c r="Q98" s="22">
        <v>1</v>
      </c>
      <c r="R98" s="294">
        <v>126</v>
      </c>
      <c r="S98" s="294">
        <v>0</v>
      </c>
      <c r="T98" s="365">
        <v>2</v>
      </c>
      <c r="U98" s="338" t="str">
        <f t="shared" si="36"/>
        <v>Normal</v>
      </c>
      <c r="V98" s="338" t="str">
        <f t="shared" si="37"/>
        <v>Normal</v>
      </c>
      <c r="W98" s="420">
        <f t="shared" si="38"/>
        <v>0</v>
      </c>
      <c r="X98" s="420">
        <f t="shared" si="39"/>
        <v>0</v>
      </c>
    </row>
    <row r="99" spans="1:38">
      <c r="A99" s="32">
        <v>45114</v>
      </c>
      <c r="B99" s="408">
        <f>IF(YEAR(Table7[[#This Row],[Date]]) = 2023, WEEKNUM(Table7[[#This Row],[Date]])-13, WEEKNUM(Table7[[#This Row],[Date]])+40)</f>
        <v>14</v>
      </c>
      <c r="C99" s="34" t="s">
        <v>53</v>
      </c>
      <c r="D99" s="34" t="s">
        <v>94</v>
      </c>
      <c r="E99" s="1">
        <v>220</v>
      </c>
      <c r="F99" s="1">
        <v>184</v>
      </c>
      <c r="G99" s="64">
        <f t="shared" ref="G99:H99" si="45">IFERROR((E99-E92)/E92,0%)</f>
        <v>-0.34911242603550297</v>
      </c>
      <c r="H99" s="64">
        <f t="shared" si="45"/>
        <v>-0.42499999999999999</v>
      </c>
      <c r="I99" s="1"/>
      <c r="J99" s="1"/>
      <c r="K99" s="1"/>
      <c r="L99" s="1"/>
      <c r="M99" s="18">
        <v>0.56000000000000005</v>
      </c>
      <c r="N99" s="18">
        <v>0.16</v>
      </c>
      <c r="O99" s="18">
        <v>0.84</v>
      </c>
      <c r="P99" s="18">
        <v>0.62</v>
      </c>
      <c r="Q99" s="22">
        <v>0.99</v>
      </c>
      <c r="R99" s="294">
        <v>99</v>
      </c>
      <c r="S99" s="294">
        <v>0</v>
      </c>
      <c r="T99" s="365">
        <v>2</v>
      </c>
      <c r="U99" s="338" t="str">
        <f t="shared" si="36"/>
        <v>Normal</v>
      </c>
      <c r="V99" s="338" t="str">
        <f t="shared" si="37"/>
        <v>Normal</v>
      </c>
      <c r="W99" s="420">
        <f t="shared" si="38"/>
        <v>-0.34911242603550297</v>
      </c>
      <c r="X99" s="420">
        <f t="shared" si="39"/>
        <v>-0.42499999999999999</v>
      </c>
    </row>
    <row r="100" spans="1:38">
      <c r="A100" s="32">
        <v>45115</v>
      </c>
      <c r="B100" s="408">
        <f>IF(YEAR(Table7[[#This Row],[Date]]) = 2023, WEEKNUM(Table7[[#This Row],[Date]])-13, WEEKNUM(Table7[[#This Row],[Date]])+40)</f>
        <v>14</v>
      </c>
      <c r="C100" s="34" t="s">
        <v>54</v>
      </c>
      <c r="D100" s="34" t="s">
        <v>94</v>
      </c>
      <c r="E100" s="1">
        <v>211</v>
      </c>
      <c r="F100" s="1">
        <v>198</v>
      </c>
      <c r="G100" s="64">
        <f t="shared" ref="G100:H100" si="46">IFERROR((E100-E93)/E93,0%)</f>
        <v>2.9268292682926831E-2</v>
      </c>
      <c r="H100" s="64">
        <f t="shared" si="46"/>
        <v>1.5384615384615385E-2</v>
      </c>
      <c r="I100" s="1"/>
      <c r="J100" s="1"/>
      <c r="K100" s="1"/>
      <c r="L100" s="1"/>
      <c r="M100" s="18">
        <v>0.84</v>
      </c>
      <c r="N100" s="18">
        <v>0.06</v>
      </c>
      <c r="O100" s="18">
        <v>0.94</v>
      </c>
      <c r="P100" s="18">
        <v>0.51</v>
      </c>
      <c r="Q100" s="22">
        <v>1</v>
      </c>
      <c r="R100" s="294">
        <v>73</v>
      </c>
      <c r="S100" s="294">
        <v>0</v>
      </c>
      <c r="T100" s="365">
        <v>2</v>
      </c>
      <c r="U100" s="338" t="str">
        <f t="shared" si="36"/>
        <v>Normal</v>
      </c>
      <c r="V100" s="338" t="str">
        <f t="shared" si="37"/>
        <v>Normal</v>
      </c>
      <c r="W100" s="420">
        <f t="shared" si="38"/>
        <v>2.9268292682926831E-2</v>
      </c>
      <c r="X100" s="420">
        <f t="shared" si="39"/>
        <v>1.5384615384615385E-2</v>
      </c>
    </row>
    <row r="101" spans="1:38">
      <c r="A101" s="32">
        <v>45116</v>
      </c>
      <c r="B101" s="408">
        <f>IF(YEAR(Table7[[#This Row],[Date]]) = 2023, WEEKNUM(Table7[[#This Row],[Date]])-13, WEEKNUM(Table7[[#This Row],[Date]])+40)</f>
        <v>15</v>
      </c>
      <c r="C101" s="34" t="s">
        <v>48</v>
      </c>
      <c r="D101" s="34" t="s">
        <v>94</v>
      </c>
      <c r="E101" s="1">
        <v>0</v>
      </c>
      <c r="F101" s="1">
        <v>0</v>
      </c>
      <c r="G101" s="64">
        <f t="shared" ref="G101:H101" si="47">IFERROR((E101-E94)/E94,0%)</f>
        <v>0</v>
      </c>
      <c r="H101" s="64">
        <f t="shared" si="47"/>
        <v>0</v>
      </c>
      <c r="I101" s="1">
        <v>0</v>
      </c>
      <c r="J101" s="1">
        <v>0</v>
      </c>
      <c r="K101" s="1">
        <v>0</v>
      </c>
      <c r="L101" s="1">
        <v>0</v>
      </c>
      <c r="M101" s="18">
        <v>0</v>
      </c>
      <c r="N101" s="18">
        <v>0</v>
      </c>
      <c r="O101" s="18">
        <v>0</v>
      </c>
      <c r="P101" s="18">
        <v>0</v>
      </c>
      <c r="Q101" s="22">
        <v>0</v>
      </c>
      <c r="R101" s="294">
        <v>0</v>
      </c>
      <c r="S101" s="294">
        <v>0</v>
      </c>
      <c r="T101" s="365">
        <v>0</v>
      </c>
      <c r="U101" s="338" t="str">
        <f t="shared" si="36"/>
        <v>Normal</v>
      </c>
      <c r="V101" s="338" t="str">
        <f t="shared" si="37"/>
        <v>Normal</v>
      </c>
      <c r="W101" s="420">
        <f t="shared" si="38"/>
        <v>0</v>
      </c>
      <c r="X101" s="420">
        <f t="shared" si="39"/>
        <v>0</v>
      </c>
    </row>
    <row r="102" spans="1:38">
      <c r="A102" s="32">
        <v>45117</v>
      </c>
      <c r="B102" s="408">
        <f>IF(YEAR(Table7[[#This Row],[Date]]) = 2023, WEEKNUM(Table7[[#This Row],[Date]])-13, WEEKNUM(Table7[[#This Row],[Date]])+40)</f>
        <v>15</v>
      </c>
      <c r="C102" s="34" t="s">
        <v>49</v>
      </c>
      <c r="D102" s="34" t="s">
        <v>94</v>
      </c>
      <c r="E102" s="1">
        <v>211</v>
      </c>
      <c r="F102" s="1">
        <v>198</v>
      </c>
      <c r="G102" s="64">
        <f t="shared" ref="G102:H102" si="48">IFERROR((E102-E95)/E95,0%)</f>
        <v>-0.29431438127090304</v>
      </c>
      <c r="H102" s="64">
        <f t="shared" si="48"/>
        <v>-0.30769230769230771</v>
      </c>
      <c r="I102" s="1"/>
      <c r="J102" s="1"/>
      <c r="K102" s="1"/>
      <c r="L102" s="1"/>
      <c r="M102" s="18">
        <v>0.84</v>
      </c>
      <c r="N102" s="18">
        <v>0.06</v>
      </c>
      <c r="O102" s="18">
        <v>0.94</v>
      </c>
      <c r="P102" s="18">
        <v>0.51</v>
      </c>
      <c r="Q102" s="22">
        <v>1</v>
      </c>
      <c r="R102" s="294">
        <v>73</v>
      </c>
      <c r="S102" s="294">
        <v>0</v>
      </c>
      <c r="T102" s="365">
        <v>3</v>
      </c>
      <c r="U102" s="338" t="str">
        <f t="shared" si="36"/>
        <v>Normal</v>
      </c>
      <c r="V102" s="338" t="str">
        <f t="shared" si="37"/>
        <v>Normal</v>
      </c>
      <c r="W102" s="420">
        <f t="shared" si="38"/>
        <v>-0.29431438127090304</v>
      </c>
      <c r="X102" s="420">
        <f t="shared" si="39"/>
        <v>-0.30769230769230771</v>
      </c>
    </row>
    <row r="103" spans="1:38">
      <c r="A103" s="32">
        <v>45118</v>
      </c>
      <c r="B103" s="408">
        <f>IF(YEAR(Table7[[#This Row],[Date]]) = 2023, WEEKNUM(Table7[[#This Row],[Date]])-13, WEEKNUM(Table7[[#This Row],[Date]])+40)</f>
        <v>15</v>
      </c>
      <c r="C103" s="34" t="s">
        <v>50</v>
      </c>
      <c r="D103" s="34" t="s">
        <v>94</v>
      </c>
      <c r="E103" s="1">
        <v>222</v>
      </c>
      <c r="F103" s="1">
        <v>210</v>
      </c>
      <c r="G103" s="64">
        <f t="shared" ref="G103:H103" si="49">IFERROR((E103-E96)/E96,0%)</f>
        <v>1.1553398058252426</v>
      </c>
      <c r="H103" s="64">
        <f t="shared" si="49"/>
        <v>1.1212121212121211</v>
      </c>
      <c r="I103" s="1"/>
      <c r="J103" s="1"/>
      <c r="K103" s="1"/>
      <c r="L103" s="1"/>
      <c r="M103" s="18">
        <v>0.84</v>
      </c>
      <c r="N103" s="18">
        <v>0.05</v>
      </c>
      <c r="O103" s="18">
        <v>0.95</v>
      </c>
      <c r="P103" s="18">
        <v>0.51</v>
      </c>
      <c r="Q103" s="22">
        <v>1</v>
      </c>
      <c r="R103" s="294">
        <v>79</v>
      </c>
      <c r="S103" s="294">
        <v>0</v>
      </c>
      <c r="T103" s="365">
        <v>3</v>
      </c>
      <c r="U103" s="338" t="str">
        <f t="shared" si="36"/>
        <v>Outlier</v>
      </c>
      <c r="V103" s="338" t="str">
        <f t="shared" si="37"/>
        <v>Outlier</v>
      </c>
      <c r="W103" s="420">
        <f t="shared" si="38"/>
        <v>1.1553398058252426</v>
      </c>
      <c r="X103" s="420">
        <f t="shared" si="39"/>
        <v>1.1212121212121211</v>
      </c>
    </row>
    <row r="104" spans="1:38">
      <c r="A104" s="32">
        <v>45119</v>
      </c>
      <c r="B104" s="408">
        <f>IF(YEAR(Table7[[#This Row],[Date]]) = 2023, WEEKNUM(Table7[[#This Row],[Date]])-13, WEEKNUM(Table7[[#This Row],[Date]])+40)</f>
        <v>15</v>
      </c>
      <c r="C104" s="34" t="s">
        <v>51</v>
      </c>
      <c r="D104" s="34" t="s">
        <v>94</v>
      </c>
      <c r="E104" s="1">
        <v>230</v>
      </c>
      <c r="F104" s="1">
        <v>223</v>
      </c>
      <c r="G104" s="64">
        <f t="shared" ref="G104:H104" si="50">IFERROR((E104-E97)/E97,0%)</f>
        <v>-8.7301587301587297E-2</v>
      </c>
      <c r="H104" s="64">
        <f t="shared" si="50"/>
        <v>-1.7621145374449341E-2</v>
      </c>
      <c r="I104" s="1"/>
      <c r="J104" s="1"/>
      <c r="K104" s="1"/>
      <c r="L104" s="1"/>
      <c r="M104" s="18">
        <v>0.88</v>
      </c>
      <c r="N104" s="18">
        <v>0.03</v>
      </c>
      <c r="O104" s="18">
        <v>0.97</v>
      </c>
      <c r="P104" s="18">
        <v>0.68</v>
      </c>
      <c r="Q104" s="22">
        <v>1</v>
      </c>
      <c r="R104" s="294">
        <v>99</v>
      </c>
      <c r="S104" s="294">
        <v>0</v>
      </c>
      <c r="T104" s="365">
        <v>4</v>
      </c>
      <c r="U104" s="338" t="str">
        <f t="shared" si="36"/>
        <v>Normal</v>
      </c>
      <c r="V104" s="338" t="str">
        <f t="shared" si="37"/>
        <v>Normal</v>
      </c>
      <c r="W104" s="420">
        <f t="shared" si="38"/>
        <v>-8.7301587301587297E-2</v>
      </c>
      <c r="X104" s="420">
        <f t="shared" si="39"/>
        <v>-1.7621145374449341E-2</v>
      </c>
    </row>
    <row r="105" spans="1:38">
      <c r="A105" s="32">
        <v>45120</v>
      </c>
      <c r="B105" s="408">
        <f>IF(YEAR(Table7[[#This Row],[Date]]) = 2023, WEEKNUM(Table7[[#This Row],[Date]])-13, WEEKNUM(Table7[[#This Row],[Date]])+40)</f>
        <v>15</v>
      </c>
      <c r="C105" s="34" t="s">
        <v>52</v>
      </c>
      <c r="D105" s="34" t="s">
        <v>94</v>
      </c>
      <c r="E105" s="1">
        <v>236</v>
      </c>
      <c r="F105" s="1">
        <v>225</v>
      </c>
      <c r="G105" s="64">
        <f t="shared" ref="G105:H105" si="51">IFERROR((E105-E98)/E98,0%)</f>
        <v>8.2568807339449546E-2</v>
      </c>
      <c r="H105" s="64">
        <f t="shared" si="51"/>
        <v>0.14213197969543148</v>
      </c>
      <c r="I105" s="1"/>
      <c r="J105" s="1"/>
      <c r="K105" s="1"/>
      <c r="L105" s="1"/>
      <c r="M105" s="18">
        <v>0.89</v>
      </c>
      <c r="N105" s="18">
        <v>0.05</v>
      </c>
      <c r="O105" s="18">
        <v>0.95</v>
      </c>
      <c r="P105" s="18">
        <v>0.94</v>
      </c>
      <c r="Q105" s="22">
        <v>1</v>
      </c>
      <c r="R105" s="294">
        <v>142</v>
      </c>
      <c r="S105" s="294">
        <v>0</v>
      </c>
      <c r="T105" s="365">
        <v>3</v>
      </c>
      <c r="U105" s="338" t="str">
        <f t="shared" si="36"/>
        <v>Normal</v>
      </c>
      <c r="V105" s="338" t="str">
        <f t="shared" si="37"/>
        <v>Normal</v>
      </c>
      <c r="W105" s="420">
        <f t="shared" si="38"/>
        <v>8.2568807339449546E-2</v>
      </c>
      <c r="X105" s="420">
        <f t="shared" si="39"/>
        <v>0.14213197969543148</v>
      </c>
    </row>
    <row r="106" spans="1:38">
      <c r="A106" s="32">
        <v>45121</v>
      </c>
      <c r="B106" s="408">
        <f>IF(YEAR(Table7[[#This Row],[Date]]) = 2023, WEEKNUM(Table7[[#This Row],[Date]])-13, WEEKNUM(Table7[[#This Row],[Date]])+40)</f>
        <v>15</v>
      </c>
      <c r="C106" s="34" t="s">
        <v>53</v>
      </c>
      <c r="D106" s="34" t="s">
        <v>94</v>
      </c>
      <c r="E106" s="1">
        <v>223</v>
      </c>
      <c r="F106" s="1">
        <v>209</v>
      </c>
      <c r="G106" s="64">
        <f t="shared" ref="G106:H106" si="52">IFERROR((E106-E99)/E99,0%)</f>
        <v>1.3636363636363636E-2</v>
      </c>
      <c r="H106" s="64">
        <f t="shared" si="52"/>
        <v>0.1358695652173913</v>
      </c>
      <c r="I106" s="1"/>
      <c r="J106" s="1"/>
      <c r="K106" s="1"/>
      <c r="L106" s="1"/>
      <c r="M106" s="18">
        <v>0.81</v>
      </c>
      <c r="N106" s="18">
        <v>0.06</v>
      </c>
      <c r="O106" s="18">
        <v>0.94</v>
      </c>
      <c r="P106" s="18">
        <v>0.56000000000000005</v>
      </c>
      <c r="Q106" s="22">
        <v>1</v>
      </c>
      <c r="R106" s="294">
        <v>86</v>
      </c>
      <c r="S106" s="294">
        <v>0</v>
      </c>
      <c r="T106" s="365">
        <v>3</v>
      </c>
      <c r="U106" s="338" t="str">
        <f t="shared" si="36"/>
        <v>Normal</v>
      </c>
      <c r="V106" s="338" t="str">
        <f t="shared" si="37"/>
        <v>Normal</v>
      </c>
      <c r="W106" s="420">
        <f t="shared" si="38"/>
        <v>1.3636363636363636E-2</v>
      </c>
      <c r="X106" s="420">
        <f t="shared" si="39"/>
        <v>0.1358695652173913</v>
      </c>
    </row>
    <row r="107" spans="1:38">
      <c r="A107" s="32">
        <v>45122</v>
      </c>
      <c r="B107" s="408">
        <f>IF(YEAR(Table7[[#This Row],[Date]]) = 2023, WEEKNUM(Table7[[#This Row],[Date]])-13, WEEKNUM(Table7[[#This Row],[Date]])+40)</f>
        <v>15</v>
      </c>
      <c r="C107" s="34" t="s">
        <v>54</v>
      </c>
      <c r="D107" s="34" t="s">
        <v>94</v>
      </c>
      <c r="E107" s="1">
        <v>127</v>
      </c>
      <c r="F107" s="1">
        <v>124</v>
      </c>
      <c r="G107" s="64">
        <f t="shared" ref="G107:H107" si="53">IFERROR((E107-E100)/E100,0%)</f>
        <v>-0.3981042654028436</v>
      </c>
      <c r="H107" s="64">
        <f t="shared" si="53"/>
        <v>-0.37373737373737376</v>
      </c>
      <c r="I107" s="1"/>
      <c r="J107" s="1"/>
      <c r="K107" s="1"/>
      <c r="L107" s="1"/>
      <c r="M107" s="18">
        <v>0.89</v>
      </c>
      <c r="N107" s="18">
        <v>0.02</v>
      </c>
      <c r="O107" s="18">
        <v>0.98</v>
      </c>
      <c r="P107" s="18">
        <v>0.55000000000000004</v>
      </c>
      <c r="Q107" s="22">
        <v>1</v>
      </c>
      <c r="R107" s="294">
        <v>117</v>
      </c>
      <c r="S107" s="294">
        <v>0</v>
      </c>
      <c r="T107" s="365">
        <v>3</v>
      </c>
      <c r="U107" s="338" t="str">
        <f t="shared" si="36"/>
        <v>Normal</v>
      </c>
      <c r="V107" s="338" t="str">
        <f t="shared" si="37"/>
        <v>Normal</v>
      </c>
      <c r="W107" s="420">
        <f t="shared" si="38"/>
        <v>-0.3981042654028436</v>
      </c>
      <c r="X107" s="420">
        <f t="shared" si="39"/>
        <v>-0.37373737373737376</v>
      </c>
    </row>
    <row r="108" spans="1:38">
      <c r="A108" s="32">
        <v>45123</v>
      </c>
      <c r="B108" s="408">
        <f>IF(YEAR(Table7[[#This Row],[Date]]) = 2023, WEEKNUM(Table7[[#This Row],[Date]])-13, WEEKNUM(Table7[[#This Row],[Date]])+40)</f>
        <v>16</v>
      </c>
      <c r="C108" s="34" t="s">
        <v>48</v>
      </c>
      <c r="D108" s="34" t="s">
        <v>94</v>
      </c>
      <c r="E108" s="1">
        <v>0</v>
      </c>
      <c r="F108" s="1">
        <v>0</v>
      </c>
      <c r="G108" s="64">
        <f t="shared" ref="G108:H108" si="54">IFERROR((E108-E101)/E101,0%)</f>
        <v>0</v>
      </c>
      <c r="H108" s="64">
        <f t="shared" si="54"/>
        <v>0</v>
      </c>
      <c r="I108" s="1">
        <v>0</v>
      </c>
      <c r="J108" s="1">
        <v>0</v>
      </c>
      <c r="K108" s="1">
        <v>0</v>
      </c>
      <c r="L108" s="1">
        <v>0</v>
      </c>
      <c r="M108" s="18">
        <v>0</v>
      </c>
      <c r="N108" s="18">
        <v>0</v>
      </c>
      <c r="O108" s="18">
        <v>0</v>
      </c>
      <c r="P108" s="18">
        <v>0</v>
      </c>
      <c r="Q108" s="22">
        <v>0</v>
      </c>
      <c r="R108" s="294">
        <v>0</v>
      </c>
      <c r="S108" s="294">
        <v>0</v>
      </c>
      <c r="T108" s="365">
        <v>0</v>
      </c>
      <c r="U108" s="338" t="str">
        <f t="shared" si="36"/>
        <v>Normal</v>
      </c>
      <c r="V108" s="338" t="str">
        <f t="shared" si="37"/>
        <v>Normal</v>
      </c>
      <c r="W108" s="420">
        <f t="shared" si="38"/>
        <v>0</v>
      </c>
      <c r="X108" s="420">
        <f t="shared" si="39"/>
        <v>0</v>
      </c>
    </row>
    <row r="109" spans="1:38">
      <c r="A109" s="32">
        <v>45124</v>
      </c>
      <c r="B109" s="408">
        <f>IF(YEAR(Table7[[#This Row],[Date]]) = 2023, WEEKNUM(Table7[[#This Row],[Date]])-13, WEEKNUM(Table7[[#This Row],[Date]])+40)</f>
        <v>16</v>
      </c>
      <c r="C109" s="34" t="s">
        <v>49</v>
      </c>
      <c r="D109" s="34" t="s">
        <v>94</v>
      </c>
      <c r="E109" s="1">
        <v>273</v>
      </c>
      <c r="F109" s="1">
        <v>263</v>
      </c>
      <c r="G109" s="64">
        <f t="shared" ref="G109:H109" si="55">IFERROR((E109-E102)/E102,0%)</f>
        <v>0.29383886255924169</v>
      </c>
      <c r="H109" s="64">
        <f t="shared" si="55"/>
        <v>0.32828282828282829</v>
      </c>
      <c r="I109" s="1"/>
      <c r="J109" s="1"/>
      <c r="K109" s="1"/>
      <c r="L109" s="1"/>
      <c r="M109" s="18">
        <v>0.94</v>
      </c>
      <c r="N109" s="18">
        <v>0.04</v>
      </c>
      <c r="O109" s="18">
        <v>0.96</v>
      </c>
      <c r="P109" s="18">
        <v>0.6</v>
      </c>
      <c r="Q109" s="22">
        <v>1</v>
      </c>
      <c r="R109" s="294">
        <v>92</v>
      </c>
      <c r="S109" s="294">
        <v>0</v>
      </c>
      <c r="T109" s="365">
        <v>4</v>
      </c>
      <c r="U109" s="338" t="str">
        <f t="shared" si="36"/>
        <v>Normal</v>
      </c>
      <c r="V109" s="338" t="str">
        <f t="shared" si="37"/>
        <v>Normal</v>
      </c>
      <c r="W109" s="420">
        <f t="shared" si="38"/>
        <v>0.29383886255924169</v>
      </c>
      <c r="X109" s="420">
        <f t="shared" si="39"/>
        <v>0.32828282828282829</v>
      </c>
    </row>
    <row r="110" spans="1:38">
      <c r="A110" s="32">
        <v>45125</v>
      </c>
      <c r="B110" s="408">
        <f>IF(YEAR(Table7[[#This Row],[Date]]) = 2023, WEEKNUM(Table7[[#This Row],[Date]])-13, WEEKNUM(Table7[[#This Row],[Date]])+40)</f>
        <v>16</v>
      </c>
      <c r="C110" s="34" t="s">
        <v>50</v>
      </c>
      <c r="D110" s="34" t="s">
        <v>94</v>
      </c>
      <c r="E110" s="1">
        <v>191</v>
      </c>
      <c r="F110" s="1">
        <v>187</v>
      </c>
      <c r="G110" s="64">
        <f t="shared" ref="G110:H110" si="56">IFERROR((E110-E103)/E103,0%)</f>
        <v>-0.13963963963963963</v>
      </c>
      <c r="H110" s="64">
        <f t="shared" si="56"/>
        <v>-0.10952380952380952</v>
      </c>
      <c r="I110" s="1"/>
      <c r="J110" s="1"/>
      <c r="K110" s="1"/>
      <c r="L110" s="1"/>
      <c r="M110" s="18">
        <v>0.84</v>
      </c>
      <c r="N110" s="18">
        <v>0.02</v>
      </c>
      <c r="O110" s="18">
        <v>0.98</v>
      </c>
      <c r="P110" s="18">
        <v>0.59</v>
      </c>
      <c r="Q110" s="22">
        <v>1</v>
      </c>
      <c r="R110" s="294">
        <v>93</v>
      </c>
      <c r="S110" s="294">
        <v>0</v>
      </c>
      <c r="T110" s="365">
        <v>4</v>
      </c>
      <c r="U110" s="338" t="str">
        <f t="shared" si="36"/>
        <v>Normal</v>
      </c>
      <c r="V110" s="338" t="str">
        <f t="shared" si="37"/>
        <v>Normal</v>
      </c>
      <c r="W110" s="420">
        <f t="shared" si="38"/>
        <v>-0.13963963963963963</v>
      </c>
      <c r="X110" s="420">
        <f t="shared" si="39"/>
        <v>-0.10952380952380952</v>
      </c>
      <c r="AJ110" t="s">
        <v>62</v>
      </c>
      <c r="AK110" s="16">
        <v>44682</v>
      </c>
    </row>
    <row r="111" spans="1:38">
      <c r="A111" s="32">
        <v>45126</v>
      </c>
      <c r="B111" s="408">
        <f>IF(YEAR(Table7[[#This Row],[Date]]) = 2023, WEEKNUM(Table7[[#This Row],[Date]])-13, WEEKNUM(Table7[[#This Row],[Date]])+40)</f>
        <v>16</v>
      </c>
      <c r="C111" s="34" t="s">
        <v>51</v>
      </c>
      <c r="D111" s="34" t="s">
        <v>94</v>
      </c>
      <c r="E111" s="1">
        <v>244</v>
      </c>
      <c r="F111" s="1">
        <v>235</v>
      </c>
      <c r="G111" s="64">
        <f t="shared" ref="G111:H111" si="57">IFERROR((E111-E104)/E104,0%)</f>
        <v>6.0869565217391307E-2</v>
      </c>
      <c r="H111" s="64">
        <f t="shared" si="57"/>
        <v>5.3811659192825115E-2</v>
      </c>
      <c r="I111" s="1"/>
      <c r="J111" s="1"/>
      <c r="K111" s="1"/>
      <c r="L111" s="1"/>
      <c r="M111" s="18">
        <v>0.91</v>
      </c>
      <c r="N111" s="18">
        <v>0.04</v>
      </c>
      <c r="O111" s="18">
        <v>0.96</v>
      </c>
      <c r="P111" s="18">
        <v>0.54</v>
      </c>
      <c r="Q111" s="22">
        <v>1</v>
      </c>
      <c r="R111" s="294">
        <v>84</v>
      </c>
      <c r="S111" s="294">
        <v>0</v>
      </c>
      <c r="T111" s="365">
        <v>4</v>
      </c>
      <c r="U111" s="338" t="str">
        <f t="shared" si="36"/>
        <v>Normal</v>
      </c>
      <c r="V111" s="338" t="str">
        <f t="shared" si="37"/>
        <v>Normal</v>
      </c>
      <c r="W111" s="420">
        <f t="shared" si="38"/>
        <v>6.0869565217391307E-2</v>
      </c>
      <c r="X111" s="420">
        <f t="shared" si="39"/>
        <v>5.3811659192825115E-2</v>
      </c>
      <c r="AJ111" t="s">
        <v>63</v>
      </c>
      <c r="AK111" s="16">
        <v>44704</v>
      </c>
    </row>
    <row r="112" spans="1:38">
      <c r="A112" s="32">
        <v>45127</v>
      </c>
      <c r="B112" s="408">
        <f>IF(YEAR(Table7[[#This Row],[Date]]) = 2023, WEEKNUM(Table7[[#This Row],[Date]])-13, WEEKNUM(Table7[[#This Row],[Date]])+40)</f>
        <v>16</v>
      </c>
      <c r="C112" s="34" t="s">
        <v>52</v>
      </c>
      <c r="D112" s="34" t="s">
        <v>94</v>
      </c>
      <c r="E112" s="1">
        <v>202</v>
      </c>
      <c r="F112" s="1">
        <v>194</v>
      </c>
      <c r="G112" s="64">
        <f t="shared" ref="G112:H112" si="58">IFERROR((E112-E105)/E105,0%)</f>
        <v>-0.1440677966101695</v>
      </c>
      <c r="H112" s="64">
        <f t="shared" si="58"/>
        <v>-0.13777777777777778</v>
      </c>
      <c r="I112" s="1"/>
      <c r="J112" s="1"/>
      <c r="K112" s="1"/>
      <c r="L112" s="1"/>
      <c r="M112" s="18">
        <v>0.89</v>
      </c>
      <c r="N112" s="18">
        <v>0.04</v>
      </c>
      <c r="O112" s="18">
        <v>0.96</v>
      </c>
      <c r="P112" s="18">
        <v>0.49</v>
      </c>
      <c r="Q112" s="22">
        <v>1</v>
      </c>
      <c r="R112" s="294">
        <v>89</v>
      </c>
      <c r="S112" s="294">
        <v>0</v>
      </c>
      <c r="T112" s="365">
        <v>3</v>
      </c>
      <c r="U112" s="338" t="str">
        <f t="shared" si="36"/>
        <v>Normal</v>
      </c>
      <c r="V112" s="338" t="str">
        <f t="shared" si="37"/>
        <v>Normal</v>
      </c>
      <c r="W112" s="420">
        <f t="shared" si="38"/>
        <v>-0.1440677966101695</v>
      </c>
      <c r="X112" s="420">
        <f t="shared" si="39"/>
        <v>-0.13777777777777778</v>
      </c>
    </row>
    <row r="113" spans="1:24">
      <c r="A113" s="32">
        <v>45128</v>
      </c>
      <c r="B113" s="408">
        <f>IF(YEAR(Table7[[#This Row],[Date]]) = 2023, WEEKNUM(Table7[[#This Row],[Date]])-13, WEEKNUM(Table7[[#This Row],[Date]])+40)</f>
        <v>16</v>
      </c>
      <c r="C113" s="34" t="s">
        <v>53</v>
      </c>
      <c r="D113" s="34" t="s">
        <v>94</v>
      </c>
      <c r="E113" s="1">
        <v>166</v>
      </c>
      <c r="F113" s="1">
        <v>160</v>
      </c>
      <c r="G113" s="64">
        <f t="shared" ref="G113:H113" si="59">IFERROR((E113-E106)/E106,0%)</f>
        <v>-0.2556053811659193</v>
      </c>
      <c r="H113" s="64">
        <f t="shared" si="59"/>
        <v>-0.23444976076555024</v>
      </c>
      <c r="I113" s="1"/>
      <c r="J113" s="1"/>
      <c r="K113" s="1"/>
      <c r="L113" s="1"/>
      <c r="M113" s="18">
        <v>0.92</v>
      </c>
      <c r="N113" s="18">
        <v>0.04</v>
      </c>
      <c r="O113" s="18">
        <v>0.96</v>
      </c>
      <c r="P113" s="18">
        <v>0.71</v>
      </c>
      <c r="Q113" s="22">
        <v>1</v>
      </c>
      <c r="R113" s="294">
        <v>88</v>
      </c>
      <c r="S113" s="294">
        <v>0</v>
      </c>
      <c r="T113" s="365">
        <v>2</v>
      </c>
      <c r="U113" s="338" t="str">
        <f t="shared" si="36"/>
        <v>Normal</v>
      </c>
      <c r="V113" s="338" t="str">
        <f t="shared" si="37"/>
        <v>Normal</v>
      </c>
      <c r="W113" s="420">
        <f t="shared" si="38"/>
        <v>-0.2556053811659193</v>
      </c>
      <c r="X113" s="420">
        <f t="shared" si="39"/>
        <v>-0.23444976076555024</v>
      </c>
    </row>
    <row r="114" spans="1:24">
      <c r="A114" s="32">
        <v>45129</v>
      </c>
      <c r="B114" s="408">
        <f>IF(YEAR(Table7[[#This Row],[Date]]) = 2023, WEEKNUM(Table7[[#This Row],[Date]])-13, WEEKNUM(Table7[[#This Row],[Date]])+40)</f>
        <v>16</v>
      </c>
      <c r="C114" s="34" t="s">
        <v>54</v>
      </c>
      <c r="D114" s="34" t="s">
        <v>94</v>
      </c>
      <c r="E114" s="1">
        <v>162</v>
      </c>
      <c r="F114" s="1">
        <v>133</v>
      </c>
      <c r="G114" s="64">
        <f t="shared" ref="G114:H114" si="60">IFERROR((E114-E107)/E107,0%)</f>
        <v>0.27559055118110237</v>
      </c>
      <c r="H114" s="64">
        <f t="shared" si="60"/>
        <v>7.2580645161290328E-2</v>
      </c>
      <c r="I114" s="1"/>
      <c r="J114" s="1"/>
      <c r="K114" s="1"/>
      <c r="L114" s="1"/>
      <c r="M114" s="18">
        <v>0.51</v>
      </c>
      <c r="N114" s="18">
        <v>0.18</v>
      </c>
      <c r="O114" s="18">
        <v>0.82</v>
      </c>
      <c r="P114" s="18">
        <v>1.1299999999999999</v>
      </c>
      <c r="Q114" s="22">
        <v>1</v>
      </c>
      <c r="R114" s="294">
        <v>129</v>
      </c>
      <c r="S114" s="294">
        <v>0</v>
      </c>
      <c r="T114" s="365">
        <v>2</v>
      </c>
      <c r="U114" s="338" t="str">
        <f t="shared" si="36"/>
        <v>Normal</v>
      </c>
      <c r="V114" s="338" t="str">
        <f t="shared" si="37"/>
        <v>Normal</v>
      </c>
      <c r="W114" s="420">
        <f t="shared" si="38"/>
        <v>0.27559055118110237</v>
      </c>
      <c r="X114" s="420">
        <f t="shared" si="39"/>
        <v>7.2580645161290328E-2</v>
      </c>
    </row>
    <row r="115" spans="1:24">
      <c r="A115" s="32">
        <v>45130</v>
      </c>
      <c r="B115" s="408">
        <f>IF(YEAR(Table7[[#This Row],[Date]]) = 2023, WEEKNUM(Table7[[#This Row],[Date]])-13, WEEKNUM(Table7[[#This Row],[Date]])+40)</f>
        <v>17</v>
      </c>
      <c r="C115" s="34" t="s">
        <v>48</v>
      </c>
      <c r="D115" s="34" t="s">
        <v>94</v>
      </c>
      <c r="E115" s="1">
        <v>19</v>
      </c>
      <c r="F115" s="1">
        <v>19</v>
      </c>
      <c r="G115" s="64">
        <f t="shared" ref="G115:H115" si="61">IFERROR((E115-E108)/E108,0%)</f>
        <v>0</v>
      </c>
      <c r="H115" s="64">
        <f t="shared" si="61"/>
        <v>0</v>
      </c>
      <c r="I115" s="1"/>
      <c r="J115" s="1"/>
      <c r="K115" s="1"/>
      <c r="L115" s="1"/>
      <c r="M115" s="18">
        <v>0.89</v>
      </c>
      <c r="N115" s="18">
        <v>0</v>
      </c>
      <c r="O115" s="18">
        <v>1</v>
      </c>
      <c r="P115" s="18">
        <v>0.17</v>
      </c>
      <c r="Q115" s="22">
        <v>1</v>
      </c>
      <c r="R115" s="294">
        <v>103</v>
      </c>
      <c r="S115" s="294">
        <v>0</v>
      </c>
      <c r="T115" s="365">
        <v>2</v>
      </c>
      <c r="U115" s="338" t="str">
        <f t="shared" si="36"/>
        <v>Normal</v>
      </c>
      <c r="V115" s="338" t="str">
        <f t="shared" si="37"/>
        <v>Normal</v>
      </c>
      <c r="W115" s="420">
        <f t="shared" si="38"/>
        <v>0</v>
      </c>
      <c r="X115" s="420">
        <f t="shared" si="39"/>
        <v>0</v>
      </c>
    </row>
    <row r="116" spans="1:24">
      <c r="A116" s="32">
        <v>45131</v>
      </c>
      <c r="B116" s="408">
        <f>IF(YEAR(Table7[[#This Row],[Date]]) = 2023, WEEKNUM(Table7[[#This Row],[Date]])-13, WEEKNUM(Table7[[#This Row],[Date]])+40)</f>
        <v>17</v>
      </c>
      <c r="C116" s="34" t="s">
        <v>49</v>
      </c>
      <c r="D116" s="34" t="s">
        <v>94</v>
      </c>
      <c r="E116" s="1">
        <v>246</v>
      </c>
      <c r="F116" s="1">
        <v>237</v>
      </c>
      <c r="G116" s="64">
        <f t="shared" ref="G116:H116" si="62">IFERROR((E116-E109)/E109,0%)</f>
        <v>-9.8901098901098897E-2</v>
      </c>
      <c r="H116" s="64">
        <f t="shared" si="62"/>
        <v>-9.8859315589353611E-2</v>
      </c>
      <c r="I116" s="1"/>
      <c r="J116" s="1"/>
      <c r="K116" s="1"/>
      <c r="L116" s="1"/>
      <c r="M116" s="18">
        <v>0.74</v>
      </c>
      <c r="N116" s="18">
        <v>0.04</v>
      </c>
      <c r="O116" s="18">
        <v>0.96</v>
      </c>
      <c r="P116" s="18">
        <v>0.55000000000000004</v>
      </c>
      <c r="Q116" s="22">
        <v>1</v>
      </c>
      <c r="R116" s="294">
        <v>94</v>
      </c>
      <c r="S116" s="294">
        <v>0</v>
      </c>
      <c r="T116" s="365">
        <v>3</v>
      </c>
      <c r="U116" s="338" t="str">
        <f t="shared" si="36"/>
        <v>Normal</v>
      </c>
      <c r="V116" s="338" t="str">
        <f t="shared" si="37"/>
        <v>Normal</v>
      </c>
      <c r="W116" s="420">
        <f t="shared" si="38"/>
        <v>-9.8901098901098897E-2</v>
      </c>
      <c r="X116" s="420">
        <f t="shared" si="39"/>
        <v>-9.8859315589353611E-2</v>
      </c>
    </row>
    <row r="117" spans="1:24">
      <c r="A117" s="32">
        <v>45132</v>
      </c>
      <c r="B117" s="408">
        <f>IF(YEAR(Table7[[#This Row],[Date]]) = 2023, WEEKNUM(Table7[[#This Row],[Date]])-13, WEEKNUM(Table7[[#This Row],[Date]])+40)</f>
        <v>17</v>
      </c>
      <c r="C117" s="34" t="s">
        <v>50</v>
      </c>
      <c r="D117" s="34" t="s">
        <v>94</v>
      </c>
      <c r="E117" s="1">
        <v>247</v>
      </c>
      <c r="F117" s="1">
        <v>236</v>
      </c>
      <c r="G117" s="64">
        <f t="shared" ref="G117:H117" si="63">IFERROR((E117-E110)/E110,0%)</f>
        <v>0.29319371727748689</v>
      </c>
      <c r="H117" s="64">
        <f t="shared" si="63"/>
        <v>0.26203208556149732</v>
      </c>
      <c r="I117" s="1"/>
      <c r="J117" s="1"/>
      <c r="K117" s="1"/>
      <c r="L117" s="1"/>
      <c r="M117" s="18">
        <v>0.89</v>
      </c>
      <c r="N117" s="18">
        <v>0.04</v>
      </c>
      <c r="O117" s="18">
        <v>0.96</v>
      </c>
      <c r="P117" s="18">
        <v>0.63</v>
      </c>
      <c r="Q117" s="22">
        <v>1</v>
      </c>
      <c r="R117" s="294">
        <v>100</v>
      </c>
      <c r="S117" s="294">
        <v>0</v>
      </c>
      <c r="T117" s="365">
        <v>3</v>
      </c>
      <c r="U117" s="338" t="str">
        <f t="shared" si="36"/>
        <v>Normal</v>
      </c>
      <c r="V117" s="338" t="str">
        <f t="shared" si="37"/>
        <v>Normal</v>
      </c>
      <c r="W117" s="420">
        <f t="shared" si="38"/>
        <v>0.29319371727748689</v>
      </c>
      <c r="X117" s="420">
        <f t="shared" si="39"/>
        <v>0.26203208556149732</v>
      </c>
    </row>
    <row r="118" spans="1:24">
      <c r="A118" s="32">
        <v>45133</v>
      </c>
      <c r="B118" s="408">
        <f>IF(YEAR(Table7[[#This Row],[Date]]) = 2023, WEEKNUM(Table7[[#This Row],[Date]])-13, WEEKNUM(Table7[[#This Row],[Date]])+40)</f>
        <v>17</v>
      </c>
      <c r="C118" s="34" t="s">
        <v>51</v>
      </c>
      <c r="D118" s="34" t="s">
        <v>94</v>
      </c>
      <c r="E118" s="1">
        <v>307</v>
      </c>
      <c r="F118" s="1">
        <v>291</v>
      </c>
      <c r="G118" s="64">
        <f t="shared" ref="G118:H118" si="64">IFERROR((E118-E111)/E111,0%)</f>
        <v>0.25819672131147542</v>
      </c>
      <c r="H118" s="64">
        <f t="shared" si="64"/>
        <v>0.23829787234042554</v>
      </c>
      <c r="I118" s="1"/>
      <c r="J118" s="1"/>
      <c r="K118" s="1"/>
      <c r="L118" s="1"/>
      <c r="M118" s="18">
        <v>0.77</v>
      </c>
      <c r="N118" s="18">
        <v>0.05</v>
      </c>
      <c r="O118" s="18">
        <v>0.95</v>
      </c>
      <c r="P118" s="18">
        <v>0.63</v>
      </c>
      <c r="Q118" s="22">
        <v>1</v>
      </c>
      <c r="R118" s="294">
        <v>89</v>
      </c>
      <c r="S118" s="294">
        <v>0</v>
      </c>
      <c r="T118" s="365">
        <v>3</v>
      </c>
      <c r="U118" s="338" t="str">
        <f t="shared" si="36"/>
        <v>Normal</v>
      </c>
      <c r="V118" s="338" t="str">
        <f t="shared" si="37"/>
        <v>Normal</v>
      </c>
      <c r="W118" s="420">
        <f t="shared" si="38"/>
        <v>0.25819672131147542</v>
      </c>
      <c r="X118" s="420">
        <f t="shared" si="39"/>
        <v>0.23829787234042554</v>
      </c>
    </row>
    <row r="119" spans="1:24">
      <c r="A119" s="32">
        <v>45134</v>
      </c>
      <c r="B119" s="408">
        <f>IF(YEAR(Table7[[#This Row],[Date]]) = 2023, WEEKNUM(Table7[[#This Row],[Date]])-13, WEEKNUM(Table7[[#This Row],[Date]])+40)</f>
        <v>17</v>
      </c>
      <c r="C119" s="34" t="s">
        <v>52</v>
      </c>
      <c r="D119" s="34" t="s">
        <v>94</v>
      </c>
      <c r="E119" s="1">
        <v>273</v>
      </c>
      <c r="F119" s="1">
        <v>252</v>
      </c>
      <c r="G119" s="64">
        <f t="shared" ref="G119:H119" si="65">IFERROR((E119-E112)/E112,0%)</f>
        <v>0.35148514851485146</v>
      </c>
      <c r="H119" s="64">
        <f t="shared" si="65"/>
        <v>0.29896907216494845</v>
      </c>
      <c r="I119" s="1"/>
      <c r="J119" s="1"/>
      <c r="K119" s="1"/>
      <c r="L119" s="1"/>
      <c r="M119" s="18">
        <v>0.86</v>
      </c>
      <c r="N119" s="18">
        <v>0.08</v>
      </c>
      <c r="O119" s="18">
        <v>0.92</v>
      </c>
      <c r="P119" s="18">
        <v>0.49</v>
      </c>
      <c r="Q119" s="22">
        <v>0.98</v>
      </c>
      <c r="R119" s="294">
        <v>58</v>
      </c>
      <c r="S119" s="294">
        <v>0</v>
      </c>
      <c r="T119" s="365">
        <v>2</v>
      </c>
      <c r="U119" s="338" t="str">
        <f t="shared" si="36"/>
        <v>Normal</v>
      </c>
      <c r="V119" s="338" t="str">
        <f t="shared" si="37"/>
        <v>Normal</v>
      </c>
      <c r="W119" s="420">
        <f t="shared" si="38"/>
        <v>0.35148514851485146</v>
      </c>
      <c r="X119" s="420">
        <f t="shared" si="39"/>
        <v>0.29896907216494845</v>
      </c>
    </row>
    <row r="120" spans="1:24">
      <c r="A120" s="32">
        <v>45135</v>
      </c>
      <c r="B120" s="408">
        <f>IF(YEAR(Table7[[#This Row],[Date]]) = 2023, WEEKNUM(Table7[[#This Row],[Date]])-13, WEEKNUM(Table7[[#This Row],[Date]])+40)</f>
        <v>17</v>
      </c>
      <c r="C120" s="34" t="s">
        <v>53</v>
      </c>
      <c r="D120" s="34" t="s">
        <v>94</v>
      </c>
      <c r="E120" s="1">
        <v>197</v>
      </c>
      <c r="F120" s="1">
        <v>179</v>
      </c>
      <c r="G120" s="64">
        <f t="shared" ref="G120:H120" si="66">IFERROR((E120-E113)/E113,0%)</f>
        <v>0.18674698795180722</v>
      </c>
      <c r="H120" s="64">
        <f t="shared" si="66"/>
        <v>0.11874999999999999</v>
      </c>
      <c r="I120" s="1"/>
      <c r="J120" s="1"/>
      <c r="K120" s="1"/>
      <c r="L120" s="1"/>
      <c r="M120" s="18">
        <v>0.74</v>
      </c>
      <c r="N120" s="18">
        <v>0.09</v>
      </c>
      <c r="O120" s="18">
        <v>0.91</v>
      </c>
      <c r="P120" s="18">
        <v>0.51</v>
      </c>
      <c r="Q120" s="22">
        <v>1</v>
      </c>
      <c r="R120" s="294">
        <v>109</v>
      </c>
      <c r="S120" s="294">
        <v>0</v>
      </c>
      <c r="T120" s="365">
        <v>2</v>
      </c>
      <c r="U120" s="338" t="str">
        <f t="shared" si="36"/>
        <v>Normal</v>
      </c>
      <c r="V120" s="338" t="str">
        <f t="shared" si="37"/>
        <v>Normal</v>
      </c>
      <c r="W120" s="420">
        <f t="shared" si="38"/>
        <v>0.18674698795180722</v>
      </c>
      <c r="X120" s="420">
        <f t="shared" si="39"/>
        <v>0.11874999999999999</v>
      </c>
    </row>
    <row r="121" spans="1:24">
      <c r="A121" s="32">
        <v>45136</v>
      </c>
      <c r="B121" s="408">
        <f>IF(YEAR(Table7[[#This Row],[Date]]) = 2023, WEEKNUM(Table7[[#This Row],[Date]])-13, WEEKNUM(Table7[[#This Row],[Date]])+40)</f>
        <v>17</v>
      </c>
      <c r="C121" s="34" t="s">
        <v>54</v>
      </c>
      <c r="D121" s="34" t="s">
        <v>94</v>
      </c>
      <c r="E121" s="1">
        <v>156</v>
      </c>
      <c r="F121" s="1">
        <v>150</v>
      </c>
      <c r="G121" s="64">
        <f t="shared" ref="G121:H121" si="67">IFERROR((E121-E114)/E114,0%)</f>
        <v>-3.7037037037037035E-2</v>
      </c>
      <c r="H121" s="64">
        <f t="shared" si="67"/>
        <v>0.12781954887218044</v>
      </c>
      <c r="I121" s="1"/>
      <c r="J121" s="1"/>
      <c r="K121" s="1"/>
      <c r="L121" s="1"/>
      <c r="M121" s="18">
        <v>0.79</v>
      </c>
      <c r="N121" s="18">
        <v>0.04</v>
      </c>
      <c r="O121" s="18">
        <v>0.96</v>
      </c>
      <c r="P121" s="18">
        <v>0.54</v>
      </c>
      <c r="Q121" s="22">
        <v>1</v>
      </c>
      <c r="R121" s="294">
        <v>77</v>
      </c>
      <c r="S121" s="294">
        <v>0</v>
      </c>
      <c r="T121" s="365">
        <v>2</v>
      </c>
      <c r="U121" s="338" t="str">
        <f t="shared" si="36"/>
        <v>Normal</v>
      </c>
      <c r="V121" s="338" t="str">
        <f t="shared" si="37"/>
        <v>Normal</v>
      </c>
      <c r="W121" s="420">
        <f t="shared" si="38"/>
        <v>-3.7037037037037035E-2</v>
      </c>
      <c r="X121" s="420">
        <f t="shared" si="39"/>
        <v>0.12781954887218044</v>
      </c>
    </row>
    <row r="122" spans="1:24">
      <c r="A122" s="32">
        <v>45137</v>
      </c>
      <c r="B122" s="408">
        <f>IF(YEAR(Table7[[#This Row],[Date]]) = 2023, WEEKNUM(Table7[[#This Row],[Date]])-13, WEEKNUM(Table7[[#This Row],[Date]])+40)</f>
        <v>18</v>
      </c>
      <c r="C122" s="34" t="s">
        <v>48</v>
      </c>
      <c r="D122" s="34" t="s">
        <v>94</v>
      </c>
      <c r="E122" s="1">
        <v>23</v>
      </c>
      <c r="F122" s="1">
        <v>23</v>
      </c>
      <c r="G122" s="64">
        <f t="shared" ref="G122:H122" si="68">IFERROR((E122-E115)/E115,0%)</f>
        <v>0.21052631578947367</v>
      </c>
      <c r="H122" s="64">
        <f t="shared" si="68"/>
        <v>0.21052631578947367</v>
      </c>
      <c r="I122" s="1"/>
      <c r="J122" s="1"/>
      <c r="K122" s="1"/>
      <c r="L122" s="1"/>
      <c r="M122" s="18">
        <v>0.78</v>
      </c>
      <c r="N122" s="18">
        <v>0</v>
      </c>
      <c r="O122" s="18">
        <v>1</v>
      </c>
      <c r="P122" s="18">
        <v>0.16</v>
      </c>
      <c r="Q122" s="22">
        <v>1</v>
      </c>
      <c r="R122" s="294">
        <v>132</v>
      </c>
      <c r="S122" s="294">
        <v>0</v>
      </c>
      <c r="T122" s="365">
        <v>2</v>
      </c>
      <c r="U122" s="338" t="str">
        <f t="shared" si="36"/>
        <v>Normal</v>
      </c>
      <c r="V122" s="338" t="str">
        <f t="shared" si="37"/>
        <v>Normal</v>
      </c>
      <c r="W122" s="420">
        <f t="shared" si="38"/>
        <v>0.21052631578947367</v>
      </c>
      <c r="X122" s="420">
        <f t="shared" si="39"/>
        <v>0.21052631578947367</v>
      </c>
    </row>
    <row r="123" spans="1:24">
      <c r="A123" s="32">
        <v>45138</v>
      </c>
      <c r="B123" s="408">
        <f>IF(YEAR(Table7[[#This Row],[Date]]) = 2023, WEEKNUM(Table7[[#This Row],[Date]])-13, WEEKNUM(Table7[[#This Row],[Date]])+40)</f>
        <v>18</v>
      </c>
      <c r="C123" s="34" t="s">
        <v>49</v>
      </c>
      <c r="D123" s="34" t="s">
        <v>94</v>
      </c>
      <c r="E123" s="1">
        <v>318</v>
      </c>
      <c r="F123" s="1">
        <v>301</v>
      </c>
      <c r="G123" s="64">
        <f t="shared" ref="G123:H123" si="69">IFERROR((E123-E116)/E116,0%)</f>
        <v>0.29268292682926828</v>
      </c>
      <c r="H123" s="64">
        <f t="shared" si="69"/>
        <v>0.27004219409282698</v>
      </c>
      <c r="I123" s="1"/>
      <c r="J123" s="1"/>
      <c r="K123" s="1"/>
      <c r="L123" s="1"/>
      <c r="M123" s="18">
        <v>0.81</v>
      </c>
      <c r="N123" s="18">
        <v>0.05</v>
      </c>
      <c r="O123" s="18">
        <v>0.95</v>
      </c>
      <c r="P123" s="18">
        <v>0.56999999999999995</v>
      </c>
      <c r="Q123" s="22">
        <v>1</v>
      </c>
      <c r="R123" s="294">
        <v>62</v>
      </c>
      <c r="S123" s="294">
        <v>0</v>
      </c>
      <c r="T123" s="365">
        <v>3</v>
      </c>
      <c r="U123" s="338" t="str">
        <f t="shared" si="36"/>
        <v>Normal</v>
      </c>
      <c r="V123" s="338" t="str">
        <f t="shared" si="37"/>
        <v>Normal</v>
      </c>
      <c r="W123" s="420">
        <f t="shared" si="38"/>
        <v>0.29268292682926828</v>
      </c>
      <c r="X123" s="420">
        <f t="shared" si="39"/>
        <v>0.27004219409282698</v>
      </c>
    </row>
    <row r="124" spans="1:24">
      <c r="A124" s="32">
        <v>45139</v>
      </c>
      <c r="B124" s="408">
        <f>IF(YEAR(Table7[[#This Row],[Date]]) = 2023, WEEKNUM(Table7[[#This Row],[Date]])-13, WEEKNUM(Table7[[#This Row],[Date]])+40)</f>
        <v>18</v>
      </c>
      <c r="C124" s="49" t="s">
        <v>64</v>
      </c>
      <c r="D124" s="34" t="s">
        <v>94</v>
      </c>
      <c r="E124" s="1">
        <v>0</v>
      </c>
      <c r="F124" s="1">
        <v>0</v>
      </c>
      <c r="G124" s="64">
        <v>0</v>
      </c>
      <c r="H124" s="64">
        <v>0</v>
      </c>
      <c r="I124" s="1"/>
      <c r="J124" s="1"/>
      <c r="K124" s="1"/>
      <c r="L124" s="1"/>
      <c r="M124" s="18">
        <v>0</v>
      </c>
      <c r="N124" s="18">
        <v>0</v>
      </c>
      <c r="O124" s="18">
        <v>0</v>
      </c>
      <c r="P124" s="18">
        <v>0</v>
      </c>
      <c r="Q124" s="22">
        <v>0</v>
      </c>
      <c r="R124" s="294">
        <v>0</v>
      </c>
      <c r="S124" s="294">
        <v>0</v>
      </c>
      <c r="T124" s="365">
        <v>0</v>
      </c>
      <c r="U124" s="338" t="str">
        <f t="shared" si="36"/>
        <v>Normal</v>
      </c>
      <c r="V124" s="338" t="str">
        <f t="shared" si="37"/>
        <v>Normal</v>
      </c>
      <c r="W124" s="420">
        <f t="shared" si="38"/>
        <v>0</v>
      </c>
      <c r="X124" s="420">
        <f t="shared" si="39"/>
        <v>0</v>
      </c>
    </row>
    <row r="125" spans="1:24">
      <c r="A125" s="32">
        <v>45140</v>
      </c>
      <c r="B125" s="408">
        <f>IF(YEAR(Table7[[#This Row],[Date]]) = 2023, WEEKNUM(Table7[[#This Row],[Date]])-13, WEEKNUM(Table7[[#This Row],[Date]])+40)</f>
        <v>18</v>
      </c>
      <c r="C125" s="34" t="s">
        <v>51</v>
      </c>
      <c r="D125" s="34" t="s">
        <v>94</v>
      </c>
      <c r="E125" s="1">
        <v>276</v>
      </c>
      <c r="F125" s="1">
        <v>256</v>
      </c>
      <c r="G125" s="64">
        <f t="shared" ref="G125:H125" si="70">IFERROR((E125-E118)/E118,0%)</f>
        <v>-0.10097719869706841</v>
      </c>
      <c r="H125" s="64">
        <f t="shared" si="70"/>
        <v>-0.12027491408934708</v>
      </c>
      <c r="I125" s="1"/>
      <c r="J125" s="1"/>
      <c r="K125" s="1"/>
      <c r="L125" s="1"/>
      <c r="M125" s="18">
        <v>0.9</v>
      </c>
      <c r="N125" s="18">
        <v>7.0000000000000007E-2</v>
      </c>
      <c r="O125" s="18">
        <v>0.93</v>
      </c>
      <c r="P125" s="18">
        <v>0.54</v>
      </c>
      <c r="Q125" s="22">
        <v>1</v>
      </c>
      <c r="R125" s="294">
        <v>82</v>
      </c>
      <c r="S125" s="294">
        <v>0</v>
      </c>
      <c r="T125" s="365">
        <v>3</v>
      </c>
      <c r="U125" s="338" t="str">
        <f t="shared" si="36"/>
        <v>Normal</v>
      </c>
      <c r="V125" s="338" t="str">
        <f t="shared" si="37"/>
        <v>Normal</v>
      </c>
      <c r="W125" s="420">
        <f t="shared" si="38"/>
        <v>-0.10097719869706841</v>
      </c>
      <c r="X125" s="420">
        <f t="shared" si="39"/>
        <v>-0.12027491408934708</v>
      </c>
    </row>
    <row r="126" spans="1:24">
      <c r="A126" s="32">
        <v>45141</v>
      </c>
      <c r="B126" s="408">
        <f>IF(YEAR(Table7[[#This Row],[Date]]) = 2023, WEEKNUM(Table7[[#This Row],[Date]])-13, WEEKNUM(Table7[[#This Row],[Date]])+40)</f>
        <v>18</v>
      </c>
      <c r="C126" s="34" t="s">
        <v>52</v>
      </c>
      <c r="D126" s="34" t="s">
        <v>94</v>
      </c>
      <c r="E126" s="1">
        <v>308</v>
      </c>
      <c r="F126" s="1">
        <v>265</v>
      </c>
      <c r="G126" s="64">
        <f t="shared" ref="G126:H126" si="71">IFERROR((E126-E119)/E119,0%)</f>
        <v>0.12820512820512819</v>
      </c>
      <c r="H126" s="64">
        <f t="shared" si="71"/>
        <v>5.1587301587301584E-2</v>
      </c>
      <c r="I126" s="1"/>
      <c r="J126" s="1"/>
      <c r="K126" s="1"/>
      <c r="L126" s="1"/>
      <c r="M126" s="18">
        <v>0.64</v>
      </c>
      <c r="N126" s="18">
        <v>0.14000000000000001</v>
      </c>
      <c r="O126" s="18">
        <v>0.86</v>
      </c>
      <c r="P126" s="18">
        <v>0.64</v>
      </c>
      <c r="Q126" s="22">
        <v>1</v>
      </c>
      <c r="R126" s="294">
        <v>90</v>
      </c>
      <c r="S126" s="294">
        <v>0</v>
      </c>
      <c r="T126" s="365">
        <v>2</v>
      </c>
      <c r="U126" s="338" t="str">
        <f t="shared" si="36"/>
        <v>Normal</v>
      </c>
      <c r="V126" s="338" t="str">
        <f t="shared" si="37"/>
        <v>Normal</v>
      </c>
      <c r="W126" s="420">
        <f t="shared" si="38"/>
        <v>0.12820512820512819</v>
      </c>
      <c r="X126" s="420">
        <f t="shared" si="39"/>
        <v>5.1587301587301584E-2</v>
      </c>
    </row>
    <row r="127" spans="1:24">
      <c r="A127" s="32">
        <v>45142</v>
      </c>
      <c r="B127" s="408">
        <f>IF(YEAR(Table7[[#This Row],[Date]]) = 2023, WEEKNUM(Table7[[#This Row],[Date]])-13, WEEKNUM(Table7[[#This Row],[Date]])+40)</f>
        <v>18</v>
      </c>
      <c r="C127" s="34" t="s">
        <v>53</v>
      </c>
      <c r="D127" s="34" t="s">
        <v>94</v>
      </c>
      <c r="E127" s="1">
        <v>295</v>
      </c>
      <c r="F127" s="1">
        <v>192</v>
      </c>
      <c r="G127" s="64">
        <f t="shared" ref="G127:H127" si="72">IFERROR((E127-E120)/E120,0%)</f>
        <v>0.49746192893401014</v>
      </c>
      <c r="H127" s="64">
        <f t="shared" si="72"/>
        <v>7.2625698324022353E-2</v>
      </c>
      <c r="I127" s="1"/>
      <c r="J127" s="1"/>
      <c r="K127" s="1"/>
      <c r="L127" s="1"/>
      <c r="M127" s="18">
        <v>0.7</v>
      </c>
      <c r="N127" s="18">
        <v>0.35</v>
      </c>
      <c r="O127" s="18">
        <v>0.65</v>
      </c>
      <c r="P127" s="18">
        <v>0.5</v>
      </c>
      <c r="Q127" s="22">
        <v>1</v>
      </c>
      <c r="R127" s="294">
        <v>101</v>
      </c>
      <c r="S127" s="294">
        <v>0</v>
      </c>
      <c r="T127" s="365">
        <v>2</v>
      </c>
      <c r="U127" s="338" t="str">
        <f t="shared" si="36"/>
        <v>Outlier</v>
      </c>
      <c r="V127" s="338" t="str">
        <f t="shared" si="37"/>
        <v>Normal</v>
      </c>
      <c r="W127" s="420">
        <f t="shared" si="38"/>
        <v>0.49746192893401014</v>
      </c>
      <c r="X127" s="420">
        <f t="shared" si="39"/>
        <v>7.2625698324022353E-2</v>
      </c>
    </row>
    <row r="128" spans="1:24">
      <c r="A128" s="32">
        <v>45143</v>
      </c>
      <c r="B128" s="408">
        <f>IF(YEAR(Table7[[#This Row],[Date]]) = 2023, WEEKNUM(Table7[[#This Row],[Date]])-13, WEEKNUM(Table7[[#This Row],[Date]])+40)</f>
        <v>18</v>
      </c>
      <c r="C128" s="34" t="s">
        <v>54</v>
      </c>
      <c r="D128" s="34" t="s">
        <v>94</v>
      </c>
      <c r="E128" s="1">
        <v>131</v>
      </c>
      <c r="F128" s="1">
        <v>122</v>
      </c>
      <c r="G128" s="64">
        <f t="shared" ref="G128:H128" si="73">IFERROR((E128-E121)/E121,0%)</f>
        <v>-0.16025641025641027</v>
      </c>
      <c r="H128" s="64">
        <f t="shared" si="73"/>
        <v>-0.18666666666666668</v>
      </c>
      <c r="I128" s="1"/>
      <c r="J128" s="1"/>
      <c r="K128" s="1"/>
      <c r="L128" s="1"/>
      <c r="M128" s="18">
        <v>0.91</v>
      </c>
      <c r="N128" s="18">
        <v>7.0000000000000007E-2</v>
      </c>
      <c r="O128" s="18">
        <v>0.93</v>
      </c>
      <c r="P128" s="18">
        <v>0.53</v>
      </c>
      <c r="Q128" s="22">
        <v>1</v>
      </c>
      <c r="R128" s="294">
        <v>108</v>
      </c>
      <c r="S128" s="294">
        <v>0</v>
      </c>
      <c r="T128" s="365">
        <v>2</v>
      </c>
      <c r="U128" s="338" t="str">
        <f t="shared" si="36"/>
        <v>Normal</v>
      </c>
      <c r="V128" s="338" t="str">
        <f t="shared" si="37"/>
        <v>Normal</v>
      </c>
      <c r="W128" s="420">
        <f t="shared" si="38"/>
        <v>-0.16025641025641027</v>
      </c>
      <c r="X128" s="420">
        <f t="shared" si="39"/>
        <v>-0.18666666666666668</v>
      </c>
    </row>
    <row r="129" spans="1:38">
      <c r="A129" s="32">
        <v>45144</v>
      </c>
      <c r="B129" s="408">
        <f>IF(YEAR(Table7[[#This Row],[Date]]) = 2023, WEEKNUM(Table7[[#This Row],[Date]])-13, WEEKNUM(Table7[[#This Row],[Date]])+40)</f>
        <v>19</v>
      </c>
      <c r="C129" s="34" t="s">
        <v>48</v>
      </c>
      <c r="D129" s="34" t="s">
        <v>94</v>
      </c>
      <c r="E129" s="1">
        <v>0</v>
      </c>
      <c r="F129" s="1">
        <v>0</v>
      </c>
      <c r="G129" s="64">
        <v>0</v>
      </c>
      <c r="H129" s="64">
        <v>0</v>
      </c>
      <c r="I129" s="1"/>
      <c r="J129" s="1"/>
      <c r="K129" s="1"/>
      <c r="L129" s="1"/>
      <c r="M129" s="18">
        <v>0</v>
      </c>
      <c r="N129" s="18">
        <v>0</v>
      </c>
      <c r="O129" s="18">
        <v>0</v>
      </c>
      <c r="P129" s="18">
        <v>0</v>
      </c>
      <c r="Q129" s="22">
        <v>0</v>
      </c>
      <c r="R129" s="294">
        <v>0</v>
      </c>
      <c r="S129" s="294">
        <v>0</v>
      </c>
      <c r="T129" s="365">
        <v>0</v>
      </c>
      <c r="U129" s="338" t="str">
        <f t="shared" si="36"/>
        <v>Normal</v>
      </c>
      <c r="V129" s="338" t="str">
        <f t="shared" si="37"/>
        <v>Normal</v>
      </c>
      <c r="W129" s="420">
        <f t="shared" si="38"/>
        <v>0</v>
      </c>
      <c r="X129" s="420">
        <f t="shared" si="39"/>
        <v>0</v>
      </c>
    </row>
    <row r="130" spans="1:38">
      <c r="A130" s="32">
        <v>45145</v>
      </c>
      <c r="B130" s="408">
        <f>IF(YEAR(Table7[[#This Row],[Date]]) = 2023, WEEKNUM(Table7[[#This Row],[Date]])-13, WEEKNUM(Table7[[#This Row],[Date]])+40)</f>
        <v>19</v>
      </c>
      <c r="C130" s="34" t="s">
        <v>49</v>
      </c>
      <c r="D130" s="34" t="s">
        <v>94</v>
      </c>
      <c r="E130" s="1">
        <v>292</v>
      </c>
      <c r="F130" s="1">
        <v>274</v>
      </c>
      <c r="G130" s="64">
        <f t="shared" ref="G130:H130" si="74">IFERROR((E130-E123)/E123,0%)</f>
        <v>-8.1761006289308172E-2</v>
      </c>
      <c r="H130" s="64">
        <f t="shared" si="74"/>
        <v>-8.9700996677740868E-2</v>
      </c>
      <c r="I130" s="1"/>
      <c r="J130" s="1"/>
      <c r="K130" s="1"/>
      <c r="L130" s="1"/>
      <c r="M130" s="18">
        <v>0.87</v>
      </c>
      <c r="N130" s="18">
        <v>0.06</v>
      </c>
      <c r="O130" s="18">
        <v>0.94</v>
      </c>
      <c r="P130" s="18">
        <v>0.59</v>
      </c>
      <c r="Q130" s="22">
        <v>1</v>
      </c>
      <c r="R130" s="294">
        <v>85</v>
      </c>
      <c r="S130" s="294">
        <v>0</v>
      </c>
      <c r="T130" s="365">
        <v>3</v>
      </c>
      <c r="U130" s="338" t="str">
        <f t="shared" si="36"/>
        <v>Normal</v>
      </c>
      <c r="V130" s="338" t="str">
        <f t="shared" si="37"/>
        <v>Normal</v>
      </c>
      <c r="W130" s="420">
        <f t="shared" si="38"/>
        <v>-8.1761006289308172E-2</v>
      </c>
      <c r="X130" s="420">
        <f t="shared" si="39"/>
        <v>-8.9700996677740868E-2</v>
      </c>
    </row>
    <row r="131" spans="1:38">
      <c r="A131" s="32">
        <v>45146</v>
      </c>
      <c r="B131" s="408">
        <f>IF(YEAR(Table7[[#This Row],[Date]]) = 2023, WEEKNUM(Table7[[#This Row],[Date]])-13, WEEKNUM(Table7[[#This Row],[Date]])+40)</f>
        <v>19</v>
      </c>
      <c r="C131" s="34" t="s">
        <v>50</v>
      </c>
      <c r="D131" s="34" t="s">
        <v>94</v>
      </c>
      <c r="E131" s="1">
        <v>291</v>
      </c>
      <c r="F131" s="1">
        <v>262</v>
      </c>
      <c r="G131" s="64">
        <f t="shared" ref="G131:H131" si="75">IFERROR((E131-E124)/E124,0%)</f>
        <v>0</v>
      </c>
      <c r="H131" s="64">
        <f t="shared" si="75"/>
        <v>0</v>
      </c>
      <c r="I131" s="1"/>
      <c r="J131" s="1"/>
      <c r="K131" s="1"/>
      <c r="L131" s="1"/>
      <c r="M131" s="18">
        <v>0.64</v>
      </c>
      <c r="N131" s="18">
        <v>0.1</v>
      </c>
      <c r="O131" s="18">
        <v>0.9</v>
      </c>
      <c r="P131" s="18">
        <v>0.48</v>
      </c>
      <c r="Q131" s="22">
        <v>1</v>
      </c>
      <c r="R131" s="294">
        <v>50</v>
      </c>
      <c r="S131" s="294">
        <v>0</v>
      </c>
      <c r="T131" s="365">
        <v>3</v>
      </c>
      <c r="U131" s="338" t="str">
        <f t="shared" si="36"/>
        <v>Normal</v>
      </c>
      <c r="V131" s="338" t="str">
        <f t="shared" si="37"/>
        <v>Normal</v>
      </c>
      <c r="W131" s="420">
        <f t="shared" si="38"/>
        <v>0</v>
      </c>
      <c r="X131" s="420">
        <f t="shared" si="39"/>
        <v>0</v>
      </c>
    </row>
    <row r="132" spans="1:38">
      <c r="A132" s="32">
        <v>45147</v>
      </c>
      <c r="B132" s="408">
        <f>IF(YEAR(Table7[[#This Row],[Date]]) = 2023, WEEKNUM(Table7[[#This Row],[Date]])-13, WEEKNUM(Table7[[#This Row],[Date]])+40)</f>
        <v>19</v>
      </c>
      <c r="C132" s="34" t="s">
        <v>51</v>
      </c>
      <c r="D132" s="34" t="s">
        <v>94</v>
      </c>
      <c r="E132" s="1">
        <v>307</v>
      </c>
      <c r="F132" s="1">
        <v>283</v>
      </c>
      <c r="G132" s="64">
        <f t="shared" ref="G132:H132" si="76">IFERROR((E132-E125)/E125,0%)</f>
        <v>0.11231884057971014</v>
      </c>
      <c r="H132" s="64">
        <f t="shared" si="76"/>
        <v>0.10546875</v>
      </c>
      <c r="I132" s="1"/>
      <c r="J132" s="1"/>
      <c r="K132" s="1"/>
      <c r="L132" s="1"/>
      <c r="M132" s="18">
        <v>0.64</v>
      </c>
      <c r="N132" s="18">
        <v>0.08</v>
      </c>
      <c r="O132" s="18">
        <v>0.92</v>
      </c>
      <c r="P132" s="18">
        <v>0.62</v>
      </c>
      <c r="Q132" s="22">
        <v>1</v>
      </c>
      <c r="R132" s="294">
        <v>76</v>
      </c>
      <c r="S132" s="294">
        <v>0</v>
      </c>
      <c r="T132" s="365">
        <v>3</v>
      </c>
      <c r="U132" s="338" t="str">
        <f t="shared" si="36"/>
        <v>Normal</v>
      </c>
      <c r="V132" s="338" t="str">
        <f t="shared" si="37"/>
        <v>Normal</v>
      </c>
      <c r="W132" s="420">
        <f t="shared" si="38"/>
        <v>0.11231884057971014</v>
      </c>
      <c r="X132" s="420">
        <f t="shared" si="39"/>
        <v>0.10546875</v>
      </c>
    </row>
    <row r="133" spans="1:38">
      <c r="A133" s="32">
        <v>45148</v>
      </c>
      <c r="B133" s="408">
        <f>IF(YEAR(Table7[[#This Row],[Date]]) = 2023, WEEKNUM(Table7[[#This Row],[Date]])-13, WEEKNUM(Table7[[#This Row],[Date]])+40)</f>
        <v>19</v>
      </c>
      <c r="C133" s="34" t="s">
        <v>52</v>
      </c>
      <c r="D133" s="34" t="s">
        <v>94</v>
      </c>
      <c r="E133" s="1">
        <v>243</v>
      </c>
      <c r="F133" s="1">
        <v>208</v>
      </c>
      <c r="G133" s="64">
        <f t="shared" ref="G133:H133" si="77">IFERROR((E133-E126)/E126,0%)</f>
        <v>-0.21103896103896103</v>
      </c>
      <c r="H133" s="64">
        <f t="shared" si="77"/>
        <v>-0.21509433962264152</v>
      </c>
      <c r="I133" s="1"/>
      <c r="J133" s="1"/>
      <c r="K133" s="1"/>
      <c r="L133" s="1"/>
      <c r="M133" s="18">
        <v>0.61</v>
      </c>
      <c r="N133" s="18">
        <v>7.0000000000000007E-2</v>
      </c>
      <c r="O133" s="18">
        <v>0.93</v>
      </c>
      <c r="P133" s="18">
        <v>0.56000000000000005</v>
      </c>
      <c r="Q133" s="22">
        <v>1</v>
      </c>
      <c r="R133" s="294">
        <v>78</v>
      </c>
      <c r="S133" s="294">
        <v>0</v>
      </c>
      <c r="T133" s="365">
        <v>3</v>
      </c>
      <c r="U133" s="338" t="str">
        <f t="shared" si="36"/>
        <v>Normal</v>
      </c>
      <c r="V133" s="338" t="str">
        <f t="shared" si="37"/>
        <v>Normal</v>
      </c>
      <c r="W133" s="420">
        <f t="shared" si="38"/>
        <v>-0.21103896103896103</v>
      </c>
      <c r="X133" s="420">
        <f t="shared" si="39"/>
        <v>-0.21509433962264152</v>
      </c>
      <c r="AK133" s="430" t="s">
        <v>83</v>
      </c>
      <c r="AL133" s="430"/>
    </row>
    <row r="134" spans="1:38">
      <c r="A134" s="32">
        <v>45149</v>
      </c>
      <c r="B134" s="408">
        <f>IF(YEAR(Table7[[#This Row],[Date]]) = 2023, WEEKNUM(Table7[[#This Row],[Date]])-13, WEEKNUM(Table7[[#This Row],[Date]])+40)</f>
        <v>19</v>
      </c>
      <c r="C134" s="34" t="s">
        <v>53</v>
      </c>
      <c r="D134" s="34" t="s">
        <v>94</v>
      </c>
      <c r="E134" s="1">
        <v>213</v>
      </c>
      <c r="F134" s="1">
        <v>199</v>
      </c>
      <c r="G134" s="64">
        <f t="shared" ref="G134:H134" si="78">IFERROR((E134-E127)/E127,0%)</f>
        <v>-0.27796610169491526</v>
      </c>
      <c r="H134" s="64">
        <f t="shared" si="78"/>
        <v>3.6458333333333336E-2</v>
      </c>
      <c r="I134" s="1"/>
      <c r="J134" s="1"/>
      <c r="K134" s="1"/>
      <c r="L134" s="1"/>
      <c r="M134" s="18">
        <v>0.62</v>
      </c>
      <c r="N134" s="18">
        <v>7.0000000000000007E-2</v>
      </c>
      <c r="O134" s="18">
        <v>0.93</v>
      </c>
      <c r="P134" s="18">
        <v>0.56000000000000005</v>
      </c>
      <c r="Q134" s="22">
        <v>1</v>
      </c>
      <c r="R134" s="294">
        <v>78</v>
      </c>
      <c r="S134" s="294">
        <v>0</v>
      </c>
      <c r="T134" s="365">
        <v>3</v>
      </c>
      <c r="U134" s="338" t="str">
        <f t="shared" si="36"/>
        <v>Normal</v>
      </c>
      <c r="V134" s="338" t="str">
        <f t="shared" si="37"/>
        <v>Normal</v>
      </c>
      <c r="W134" s="420">
        <f t="shared" si="38"/>
        <v>-0.27796610169491526</v>
      </c>
      <c r="X134" s="420">
        <f t="shared" si="39"/>
        <v>3.6458333333333336E-2</v>
      </c>
      <c r="AK134" t="s">
        <v>84</v>
      </c>
      <c r="AL134" t="s">
        <v>85</v>
      </c>
    </row>
    <row r="135" spans="1:38">
      <c r="A135" s="32">
        <v>45150</v>
      </c>
      <c r="B135" s="408">
        <f>IF(YEAR(Table7[[#This Row],[Date]]) = 2023, WEEKNUM(Table7[[#This Row],[Date]])-13, WEEKNUM(Table7[[#This Row],[Date]])+40)</f>
        <v>19</v>
      </c>
      <c r="C135" s="34" t="s">
        <v>54</v>
      </c>
      <c r="D135" s="34" t="s">
        <v>94</v>
      </c>
      <c r="E135" s="1">
        <v>136</v>
      </c>
      <c r="F135" s="1">
        <v>134</v>
      </c>
      <c r="G135" s="64">
        <f t="shared" ref="G135:H135" si="79">IFERROR((E135-E128)/E128,0%)</f>
        <v>3.8167938931297711E-2</v>
      </c>
      <c r="H135" s="64">
        <f t="shared" si="79"/>
        <v>9.8360655737704916E-2</v>
      </c>
      <c r="I135" s="1"/>
      <c r="J135" s="1"/>
      <c r="K135" s="1"/>
      <c r="L135" s="1"/>
      <c r="M135" s="18">
        <v>0.87</v>
      </c>
      <c r="N135" s="18">
        <v>0.01</v>
      </c>
      <c r="O135" s="18">
        <v>0.99</v>
      </c>
      <c r="P135" s="18">
        <v>0.53</v>
      </c>
      <c r="Q135" s="22">
        <v>1</v>
      </c>
      <c r="R135" s="294">
        <v>152</v>
      </c>
      <c r="S135" s="294">
        <v>0</v>
      </c>
      <c r="T135" s="365">
        <v>3</v>
      </c>
      <c r="U135" s="338" t="str">
        <f t="shared" si="36"/>
        <v>Normal</v>
      </c>
      <c r="V135" s="338" t="str">
        <f t="shared" si="37"/>
        <v>Normal</v>
      </c>
      <c r="W135" s="420">
        <f t="shared" si="38"/>
        <v>3.8167938931297711E-2</v>
      </c>
      <c r="X135" s="420">
        <f t="shared" si="39"/>
        <v>9.8360655737704916E-2</v>
      </c>
      <c r="AK135" t="s">
        <v>86</v>
      </c>
      <c r="AL135" s="147">
        <v>0</v>
      </c>
    </row>
    <row r="136" spans="1:38">
      <c r="A136" s="32">
        <v>45151</v>
      </c>
      <c r="B136" s="408">
        <f>IF(YEAR(Table7[[#This Row],[Date]]) = 2023, WEEKNUM(Table7[[#This Row],[Date]])-13, WEEKNUM(Table7[[#This Row],[Date]])+40)</f>
        <v>20</v>
      </c>
      <c r="C136" s="34" t="s">
        <v>48</v>
      </c>
      <c r="D136" s="34" t="s">
        <v>94</v>
      </c>
      <c r="E136" s="1">
        <v>0</v>
      </c>
      <c r="F136" s="1">
        <v>0</v>
      </c>
      <c r="G136" s="64">
        <f t="shared" ref="G136:H136" si="80">IFERROR((E136-E129)/E129,0%)</f>
        <v>0</v>
      </c>
      <c r="H136" s="64">
        <f t="shared" si="80"/>
        <v>0</v>
      </c>
      <c r="I136" s="1"/>
      <c r="J136" s="1"/>
      <c r="K136" s="1"/>
      <c r="L136" s="1"/>
      <c r="M136" s="18">
        <v>0</v>
      </c>
      <c r="N136" s="18">
        <v>0</v>
      </c>
      <c r="O136" s="18">
        <v>0</v>
      </c>
      <c r="P136" s="18">
        <v>0</v>
      </c>
      <c r="Q136" s="22">
        <v>0</v>
      </c>
      <c r="R136" s="294">
        <v>0</v>
      </c>
      <c r="S136" s="294">
        <v>0</v>
      </c>
      <c r="T136" s="365">
        <v>0</v>
      </c>
      <c r="U136" s="338" t="str">
        <f t="shared" si="36"/>
        <v>Normal</v>
      </c>
      <c r="V136" s="338" t="str">
        <f t="shared" si="37"/>
        <v>Normal</v>
      </c>
      <c r="W136" s="420">
        <f t="shared" si="38"/>
        <v>0</v>
      </c>
      <c r="X136" s="420">
        <f t="shared" si="39"/>
        <v>0</v>
      </c>
      <c r="AK136" t="s">
        <v>87</v>
      </c>
      <c r="AL136" s="147">
        <v>0.10416666666666667</v>
      </c>
    </row>
    <row r="137" spans="1:38">
      <c r="A137" s="32">
        <v>45152</v>
      </c>
      <c r="B137" s="408">
        <f>IF(YEAR(Table7[[#This Row],[Date]]) = 2023, WEEKNUM(Table7[[#This Row],[Date]])-13, WEEKNUM(Table7[[#This Row],[Date]])+40)</f>
        <v>20</v>
      </c>
      <c r="C137" s="34" t="s">
        <v>49</v>
      </c>
      <c r="D137" s="34" t="s">
        <v>94</v>
      </c>
      <c r="E137" s="1">
        <v>264</v>
      </c>
      <c r="F137" s="1">
        <v>254</v>
      </c>
      <c r="G137" s="64">
        <f t="shared" ref="G137:H137" si="81">IFERROR((E137-E130)/E130,0%)</f>
        <v>-9.5890410958904104E-2</v>
      </c>
      <c r="H137" s="64">
        <f t="shared" si="81"/>
        <v>-7.2992700729927001E-2</v>
      </c>
      <c r="I137" s="1"/>
      <c r="J137" s="1"/>
      <c r="K137" s="1"/>
      <c r="L137" s="1"/>
      <c r="M137" s="18">
        <v>0.86</v>
      </c>
      <c r="N137" s="18">
        <v>0.04</v>
      </c>
      <c r="O137" s="18">
        <v>0.96</v>
      </c>
      <c r="P137" s="18">
        <v>0.54</v>
      </c>
      <c r="Q137" s="22">
        <v>1</v>
      </c>
      <c r="R137" s="294">
        <v>117</v>
      </c>
      <c r="S137" s="294">
        <v>0</v>
      </c>
      <c r="T137" s="365">
        <v>4</v>
      </c>
      <c r="U137" s="338" t="str">
        <f t="shared" si="36"/>
        <v>Normal</v>
      </c>
      <c r="V137" s="338" t="str">
        <f t="shared" si="37"/>
        <v>Normal</v>
      </c>
      <c r="W137" s="420">
        <f t="shared" si="38"/>
        <v>-9.5890410958904104E-2</v>
      </c>
      <c r="X137" s="420">
        <f t="shared" si="39"/>
        <v>-7.2992700729927001E-2</v>
      </c>
      <c r="AK137" t="s">
        <v>88</v>
      </c>
      <c r="AL137" s="147">
        <v>0.10416666666666667</v>
      </c>
    </row>
    <row r="138" spans="1:38">
      <c r="A138" s="32">
        <v>45153</v>
      </c>
      <c r="B138" s="408">
        <f>IF(YEAR(Table7[[#This Row],[Date]]) = 2023, WEEKNUM(Table7[[#This Row],[Date]])-13, WEEKNUM(Table7[[#This Row],[Date]])+40)</f>
        <v>20</v>
      </c>
      <c r="C138" s="34" t="s">
        <v>50</v>
      </c>
      <c r="D138" s="34" t="s">
        <v>94</v>
      </c>
      <c r="E138" s="1">
        <v>263</v>
      </c>
      <c r="F138" s="1">
        <v>252</v>
      </c>
      <c r="G138" s="64">
        <f t="shared" ref="G138:H138" si="82">IFERROR((E138-E131)/E131,0%)</f>
        <v>-9.6219931271477668E-2</v>
      </c>
      <c r="H138" s="64">
        <f t="shared" si="82"/>
        <v>-3.8167938931297711E-2</v>
      </c>
      <c r="I138" s="1"/>
      <c r="J138" s="1"/>
      <c r="K138" s="1"/>
      <c r="L138" s="1"/>
      <c r="M138" s="18">
        <v>0.9</v>
      </c>
      <c r="N138" s="18">
        <v>0.04</v>
      </c>
      <c r="O138" s="18">
        <v>0.96</v>
      </c>
      <c r="P138" s="18">
        <v>0.54</v>
      </c>
      <c r="Q138" s="22">
        <v>0.99</v>
      </c>
      <c r="R138" s="294">
        <v>81</v>
      </c>
      <c r="S138" s="294">
        <v>0</v>
      </c>
      <c r="T138" s="365">
        <v>4</v>
      </c>
      <c r="U138" s="338" t="str">
        <f t="shared" si="36"/>
        <v>Normal</v>
      </c>
      <c r="V138" s="338" t="str">
        <f t="shared" si="37"/>
        <v>Normal</v>
      </c>
      <c r="W138" s="420">
        <f t="shared" si="38"/>
        <v>-9.6219931271477668E-2</v>
      </c>
      <c r="X138" s="420">
        <f t="shared" si="39"/>
        <v>-3.8167938931297711E-2</v>
      </c>
      <c r="AK138" t="s">
        <v>89</v>
      </c>
      <c r="AL138" s="147">
        <v>0.20833333333333334</v>
      </c>
    </row>
    <row r="139" spans="1:38">
      <c r="A139" s="32">
        <v>45154</v>
      </c>
      <c r="B139" s="408">
        <f>IF(YEAR(Table7[[#This Row],[Date]]) = 2023, WEEKNUM(Table7[[#This Row],[Date]])-13, WEEKNUM(Table7[[#This Row],[Date]])+40)</f>
        <v>20</v>
      </c>
      <c r="C139" s="34" t="s">
        <v>51</v>
      </c>
      <c r="D139" s="34" t="s">
        <v>94</v>
      </c>
      <c r="E139" s="1">
        <v>230</v>
      </c>
      <c r="F139" s="1">
        <v>218</v>
      </c>
      <c r="G139" s="64">
        <f t="shared" ref="G139:H139" si="83">IFERROR((E139-E132)/E132,0%)</f>
        <v>-0.250814332247557</v>
      </c>
      <c r="H139" s="64">
        <f t="shared" si="83"/>
        <v>-0.22968197879858657</v>
      </c>
      <c r="I139" s="1"/>
      <c r="J139" s="1"/>
      <c r="K139" s="1"/>
      <c r="L139" s="1"/>
      <c r="M139" s="18">
        <v>0.63</v>
      </c>
      <c r="N139" s="18">
        <v>0.05</v>
      </c>
      <c r="O139" s="18">
        <v>0.95</v>
      </c>
      <c r="P139" s="18">
        <v>0.65</v>
      </c>
      <c r="Q139" s="22">
        <v>1</v>
      </c>
      <c r="R139" s="294">
        <v>112</v>
      </c>
      <c r="S139" s="294">
        <v>0</v>
      </c>
      <c r="T139" s="365">
        <v>3</v>
      </c>
      <c r="U139" s="338" t="str">
        <f t="shared" si="36"/>
        <v>Normal</v>
      </c>
      <c r="V139" s="338" t="str">
        <f t="shared" si="37"/>
        <v>Normal</v>
      </c>
      <c r="W139" s="420">
        <f t="shared" si="38"/>
        <v>-0.250814332247557</v>
      </c>
      <c r="X139" s="420">
        <f t="shared" si="39"/>
        <v>-0.22968197879858657</v>
      </c>
      <c r="AK139" t="s">
        <v>85</v>
      </c>
      <c r="AL139" s="147" t="e">
        <v>#N/A</v>
      </c>
    </row>
    <row r="140" spans="1:38">
      <c r="A140" s="32">
        <v>45155</v>
      </c>
      <c r="B140" s="408">
        <f>IF(YEAR(Table7[[#This Row],[Date]]) = 2023, WEEKNUM(Table7[[#This Row],[Date]])-13, WEEKNUM(Table7[[#This Row],[Date]])+40)</f>
        <v>20</v>
      </c>
      <c r="C140" s="34" t="s">
        <v>52</v>
      </c>
      <c r="D140" s="34" t="s">
        <v>94</v>
      </c>
      <c r="E140" s="1">
        <v>295</v>
      </c>
      <c r="F140" s="1">
        <v>274</v>
      </c>
      <c r="G140" s="64">
        <f t="shared" ref="G140:H140" si="84">IFERROR((E140-E133)/E133,0%)</f>
        <v>0.2139917695473251</v>
      </c>
      <c r="H140" s="64">
        <f t="shared" si="84"/>
        <v>0.31730769230769229</v>
      </c>
      <c r="I140" s="1"/>
      <c r="J140" s="1"/>
      <c r="K140" s="1"/>
      <c r="L140" s="1"/>
      <c r="M140" s="18">
        <v>0.91</v>
      </c>
      <c r="N140" s="18">
        <v>7.0000000000000007E-2</v>
      </c>
      <c r="O140" s="18">
        <v>0.93</v>
      </c>
      <c r="P140" s="18">
        <v>0.59</v>
      </c>
      <c r="Q140" s="22">
        <v>1</v>
      </c>
      <c r="R140" s="294">
        <v>64</v>
      </c>
      <c r="S140" s="294">
        <v>0</v>
      </c>
      <c r="T140" s="365">
        <v>3</v>
      </c>
      <c r="U140" s="338" t="str">
        <f t="shared" si="36"/>
        <v>Normal</v>
      </c>
      <c r="V140" s="338" t="str">
        <f t="shared" si="37"/>
        <v>Normal</v>
      </c>
      <c r="W140" s="420">
        <f t="shared" si="38"/>
        <v>0.2139917695473251</v>
      </c>
      <c r="X140" s="420">
        <f t="shared" si="39"/>
        <v>0.31730769230769229</v>
      </c>
    </row>
    <row r="141" spans="1:38">
      <c r="A141" s="32">
        <v>45156</v>
      </c>
      <c r="B141" s="408">
        <f>IF(YEAR(Table7[[#This Row],[Date]]) = 2023, WEEKNUM(Table7[[#This Row],[Date]])-13, WEEKNUM(Table7[[#This Row],[Date]])+40)</f>
        <v>20</v>
      </c>
      <c r="C141" s="34" t="s">
        <v>53</v>
      </c>
      <c r="D141" s="34" t="s">
        <v>94</v>
      </c>
      <c r="E141" s="1">
        <v>253</v>
      </c>
      <c r="F141" s="1">
        <v>242</v>
      </c>
      <c r="G141" s="64">
        <f t="shared" ref="G141:H141" si="85">IFERROR((E141-E134)/E134,0%)</f>
        <v>0.18779342723004694</v>
      </c>
      <c r="H141" s="64">
        <f t="shared" si="85"/>
        <v>0.21608040201005024</v>
      </c>
      <c r="I141" s="1"/>
      <c r="J141" s="1"/>
      <c r="K141" s="1"/>
      <c r="L141" s="1"/>
      <c r="M141" s="18">
        <v>0.86</v>
      </c>
      <c r="N141" s="18">
        <v>0.04</v>
      </c>
      <c r="O141" s="18">
        <v>0.96</v>
      </c>
      <c r="P141" s="18">
        <v>0.67</v>
      </c>
      <c r="Q141" s="22">
        <v>1</v>
      </c>
      <c r="R141" s="294">
        <v>109</v>
      </c>
      <c r="S141" s="294">
        <v>0</v>
      </c>
      <c r="T141" s="365">
        <v>4</v>
      </c>
      <c r="U141" s="338" t="str">
        <f t="shared" si="36"/>
        <v>Normal</v>
      </c>
      <c r="V141" s="338" t="str">
        <f t="shared" si="37"/>
        <v>Normal</v>
      </c>
      <c r="W141" s="420">
        <f t="shared" si="38"/>
        <v>0.18779342723004694</v>
      </c>
      <c r="X141" s="420">
        <f t="shared" si="39"/>
        <v>0.21608040201005024</v>
      </c>
    </row>
    <row r="142" spans="1:38">
      <c r="A142" s="32">
        <v>45157</v>
      </c>
      <c r="B142" s="408">
        <f>IF(YEAR(Table7[[#This Row],[Date]]) = 2023, WEEKNUM(Table7[[#This Row],[Date]])-13, WEEKNUM(Table7[[#This Row],[Date]])+40)</f>
        <v>20</v>
      </c>
      <c r="C142" s="34" t="s">
        <v>54</v>
      </c>
      <c r="D142" s="34" t="s">
        <v>94</v>
      </c>
      <c r="E142" s="1">
        <v>190</v>
      </c>
      <c r="F142" s="1">
        <v>178</v>
      </c>
      <c r="G142" s="64">
        <f t="shared" ref="G142:H142" si="86">IFERROR((E142-E135)/E135,0%)</f>
        <v>0.39705882352941174</v>
      </c>
      <c r="H142" s="64">
        <f t="shared" si="86"/>
        <v>0.32835820895522388</v>
      </c>
      <c r="I142" s="1"/>
      <c r="J142" s="1"/>
      <c r="K142" s="1"/>
      <c r="L142" s="1"/>
      <c r="M142" s="18">
        <v>0.81</v>
      </c>
      <c r="N142" s="18">
        <v>0.06</v>
      </c>
      <c r="O142" s="18">
        <v>0.94</v>
      </c>
      <c r="P142" s="18">
        <v>0.54</v>
      </c>
      <c r="Q142" s="22">
        <v>1</v>
      </c>
      <c r="R142" s="294">
        <v>71</v>
      </c>
      <c r="S142" s="294">
        <v>0</v>
      </c>
      <c r="T142" s="365">
        <v>3</v>
      </c>
      <c r="U142" s="338" t="str">
        <f t="shared" si="36"/>
        <v>Normal</v>
      </c>
      <c r="V142" s="338" t="str">
        <f t="shared" si="37"/>
        <v>Normal</v>
      </c>
      <c r="W142" s="420">
        <f t="shared" si="38"/>
        <v>0.39705882352941174</v>
      </c>
      <c r="X142" s="420">
        <f t="shared" si="39"/>
        <v>0.32835820895522388</v>
      </c>
    </row>
    <row r="143" spans="1:38">
      <c r="A143" s="32">
        <v>45158</v>
      </c>
      <c r="B143" s="408">
        <f>IF(YEAR(Table7[[#This Row],[Date]]) = 2023, WEEKNUM(Table7[[#This Row],[Date]])-13, WEEKNUM(Table7[[#This Row],[Date]])+40)</f>
        <v>21</v>
      </c>
      <c r="C143" s="34" t="s">
        <v>48</v>
      </c>
      <c r="D143" s="34" t="s">
        <v>94</v>
      </c>
      <c r="E143" s="1">
        <v>0</v>
      </c>
      <c r="F143" s="1">
        <v>0</v>
      </c>
      <c r="G143" s="64">
        <f t="shared" ref="G143:H143" si="87">IFERROR((E143-E136)/E136,0%)</f>
        <v>0</v>
      </c>
      <c r="H143" s="64">
        <f t="shared" si="87"/>
        <v>0</v>
      </c>
      <c r="I143" s="1"/>
      <c r="J143" s="1"/>
      <c r="K143" s="1"/>
      <c r="L143" s="1"/>
      <c r="M143" s="18">
        <v>0</v>
      </c>
      <c r="N143" s="18">
        <v>0</v>
      </c>
      <c r="O143" s="18">
        <v>0</v>
      </c>
      <c r="P143" s="18">
        <v>0</v>
      </c>
      <c r="Q143" s="22">
        <v>0</v>
      </c>
      <c r="R143" s="294">
        <v>0</v>
      </c>
      <c r="S143" s="294">
        <v>0</v>
      </c>
      <c r="T143" s="365">
        <v>0</v>
      </c>
      <c r="U143" s="338" t="str">
        <f t="shared" si="36"/>
        <v>Normal</v>
      </c>
      <c r="V143" s="338" t="str">
        <f t="shared" si="37"/>
        <v>Normal</v>
      </c>
      <c r="W143" s="420">
        <f t="shared" si="38"/>
        <v>0</v>
      </c>
      <c r="X143" s="420">
        <f t="shared" si="39"/>
        <v>0</v>
      </c>
    </row>
    <row r="144" spans="1:38">
      <c r="A144" s="32">
        <v>45159</v>
      </c>
      <c r="B144" s="408">
        <f>IF(YEAR(Table7[[#This Row],[Date]]) = 2023, WEEKNUM(Table7[[#This Row],[Date]])-13, WEEKNUM(Table7[[#This Row],[Date]])+40)</f>
        <v>21</v>
      </c>
      <c r="C144" s="34" t="s">
        <v>49</v>
      </c>
      <c r="D144" s="34" t="s">
        <v>94</v>
      </c>
      <c r="E144" s="1">
        <v>292</v>
      </c>
      <c r="F144" s="1">
        <v>263</v>
      </c>
      <c r="G144" s="64">
        <f t="shared" ref="G144:H144" si="88">IFERROR((E144-E137)/E137,0%)</f>
        <v>0.10606060606060606</v>
      </c>
      <c r="H144" s="64">
        <f t="shared" si="88"/>
        <v>3.5433070866141732E-2</v>
      </c>
      <c r="I144" s="1"/>
      <c r="J144" s="1"/>
      <c r="K144" s="1"/>
      <c r="L144" s="1"/>
      <c r="M144" s="18">
        <v>0.76</v>
      </c>
      <c r="N144" s="18">
        <v>0.1</v>
      </c>
      <c r="O144" s="18">
        <v>0.9</v>
      </c>
      <c r="P144" s="18">
        <v>0.63</v>
      </c>
      <c r="Q144" s="22">
        <v>1</v>
      </c>
      <c r="R144" s="294">
        <v>92</v>
      </c>
      <c r="S144" s="294">
        <v>0</v>
      </c>
      <c r="T144" s="365">
        <v>4</v>
      </c>
      <c r="U144" s="338" t="str">
        <f t="shared" si="36"/>
        <v>Normal</v>
      </c>
      <c r="V144" s="338" t="str">
        <f t="shared" si="37"/>
        <v>Normal</v>
      </c>
      <c r="W144" s="420">
        <f t="shared" si="38"/>
        <v>0.10606060606060606</v>
      </c>
      <c r="X144" s="420">
        <f t="shared" si="39"/>
        <v>3.5433070866141732E-2</v>
      </c>
    </row>
    <row r="145" spans="1:24">
      <c r="A145" s="32">
        <v>45160</v>
      </c>
      <c r="B145" s="408">
        <f>IF(YEAR(Table7[[#This Row],[Date]]) = 2023, WEEKNUM(Table7[[#This Row],[Date]])-13, WEEKNUM(Table7[[#This Row],[Date]])+40)</f>
        <v>21</v>
      </c>
      <c r="C145" s="34" t="s">
        <v>50</v>
      </c>
      <c r="D145" s="34" t="s">
        <v>94</v>
      </c>
      <c r="E145" s="1">
        <v>299</v>
      </c>
      <c r="F145" s="1">
        <v>291</v>
      </c>
      <c r="G145" s="64">
        <f t="shared" ref="G145:H145" si="89">IFERROR((E145-E138)/E138,0%)</f>
        <v>0.13688212927756654</v>
      </c>
      <c r="H145" s="64">
        <f t="shared" si="89"/>
        <v>0.15476190476190477</v>
      </c>
      <c r="I145" s="1"/>
      <c r="J145" s="1"/>
      <c r="K145" s="1"/>
      <c r="L145" s="1"/>
      <c r="M145" s="18">
        <v>0.84</v>
      </c>
      <c r="N145" s="18">
        <v>0.03</v>
      </c>
      <c r="O145" s="18">
        <v>0.97</v>
      </c>
      <c r="P145" s="18">
        <v>0.62</v>
      </c>
      <c r="Q145" s="22">
        <v>1</v>
      </c>
      <c r="R145" s="294">
        <v>113</v>
      </c>
      <c r="S145" s="294">
        <v>0</v>
      </c>
      <c r="T145" s="365">
        <v>4</v>
      </c>
      <c r="U145" s="338" t="str">
        <f t="shared" si="36"/>
        <v>Normal</v>
      </c>
      <c r="V145" s="338" t="str">
        <f t="shared" si="37"/>
        <v>Normal</v>
      </c>
      <c r="W145" s="420">
        <f t="shared" si="38"/>
        <v>0.13688212927756654</v>
      </c>
      <c r="X145" s="420">
        <f t="shared" si="39"/>
        <v>0.15476190476190477</v>
      </c>
    </row>
    <row r="146" spans="1:24">
      <c r="A146" s="32">
        <v>45161</v>
      </c>
      <c r="B146" s="408">
        <f>IF(YEAR(Table7[[#This Row],[Date]]) = 2023, WEEKNUM(Table7[[#This Row],[Date]])-13, WEEKNUM(Table7[[#This Row],[Date]])+40)</f>
        <v>21</v>
      </c>
      <c r="C146" s="34" t="s">
        <v>51</v>
      </c>
      <c r="D146" s="34" t="s">
        <v>94</v>
      </c>
      <c r="E146" s="1">
        <v>240</v>
      </c>
      <c r="F146" s="1">
        <v>236</v>
      </c>
      <c r="G146" s="64">
        <f t="shared" ref="G146:H146" si="90">IFERROR((E146-E139)/E139,0%)</f>
        <v>4.3478260869565216E-2</v>
      </c>
      <c r="H146" s="64">
        <f t="shared" si="90"/>
        <v>8.2568807339449546E-2</v>
      </c>
      <c r="I146" s="1"/>
      <c r="J146" s="1"/>
      <c r="K146" s="1"/>
      <c r="L146" s="1"/>
      <c r="M146" s="18">
        <v>0.98</v>
      </c>
      <c r="N146" s="18">
        <v>0.02</v>
      </c>
      <c r="O146" s="18">
        <v>0.98</v>
      </c>
      <c r="P146" s="18">
        <v>0.56999999999999995</v>
      </c>
      <c r="Q146" s="22">
        <v>1</v>
      </c>
      <c r="R146" s="294">
        <v>128</v>
      </c>
      <c r="S146" s="294">
        <v>0</v>
      </c>
      <c r="T146" s="365">
        <v>4</v>
      </c>
      <c r="U146" s="338" t="str">
        <f t="shared" si="36"/>
        <v>Normal</v>
      </c>
      <c r="V146" s="338" t="str">
        <f t="shared" si="37"/>
        <v>Normal</v>
      </c>
      <c r="W146" s="420">
        <f t="shared" si="38"/>
        <v>4.3478260869565216E-2</v>
      </c>
      <c r="X146" s="420">
        <f t="shared" si="39"/>
        <v>8.2568807339449546E-2</v>
      </c>
    </row>
    <row r="147" spans="1:24">
      <c r="A147" s="32">
        <v>45162</v>
      </c>
      <c r="B147" s="408">
        <f>IF(YEAR(Table7[[#This Row],[Date]]) = 2023, WEEKNUM(Table7[[#This Row],[Date]])-13, WEEKNUM(Table7[[#This Row],[Date]])+40)</f>
        <v>21</v>
      </c>
      <c r="C147" s="34" t="s">
        <v>52</v>
      </c>
      <c r="D147" s="34" t="s">
        <v>94</v>
      </c>
      <c r="E147" s="1">
        <v>279</v>
      </c>
      <c r="F147" s="1">
        <v>251</v>
      </c>
      <c r="G147" s="64">
        <f t="shared" ref="G147:H147" si="91">IFERROR((E147-E140)/E140,0%)</f>
        <v>-5.4237288135593219E-2</v>
      </c>
      <c r="H147" s="64">
        <f t="shared" si="91"/>
        <v>-8.3941605839416053E-2</v>
      </c>
      <c r="I147" s="1"/>
      <c r="J147" s="1"/>
      <c r="K147" s="1"/>
      <c r="L147" s="1"/>
      <c r="M147" s="18">
        <v>0.73</v>
      </c>
      <c r="N147" s="18">
        <v>0.1</v>
      </c>
      <c r="O147" s="18">
        <v>0.9</v>
      </c>
      <c r="P147" s="18">
        <v>0.67</v>
      </c>
      <c r="Q147" s="22">
        <v>1</v>
      </c>
      <c r="R147" s="294">
        <v>142</v>
      </c>
      <c r="S147" s="294">
        <v>0</v>
      </c>
      <c r="T147" s="365">
        <v>3</v>
      </c>
      <c r="U147" s="338" t="str">
        <f t="shared" si="36"/>
        <v>Normal</v>
      </c>
      <c r="V147" s="338" t="str">
        <f t="shared" si="37"/>
        <v>Normal</v>
      </c>
      <c r="W147" s="420">
        <f t="shared" si="38"/>
        <v>-5.4237288135593219E-2</v>
      </c>
      <c r="X147" s="420">
        <f t="shared" si="39"/>
        <v>-8.3941605839416053E-2</v>
      </c>
    </row>
    <row r="148" spans="1:24">
      <c r="A148" s="32">
        <v>45163</v>
      </c>
      <c r="B148" s="408">
        <f>IF(YEAR(Table7[[#This Row],[Date]]) = 2023, WEEKNUM(Table7[[#This Row],[Date]])-13, WEEKNUM(Table7[[#This Row],[Date]])+40)</f>
        <v>21</v>
      </c>
      <c r="C148" s="34" t="s">
        <v>53</v>
      </c>
      <c r="D148" s="34" t="s">
        <v>94</v>
      </c>
      <c r="E148" s="1">
        <v>207</v>
      </c>
      <c r="F148" s="1">
        <v>204</v>
      </c>
      <c r="G148" s="64">
        <f t="shared" ref="G148:H148" si="92">IFERROR((E148-E141)/E141,0%)</f>
        <v>-0.18181818181818182</v>
      </c>
      <c r="H148" s="64">
        <f t="shared" si="92"/>
        <v>-0.15702479338842976</v>
      </c>
      <c r="I148" s="1"/>
      <c r="J148" s="1"/>
      <c r="K148" s="1"/>
      <c r="L148" s="1"/>
      <c r="M148" s="18">
        <v>0.82</v>
      </c>
      <c r="N148" s="18">
        <v>0.01</v>
      </c>
      <c r="O148" s="18">
        <v>0.99</v>
      </c>
      <c r="P148" s="18">
        <v>0.55000000000000004</v>
      </c>
      <c r="Q148" s="22">
        <v>1</v>
      </c>
      <c r="R148" s="294">
        <v>125</v>
      </c>
      <c r="S148" s="294">
        <v>0</v>
      </c>
      <c r="T148" s="365">
        <v>3</v>
      </c>
      <c r="U148" s="338" t="str">
        <f t="shared" si="36"/>
        <v>Normal</v>
      </c>
      <c r="V148" s="338" t="str">
        <f t="shared" si="37"/>
        <v>Normal</v>
      </c>
      <c r="W148" s="420">
        <f t="shared" si="38"/>
        <v>-0.18181818181818182</v>
      </c>
      <c r="X148" s="420">
        <f t="shared" si="39"/>
        <v>-0.15702479338842976</v>
      </c>
    </row>
    <row r="149" spans="1:24">
      <c r="A149" s="32">
        <v>45164</v>
      </c>
      <c r="B149" s="408">
        <f>IF(YEAR(Table7[[#This Row],[Date]]) = 2023, WEEKNUM(Table7[[#This Row],[Date]])-13, WEEKNUM(Table7[[#This Row],[Date]])+40)</f>
        <v>21</v>
      </c>
      <c r="C149" s="34" t="s">
        <v>54</v>
      </c>
      <c r="D149" s="34" t="s">
        <v>94</v>
      </c>
      <c r="E149" s="1">
        <v>203</v>
      </c>
      <c r="F149" s="1">
        <v>185</v>
      </c>
      <c r="G149" s="64">
        <f t="shared" ref="G149:H149" si="93">IFERROR((E149-E142)/E142,0%)</f>
        <v>6.8421052631578952E-2</v>
      </c>
      <c r="H149" s="64">
        <f t="shared" si="93"/>
        <v>3.9325842696629212E-2</v>
      </c>
      <c r="I149" s="1"/>
      <c r="J149" s="1"/>
      <c r="K149" s="1"/>
      <c r="L149" s="1"/>
      <c r="M149" s="18">
        <v>0.65</v>
      </c>
      <c r="N149" s="18">
        <v>0.09</v>
      </c>
      <c r="O149" s="18">
        <v>0.91</v>
      </c>
      <c r="P149" s="18">
        <v>0.52</v>
      </c>
      <c r="Q149" s="22">
        <v>1</v>
      </c>
      <c r="R149" s="294">
        <v>72</v>
      </c>
      <c r="S149" s="294">
        <v>0</v>
      </c>
      <c r="T149" s="365">
        <v>2</v>
      </c>
      <c r="U149" s="338" t="str">
        <f t="shared" si="36"/>
        <v>Normal</v>
      </c>
      <c r="V149" s="338" t="str">
        <f t="shared" si="37"/>
        <v>Normal</v>
      </c>
      <c r="W149" s="420">
        <f t="shared" si="38"/>
        <v>6.8421052631578952E-2</v>
      </c>
      <c r="X149" s="420">
        <f t="shared" si="39"/>
        <v>3.9325842696629212E-2</v>
      </c>
    </row>
    <row r="150" spans="1:24">
      <c r="A150" s="32">
        <v>45165</v>
      </c>
      <c r="B150" s="408">
        <f>IF(YEAR(Table7[[#This Row],[Date]]) = 2023, WEEKNUM(Table7[[#This Row],[Date]])-13, WEEKNUM(Table7[[#This Row],[Date]])+40)</f>
        <v>22</v>
      </c>
      <c r="C150" s="34" t="s">
        <v>48</v>
      </c>
      <c r="D150" s="34" t="s">
        <v>94</v>
      </c>
      <c r="E150" s="1">
        <v>0</v>
      </c>
      <c r="F150" s="1">
        <v>0</v>
      </c>
      <c r="G150" s="64">
        <f t="shared" ref="G150:H150" si="94">IFERROR((E150-E143)/E143,0%)</f>
        <v>0</v>
      </c>
      <c r="H150" s="64">
        <f t="shared" si="94"/>
        <v>0</v>
      </c>
      <c r="I150" s="1"/>
      <c r="J150" s="1"/>
      <c r="K150" s="1"/>
      <c r="L150" s="1"/>
      <c r="M150" s="18">
        <v>0</v>
      </c>
      <c r="N150" s="18">
        <v>0</v>
      </c>
      <c r="O150" s="18">
        <v>0</v>
      </c>
      <c r="P150" s="18">
        <v>0</v>
      </c>
      <c r="Q150" s="22">
        <v>0</v>
      </c>
      <c r="R150" s="294">
        <v>0</v>
      </c>
      <c r="S150" s="294">
        <v>0</v>
      </c>
      <c r="T150" s="365">
        <v>0</v>
      </c>
      <c r="U150" s="338" t="str">
        <f t="shared" si="36"/>
        <v>Normal</v>
      </c>
      <c r="V150" s="338" t="str">
        <f t="shared" si="37"/>
        <v>Normal</v>
      </c>
      <c r="W150" s="420">
        <f t="shared" si="38"/>
        <v>0</v>
      </c>
      <c r="X150" s="420">
        <f t="shared" si="39"/>
        <v>0</v>
      </c>
    </row>
    <row r="151" spans="1:24">
      <c r="A151" s="32">
        <v>45166</v>
      </c>
      <c r="B151" s="408">
        <f>IF(YEAR(Table7[[#This Row],[Date]]) = 2023, WEEKNUM(Table7[[#This Row],[Date]])-13, WEEKNUM(Table7[[#This Row],[Date]])+40)</f>
        <v>22</v>
      </c>
      <c r="C151" s="34" t="s">
        <v>49</v>
      </c>
      <c r="D151" s="34" t="s">
        <v>94</v>
      </c>
      <c r="E151" s="1">
        <v>314</v>
      </c>
      <c r="F151" s="1">
        <v>299</v>
      </c>
      <c r="G151" s="64">
        <f t="shared" ref="G151:H151" si="95">IFERROR((E151-E144)/E144,0%)</f>
        <v>7.5342465753424653E-2</v>
      </c>
      <c r="H151" s="64">
        <f t="shared" si="95"/>
        <v>0.13688212927756654</v>
      </c>
      <c r="I151" s="1"/>
      <c r="J151" s="1"/>
      <c r="K151" s="1"/>
      <c r="L151" s="1"/>
      <c r="M151" s="18">
        <v>0.81</v>
      </c>
      <c r="N151" s="18">
        <v>0.04</v>
      </c>
      <c r="O151" s="18">
        <v>0.96</v>
      </c>
      <c r="P151" s="18">
        <v>0.63</v>
      </c>
      <c r="Q151" s="22">
        <v>1</v>
      </c>
      <c r="R151" s="294">
        <v>102</v>
      </c>
      <c r="S151" s="294">
        <v>0</v>
      </c>
      <c r="T151" s="365">
        <v>4</v>
      </c>
      <c r="U151" s="338" t="str">
        <f t="shared" si="36"/>
        <v>Normal</v>
      </c>
      <c r="V151" s="338" t="str">
        <f t="shared" si="37"/>
        <v>Normal</v>
      </c>
      <c r="W151" s="420">
        <f t="shared" si="38"/>
        <v>7.5342465753424653E-2</v>
      </c>
      <c r="X151" s="420">
        <f t="shared" si="39"/>
        <v>0.13688212927756654</v>
      </c>
    </row>
    <row r="152" spans="1:24">
      <c r="A152" s="32">
        <v>45167</v>
      </c>
      <c r="B152" s="408">
        <f>IF(YEAR(Table7[[#This Row],[Date]]) = 2023, WEEKNUM(Table7[[#This Row],[Date]])-13, WEEKNUM(Table7[[#This Row],[Date]])+40)</f>
        <v>22</v>
      </c>
      <c r="C152" s="34" t="s">
        <v>50</v>
      </c>
      <c r="D152" s="34" t="s">
        <v>94</v>
      </c>
      <c r="E152" s="1">
        <v>328</v>
      </c>
      <c r="F152" s="1">
        <v>300</v>
      </c>
      <c r="G152" s="64">
        <f t="shared" ref="G152:H152" si="96">IFERROR((E152-E145)/E145,0%)</f>
        <v>9.6989966555183951E-2</v>
      </c>
      <c r="H152" s="64">
        <f t="shared" si="96"/>
        <v>3.0927835051546393E-2</v>
      </c>
      <c r="I152" s="1"/>
      <c r="J152" s="1"/>
      <c r="K152" s="1"/>
      <c r="L152" s="1"/>
      <c r="M152" s="18">
        <v>0.75</v>
      </c>
      <c r="N152" s="18">
        <v>0.09</v>
      </c>
      <c r="O152" s="18">
        <v>0.91</v>
      </c>
      <c r="P152" s="18">
        <v>0.64</v>
      </c>
      <c r="Q152" s="22">
        <v>1</v>
      </c>
      <c r="R152" s="294">
        <v>101</v>
      </c>
      <c r="S152" s="294">
        <v>0</v>
      </c>
      <c r="T152" s="365">
        <v>3</v>
      </c>
      <c r="U152" s="338" t="str">
        <f t="shared" si="36"/>
        <v>Normal</v>
      </c>
      <c r="V152" s="338" t="str">
        <f t="shared" si="37"/>
        <v>Normal</v>
      </c>
      <c r="W152" s="420">
        <f t="shared" si="38"/>
        <v>9.6989966555183951E-2</v>
      </c>
      <c r="X152" s="420">
        <f t="shared" si="39"/>
        <v>3.0927835051546393E-2</v>
      </c>
    </row>
    <row r="153" spans="1:24">
      <c r="A153" s="32">
        <v>45168</v>
      </c>
      <c r="B153" s="408">
        <f>IF(YEAR(Table7[[#This Row],[Date]]) = 2023, WEEKNUM(Table7[[#This Row],[Date]])-13, WEEKNUM(Table7[[#This Row],[Date]])+40)</f>
        <v>22</v>
      </c>
      <c r="C153" s="34" t="s">
        <v>51</v>
      </c>
      <c r="D153" s="34" t="s">
        <v>94</v>
      </c>
      <c r="E153" s="1">
        <v>342</v>
      </c>
      <c r="F153" s="1">
        <v>305</v>
      </c>
      <c r="G153" s="64">
        <f t="shared" ref="G153:H153" si="97">IFERROR((E153-E146)/E146,0%)</f>
        <v>0.42499999999999999</v>
      </c>
      <c r="H153" s="64">
        <f t="shared" si="97"/>
        <v>0.2923728813559322</v>
      </c>
      <c r="I153" s="1"/>
      <c r="J153" s="1"/>
      <c r="K153" s="1"/>
      <c r="L153" s="1"/>
      <c r="M153" s="18">
        <v>0.64</v>
      </c>
      <c r="N153" s="18">
        <v>0.11</v>
      </c>
      <c r="O153" s="18">
        <v>0.89</v>
      </c>
      <c r="P153" s="18">
        <v>0.63</v>
      </c>
      <c r="Q153" s="22">
        <v>1</v>
      </c>
      <c r="R153" s="294">
        <v>139</v>
      </c>
      <c r="S153" s="294">
        <v>0</v>
      </c>
      <c r="T153" s="365">
        <v>3</v>
      </c>
      <c r="U153" s="338" t="str">
        <f t="shared" si="36"/>
        <v>Normal</v>
      </c>
      <c r="V153" s="338" t="str">
        <f t="shared" si="37"/>
        <v>Normal</v>
      </c>
      <c r="W153" s="420">
        <f t="shared" si="38"/>
        <v>0.42499999999999999</v>
      </c>
      <c r="X153" s="420">
        <f t="shared" si="39"/>
        <v>0.2923728813559322</v>
      </c>
    </row>
    <row r="154" spans="1:24">
      <c r="A154" s="32">
        <v>45169</v>
      </c>
      <c r="B154" s="408">
        <f>IF(YEAR(Table7[[#This Row],[Date]]) = 2023, WEEKNUM(Table7[[#This Row],[Date]])-13, WEEKNUM(Table7[[#This Row],[Date]])+40)</f>
        <v>22</v>
      </c>
      <c r="C154" s="34" t="s">
        <v>52</v>
      </c>
      <c r="D154" s="34" t="s">
        <v>94</v>
      </c>
      <c r="E154" s="1">
        <v>336</v>
      </c>
      <c r="F154" s="1">
        <v>318</v>
      </c>
      <c r="G154" s="64">
        <f t="shared" ref="G154:H154" si="98">IFERROR((E154-E147)/E147,0%)</f>
        <v>0.20430107526881722</v>
      </c>
      <c r="H154" s="64">
        <f t="shared" si="98"/>
        <v>0.26693227091633465</v>
      </c>
      <c r="I154" s="1"/>
      <c r="J154" s="1"/>
      <c r="K154" s="1"/>
      <c r="L154" s="1"/>
      <c r="M154" s="18">
        <v>0.65</v>
      </c>
      <c r="N154" s="18">
        <v>0.05</v>
      </c>
      <c r="O154" s="18">
        <v>0.95</v>
      </c>
      <c r="P154" s="18">
        <v>0.66</v>
      </c>
      <c r="Q154" s="22">
        <v>1</v>
      </c>
      <c r="R154" s="294">
        <v>115</v>
      </c>
      <c r="S154" s="294">
        <v>0</v>
      </c>
      <c r="T154" s="365">
        <v>4</v>
      </c>
      <c r="U154" s="338" t="str">
        <f t="shared" si="36"/>
        <v>Normal</v>
      </c>
      <c r="V154" s="338" t="str">
        <f t="shared" si="37"/>
        <v>Normal</v>
      </c>
      <c r="W154" s="420">
        <f t="shared" si="38"/>
        <v>0.20430107526881722</v>
      </c>
      <c r="X154" s="420">
        <f t="shared" si="39"/>
        <v>0.26693227091633465</v>
      </c>
    </row>
    <row r="155" spans="1:24">
      <c r="A155" s="32">
        <v>45170</v>
      </c>
      <c r="B155" s="408">
        <f>IF(YEAR(Table7[[#This Row],[Date]]) = 2023, WEEKNUM(Table7[[#This Row],[Date]])-13, WEEKNUM(Table7[[#This Row],[Date]])+40)</f>
        <v>22</v>
      </c>
      <c r="C155" s="34" t="s">
        <v>53</v>
      </c>
      <c r="D155" s="34" t="s">
        <v>94</v>
      </c>
      <c r="E155" s="1">
        <v>257</v>
      </c>
      <c r="F155" s="1">
        <v>238</v>
      </c>
      <c r="G155" s="64">
        <f t="shared" ref="G155:H155" si="99">IFERROR((E155-E148)/E148,0%)</f>
        <v>0.24154589371980675</v>
      </c>
      <c r="H155" s="64">
        <f t="shared" si="99"/>
        <v>0.16666666666666666</v>
      </c>
      <c r="I155" s="1"/>
      <c r="J155" s="1"/>
      <c r="K155" s="1"/>
      <c r="L155" s="1"/>
      <c r="M155" s="18">
        <v>0.84</v>
      </c>
      <c r="N155" s="18">
        <v>7.0000000000000007E-2</v>
      </c>
      <c r="O155" s="18">
        <v>0.93</v>
      </c>
      <c r="P155" s="18">
        <v>0.6</v>
      </c>
      <c r="Q155" s="22">
        <v>1</v>
      </c>
      <c r="R155" s="294">
        <v>115</v>
      </c>
      <c r="S155" s="294">
        <v>0</v>
      </c>
      <c r="T155" s="365">
        <v>3</v>
      </c>
      <c r="U155" s="338" t="str">
        <f t="shared" si="36"/>
        <v>Normal</v>
      </c>
      <c r="V155" s="338" t="str">
        <f t="shared" si="37"/>
        <v>Normal</v>
      </c>
      <c r="W155" s="420">
        <f t="shared" si="38"/>
        <v>0.24154589371980675</v>
      </c>
      <c r="X155" s="420">
        <f t="shared" si="39"/>
        <v>0.16666666666666666</v>
      </c>
    </row>
    <row r="156" spans="1:24">
      <c r="A156" s="32">
        <v>45171</v>
      </c>
      <c r="B156" s="408">
        <f>IF(YEAR(Table7[[#This Row],[Date]]) = 2023, WEEKNUM(Table7[[#This Row],[Date]])-13, WEEKNUM(Table7[[#This Row],[Date]])+40)</f>
        <v>22</v>
      </c>
      <c r="C156" s="34" t="s">
        <v>54</v>
      </c>
      <c r="D156" s="34" t="s">
        <v>94</v>
      </c>
      <c r="E156" s="1">
        <v>148</v>
      </c>
      <c r="F156" s="1">
        <v>139</v>
      </c>
      <c r="G156" s="64">
        <f t="shared" ref="G156:H156" si="100">IFERROR((E156-E149)/E149,0%)</f>
        <v>-0.27093596059113301</v>
      </c>
      <c r="H156" s="64">
        <f t="shared" si="100"/>
        <v>-0.24864864864864866</v>
      </c>
      <c r="I156" s="1"/>
      <c r="J156" s="1"/>
      <c r="K156" s="1"/>
      <c r="L156" s="1"/>
      <c r="M156" s="18">
        <v>0.91</v>
      </c>
      <c r="N156" s="18">
        <v>0.06</v>
      </c>
      <c r="O156" s="18">
        <v>0.94</v>
      </c>
      <c r="P156" s="18">
        <v>0.55000000000000004</v>
      </c>
      <c r="Q156" s="22">
        <v>1</v>
      </c>
      <c r="R156" s="294">
        <v>148</v>
      </c>
      <c r="S156" s="294">
        <v>0</v>
      </c>
      <c r="T156" s="365">
        <v>3</v>
      </c>
      <c r="U156" s="338" t="str">
        <f t="shared" si="36"/>
        <v>Normal</v>
      </c>
      <c r="V156" s="338" t="str">
        <f t="shared" si="37"/>
        <v>Normal</v>
      </c>
      <c r="W156" s="420">
        <f t="shared" si="38"/>
        <v>-0.27093596059113301</v>
      </c>
      <c r="X156" s="420">
        <f t="shared" si="39"/>
        <v>-0.24864864864864866</v>
      </c>
    </row>
    <row r="157" spans="1:24">
      <c r="A157" s="32">
        <v>45172</v>
      </c>
      <c r="B157" s="408">
        <f>IF(YEAR(Table7[[#This Row],[Date]]) = 2023, WEEKNUM(Table7[[#This Row],[Date]])-13, WEEKNUM(Table7[[#This Row],[Date]])+40)</f>
        <v>23</v>
      </c>
      <c r="C157" s="34" t="s">
        <v>48</v>
      </c>
      <c r="D157" s="34" t="s">
        <v>94</v>
      </c>
      <c r="E157" s="1">
        <v>0</v>
      </c>
      <c r="F157" s="1">
        <v>0</v>
      </c>
      <c r="G157" s="64">
        <f t="shared" ref="G157:H157" si="101">IFERROR((E157-E150)/E150,0%)</f>
        <v>0</v>
      </c>
      <c r="H157" s="64">
        <f t="shared" si="101"/>
        <v>0</v>
      </c>
      <c r="I157" s="1"/>
      <c r="J157" s="1"/>
      <c r="K157" s="1"/>
      <c r="L157" s="1"/>
      <c r="M157" s="18">
        <v>0</v>
      </c>
      <c r="N157" s="18">
        <v>0</v>
      </c>
      <c r="O157" s="18">
        <v>0</v>
      </c>
      <c r="P157" s="18">
        <v>0</v>
      </c>
      <c r="Q157" s="22">
        <v>0</v>
      </c>
      <c r="R157" s="294">
        <v>0</v>
      </c>
      <c r="S157" s="294">
        <v>0</v>
      </c>
      <c r="T157" s="365">
        <v>0</v>
      </c>
      <c r="U157" s="338" t="str">
        <f t="shared" ref="U157:U220" si="102">IF(OR(G157&lt;$AA$5,G157&gt;$AB$5), "Outlier", "Normal")</f>
        <v>Normal</v>
      </c>
      <c r="V157" s="338" t="str">
        <f t="shared" ref="V157:V220" si="103">IF(OR(H157&lt;$AA$6,H157&gt;$AB$6), "Outlier", "Normal")</f>
        <v>Normal</v>
      </c>
      <c r="W157" s="420">
        <f t="shared" ref="W157:W220" si="104">IF(U157="Normal",$G157,IF($G157&lt;150%, $G157, $AA$9))</f>
        <v>0</v>
      </c>
      <c r="X157" s="420">
        <f t="shared" ref="X157:X220" si="105">IF(V157="Normal",$H157,IF($H157&lt;150%, $H157, $AE$9))</f>
        <v>0</v>
      </c>
    </row>
    <row r="158" spans="1:24">
      <c r="A158" s="32">
        <v>45173</v>
      </c>
      <c r="B158" s="408">
        <f>IF(YEAR(Table7[[#This Row],[Date]]) = 2023, WEEKNUM(Table7[[#This Row],[Date]])-13, WEEKNUM(Table7[[#This Row],[Date]])+40)</f>
        <v>23</v>
      </c>
      <c r="C158" s="34" t="s">
        <v>49</v>
      </c>
      <c r="D158" s="34" t="s">
        <v>94</v>
      </c>
      <c r="E158" s="1">
        <v>245</v>
      </c>
      <c r="F158" s="1">
        <v>235</v>
      </c>
      <c r="G158" s="64">
        <f t="shared" ref="G158:H158" si="106">IFERROR((E158-E151)/E151,0%)</f>
        <v>-0.21974522292993631</v>
      </c>
      <c r="H158" s="64">
        <f t="shared" si="106"/>
        <v>-0.21404682274247491</v>
      </c>
      <c r="I158" s="1"/>
      <c r="J158" s="1"/>
      <c r="K158" s="1"/>
      <c r="L158" s="1"/>
      <c r="M158" s="18">
        <v>0.94</v>
      </c>
      <c r="N158" s="18">
        <v>0.04</v>
      </c>
      <c r="O158" s="18">
        <v>0.96</v>
      </c>
      <c r="P158" s="18">
        <v>0.48</v>
      </c>
      <c r="Q158" s="22">
        <v>1</v>
      </c>
      <c r="R158" s="294">
        <v>109</v>
      </c>
      <c r="S158" s="294">
        <v>0</v>
      </c>
      <c r="T158" s="365">
        <v>4</v>
      </c>
      <c r="U158" s="338" t="str">
        <f t="shared" si="102"/>
        <v>Normal</v>
      </c>
      <c r="V158" s="338" t="str">
        <f t="shared" si="103"/>
        <v>Normal</v>
      </c>
      <c r="W158" s="420">
        <f t="shared" si="104"/>
        <v>-0.21974522292993631</v>
      </c>
      <c r="X158" s="420">
        <f t="shared" si="105"/>
        <v>-0.21404682274247491</v>
      </c>
    </row>
    <row r="159" spans="1:24">
      <c r="A159" s="32">
        <v>45174</v>
      </c>
      <c r="B159" s="408">
        <f>IF(YEAR(Table7[[#This Row],[Date]]) = 2023, WEEKNUM(Table7[[#This Row],[Date]])-13, WEEKNUM(Table7[[#This Row],[Date]])+40)</f>
        <v>23</v>
      </c>
      <c r="C159" s="34" t="s">
        <v>50</v>
      </c>
      <c r="D159" s="34" t="s">
        <v>94</v>
      </c>
      <c r="E159" s="1">
        <v>251</v>
      </c>
      <c r="F159" s="1">
        <v>240</v>
      </c>
      <c r="G159" s="64">
        <f t="shared" ref="G159:H159" si="107">IFERROR((E159-E152)/E152,0%)</f>
        <v>-0.2347560975609756</v>
      </c>
      <c r="H159" s="64">
        <f t="shared" si="107"/>
        <v>-0.2</v>
      </c>
      <c r="I159" s="1"/>
      <c r="J159" s="1"/>
      <c r="K159" s="1"/>
      <c r="L159" s="1"/>
      <c r="M159" s="18">
        <v>0.86</v>
      </c>
      <c r="N159" s="18">
        <v>0.04</v>
      </c>
      <c r="O159" s="18">
        <v>0.96</v>
      </c>
      <c r="P159" s="18">
        <v>0.5</v>
      </c>
      <c r="Q159" s="22">
        <v>1</v>
      </c>
      <c r="R159" s="294">
        <v>105</v>
      </c>
      <c r="S159" s="294">
        <v>0</v>
      </c>
      <c r="T159" s="365">
        <v>4</v>
      </c>
      <c r="U159" s="338" t="str">
        <f t="shared" si="102"/>
        <v>Normal</v>
      </c>
      <c r="V159" s="338" t="str">
        <f t="shared" si="103"/>
        <v>Normal</v>
      </c>
      <c r="W159" s="420">
        <f t="shared" si="104"/>
        <v>-0.2347560975609756</v>
      </c>
      <c r="X159" s="420">
        <f t="shared" si="105"/>
        <v>-0.2</v>
      </c>
    </row>
    <row r="160" spans="1:24">
      <c r="A160" s="32">
        <v>45175</v>
      </c>
      <c r="B160" s="408">
        <f>IF(YEAR(Table7[[#This Row],[Date]]) = 2023, WEEKNUM(Table7[[#This Row],[Date]])-13, WEEKNUM(Table7[[#This Row],[Date]])+40)</f>
        <v>23</v>
      </c>
      <c r="C160" s="34" t="s">
        <v>51</v>
      </c>
      <c r="D160" s="34" t="s">
        <v>94</v>
      </c>
      <c r="E160" s="1">
        <v>301</v>
      </c>
      <c r="F160" s="1">
        <v>282</v>
      </c>
      <c r="G160" s="64">
        <f t="shared" ref="G160:H160" si="108">IFERROR((E160-E153)/E153,0%)</f>
        <v>-0.11988304093567251</v>
      </c>
      <c r="H160" s="64">
        <f t="shared" si="108"/>
        <v>-7.5409836065573776E-2</v>
      </c>
      <c r="I160" s="1"/>
      <c r="J160" s="1"/>
      <c r="K160" s="1"/>
      <c r="L160" s="1"/>
      <c r="M160" s="18">
        <v>0.77</v>
      </c>
      <c r="N160" s="18">
        <v>0.06</v>
      </c>
      <c r="O160" s="18">
        <v>0.94</v>
      </c>
      <c r="P160" s="18">
        <v>0.56000000000000005</v>
      </c>
      <c r="Q160" s="22">
        <v>1</v>
      </c>
      <c r="R160" s="294">
        <v>110</v>
      </c>
      <c r="S160" s="294">
        <v>0</v>
      </c>
      <c r="T160" s="365">
        <v>4</v>
      </c>
      <c r="U160" s="338" t="str">
        <f t="shared" si="102"/>
        <v>Normal</v>
      </c>
      <c r="V160" s="338" t="str">
        <f t="shared" si="103"/>
        <v>Normal</v>
      </c>
      <c r="W160" s="420">
        <f t="shared" si="104"/>
        <v>-0.11988304093567251</v>
      </c>
      <c r="X160" s="420">
        <f t="shared" si="105"/>
        <v>-7.5409836065573776E-2</v>
      </c>
    </row>
    <row r="161" spans="1:37">
      <c r="A161" s="32">
        <v>45176</v>
      </c>
      <c r="B161" s="408">
        <f>IF(YEAR(Table7[[#This Row],[Date]]) = 2023, WEEKNUM(Table7[[#This Row],[Date]])-13, WEEKNUM(Table7[[#This Row],[Date]])+40)</f>
        <v>23</v>
      </c>
      <c r="C161" s="34" t="s">
        <v>52</v>
      </c>
      <c r="D161" s="34" t="s">
        <v>94</v>
      </c>
      <c r="E161" s="1">
        <v>103</v>
      </c>
      <c r="F161" s="1">
        <v>100</v>
      </c>
      <c r="G161" s="64">
        <f t="shared" ref="G161:H161" si="109">IFERROR((E161-E154)/E154,0%)</f>
        <v>-0.69345238095238093</v>
      </c>
      <c r="H161" s="64">
        <f t="shared" si="109"/>
        <v>-0.68553459119496851</v>
      </c>
      <c r="I161" s="1"/>
      <c r="J161" s="1"/>
      <c r="K161" s="1"/>
      <c r="L161" s="1"/>
      <c r="M161" s="18">
        <v>0.9</v>
      </c>
      <c r="N161" s="18">
        <v>0.03</v>
      </c>
      <c r="O161" s="18">
        <v>0.97</v>
      </c>
      <c r="P161" s="18">
        <v>0.41</v>
      </c>
      <c r="Q161" s="22">
        <v>1</v>
      </c>
      <c r="R161" s="294">
        <v>68</v>
      </c>
      <c r="S161" s="294">
        <v>0</v>
      </c>
      <c r="T161" s="365">
        <v>4</v>
      </c>
      <c r="U161" s="338" t="str">
        <f t="shared" si="102"/>
        <v>Outlier</v>
      </c>
      <c r="V161" s="338" t="str">
        <f t="shared" si="103"/>
        <v>Outlier</v>
      </c>
      <c r="W161" s="420">
        <f t="shared" si="104"/>
        <v>-0.69345238095238093</v>
      </c>
      <c r="X161" s="420">
        <f t="shared" si="105"/>
        <v>-0.68553459119496851</v>
      </c>
    </row>
    <row r="162" spans="1:37">
      <c r="A162" s="32">
        <v>45177</v>
      </c>
      <c r="B162" s="408">
        <f>IF(YEAR(Table7[[#This Row],[Date]]) = 2023, WEEKNUM(Table7[[#This Row],[Date]])-13, WEEKNUM(Table7[[#This Row],[Date]])+40)</f>
        <v>23</v>
      </c>
      <c r="C162" s="34" t="s">
        <v>53</v>
      </c>
      <c r="D162" s="34" t="s">
        <v>94</v>
      </c>
      <c r="E162" s="1">
        <v>379</v>
      </c>
      <c r="F162" s="1">
        <v>330</v>
      </c>
      <c r="G162" s="64">
        <f t="shared" ref="G162:H162" si="110">IFERROR((E162-E155)/E155,0%)</f>
        <v>0.47470817120622566</v>
      </c>
      <c r="H162" s="64">
        <f t="shared" si="110"/>
        <v>0.38655462184873951</v>
      </c>
      <c r="I162" s="1"/>
      <c r="J162" s="1"/>
      <c r="K162" s="1"/>
      <c r="L162" s="1"/>
      <c r="M162" s="18">
        <v>0.8</v>
      </c>
      <c r="N162" s="18">
        <v>0.13</v>
      </c>
      <c r="O162" s="18">
        <v>0.87</v>
      </c>
      <c r="P162" s="18">
        <v>0.63</v>
      </c>
      <c r="Q162" s="22">
        <v>1</v>
      </c>
      <c r="R162" s="294">
        <v>74</v>
      </c>
      <c r="S162" s="294">
        <v>0</v>
      </c>
      <c r="T162" s="365">
        <v>4</v>
      </c>
      <c r="U162" s="338" t="str">
        <f t="shared" si="102"/>
        <v>Normal</v>
      </c>
      <c r="V162" s="338" t="str">
        <f t="shared" si="103"/>
        <v>Normal</v>
      </c>
      <c r="W162" s="420">
        <f t="shared" si="104"/>
        <v>0.47470817120622566</v>
      </c>
      <c r="X162" s="420">
        <f t="shared" si="105"/>
        <v>0.38655462184873951</v>
      </c>
    </row>
    <row r="163" spans="1:37">
      <c r="A163" s="32">
        <v>45178</v>
      </c>
      <c r="B163" s="408">
        <f>IF(YEAR(Table7[[#This Row],[Date]]) = 2023, WEEKNUM(Table7[[#This Row],[Date]])-13, WEEKNUM(Table7[[#This Row],[Date]])+40)</f>
        <v>23</v>
      </c>
      <c r="C163" s="34" t="s">
        <v>54</v>
      </c>
      <c r="D163" s="34" t="s">
        <v>94</v>
      </c>
      <c r="E163" s="1">
        <v>192</v>
      </c>
      <c r="F163" s="1">
        <v>170</v>
      </c>
      <c r="G163" s="64">
        <f t="shared" ref="G163:H163" si="111">IFERROR((E163-E156)/E156,0%)</f>
        <v>0.29729729729729731</v>
      </c>
      <c r="H163" s="64">
        <f t="shared" si="111"/>
        <v>0.22302158273381295</v>
      </c>
      <c r="I163" s="1"/>
      <c r="J163" s="1"/>
      <c r="K163" s="1"/>
      <c r="L163" s="1"/>
      <c r="M163" s="18">
        <v>0.65</v>
      </c>
      <c r="N163" s="18">
        <v>0.11</v>
      </c>
      <c r="O163" s="18">
        <v>0.89</v>
      </c>
      <c r="P163" s="18">
        <v>0.43</v>
      </c>
      <c r="Q163" s="22">
        <v>1</v>
      </c>
      <c r="R163" s="294">
        <v>143</v>
      </c>
      <c r="S163" s="294">
        <v>0</v>
      </c>
      <c r="T163" s="365">
        <v>3</v>
      </c>
      <c r="U163" s="338" t="str">
        <f t="shared" si="102"/>
        <v>Normal</v>
      </c>
      <c r="V163" s="338" t="str">
        <f t="shared" si="103"/>
        <v>Normal</v>
      </c>
      <c r="W163" s="420">
        <f t="shared" si="104"/>
        <v>0.29729729729729731</v>
      </c>
      <c r="X163" s="420">
        <f t="shared" si="105"/>
        <v>0.22302158273381295</v>
      </c>
    </row>
    <row r="164" spans="1:37">
      <c r="A164" s="32">
        <v>45179</v>
      </c>
      <c r="B164" s="408">
        <f>IF(YEAR(Table7[[#This Row],[Date]]) = 2023, WEEKNUM(Table7[[#This Row],[Date]])-13, WEEKNUM(Table7[[#This Row],[Date]])+40)</f>
        <v>24</v>
      </c>
      <c r="C164" s="34" t="s">
        <v>48</v>
      </c>
      <c r="D164" s="34" t="s">
        <v>94</v>
      </c>
      <c r="E164" s="1">
        <v>0</v>
      </c>
      <c r="F164" s="1">
        <v>0</v>
      </c>
      <c r="G164" s="64">
        <f t="shared" ref="G164:H164" si="112">IFERROR((E164-E157)/E157,0%)</f>
        <v>0</v>
      </c>
      <c r="H164" s="64">
        <f t="shared" si="112"/>
        <v>0</v>
      </c>
      <c r="I164" s="1"/>
      <c r="J164" s="1"/>
      <c r="K164" s="1"/>
      <c r="L164" s="1"/>
      <c r="M164" s="18">
        <v>0</v>
      </c>
      <c r="N164" s="18">
        <v>0</v>
      </c>
      <c r="O164" s="18">
        <v>0</v>
      </c>
      <c r="P164" s="18">
        <v>0</v>
      </c>
      <c r="Q164" s="22">
        <v>0</v>
      </c>
      <c r="R164" s="294">
        <v>0</v>
      </c>
      <c r="S164" s="294">
        <v>0</v>
      </c>
      <c r="T164" s="365">
        <v>0</v>
      </c>
      <c r="U164" s="338" t="str">
        <f t="shared" si="102"/>
        <v>Normal</v>
      </c>
      <c r="V164" s="338" t="str">
        <f t="shared" si="103"/>
        <v>Normal</v>
      </c>
      <c r="W164" s="420">
        <f t="shared" si="104"/>
        <v>0</v>
      </c>
      <c r="X164" s="420">
        <f t="shared" si="105"/>
        <v>0</v>
      </c>
    </row>
    <row r="165" spans="1:37">
      <c r="A165" s="32">
        <v>45180</v>
      </c>
      <c r="B165" s="408">
        <f>IF(YEAR(Table7[[#This Row],[Date]]) = 2023, WEEKNUM(Table7[[#This Row],[Date]])-13, WEEKNUM(Table7[[#This Row],[Date]])+40)</f>
        <v>24</v>
      </c>
      <c r="C165" s="34" t="s">
        <v>49</v>
      </c>
      <c r="D165" s="34" t="s">
        <v>94</v>
      </c>
      <c r="E165" s="1">
        <v>333</v>
      </c>
      <c r="F165" s="1">
        <v>317</v>
      </c>
      <c r="G165" s="64">
        <f t="shared" ref="G165:H165" si="113">IFERROR((E165-E158)/E158,0%)</f>
        <v>0.35918367346938773</v>
      </c>
      <c r="H165" s="64">
        <f t="shared" si="113"/>
        <v>0.34893617021276596</v>
      </c>
      <c r="I165" s="1"/>
      <c r="J165" s="1"/>
      <c r="K165" s="1"/>
      <c r="L165" s="1"/>
      <c r="M165" s="18">
        <v>0.79</v>
      </c>
      <c r="N165" s="18">
        <v>0.05</v>
      </c>
      <c r="O165" s="18">
        <v>0.95</v>
      </c>
      <c r="P165" s="18">
        <v>0.54</v>
      </c>
      <c r="Q165" s="22">
        <v>1</v>
      </c>
      <c r="R165" s="294">
        <v>103</v>
      </c>
      <c r="S165" s="294">
        <v>0</v>
      </c>
      <c r="T165" s="365">
        <v>4</v>
      </c>
      <c r="U165" s="338" t="str">
        <f t="shared" si="102"/>
        <v>Normal</v>
      </c>
      <c r="V165" s="338" t="str">
        <f t="shared" si="103"/>
        <v>Normal</v>
      </c>
      <c r="W165" s="420">
        <f t="shared" si="104"/>
        <v>0.35918367346938773</v>
      </c>
      <c r="X165" s="420">
        <f t="shared" si="105"/>
        <v>0.34893617021276596</v>
      </c>
    </row>
    <row r="166" spans="1:37">
      <c r="A166" s="32">
        <v>45181</v>
      </c>
      <c r="B166" s="408">
        <f>IF(YEAR(Table7[[#This Row],[Date]]) = 2023, WEEKNUM(Table7[[#This Row],[Date]])-13, WEEKNUM(Table7[[#This Row],[Date]])+40)</f>
        <v>24</v>
      </c>
      <c r="C166" s="34" t="s">
        <v>50</v>
      </c>
      <c r="D166" s="34" t="s">
        <v>94</v>
      </c>
      <c r="E166" s="1">
        <v>327</v>
      </c>
      <c r="F166" s="1">
        <v>313</v>
      </c>
      <c r="G166" s="64">
        <f t="shared" ref="G166:H166" si="114">IFERROR((E166-E159)/E159,0%)</f>
        <v>0.30278884462151395</v>
      </c>
      <c r="H166" s="64">
        <f t="shared" si="114"/>
        <v>0.30416666666666664</v>
      </c>
      <c r="I166" s="1"/>
      <c r="J166" s="1"/>
      <c r="K166" s="1"/>
      <c r="L166" s="1"/>
      <c r="M166" s="18">
        <v>0.87</v>
      </c>
      <c r="N166" s="18">
        <v>0.04</v>
      </c>
      <c r="O166" s="18">
        <v>0.96</v>
      </c>
      <c r="P166" s="18">
        <v>0.51</v>
      </c>
      <c r="Q166" s="22">
        <v>0.99</v>
      </c>
      <c r="R166" s="294">
        <v>87</v>
      </c>
      <c r="S166" s="294">
        <v>0</v>
      </c>
      <c r="T166" s="365">
        <v>4</v>
      </c>
      <c r="U166" s="338" t="str">
        <f t="shared" si="102"/>
        <v>Normal</v>
      </c>
      <c r="V166" s="338" t="str">
        <f t="shared" si="103"/>
        <v>Normal</v>
      </c>
      <c r="W166" s="420">
        <f t="shared" si="104"/>
        <v>0.30278884462151395</v>
      </c>
      <c r="X166" s="420">
        <f t="shared" si="105"/>
        <v>0.30416666666666664</v>
      </c>
    </row>
    <row r="167" spans="1:37">
      <c r="A167" s="32">
        <v>45182</v>
      </c>
      <c r="B167" s="408">
        <f>IF(YEAR(Table7[[#This Row],[Date]]) = 2023, WEEKNUM(Table7[[#This Row],[Date]])-13, WEEKNUM(Table7[[#This Row],[Date]])+40)</f>
        <v>24</v>
      </c>
      <c r="C167" s="34" t="s">
        <v>51</v>
      </c>
      <c r="D167" s="34" t="s">
        <v>94</v>
      </c>
      <c r="E167" s="1">
        <v>299</v>
      </c>
      <c r="F167" s="1">
        <v>281</v>
      </c>
      <c r="G167" s="64">
        <f t="shared" ref="G167:H167" si="115">IFERROR((E167-E160)/E160,0%)</f>
        <v>-6.6445182724252493E-3</v>
      </c>
      <c r="H167" s="64">
        <f t="shared" si="115"/>
        <v>-3.5460992907801418E-3</v>
      </c>
      <c r="I167" s="1"/>
      <c r="J167" s="1"/>
      <c r="K167" s="1"/>
      <c r="L167" s="1"/>
      <c r="M167" s="18">
        <v>0.56000000000000005</v>
      </c>
      <c r="N167" s="18">
        <v>0.06</v>
      </c>
      <c r="O167" s="18">
        <v>0.94</v>
      </c>
      <c r="P167" s="18">
        <v>0.56000000000000005</v>
      </c>
      <c r="Q167" s="22">
        <v>1</v>
      </c>
      <c r="R167" s="294">
        <v>63</v>
      </c>
      <c r="S167" s="294">
        <v>0</v>
      </c>
      <c r="T167" s="365">
        <v>3</v>
      </c>
      <c r="U167" s="338" t="str">
        <f t="shared" si="102"/>
        <v>Normal</v>
      </c>
      <c r="V167" s="338" t="str">
        <f t="shared" si="103"/>
        <v>Normal</v>
      </c>
      <c r="W167" s="420">
        <f t="shared" si="104"/>
        <v>-6.6445182724252493E-3</v>
      </c>
      <c r="X167" s="420">
        <f t="shared" si="105"/>
        <v>-3.5460992907801418E-3</v>
      </c>
      <c r="AK167">
        <v>0.90086956521739125</v>
      </c>
    </row>
    <row r="168" spans="1:37">
      <c r="A168" s="32">
        <v>45183</v>
      </c>
      <c r="B168" s="408">
        <f>IF(YEAR(Table7[[#This Row],[Date]]) = 2023, WEEKNUM(Table7[[#This Row],[Date]])-13, WEEKNUM(Table7[[#This Row],[Date]])+40)</f>
        <v>24</v>
      </c>
      <c r="C168" s="34" t="s">
        <v>52</v>
      </c>
      <c r="D168" s="34" t="s">
        <v>94</v>
      </c>
      <c r="E168" s="1">
        <v>302</v>
      </c>
      <c r="F168" s="1">
        <v>282</v>
      </c>
      <c r="G168" s="64">
        <f t="shared" ref="G168:H168" si="116">IFERROR((E168-E161)/E161,0%)</f>
        <v>1.9320388349514563</v>
      </c>
      <c r="H168" s="64">
        <f t="shared" si="116"/>
        <v>1.82</v>
      </c>
      <c r="I168" s="1"/>
      <c r="J168" s="1"/>
      <c r="K168" s="1"/>
      <c r="L168" s="1"/>
      <c r="M168" s="18">
        <v>0.79</v>
      </c>
      <c r="N168" s="18">
        <v>7.0000000000000007E-2</v>
      </c>
      <c r="O168" s="18">
        <v>0.93</v>
      </c>
      <c r="P168" s="18">
        <v>0.66</v>
      </c>
      <c r="Q168" s="22">
        <v>1</v>
      </c>
      <c r="R168" s="294">
        <v>112</v>
      </c>
      <c r="S168" s="294">
        <v>0</v>
      </c>
      <c r="T168" s="365">
        <v>3</v>
      </c>
      <c r="U168" s="338" t="str">
        <f t="shared" si="102"/>
        <v>Outlier</v>
      </c>
      <c r="V168" s="338" t="str">
        <f t="shared" si="103"/>
        <v>Outlier</v>
      </c>
      <c r="W168" s="420">
        <f t="shared" si="104"/>
        <v>0.30866978799112715</v>
      </c>
      <c r="X168" s="420">
        <f t="shared" si="105"/>
        <v>0.30815517891211569</v>
      </c>
    </row>
    <row r="169" spans="1:37">
      <c r="A169" s="32">
        <v>45184</v>
      </c>
      <c r="B169" s="408">
        <f>IF(YEAR(Table7[[#This Row],[Date]]) = 2023, WEEKNUM(Table7[[#This Row],[Date]])-13, WEEKNUM(Table7[[#This Row],[Date]])+40)</f>
        <v>24</v>
      </c>
      <c r="C169" s="34" t="s">
        <v>53</v>
      </c>
      <c r="D169" s="34" t="s">
        <v>94</v>
      </c>
      <c r="E169" s="1">
        <v>263</v>
      </c>
      <c r="F169" s="1">
        <v>252</v>
      </c>
      <c r="G169" s="64">
        <f t="shared" ref="G169:H169" si="117">IFERROR((E169-E162)/E162,0%)</f>
        <v>-0.30606860158311344</v>
      </c>
      <c r="H169" s="64">
        <f t="shared" si="117"/>
        <v>-0.23636363636363636</v>
      </c>
      <c r="I169" s="1"/>
      <c r="J169" s="1"/>
      <c r="K169" s="1"/>
      <c r="L169" s="1"/>
      <c r="M169" s="18">
        <v>0.8</v>
      </c>
      <c r="N169" s="18">
        <v>0.04</v>
      </c>
      <c r="O169" s="18">
        <v>0.96</v>
      </c>
      <c r="P169" s="18">
        <v>0.43</v>
      </c>
      <c r="Q169" s="22">
        <v>1</v>
      </c>
      <c r="R169" s="294">
        <v>79</v>
      </c>
      <c r="S169" s="294">
        <v>0</v>
      </c>
      <c r="T169" s="365">
        <v>3</v>
      </c>
      <c r="U169" s="338" t="str">
        <f t="shared" si="102"/>
        <v>Normal</v>
      </c>
      <c r="V169" s="338" t="str">
        <f t="shared" si="103"/>
        <v>Normal</v>
      </c>
      <c r="W169" s="420">
        <f t="shared" si="104"/>
        <v>-0.30606860158311344</v>
      </c>
      <c r="X169" s="420">
        <f t="shared" si="105"/>
        <v>-0.23636363636363636</v>
      </c>
    </row>
    <row r="170" spans="1:37">
      <c r="A170" s="32">
        <v>45185</v>
      </c>
      <c r="B170" s="408">
        <f>IF(YEAR(Table7[[#This Row],[Date]]) = 2023, WEEKNUM(Table7[[#This Row],[Date]])-13, WEEKNUM(Table7[[#This Row],[Date]])+40)</f>
        <v>24</v>
      </c>
      <c r="C170" s="34" t="s">
        <v>54</v>
      </c>
      <c r="D170" s="34" t="s">
        <v>94</v>
      </c>
      <c r="E170" s="1">
        <v>159</v>
      </c>
      <c r="F170" s="1">
        <v>153</v>
      </c>
      <c r="G170" s="64">
        <f t="shared" ref="G170:H170" si="118">IFERROR((E170-E163)/E163,0%)</f>
        <v>-0.171875</v>
      </c>
      <c r="H170" s="64">
        <f t="shared" si="118"/>
        <v>-0.1</v>
      </c>
      <c r="I170" s="1"/>
      <c r="J170" s="1"/>
      <c r="K170" s="1"/>
      <c r="L170" s="1"/>
      <c r="M170" s="18">
        <v>0.81</v>
      </c>
      <c r="N170" s="18">
        <v>0.04</v>
      </c>
      <c r="O170" s="18">
        <v>0.96</v>
      </c>
      <c r="P170" s="18">
        <v>0.53</v>
      </c>
      <c r="Q170" s="22">
        <v>1</v>
      </c>
      <c r="R170" s="294">
        <v>80</v>
      </c>
      <c r="S170" s="294">
        <v>0</v>
      </c>
      <c r="T170" s="365">
        <v>3</v>
      </c>
      <c r="U170" s="338" t="str">
        <f t="shared" si="102"/>
        <v>Normal</v>
      </c>
      <c r="V170" s="338" t="str">
        <f t="shared" si="103"/>
        <v>Normal</v>
      </c>
      <c r="W170" s="420">
        <f t="shared" si="104"/>
        <v>-0.171875</v>
      </c>
      <c r="X170" s="420">
        <f t="shared" si="105"/>
        <v>-0.1</v>
      </c>
    </row>
    <row r="171" spans="1:37">
      <c r="A171" s="32">
        <v>45186</v>
      </c>
      <c r="B171" s="408">
        <f>IF(YEAR(Table7[[#This Row],[Date]]) = 2023, WEEKNUM(Table7[[#This Row],[Date]])-13, WEEKNUM(Table7[[#This Row],[Date]])+40)</f>
        <v>25</v>
      </c>
      <c r="C171" s="34" t="s">
        <v>48</v>
      </c>
      <c r="D171" s="34" t="s">
        <v>94</v>
      </c>
      <c r="E171" s="1">
        <v>0</v>
      </c>
      <c r="F171" s="1">
        <v>0</v>
      </c>
      <c r="G171" s="64">
        <f t="shared" ref="G171:H171" si="119">IFERROR((E171-E164)/E164,0%)</f>
        <v>0</v>
      </c>
      <c r="H171" s="64">
        <f t="shared" si="119"/>
        <v>0</v>
      </c>
      <c r="I171" s="1"/>
      <c r="J171" s="1"/>
      <c r="K171" s="1"/>
      <c r="L171" s="1"/>
      <c r="M171" s="18">
        <v>0</v>
      </c>
      <c r="N171" s="18">
        <v>0</v>
      </c>
      <c r="O171" s="18">
        <v>0</v>
      </c>
      <c r="P171" s="18">
        <v>0</v>
      </c>
      <c r="Q171" s="22">
        <v>0</v>
      </c>
      <c r="R171" s="294">
        <v>0</v>
      </c>
      <c r="S171" s="294">
        <v>0</v>
      </c>
      <c r="T171" s="365">
        <v>0</v>
      </c>
      <c r="U171" s="338" t="str">
        <f t="shared" si="102"/>
        <v>Normal</v>
      </c>
      <c r="V171" s="338" t="str">
        <f t="shared" si="103"/>
        <v>Normal</v>
      </c>
      <c r="W171" s="420">
        <f t="shared" si="104"/>
        <v>0</v>
      </c>
      <c r="X171" s="420">
        <f t="shared" si="105"/>
        <v>0</v>
      </c>
    </row>
    <row r="172" spans="1:37">
      <c r="A172" s="32">
        <v>45187</v>
      </c>
      <c r="B172" s="408">
        <f>IF(YEAR(Table7[[#This Row],[Date]]) = 2023, WEEKNUM(Table7[[#This Row],[Date]])-13, WEEKNUM(Table7[[#This Row],[Date]])+40)</f>
        <v>25</v>
      </c>
      <c r="C172" s="34" t="s">
        <v>49</v>
      </c>
      <c r="D172" s="34" t="s">
        <v>94</v>
      </c>
      <c r="E172" s="1">
        <v>253</v>
      </c>
      <c r="F172" s="1">
        <v>248</v>
      </c>
      <c r="G172" s="64">
        <f t="shared" ref="G172:H172" si="120">IFERROR((E172-E165)/E165,0%)</f>
        <v>-0.24024024024024024</v>
      </c>
      <c r="H172" s="64">
        <f t="shared" si="120"/>
        <v>-0.21766561514195584</v>
      </c>
      <c r="I172" s="1"/>
      <c r="J172" s="1"/>
      <c r="K172" s="1"/>
      <c r="L172" s="1"/>
      <c r="M172" s="18">
        <v>0.95</v>
      </c>
      <c r="N172" s="18">
        <v>0.02</v>
      </c>
      <c r="O172" s="18">
        <v>0.98</v>
      </c>
      <c r="P172" s="18">
        <v>0.41</v>
      </c>
      <c r="Q172" s="22">
        <v>1</v>
      </c>
      <c r="R172" s="294">
        <v>122</v>
      </c>
      <c r="S172" s="294">
        <v>0</v>
      </c>
      <c r="T172" s="365">
        <v>4</v>
      </c>
      <c r="U172" s="338" t="str">
        <f t="shared" si="102"/>
        <v>Normal</v>
      </c>
      <c r="V172" s="338" t="str">
        <f t="shared" si="103"/>
        <v>Normal</v>
      </c>
      <c r="W172" s="420">
        <f t="shared" si="104"/>
        <v>-0.24024024024024024</v>
      </c>
      <c r="X172" s="420">
        <f t="shared" si="105"/>
        <v>-0.21766561514195584</v>
      </c>
    </row>
    <row r="173" spans="1:37">
      <c r="A173" s="32">
        <v>45188</v>
      </c>
      <c r="B173" s="408">
        <f>IF(YEAR(Table7[[#This Row],[Date]]) = 2023, WEEKNUM(Table7[[#This Row],[Date]])-13, WEEKNUM(Table7[[#This Row],[Date]])+40)</f>
        <v>25</v>
      </c>
      <c r="C173" s="34" t="s">
        <v>50</v>
      </c>
      <c r="D173" s="34" t="s">
        <v>94</v>
      </c>
      <c r="E173" s="1">
        <v>274</v>
      </c>
      <c r="F173" s="1">
        <v>266</v>
      </c>
      <c r="G173" s="64">
        <f t="shared" ref="G173:H173" si="121">IFERROR((E173-E166)/E166,0%)</f>
        <v>-0.1620795107033639</v>
      </c>
      <c r="H173" s="64">
        <f t="shared" si="121"/>
        <v>-0.15015974440894569</v>
      </c>
      <c r="I173" s="1"/>
      <c r="J173" s="1"/>
      <c r="K173" s="1"/>
      <c r="L173" s="1"/>
      <c r="M173" s="18">
        <v>0.78</v>
      </c>
      <c r="N173" s="18">
        <v>0.03</v>
      </c>
      <c r="O173" s="18">
        <v>0.97</v>
      </c>
      <c r="P173" s="18">
        <v>0.46</v>
      </c>
      <c r="Q173" s="22">
        <v>1</v>
      </c>
      <c r="R173" s="294">
        <v>93</v>
      </c>
      <c r="S173" s="294">
        <v>0</v>
      </c>
      <c r="T173" s="365">
        <v>4</v>
      </c>
      <c r="U173" s="338" t="str">
        <f t="shared" si="102"/>
        <v>Normal</v>
      </c>
      <c r="V173" s="338" t="str">
        <f t="shared" si="103"/>
        <v>Normal</v>
      </c>
      <c r="W173" s="420">
        <f t="shared" si="104"/>
        <v>-0.1620795107033639</v>
      </c>
      <c r="X173" s="420">
        <f t="shared" si="105"/>
        <v>-0.15015974440894569</v>
      </c>
    </row>
    <row r="174" spans="1:37">
      <c r="A174" s="32">
        <v>45189</v>
      </c>
      <c r="B174" s="408">
        <f>IF(YEAR(Table7[[#This Row],[Date]]) = 2023, WEEKNUM(Table7[[#This Row],[Date]])-13, WEEKNUM(Table7[[#This Row],[Date]])+40)</f>
        <v>25</v>
      </c>
      <c r="C174" s="34" t="s">
        <v>51</v>
      </c>
      <c r="D174" s="34" t="s">
        <v>94</v>
      </c>
      <c r="E174" s="1">
        <v>276</v>
      </c>
      <c r="F174" s="1">
        <v>263</v>
      </c>
      <c r="G174" s="64">
        <f t="shared" ref="G174:H174" si="122">IFERROR((E174-E167)/E167,0%)</f>
        <v>-7.6923076923076927E-2</v>
      </c>
      <c r="H174" s="64">
        <f t="shared" si="122"/>
        <v>-6.4056939501779361E-2</v>
      </c>
      <c r="I174" s="1"/>
      <c r="J174" s="1"/>
      <c r="K174" s="1"/>
      <c r="L174" s="1"/>
      <c r="M174" s="18">
        <v>0.77</v>
      </c>
      <c r="N174" s="18">
        <v>0.05</v>
      </c>
      <c r="O174" s="18">
        <v>0.95</v>
      </c>
      <c r="P174" s="18">
        <v>0.52</v>
      </c>
      <c r="Q174" s="22">
        <v>1</v>
      </c>
      <c r="R174" s="294">
        <v>112</v>
      </c>
      <c r="S174" s="294">
        <v>0</v>
      </c>
      <c r="T174" s="365">
        <v>3</v>
      </c>
      <c r="U174" s="338" t="str">
        <f t="shared" si="102"/>
        <v>Normal</v>
      </c>
      <c r="V174" s="338" t="str">
        <f t="shared" si="103"/>
        <v>Normal</v>
      </c>
      <c r="W174" s="420">
        <f t="shared" si="104"/>
        <v>-7.6923076923076927E-2</v>
      </c>
      <c r="X174" s="420">
        <f t="shared" si="105"/>
        <v>-6.4056939501779361E-2</v>
      </c>
    </row>
    <row r="175" spans="1:37">
      <c r="A175" s="32">
        <v>45190</v>
      </c>
      <c r="B175" s="408">
        <f>IF(YEAR(Table7[[#This Row],[Date]]) = 2023, WEEKNUM(Table7[[#This Row],[Date]])-13, WEEKNUM(Table7[[#This Row],[Date]])+40)</f>
        <v>25</v>
      </c>
      <c r="C175" s="34" t="s">
        <v>52</v>
      </c>
      <c r="D175" s="34" t="s">
        <v>94</v>
      </c>
      <c r="E175" s="1">
        <v>298</v>
      </c>
      <c r="F175" s="1">
        <v>276</v>
      </c>
      <c r="G175" s="64">
        <f t="shared" ref="G175:H175" si="123">IFERROR((E175-E168)/E168,0%)</f>
        <v>-1.3245033112582781E-2</v>
      </c>
      <c r="H175" s="64">
        <f t="shared" si="123"/>
        <v>-2.1276595744680851E-2</v>
      </c>
      <c r="I175" s="1"/>
      <c r="J175" s="1"/>
      <c r="K175" s="1"/>
      <c r="L175" s="1"/>
      <c r="M175" s="18">
        <v>0.79</v>
      </c>
      <c r="N175" s="18">
        <v>7.0000000000000007E-2</v>
      </c>
      <c r="O175" s="18">
        <v>0.93</v>
      </c>
      <c r="P175" s="18">
        <v>0.6</v>
      </c>
      <c r="Q175" s="22">
        <v>1</v>
      </c>
      <c r="R175" s="294">
        <v>112</v>
      </c>
      <c r="S175" s="294">
        <v>0</v>
      </c>
      <c r="T175" s="365">
        <v>3</v>
      </c>
      <c r="U175" s="338" t="str">
        <f t="shared" si="102"/>
        <v>Normal</v>
      </c>
      <c r="V175" s="338" t="str">
        <f t="shared" si="103"/>
        <v>Normal</v>
      </c>
      <c r="W175" s="420">
        <f t="shared" si="104"/>
        <v>-1.3245033112582781E-2</v>
      </c>
      <c r="X175" s="420">
        <f t="shared" si="105"/>
        <v>-2.1276595744680851E-2</v>
      </c>
    </row>
    <row r="176" spans="1:37">
      <c r="A176" s="32">
        <v>45191</v>
      </c>
      <c r="B176" s="408">
        <f>IF(YEAR(Table7[[#This Row],[Date]]) = 2023, WEEKNUM(Table7[[#This Row],[Date]])-13, WEEKNUM(Table7[[#This Row],[Date]])+40)</f>
        <v>25</v>
      </c>
      <c r="C176" s="34" t="s">
        <v>53</v>
      </c>
      <c r="D176" s="34" t="s">
        <v>94</v>
      </c>
      <c r="E176" s="1">
        <v>229</v>
      </c>
      <c r="F176" s="1">
        <v>222</v>
      </c>
      <c r="G176" s="64">
        <f t="shared" ref="G176:H176" si="124">IFERROR((E176-E169)/E169,0%)</f>
        <v>-0.12927756653992395</v>
      </c>
      <c r="H176" s="64">
        <f t="shared" si="124"/>
        <v>-0.11904761904761904</v>
      </c>
      <c r="I176" s="1"/>
      <c r="J176" s="1"/>
      <c r="K176" s="1"/>
      <c r="L176" s="1"/>
      <c r="M176" s="18">
        <v>0.68</v>
      </c>
      <c r="N176" s="18">
        <v>0.03</v>
      </c>
      <c r="O176" s="18">
        <v>0.97</v>
      </c>
      <c r="P176" s="18">
        <v>0.54</v>
      </c>
      <c r="Q176" s="22">
        <v>1</v>
      </c>
      <c r="R176" s="294">
        <v>112</v>
      </c>
      <c r="S176" s="294">
        <v>0</v>
      </c>
      <c r="T176" s="365">
        <v>3</v>
      </c>
      <c r="U176" s="338" t="str">
        <f t="shared" si="102"/>
        <v>Normal</v>
      </c>
      <c r="V176" s="338" t="str">
        <f t="shared" si="103"/>
        <v>Normal</v>
      </c>
      <c r="W176" s="420">
        <f t="shared" si="104"/>
        <v>-0.12927756653992395</v>
      </c>
      <c r="X176" s="420">
        <f t="shared" si="105"/>
        <v>-0.11904761904761904</v>
      </c>
    </row>
    <row r="177" spans="1:37">
      <c r="A177" s="32">
        <v>45192</v>
      </c>
      <c r="B177" s="408">
        <f>IF(YEAR(Table7[[#This Row],[Date]]) = 2023, WEEKNUM(Table7[[#This Row],[Date]])-13, WEEKNUM(Table7[[#This Row],[Date]])+40)</f>
        <v>25</v>
      </c>
      <c r="C177" s="34" t="s">
        <v>54</v>
      </c>
      <c r="D177" s="34" t="s">
        <v>94</v>
      </c>
      <c r="E177" s="1">
        <v>179</v>
      </c>
      <c r="F177" s="1">
        <v>170</v>
      </c>
      <c r="G177" s="64">
        <f t="shared" ref="G177:H177" si="125">IFERROR((E177-E170)/E170,0%)</f>
        <v>0.12578616352201258</v>
      </c>
      <c r="H177" s="64">
        <f t="shared" si="125"/>
        <v>0.1111111111111111</v>
      </c>
      <c r="I177" s="1"/>
      <c r="J177" s="1"/>
      <c r="K177" s="1"/>
      <c r="L177" s="1"/>
      <c r="M177" s="18">
        <v>0.88</v>
      </c>
      <c r="N177" s="18">
        <v>0.05</v>
      </c>
      <c r="O177" s="18">
        <v>0.95</v>
      </c>
      <c r="P177" s="18">
        <v>0.34</v>
      </c>
      <c r="Q177" s="22">
        <v>1</v>
      </c>
      <c r="R177" s="294">
        <v>101</v>
      </c>
      <c r="S177" s="294">
        <v>0</v>
      </c>
      <c r="T177" s="365">
        <v>3</v>
      </c>
      <c r="U177" s="338" t="str">
        <f t="shared" si="102"/>
        <v>Normal</v>
      </c>
      <c r="V177" s="338" t="str">
        <f t="shared" si="103"/>
        <v>Normal</v>
      </c>
      <c r="W177" s="420">
        <f t="shared" si="104"/>
        <v>0.12578616352201258</v>
      </c>
      <c r="X177" s="420">
        <f t="shared" si="105"/>
        <v>0.1111111111111111</v>
      </c>
    </row>
    <row r="178" spans="1:37">
      <c r="A178" s="32">
        <v>45193</v>
      </c>
      <c r="B178" s="408">
        <f>IF(YEAR(Table7[[#This Row],[Date]]) = 2023, WEEKNUM(Table7[[#This Row],[Date]])-13, WEEKNUM(Table7[[#This Row],[Date]])+40)</f>
        <v>26</v>
      </c>
      <c r="C178" s="34" t="s">
        <v>48</v>
      </c>
      <c r="D178" s="34" t="s">
        <v>94</v>
      </c>
      <c r="E178" s="1">
        <v>0</v>
      </c>
      <c r="F178" s="1">
        <v>0</v>
      </c>
      <c r="G178" s="64">
        <f t="shared" ref="G178:H178" si="126">IFERROR((E178-E171)/E171,0%)</f>
        <v>0</v>
      </c>
      <c r="H178" s="64">
        <f t="shared" si="126"/>
        <v>0</v>
      </c>
      <c r="I178" s="1"/>
      <c r="J178" s="1"/>
      <c r="K178" s="1"/>
      <c r="L178" s="1"/>
      <c r="M178" s="18">
        <v>0</v>
      </c>
      <c r="N178" s="18">
        <v>0</v>
      </c>
      <c r="O178" s="18">
        <v>0</v>
      </c>
      <c r="P178" s="18">
        <v>0</v>
      </c>
      <c r="Q178" s="22">
        <v>0</v>
      </c>
      <c r="R178" s="294">
        <v>0</v>
      </c>
      <c r="S178" s="294">
        <v>0</v>
      </c>
      <c r="T178" s="365">
        <v>0</v>
      </c>
      <c r="U178" s="338" t="str">
        <f t="shared" si="102"/>
        <v>Normal</v>
      </c>
      <c r="V178" s="338" t="str">
        <f t="shared" si="103"/>
        <v>Normal</v>
      </c>
      <c r="W178" s="420">
        <f t="shared" si="104"/>
        <v>0</v>
      </c>
      <c r="X178" s="420">
        <f t="shared" si="105"/>
        <v>0</v>
      </c>
    </row>
    <row r="179" spans="1:37">
      <c r="A179" s="32">
        <v>45194</v>
      </c>
      <c r="B179" s="408">
        <f>IF(YEAR(Table7[[#This Row],[Date]]) = 2023, WEEKNUM(Table7[[#This Row],[Date]])-13, WEEKNUM(Table7[[#This Row],[Date]])+40)</f>
        <v>26</v>
      </c>
      <c r="C179" s="34" t="s">
        <v>49</v>
      </c>
      <c r="D179" s="34" t="s">
        <v>94</v>
      </c>
      <c r="E179" s="1">
        <v>252</v>
      </c>
      <c r="F179" s="1">
        <v>238</v>
      </c>
      <c r="G179" s="64">
        <f t="shared" ref="G179:H179" si="127">IFERROR((E179-E172)/E172,0%)</f>
        <v>-3.952569169960474E-3</v>
      </c>
      <c r="H179" s="64">
        <f t="shared" si="127"/>
        <v>-4.0322580645161289E-2</v>
      </c>
      <c r="I179" s="1"/>
      <c r="J179" s="1"/>
      <c r="K179" s="1"/>
      <c r="L179" s="1"/>
      <c r="M179" s="18">
        <v>0.74</v>
      </c>
      <c r="N179" s="18">
        <v>0.06</v>
      </c>
      <c r="O179" s="18">
        <v>0.94</v>
      </c>
      <c r="P179" s="18">
        <v>0.47</v>
      </c>
      <c r="Q179" s="22">
        <v>1</v>
      </c>
      <c r="R179" s="294">
        <v>104</v>
      </c>
      <c r="S179" s="294">
        <v>0</v>
      </c>
      <c r="T179" s="365">
        <v>3</v>
      </c>
      <c r="U179" s="338" t="str">
        <f t="shared" si="102"/>
        <v>Normal</v>
      </c>
      <c r="V179" s="338" t="str">
        <f t="shared" si="103"/>
        <v>Normal</v>
      </c>
      <c r="W179" s="420">
        <f t="shared" si="104"/>
        <v>-3.952569169960474E-3</v>
      </c>
      <c r="X179" s="420">
        <f t="shared" si="105"/>
        <v>-4.0322580645161289E-2</v>
      </c>
    </row>
    <row r="180" spans="1:37">
      <c r="A180" s="32">
        <v>45195</v>
      </c>
      <c r="B180" s="408">
        <f>IF(YEAR(Table7[[#This Row],[Date]]) = 2023, WEEKNUM(Table7[[#This Row],[Date]])-13, WEEKNUM(Table7[[#This Row],[Date]])+40)</f>
        <v>26</v>
      </c>
      <c r="C180" s="34" t="s">
        <v>50</v>
      </c>
      <c r="D180" s="34" t="s">
        <v>94</v>
      </c>
      <c r="E180" s="1">
        <v>283</v>
      </c>
      <c r="F180" s="1">
        <v>257</v>
      </c>
      <c r="G180" s="64">
        <f t="shared" ref="G180:H180" si="128">IFERROR((E180-E173)/E173,0%)</f>
        <v>3.2846715328467155E-2</v>
      </c>
      <c r="H180" s="64">
        <f t="shared" si="128"/>
        <v>-3.3834586466165412E-2</v>
      </c>
      <c r="I180" s="1"/>
      <c r="J180" s="1"/>
      <c r="K180" s="1"/>
      <c r="L180" s="1"/>
      <c r="M180" s="18">
        <v>0.67</v>
      </c>
      <c r="N180" s="18">
        <v>0.09</v>
      </c>
      <c r="O180" s="18">
        <v>0.91</v>
      </c>
      <c r="P180" s="18">
        <v>0.44</v>
      </c>
      <c r="Q180" s="22">
        <v>1</v>
      </c>
      <c r="R180" s="294">
        <v>81</v>
      </c>
      <c r="S180" s="294">
        <v>0</v>
      </c>
      <c r="T180" s="365">
        <v>3</v>
      </c>
      <c r="U180" s="338" t="str">
        <f t="shared" si="102"/>
        <v>Normal</v>
      </c>
      <c r="V180" s="338" t="str">
        <f t="shared" si="103"/>
        <v>Normal</v>
      </c>
      <c r="W180" s="420">
        <f t="shared" si="104"/>
        <v>3.2846715328467155E-2</v>
      </c>
      <c r="X180" s="420">
        <f t="shared" si="105"/>
        <v>-3.3834586466165412E-2</v>
      </c>
    </row>
    <row r="181" spans="1:37">
      <c r="A181" s="32">
        <v>45196</v>
      </c>
      <c r="B181" s="408">
        <f>IF(YEAR(Table7[[#This Row],[Date]]) = 2023, WEEKNUM(Table7[[#This Row],[Date]])-13, WEEKNUM(Table7[[#This Row],[Date]])+40)</f>
        <v>26</v>
      </c>
      <c r="C181" s="34" t="s">
        <v>51</v>
      </c>
      <c r="D181" s="34" t="s">
        <v>94</v>
      </c>
      <c r="E181" s="1">
        <v>256</v>
      </c>
      <c r="F181" s="1">
        <v>252</v>
      </c>
      <c r="G181" s="64">
        <f t="shared" ref="G181:H181" si="129">IFERROR((E181-E174)/E174,0%)</f>
        <v>-7.2463768115942032E-2</v>
      </c>
      <c r="H181" s="64">
        <f t="shared" si="129"/>
        <v>-4.1825095057034217E-2</v>
      </c>
      <c r="I181" s="1"/>
      <c r="J181" s="1"/>
      <c r="K181" s="1"/>
      <c r="L181" s="1"/>
      <c r="M181" s="18">
        <v>0.95</v>
      </c>
      <c r="N181" s="18">
        <v>0.02</v>
      </c>
      <c r="O181" s="18">
        <v>0.98</v>
      </c>
      <c r="P181" s="18">
        <v>0.4</v>
      </c>
      <c r="Q181" s="22">
        <v>1</v>
      </c>
      <c r="R181" s="294">
        <v>105</v>
      </c>
      <c r="S181" s="294">
        <v>0</v>
      </c>
      <c r="T181" s="365">
        <v>4</v>
      </c>
      <c r="U181" s="338" t="str">
        <f t="shared" si="102"/>
        <v>Normal</v>
      </c>
      <c r="V181" s="338" t="str">
        <f t="shared" si="103"/>
        <v>Normal</v>
      </c>
      <c r="W181" s="420">
        <f t="shared" si="104"/>
        <v>-7.2463768115942032E-2</v>
      </c>
      <c r="X181" s="420">
        <f t="shared" si="105"/>
        <v>-4.1825095057034217E-2</v>
      </c>
    </row>
    <row r="182" spans="1:37">
      <c r="A182" s="32">
        <v>45197</v>
      </c>
      <c r="B182" s="408">
        <f>IF(YEAR(Table7[[#This Row],[Date]]) = 2023, WEEKNUM(Table7[[#This Row],[Date]])-13, WEEKNUM(Table7[[#This Row],[Date]])+40)</f>
        <v>26</v>
      </c>
      <c r="C182" s="34" t="s">
        <v>52</v>
      </c>
      <c r="D182" s="34" t="s">
        <v>94</v>
      </c>
      <c r="E182" s="1">
        <v>0</v>
      </c>
      <c r="F182" s="1">
        <v>0</v>
      </c>
      <c r="G182" s="64">
        <v>0</v>
      </c>
      <c r="H182" s="64">
        <v>0</v>
      </c>
      <c r="I182" s="1">
        <v>0</v>
      </c>
      <c r="J182" s="1">
        <v>0</v>
      </c>
      <c r="K182" s="1">
        <v>0</v>
      </c>
      <c r="L182" s="1">
        <v>0</v>
      </c>
      <c r="M182" s="18">
        <v>0</v>
      </c>
      <c r="N182" s="18">
        <v>0</v>
      </c>
      <c r="O182" s="18">
        <v>0</v>
      </c>
      <c r="P182" s="18">
        <v>0</v>
      </c>
      <c r="Q182" s="22">
        <v>0</v>
      </c>
      <c r="R182" s="294">
        <v>0</v>
      </c>
      <c r="S182" s="294">
        <v>0</v>
      </c>
      <c r="T182" s="365">
        <v>0</v>
      </c>
      <c r="U182" s="338" t="str">
        <f t="shared" si="102"/>
        <v>Normal</v>
      </c>
      <c r="V182" s="338" t="str">
        <f t="shared" si="103"/>
        <v>Normal</v>
      </c>
      <c r="W182" s="420">
        <f t="shared" si="104"/>
        <v>0</v>
      </c>
      <c r="X182" s="420">
        <f t="shared" si="105"/>
        <v>0</v>
      </c>
    </row>
    <row r="183" spans="1:37">
      <c r="A183" s="32">
        <v>45198</v>
      </c>
      <c r="B183" s="408">
        <f>IF(YEAR(Table7[[#This Row],[Date]]) = 2023, WEEKNUM(Table7[[#This Row],[Date]])-13, WEEKNUM(Table7[[#This Row],[Date]])+40)</f>
        <v>26</v>
      </c>
      <c r="C183" s="34" t="s">
        <v>53</v>
      </c>
      <c r="D183" s="34" t="s">
        <v>94</v>
      </c>
      <c r="E183" s="1">
        <v>300</v>
      </c>
      <c r="F183" s="1">
        <v>268</v>
      </c>
      <c r="G183" s="64">
        <f t="shared" ref="G183:H183" si="130">IFERROR((E183-E176)/E176,0%)</f>
        <v>0.31004366812227074</v>
      </c>
      <c r="H183" s="64">
        <f t="shared" si="130"/>
        <v>0.2072072072072072</v>
      </c>
      <c r="I183" s="1"/>
      <c r="J183" s="1"/>
      <c r="K183" s="1"/>
      <c r="L183" s="1"/>
      <c r="M183" s="18">
        <v>0.76</v>
      </c>
      <c r="N183" s="18">
        <v>0.11</v>
      </c>
      <c r="O183" s="18">
        <v>0.89</v>
      </c>
      <c r="P183" s="18">
        <v>0.55000000000000004</v>
      </c>
      <c r="Q183" s="22">
        <v>0.98</v>
      </c>
      <c r="R183" s="294">
        <v>107</v>
      </c>
      <c r="S183" s="294">
        <v>0</v>
      </c>
      <c r="T183" s="365">
        <v>3</v>
      </c>
      <c r="U183" s="338" t="str">
        <f t="shared" si="102"/>
        <v>Normal</v>
      </c>
      <c r="V183" s="338" t="str">
        <f t="shared" si="103"/>
        <v>Normal</v>
      </c>
      <c r="W183" s="420">
        <f t="shared" si="104"/>
        <v>0.31004366812227074</v>
      </c>
      <c r="X183" s="420">
        <f t="shared" si="105"/>
        <v>0.2072072072072072</v>
      </c>
    </row>
    <row r="184" spans="1:37">
      <c r="A184" s="32">
        <v>45199</v>
      </c>
      <c r="B184" s="408">
        <f>IF(YEAR(Table7[[#This Row],[Date]]) = 2023, WEEKNUM(Table7[[#This Row],[Date]])-13, WEEKNUM(Table7[[#This Row],[Date]])+40)</f>
        <v>26</v>
      </c>
      <c r="C184" s="34" t="s">
        <v>54</v>
      </c>
      <c r="D184" s="34" t="s">
        <v>94</v>
      </c>
      <c r="E184" s="1">
        <v>190</v>
      </c>
      <c r="F184" s="1">
        <v>173</v>
      </c>
      <c r="G184" s="64">
        <f t="shared" ref="G184:H184" si="131">IFERROR((E184-E177)/E177,0%)</f>
        <v>6.1452513966480445E-2</v>
      </c>
      <c r="H184" s="64">
        <f t="shared" si="131"/>
        <v>1.7647058823529412E-2</v>
      </c>
      <c r="I184" s="1"/>
      <c r="J184" s="1"/>
      <c r="K184" s="1"/>
      <c r="L184" s="1"/>
      <c r="M184" s="18">
        <v>0.88</v>
      </c>
      <c r="N184" s="18">
        <v>0.09</v>
      </c>
      <c r="O184" s="18">
        <v>0.91</v>
      </c>
      <c r="P184" s="18">
        <v>0.44</v>
      </c>
      <c r="Q184" s="22">
        <v>0.99</v>
      </c>
      <c r="R184" s="294">
        <v>79</v>
      </c>
      <c r="S184" s="294">
        <v>0</v>
      </c>
      <c r="T184" s="365">
        <v>3</v>
      </c>
      <c r="U184" s="338" t="str">
        <f t="shared" si="102"/>
        <v>Normal</v>
      </c>
      <c r="V184" s="338" t="str">
        <f t="shared" si="103"/>
        <v>Normal</v>
      </c>
      <c r="W184" s="420">
        <f t="shared" si="104"/>
        <v>6.1452513966480445E-2</v>
      </c>
      <c r="X184" s="420">
        <f t="shared" si="105"/>
        <v>1.7647058823529412E-2</v>
      </c>
    </row>
    <row r="185" spans="1:37">
      <c r="A185" s="32">
        <v>45200</v>
      </c>
      <c r="B185" s="408">
        <f>IF(YEAR(Table7[[#This Row],[Date]]) = 2023, WEEKNUM(Table7[[#This Row],[Date]])-13, WEEKNUM(Table7[[#This Row],[Date]])+40)</f>
        <v>27</v>
      </c>
      <c r="C185" s="34" t="s">
        <v>48</v>
      </c>
      <c r="D185" s="34" t="s">
        <v>94</v>
      </c>
      <c r="E185" s="1">
        <v>0</v>
      </c>
      <c r="F185" s="1">
        <v>0</v>
      </c>
      <c r="G185" s="64">
        <f t="shared" ref="G185:H185" si="132">IFERROR((E185-E178)/E178,0%)</f>
        <v>0</v>
      </c>
      <c r="H185" s="64">
        <f t="shared" si="132"/>
        <v>0</v>
      </c>
      <c r="I185" s="1">
        <v>0</v>
      </c>
      <c r="J185" s="1">
        <v>0</v>
      </c>
      <c r="K185" s="1">
        <v>0</v>
      </c>
      <c r="L185" s="1">
        <v>0</v>
      </c>
      <c r="M185" s="18">
        <v>0</v>
      </c>
      <c r="N185" s="18">
        <v>0</v>
      </c>
      <c r="O185" s="18">
        <v>0</v>
      </c>
      <c r="P185" s="18">
        <v>0</v>
      </c>
      <c r="Q185" s="22">
        <v>0</v>
      </c>
      <c r="R185" s="294">
        <v>0</v>
      </c>
      <c r="S185" s="294">
        <v>0</v>
      </c>
      <c r="T185" s="365">
        <v>0</v>
      </c>
      <c r="U185" s="338" t="str">
        <f t="shared" si="102"/>
        <v>Normal</v>
      </c>
      <c r="V185" s="338" t="str">
        <f t="shared" si="103"/>
        <v>Normal</v>
      </c>
      <c r="W185" s="420">
        <f t="shared" si="104"/>
        <v>0</v>
      </c>
      <c r="X185" s="420">
        <f t="shared" si="105"/>
        <v>0</v>
      </c>
    </row>
    <row r="186" spans="1:37">
      <c r="A186" s="32">
        <v>45201</v>
      </c>
      <c r="B186" s="408">
        <f>IF(YEAR(Table7[[#This Row],[Date]]) = 2023, WEEKNUM(Table7[[#This Row],[Date]])-13, WEEKNUM(Table7[[#This Row],[Date]])+40)</f>
        <v>27</v>
      </c>
      <c r="C186" s="34" t="s">
        <v>49</v>
      </c>
      <c r="D186" s="34" t="s">
        <v>94</v>
      </c>
      <c r="E186" s="1">
        <v>300</v>
      </c>
      <c r="F186" s="1">
        <v>289</v>
      </c>
      <c r="G186" s="64">
        <f t="shared" ref="G186:H186" si="133">IFERROR((E186-E179)/E179,0%)</f>
        <v>0.19047619047619047</v>
      </c>
      <c r="H186" s="64">
        <f t="shared" si="133"/>
        <v>0.21428571428571427</v>
      </c>
      <c r="I186" s="1"/>
      <c r="J186" s="1"/>
      <c r="K186" s="1"/>
      <c r="L186" s="1"/>
      <c r="M186" s="18">
        <v>0.91</v>
      </c>
      <c r="N186" s="18">
        <v>0.04</v>
      </c>
      <c r="O186" s="18">
        <v>0.96</v>
      </c>
      <c r="P186" s="18">
        <v>0.6</v>
      </c>
      <c r="Q186" s="22">
        <v>1</v>
      </c>
      <c r="R186" s="294">
        <v>1</v>
      </c>
      <c r="S186" s="294">
        <v>0</v>
      </c>
      <c r="T186" s="365">
        <v>4</v>
      </c>
      <c r="U186" s="338" t="str">
        <f t="shared" si="102"/>
        <v>Normal</v>
      </c>
      <c r="V186" s="338" t="str">
        <f t="shared" si="103"/>
        <v>Normal</v>
      </c>
      <c r="W186" s="420">
        <f t="shared" si="104"/>
        <v>0.19047619047619047</v>
      </c>
      <c r="X186" s="420">
        <f t="shared" si="105"/>
        <v>0.21428571428571427</v>
      </c>
    </row>
    <row r="187" spans="1:37">
      <c r="A187" s="32">
        <v>45202</v>
      </c>
      <c r="B187" s="408">
        <f>IF(YEAR(Table7[[#This Row],[Date]]) = 2023, WEEKNUM(Table7[[#This Row],[Date]])-13, WEEKNUM(Table7[[#This Row],[Date]])+40)</f>
        <v>27</v>
      </c>
      <c r="C187" s="34" t="s">
        <v>50</v>
      </c>
      <c r="D187" s="34" t="s">
        <v>94</v>
      </c>
      <c r="E187" s="1">
        <v>319</v>
      </c>
      <c r="F187" s="1">
        <v>307</v>
      </c>
      <c r="G187" s="64">
        <f t="shared" ref="G187:H187" si="134">IFERROR((E187-E180)/E180,0%)</f>
        <v>0.12720848056537101</v>
      </c>
      <c r="H187" s="64">
        <f t="shared" si="134"/>
        <v>0.19455252918287938</v>
      </c>
      <c r="I187" s="1"/>
      <c r="J187" s="1"/>
      <c r="K187" s="1"/>
      <c r="L187" s="1"/>
      <c r="M187" s="18">
        <v>0.86</v>
      </c>
      <c r="N187" s="18">
        <v>0.04</v>
      </c>
      <c r="O187" s="18">
        <v>0.96</v>
      </c>
      <c r="P187" s="18">
        <v>0.52</v>
      </c>
      <c r="Q187" s="22">
        <v>1</v>
      </c>
      <c r="R187" s="294">
        <v>113</v>
      </c>
      <c r="S187" s="294">
        <v>0</v>
      </c>
      <c r="T187" s="365">
        <v>4</v>
      </c>
      <c r="U187" s="338" t="str">
        <f t="shared" si="102"/>
        <v>Normal</v>
      </c>
      <c r="V187" s="338" t="str">
        <f t="shared" si="103"/>
        <v>Normal</v>
      </c>
      <c r="W187" s="420">
        <f t="shared" si="104"/>
        <v>0.12720848056537101</v>
      </c>
      <c r="X187" s="420">
        <f t="shared" si="105"/>
        <v>0.19455252918287938</v>
      </c>
    </row>
    <row r="188" spans="1:37">
      <c r="A188" s="32">
        <v>45203</v>
      </c>
      <c r="B188" s="408">
        <f>IF(YEAR(Table7[[#This Row],[Date]]) = 2023, WEEKNUM(Table7[[#This Row],[Date]])-13, WEEKNUM(Table7[[#This Row],[Date]])+40)</f>
        <v>27</v>
      </c>
      <c r="C188" s="34" t="s">
        <v>51</v>
      </c>
      <c r="D188" s="34" t="s">
        <v>94</v>
      </c>
      <c r="E188" s="1">
        <v>265</v>
      </c>
      <c r="F188" s="1">
        <v>256</v>
      </c>
      <c r="G188" s="64">
        <f t="shared" ref="G188:H188" si="135">IFERROR((E188-E181)/E181,0%)</f>
        <v>3.515625E-2</v>
      </c>
      <c r="H188" s="64">
        <f t="shared" si="135"/>
        <v>1.5873015873015872E-2</v>
      </c>
      <c r="I188" s="1"/>
      <c r="J188" s="1"/>
      <c r="K188" s="1"/>
      <c r="L188" s="1"/>
      <c r="M188" s="18">
        <v>0.9</v>
      </c>
      <c r="N188" s="18">
        <v>0.03</v>
      </c>
      <c r="O188" s="18">
        <v>0.97</v>
      </c>
      <c r="P188" s="18">
        <v>0.61</v>
      </c>
      <c r="Q188" s="22">
        <v>1</v>
      </c>
      <c r="R188" s="294">
        <v>132</v>
      </c>
      <c r="S188" s="294">
        <v>0</v>
      </c>
      <c r="T188" s="365">
        <v>4</v>
      </c>
      <c r="U188" s="338" t="str">
        <f t="shared" si="102"/>
        <v>Normal</v>
      </c>
      <c r="V188" s="338" t="str">
        <f t="shared" si="103"/>
        <v>Normal</v>
      </c>
      <c r="W188" s="420">
        <f t="shared" si="104"/>
        <v>3.515625E-2</v>
      </c>
      <c r="X188" s="420">
        <f t="shared" si="105"/>
        <v>1.5873015873015872E-2</v>
      </c>
    </row>
    <row r="189" spans="1:37">
      <c r="A189" s="32">
        <v>45204</v>
      </c>
      <c r="B189" s="408">
        <f>IF(YEAR(Table7[[#This Row],[Date]]) = 2023, WEEKNUM(Table7[[#This Row],[Date]])-13, WEEKNUM(Table7[[#This Row],[Date]])+40)</f>
        <v>27</v>
      </c>
      <c r="C189" s="34" t="s">
        <v>52</v>
      </c>
      <c r="D189" s="34" t="s">
        <v>94</v>
      </c>
      <c r="E189" s="1">
        <v>278</v>
      </c>
      <c r="F189" s="1">
        <v>266</v>
      </c>
      <c r="G189" s="64">
        <f t="shared" ref="G189:H189" si="136">IFERROR((E189-E182)/E182,0%)</f>
        <v>0</v>
      </c>
      <c r="H189" s="64">
        <f t="shared" si="136"/>
        <v>0</v>
      </c>
      <c r="I189" s="1"/>
      <c r="J189" s="1"/>
      <c r="K189" s="1"/>
      <c r="L189" s="1"/>
      <c r="M189" s="18">
        <v>0.87</v>
      </c>
      <c r="N189" s="18">
        <v>0.04</v>
      </c>
      <c r="O189" s="18">
        <v>0.96</v>
      </c>
      <c r="P189" s="18">
        <v>0.46</v>
      </c>
      <c r="Q189" s="22">
        <v>0.99</v>
      </c>
      <c r="R189" s="294">
        <v>102</v>
      </c>
      <c r="S189" s="294">
        <v>0</v>
      </c>
      <c r="T189" s="365">
        <v>4</v>
      </c>
      <c r="U189" s="338" t="str">
        <f t="shared" si="102"/>
        <v>Normal</v>
      </c>
      <c r="V189" s="338" t="str">
        <f t="shared" si="103"/>
        <v>Normal</v>
      </c>
      <c r="W189" s="420">
        <f t="shared" si="104"/>
        <v>0</v>
      </c>
      <c r="X189" s="420">
        <f t="shared" si="105"/>
        <v>0</v>
      </c>
    </row>
    <row r="190" spans="1:37">
      <c r="A190" s="32">
        <v>45205</v>
      </c>
      <c r="B190" s="408">
        <f>IF(YEAR(Table7[[#This Row],[Date]]) = 2023, WEEKNUM(Table7[[#This Row],[Date]])-13, WEEKNUM(Table7[[#This Row],[Date]])+40)</f>
        <v>27</v>
      </c>
      <c r="C190" s="34" t="s">
        <v>53</v>
      </c>
      <c r="D190" s="34" t="s">
        <v>94</v>
      </c>
      <c r="E190" s="1">
        <v>247</v>
      </c>
      <c r="F190" s="1">
        <v>235</v>
      </c>
      <c r="G190" s="64">
        <f t="shared" ref="G190:H190" si="137">IFERROR((E190-E183)/E183,0%)</f>
        <v>-0.17666666666666667</v>
      </c>
      <c r="H190" s="64">
        <f t="shared" si="137"/>
        <v>-0.12313432835820895</v>
      </c>
      <c r="I190" s="1"/>
      <c r="J190" s="1"/>
      <c r="K190" s="1"/>
      <c r="L190" s="1"/>
      <c r="M190" s="18">
        <v>0.9</v>
      </c>
      <c r="N190" s="18">
        <v>0.05</v>
      </c>
      <c r="O190" s="18">
        <v>0.95</v>
      </c>
      <c r="P190" s="18">
        <v>0.45</v>
      </c>
      <c r="Q190" s="22">
        <v>0.99</v>
      </c>
      <c r="R190" s="294">
        <v>73</v>
      </c>
      <c r="S190" s="294">
        <v>0</v>
      </c>
      <c r="T190" s="365">
        <v>4</v>
      </c>
      <c r="U190" s="338" t="str">
        <f t="shared" si="102"/>
        <v>Normal</v>
      </c>
      <c r="V190" s="338" t="str">
        <f t="shared" si="103"/>
        <v>Normal</v>
      </c>
      <c r="W190" s="420">
        <f t="shared" si="104"/>
        <v>-0.17666666666666667</v>
      </c>
      <c r="X190" s="420">
        <f t="shared" si="105"/>
        <v>-0.12313432835820895</v>
      </c>
      <c r="AJ190" t="s">
        <v>139</v>
      </c>
      <c r="AK190">
        <f>SUM($E$337:$E$367)</f>
        <v>14594</v>
      </c>
    </row>
    <row r="191" spans="1:37">
      <c r="A191" s="32">
        <v>45206</v>
      </c>
      <c r="B191" s="408">
        <f>IF(YEAR(Table7[[#This Row],[Date]]) = 2023, WEEKNUM(Table7[[#This Row],[Date]])-13, WEEKNUM(Table7[[#This Row],[Date]])+40)</f>
        <v>27</v>
      </c>
      <c r="C191" s="34" t="s">
        <v>54</v>
      </c>
      <c r="D191" s="34" t="s">
        <v>94</v>
      </c>
      <c r="E191" s="1">
        <v>243</v>
      </c>
      <c r="F191" s="1">
        <v>231</v>
      </c>
      <c r="G191" s="64">
        <f t="shared" ref="G191:H191" si="138">IFERROR((E191-E184)/E184,0%)</f>
        <v>0.27894736842105261</v>
      </c>
      <c r="H191" s="64">
        <f t="shared" si="138"/>
        <v>0.33526011560693642</v>
      </c>
      <c r="I191" s="1"/>
      <c r="J191" s="1"/>
      <c r="K191" s="1"/>
      <c r="L191" s="1"/>
      <c r="M191" s="18">
        <v>0.92</v>
      </c>
      <c r="N191" s="18">
        <v>0.05</v>
      </c>
      <c r="O191" s="18">
        <v>0.95</v>
      </c>
      <c r="P191" s="18">
        <v>0.44</v>
      </c>
      <c r="Q191" s="22">
        <v>1</v>
      </c>
      <c r="R191" s="294">
        <v>61</v>
      </c>
      <c r="S191" s="294">
        <v>0</v>
      </c>
      <c r="T191" s="365">
        <v>4</v>
      </c>
      <c r="U191" s="338" t="str">
        <f t="shared" si="102"/>
        <v>Normal</v>
      </c>
      <c r="V191" s="338" t="str">
        <f t="shared" si="103"/>
        <v>Normal</v>
      </c>
      <c r="W191" s="420">
        <f t="shared" si="104"/>
        <v>0.27894736842105261</v>
      </c>
      <c r="X191" s="420">
        <f t="shared" si="105"/>
        <v>0.33526011560693642</v>
      </c>
      <c r="AJ191" t="s">
        <v>140</v>
      </c>
      <c r="AK191">
        <f>SUM($F$337:$F$367)</f>
        <v>10557</v>
      </c>
    </row>
    <row r="192" spans="1:37">
      <c r="A192" s="32">
        <v>45207</v>
      </c>
      <c r="B192" s="408">
        <f>IF(YEAR(Table7[[#This Row],[Date]]) = 2023, WEEKNUM(Table7[[#This Row],[Date]])-13, WEEKNUM(Table7[[#This Row],[Date]])+40)</f>
        <v>28</v>
      </c>
      <c r="C192" s="34" t="s">
        <v>48</v>
      </c>
      <c r="D192" s="34" t="s">
        <v>94</v>
      </c>
      <c r="E192" s="1">
        <v>0</v>
      </c>
      <c r="F192" s="1">
        <v>0</v>
      </c>
      <c r="G192" s="64">
        <f t="shared" ref="G192:H192" si="139">IFERROR((E192-E185)/E185,0%)</f>
        <v>0</v>
      </c>
      <c r="H192" s="64">
        <f t="shared" si="139"/>
        <v>0</v>
      </c>
      <c r="I192" s="1">
        <v>0</v>
      </c>
      <c r="J192" s="1">
        <v>0</v>
      </c>
      <c r="K192" s="1">
        <v>0</v>
      </c>
      <c r="L192" s="1">
        <v>0</v>
      </c>
      <c r="M192" s="18">
        <v>0</v>
      </c>
      <c r="N192" s="18">
        <v>0</v>
      </c>
      <c r="O192" s="18">
        <v>0</v>
      </c>
      <c r="P192" s="18">
        <v>0</v>
      </c>
      <c r="Q192" s="22">
        <v>0</v>
      </c>
      <c r="R192" s="294">
        <v>0</v>
      </c>
      <c r="S192" s="294">
        <v>0</v>
      </c>
      <c r="T192" s="365">
        <v>0</v>
      </c>
      <c r="U192" s="338" t="str">
        <f t="shared" si="102"/>
        <v>Normal</v>
      </c>
      <c r="V192" s="338" t="str">
        <f t="shared" si="103"/>
        <v>Normal</v>
      </c>
      <c r="W192" s="420">
        <f t="shared" si="104"/>
        <v>0</v>
      </c>
      <c r="X192" s="420">
        <f t="shared" si="105"/>
        <v>0</v>
      </c>
      <c r="AJ192" t="s">
        <v>32</v>
      </c>
      <c r="AK192" s="204">
        <f>AVERAGEIF($M$337:$M$367, "&lt;&gt;0")</f>
        <v>0.5083333333333333</v>
      </c>
    </row>
    <row r="193" spans="1:37">
      <c r="A193" s="32">
        <v>45208</v>
      </c>
      <c r="B193" s="408">
        <f>IF(YEAR(Table7[[#This Row],[Date]]) = 2023, WEEKNUM(Table7[[#This Row],[Date]])-13, WEEKNUM(Table7[[#This Row],[Date]])+40)</f>
        <v>28</v>
      </c>
      <c r="C193" s="34" t="s">
        <v>49</v>
      </c>
      <c r="D193" s="34" t="s">
        <v>94</v>
      </c>
      <c r="E193" s="1">
        <v>330</v>
      </c>
      <c r="F193" s="1">
        <v>314</v>
      </c>
      <c r="G193" s="64">
        <f t="shared" ref="G193:H193" si="140">IFERROR((E193-E186)/E186,0%)</f>
        <v>0.1</v>
      </c>
      <c r="H193" s="64">
        <f t="shared" si="140"/>
        <v>8.6505190311418678E-2</v>
      </c>
      <c r="I193" s="1"/>
      <c r="J193" s="1"/>
      <c r="K193" s="1"/>
      <c r="L193" s="1"/>
      <c r="M193" s="18">
        <v>0.91</v>
      </c>
      <c r="N193" s="18">
        <v>0.05</v>
      </c>
      <c r="O193" s="18">
        <v>0.95</v>
      </c>
      <c r="P193" s="18">
        <v>0.56000000000000005</v>
      </c>
      <c r="Q193" s="22">
        <v>0.99</v>
      </c>
      <c r="R193" s="294">
        <v>77</v>
      </c>
      <c r="S193" s="294">
        <v>0</v>
      </c>
      <c r="T193" s="365">
        <v>4</v>
      </c>
      <c r="U193" s="338" t="str">
        <f t="shared" si="102"/>
        <v>Normal</v>
      </c>
      <c r="V193" s="338" t="str">
        <f t="shared" si="103"/>
        <v>Normal</v>
      </c>
      <c r="W193" s="420">
        <f t="shared" si="104"/>
        <v>0.1</v>
      </c>
      <c r="X193" s="420">
        <f t="shared" si="105"/>
        <v>8.6505190311418678E-2</v>
      </c>
      <c r="AJ193" t="s">
        <v>120</v>
      </c>
      <c r="AK193" s="204">
        <f>AVERAGEIF($P$337:$P$367, "&lt;&gt;0")</f>
        <v>0.72375</v>
      </c>
    </row>
    <row r="194" spans="1:37">
      <c r="A194" s="32">
        <v>45209</v>
      </c>
      <c r="B194" s="408">
        <f>IF(YEAR(Table7[[#This Row],[Date]]) = 2023, WEEKNUM(Table7[[#This Row],[Date]])-13, WEEKNUM(Table7[[#This Row],[Date]])+40)</f>
        <v>28</v>
      </c>
      <c r="C194" s="34" t="s">
        <v>50</v>
      </c>
      <c r="D194" s="34" t="s">
        <v>94</v>
      </c>
      <c r="E194" s="1">
        <v>307</v>
      </c>
      <c r="F194" s="1">
        <v>297</v>
      </c>
      <c r="G194" s="64">
        <f t="shared" ref="G194:H194" si="141">IFERROR((E194-E187)/E187,0%)</f>
        <v>-3.7617554858934171E-2</v>
      </c>
      <c r="H194" s="64">
        <f t="shared" si="141"/>
        <v>-3.2573289902280131E-2</v>
      </c>
      <c r="I194" s="1"/>
      <c r="J194" s="1"/>
      <c r="K194" s="1"/>
      <c r="L194" s="1"/>
      <c r="M194" s="18">
        <v>0.92</v>
      </c>
      <c r="N194" s="18">
        <v>0.03</v>
      </c>
      <c r="O194" s="18">
        <v>0.97</v>
      </c>
      <c r="P194" s="18">
        <v>0.45</v>
      </c>
      <c r="Q194" s="22">
        <v>1</v>
      </c>
      <c r="R194" s="294">
        <v>86</v>
      </c>
      <c r="S194" s="294">
        <v>0</v>
      </c>
      <c r="T194" s="365">
        <v>4</v>
      </c>
      <c r="U194" s="338" t="str">
        <f t="shared" si="102"/>
        <v>Normal</v>
      </c>
      <c r="V194" s="338" t="str">
        <f t="shared" si="103"/>
        <v>Normal</v>
      </c>
      <c r="W194" s="420">
        <f t="shared" si="104"/>
        <v>-3.7617554858934171E-2</v>
      </c>
      <c r="X194" s="420">
        <f t="shared" si="105"/>
        <v>-3.2573289902280131E-2</v>
      </c>
      <c r="AJ194" t="s">
        <v>7</v>
      </c>
      <c r="AK194" s="204">
        <f>AVERAGEIF($Q$337:$Q$367,"&lt;&gt;0")</f>
        <v>0.99666666666666648</v>
      </c>
    </row>
    <row r="195" spans="1:37">
      <c r="A195" s="32">
        <v>45210</v>
      </c>
      <c r="B195" s="408">
        <f>IF(YEAR(Table7[[#This Row],[Date]]) = 2023, WEEKNUM(Table7[[#This Row],[Date]])-13, WEEKNUM(Table7[[#This Row],[Date]])+40)</f>
        <v>28</v>
      </c>
      <c r="C195" s="34" t="s">
        <v>51</v>
      </c>
      <c r="D195" s="34" t="s">
        <v>94</v>
      </c>
      <c r="E195" s="1">
        <v>4</v>
      </c>
      <c r="F195" s="1">
        <v>4</v>
      </c>
      <c r="G195" s="64">
        <f t="shared" ref="G195:H195" si="142">IFERROR((E195-E188)/E188,0%)</f>
        <v>-0.98490566037735849</v>
      </c>
      <c r="H195" s="64">
        <f t="shared" si="142"/>
        <v>-0.984375</v>
      </c>
      <c r="I195" s="1"/>
      <c r="J195" s="1"/>
      <c r="K195" s="1"/>
      <c r="L195" s="1"/>
      <c r="M195" s="18">
        <v>1</v>
      </c>
      <c r="N195" s="18">
        <v>0</v>
      </c>
      <c r="O195" s="18">
        <v>1</v>
      </c>
      <c r="P195" s="18">
        <v>7.0000000000000007E-2</v>
      </c>
      <c r="Q195" s="22">
        <v>0.93</v>
      </c>
      <c r="R195" s="294">
        <v>64</v>
      </c>
      <c r="S195" s="294">
        <v>0</v>
      </c>
      <c r="T195" s="365">
        <v>2</v>
      </c>
      <c r="U195" s="338" t="str">
        <f t="shared" si="102"/>
        <v>Outlier</v>
      </c>
      <c r="V195" s="338" t="str">
        <f t="shared" si="103"/>
        <v>Outlier</v>
      </c>
      <c r="W195" s="420">
        <f t="shared" si="104"/>
        <v>-0.98490566037735849</v>
      </c>
      <c r="X195" s="420">
        <f t="shared" si="105"/>
        <v>-0.984375</v>
      </c>
    </row>
    <row r="196" spans="1:37">
      <c r="A196" s="32">
        <v>45211</v>
      </c>
      <c r="B196" s="408">
        <f>IF(YEAR(Table7[[#This Row],[Date]]) = 2023, WEEKNUM(Table7[[#This Row],[Date]])-13, WEEKNUM(Table7[[#This Row],[Date]])+40)</f>
        <v>28</v>
      </c>
      <c r="C196" s="34" t="s">
        <v>52</v>
      </c>
      <c r="D196" s="34" t="s">
        <v>94</v>
      </c>
      <c r="E196" s="1">
        <v>264</v>
      </c>
      <c r="F196" s="1">
        <v>244</v>
      </c>
      <c r="G196" s="64">
        <f t="shared" ref="G196:H196" si="143">IFERROR((E196-E189)/E189,0%)</f>
        <v>-5.0359712230215826E-2</v>
      </c>
      <c r="H196" s="64">
        <f t="shared" si="143"/>
        <v>-8.2706766917293228E-2</v>
      </c>
      <c r="I196" s="1"/>
      <c r="J196" s="1"/>
      <c r="K196" s="1"/>
      <c r="L196" s="1"/>
      <c r="M196" s="18">
        <v>0.84</v>
      </c>
      <c r="N196" s="18">
        <v>0.08</v>
      </c>
      <c r="O196" s="18">
        <v>0.92</v>
      </c>
      <c r="P196" s="18">
        <v>0.59</v>
      </c>
      <c r="Q196" s="22">
        <v>1</v>
      </c>
      <c r="R196" s="294">
        <v>114</v>
      </c>
      <c r="S196" s="294">
        <v>0</v>
      </c>
      <c r="T196" s="365">
        <v>3</v>
      </c>
      <c r="U196" s="338" t="str">
        <f t="shared" si="102"/>
        <v>Normal</v>
      </c>
      <c r="V196" s="338" t="str">
        <f t="shared" si="103"/>
        <v>Normal</v>
      </c>
      <c r="W196" s="420">
        <f t="shared" si="104"/>
        <v>-5.0359712230215826E-2</v>
      </c>
      <c r="X196" s="420">
        <f t="shared" si="105"/>
        <v>-8.2706766917293228E-2</v>
      </c>
    </row>
    <row r="197" spans="1:37">
      <c r="A197" s="32">
        <v>45212</v>
      </c>
      <c r="B197" s="408">
        <f>IF(YEAR(Table7[[#This Row],[Date]]) = 2023, WEEKNUM(Table7[[#This Row],[Date]])-13, WEEKNUM(Table7[[#This Row],[Date]])+40)</f>
        <v>28</v>
      </c>
      <c r="C197" s="34" t="s">
        <v>53</v>
      </c>
      <c r="D197" s="34" t="s">
        <v>94</v>
      </c>
      <c r="E197" s="1">
        <v>242</v>
      </c>
      <c r="F197" s="1">
        <v>236</v>
      </c>
      <c r="G197" s="64">
        <f t="shared" ref="G197:H197" si="144">IFERROR((E197-E190)/E190,0%)</f>
        <v>-2.0242914979757085E-2</v>
      </c>
      <c r="H197" s="64">
        <f t="shared" si="144"/>
        <v>4.2553191489361703E-3</v>
      </c>
      <c r="I197" s="1"/>
      <c r="J197" s="1"/>
      <c r="K197" s="1"/>
      <c r="L197" s="1"/>
      <c r="M197" s="18">
        <v>0.88</v>
      </c>
      <c r="N197" s="18">
        <v>0.02</v>
      </c>
      <c r="O197" s="18">
        <v>0.98</v>
      </c>
      <c r="P197" s="18">
        <v>0.46</v>
      </c>
      <c r="Q197" s="22">
        <v>1</v>
      </c>
      <c r="R197" s="294">
        <v>107</v>
      </c>
      <c r="S197" s="294">
        <v>0</v>
      </c>
      <c r="T197" s="365">
        <v>4</v>
      </c>
      <c r="U197" s="338" t="str">
        <f t="shared" si="102"/>
        <v>Normal</v>
      </c>
      <c r="V197" s="338" t="str">
        <f t="shared" si="103"/>
        <v>Normal</v>
      </c>
      <c r="W197" s="420">
        <f t="shared" si="104"/>
        <v>-2.0242914979757085E-2</v>
      </c>
      <c r="X197" s="420">
        <f t="shared" si="105"/>
        <v>4.2553191489361703E-3</v>
      </c>
    </row>
    <row r="198" spans="1:37">
      <c r="A198" s="32">
        <v>45213</v>
      </c>
      <c r="B198" s="408">
        <f>IF(YEAR(Table7[[#This Row],[Date]]) = 2023, WEEKNUM(Table7[[#This Row],[Date]])-13, WEEKNUM(Table7[[#This Row],[Date]])+40)</f>
        <v>28</v>
      </c>
      <c r="C198" s="34" t="s">
        <v>54</v>
      </c>
      <c r="D198" s="34" t="s">
        <v>94</v>
      </c>
      <c r="E198" s="1">
        <v>188</v>
      </c>
      <c r="F198" s="1">
        <v>179</v>
      </c>
      <c r="G198" s="64">
        <f t="shared" ref="G198:H198" si="145">IFERROR((E198-E191)/E191,0%)</f>
        <v>-0.22633744855967078</v>
      </c>
      <c r="H198" s="64">
        <f t="shared" si="145"/>
        <v>-0.22510822510822512</v>
      </c>
      <c r="I198" s="1"/>
      <c r="J198" s="1"/>
      <c r="K198" s="1"/>
      <c r="L198" s="1"/>
      <c r="M198" s="18">
        <v>0.94</v>
      </c>
      <c r="N198" s="18">
        <v>0.05</v>
      </c>
      <c r="O198" s="18">
        <v>0.95</v>
      </c>
      <c r="P198" s="18">
        <v>0.41</v>
      </c>
      <c r="Q198" s="22">
        <v>1</v>
      </c>
      <c r="R198" s="294">
        <v>125</v>
      </c>
      <c r="S198" s="294">
        <v>0</v>
      </c>
      <c r="T198" s="365">
        <v>3</v>
      </c>
      <c r="U198" s="338" t="str">
        <f t="shared" si="102"/>
        <v>Normal</v>
      </c>
      <c r="V198" s="338" t="str">
        <f t="shared" si="103"/>
        <v>Normal</v>
      </c>
      <c r="W198" s="420">
        <f t="shared" si="104"/>
        <v>-0.22633744855967078</v>
      </c>
      <c r="X198" s="420">
        <f t="shared" si="105"/>
        <v>-0.22510822510822512</v>
      </c>
    </row>
    <row r="199" spans="1:37">
      <c r="A199" s="32">
        <v>45214</v>
      </c>
      <c r="B199" s="408">
        <f>IF(YEAR(Table7[[#This Row],[Date]]) = 2023, WEEKNUM(Table7[[#This Row],[Date]])-13, WEEKNUM(Table7[[#This Row],[Date]])+40)</f>
        <v>29</v>
      </c>
      <c r="C199" s="34" t="s">
        <v>48</v>
      </c>
      <c r="D199" s="34" t="s">
        <v>94</v>
      </c>
      <c r="E199" s="1">
        <v>19</v>
      </c>
      <c r="F199" s="1">
        <v>15</v>
      </c>
      <c r="G199" s="64">
        <f t="shared" ref="G199:H199" si="146">IFERROR((E199-E192)/E192,0%)</f>
        <v>0</v>
      </c>
      <c r="H199" s="64">
        <f t="shared" si="146"/>
        <v>0</v>
      </c>
      <c r="I199" s="1"/>
      <c r="J199" s="1"/>
      <c r="K199" s="1"/>
      <c r="L199" s="1"/>
      <c r="M199" s="18">
        <v>0.63</v>
      </c>
      <c r="N199" s="18">
        <v>0.21</v>
      </c>
      <c r="O199" s="18">
        <v>0.79</v>
      </c>
      <c r="P199" s="18">
        <v>0.17</v>
      </c>
      <c r="Q199" s="22">
        <v>1</v>
      </c>
      <c r="R199" s="294">
        <v>78</v>
      </c>
      <c r="S199" s="294">
        <v>0</v>
      </c>
      <c r="T199" s="365">
        <v>1</v>
      </c>
      <c r="U199" s="338" t="str">
        <f t="shared" si="102"/>
        <v>Normal</v>
      </c>
      <c r="V199" s="338" t="str">
        <f t="shared" si="103"/>
        <v>Normal</v>
      </c>
      <c r="W199" s="420">
        <f t="shared" si="104"/>
        <v>0</v>
      </c>
      <c r="X199" s="420">
        <f t="shared" si="105"/>
        <v>0</v>
      </c>
    </row>
    <row r="200" spans="1:37">
      <c r="A200" s="32">
        <v>45215</v>
      </c>
      <c r="B200" s="408">
        <f>IF(YEAR(Table7[[#This Row],[Date]]) = 2023, WEEKNUM(Table7[[#This Row],[Date]])-13, WEEKNUM(Table7[[#This Row],[Date]])+40)</f>
        <v>29</v>
      </c>
      <c r="C200" s="34" t="s">
        <v>49</v>
      </c>
      <c r="D200" s="34" t="s">
        <v>94</v>
      </c>
      <c r="E200" s="1">
        <v>250</v>
      </c>
      <c r="F200" s="1">
        <v>234</v>
      </c>
      <c r="G200" s="64">
        <f t="shared" ref="G200:H200" si="147">IFERROR((E200-E193)/E193,0%)</f>
        <v>-0.24242424242424243</v>
      </c>
      <c r="H200" s="64">
        <f t="shared" si="147"/>
        <v>-0.25477707006369427</v>
      </c>
      <c r="I200" s="1"/>
      <c r="J200" s="1"/>
      <c r="K200" s="1"/>
      <c r="L200" s="1"/>
      <c r="M200" s="18">
        <v>0.86</v>
      </c>
      <c r="N200" s="18">
        <v>0.06</v>
      </c>
      <c r="O200" s="18">
        <v>0.94</v>
      </c>
      <c r="P200" s="18">
        <v>0.55000000000000004</v>
      </c>
      <c r="Q200" s="22">
        <v>1</v>
      </c>
      <c r="R200" s="294">
        <v>84</v>
      </c>
      <c r="S200" s="294">
        <v>0</v>
      </c>
      <c r="T200" s="365">
        <v>3</v>
      </c>
      <c r="U200" s="338" t="str">
        <f t="shared" si="102"/>
        <v>Normal</v>
      </c>
      <c r="V200" s="338" t="str">
        <f t="shared" si="103"/>
        <v>Normal</v>
      </c>
      <c r="W200" s="420">
        <f t="shared" si="104"/>
        <v>-0.24242424242424243</v>
      </c>
      <c r="X200" s="420">
        <f t="shared" si="105"/>
        <v>-0.25477707006369427</v>
      </c>
    </row>
    <row r="201" spans="1:37">
      <c r="A201" s="32">
        <v>45216</v>
      </c>
      <c r="B201" s="408">
        <f>IF(YEAR(Table7[[#This Row],[Date]]) = 2023, WEEKNUM(Table7[[#This Row],[Date]])-13, WEEKNUM(Table7[[#This Row],[Date]])+40)</f>
        <v>29</v>
      </c>
      <c r="C201" s="34" t="s">
        <v>50</v>
      </c>
      <c r="D201" s="34" t="s">
        <v>94</v>
      </c>
      <c r="E201" s="1">
        <v>285</v>
      </c>
      <c r="F201" s="1">
        <v>272</v>
      </c>
      <c r="G201" s="64">
        <f t="shared" ref="G201:H201" si="148">IFERROR((E201-E194)/E194,0%)</f>
        <v>-7.1661237785016291E-2</v>
      </c>
      <c r="H201" s="64">
        <f t="shared" si="148"/>
        <v>-8.4175084175084181E-2</v>
      </c>
      <c r="I201" s="1"/>
      <c r="J201" s="1"/>
      <c r="K201" s="1"/>
      <c r="L201" s="1"/>
      <c r="M201" s="18">
        <v>0.94</v>
      </c>
      <c r="N201" s="18">
        <v>0.05</v>
      </c>
      <c r="O201" s="18">
        <v>0.95</v>
      </c>
      <c r="P201" s="18">
        <v>0.55000000000000004</v>
      </c>
      <c r="Q201" s="22">
        <v>0.99</v>
      </c>
      <c r="R201" s="294">
        <v>95</v>
      </c>
      <c r="S201" s="294">
        <v>0</v>
      </c>
      <c r="T201" s="365">
        <v>3</v>
      </c>
      <c r="U201" s="338" t="str">
        <f t="shared" si="102"/>
        <v>Normal</v>
      </c>
      <c r="V201" s="338" t="str">
        <f t="shared" si="103"/>
        <v>Normal</v>
      </c>
      <c r="W201" s="420">
        <f t="shared" si="104"/>
        <v>-7.1661237785016291E-2</v>
      </c>
      <c r="X201" s="420">
        <f t="shared" si="105"/>
        <v>-8.4175084175084181E-2</v>
      </c>
    </row>
    <row r="202" spans="1:37">
      <c r="A202" s="32">
        <v>45217</v>
      </c>
      <c r="B202" s="408">
        <f>IF(YEAR(Table7[[#This Row],[Date]]) = 2023, WEEKNUM(Table7[[#This Row],[Date]])-13, WEEKNUM(Table7[[#This Row],[Date]])+40)</f>
        <v>29</v>
      </c>
      <c r="C202" s="34" t="s">
        <v>51</v>
      </c>
      <c r="D202" s="34" t="s">
        <v>94</v>
      </c>
      <c r="E202" s="1">
        <v>240</v>
      </c>
      <c r="F202" s="1">
        <v>235</v>
      </c>
      <c r="G202" s="64">
        <f t="shared" ref="G202:H202" si="149">IFERROR((E202-E195)/E195,0%)</f>
        <v>59</v>
      </c>
      <c r="H202" s="64">
        <f t="shared" si="149"/>
        <v>57.75</v>
      </c>
      <c r="I202" s="1"/>
      <c r="J202" s="1"/>
      <c r="K202" s="1"/>
      <c r="L202" s="1"/>
      <c r="M202" s="18">
        <v>0.88</v>
      </c>
      <c r="N202" s="18">
        <v>0.02</v>
      </c>
      <c r="O202" s="18">
        <v>0.98</v>
      </c>
      <c r="P202" s="18">
        <v>0.54</v>
      </c>
      <c r="Q202" s="22">
        <v>0.99</v>
      </c>
      <c r="R202" s="294">
        <v>121</v>
      </c>
      <c r="S202" s="294">
        <v>0</v>
      </c>
      <c r="T202" s="365">
        <v>4</v>
      </c>
      <c r="U202" s="338" t="str">
        <f t="shared" si="102"/>
        <v>Outlier</v>
      </c>
      <c r="V202" s="338" t="str">
        <f t="shared" si="103"/>
        <v>Outlier</v>
      </c>
      <c r="W202" s="420">
        <f t="shared" si="104"/>
        <v>0.30866978799112715</v>
      </c>
      <c r="X202" s="420">
        <f t="shared" si="105"/>
        <v>0.30815517891211569</v>
      </c>
    </row>
    <row r="203" spans="1:37">
      <c r="A203" s="32">
        <v>45218</v>
      </c>
      <c r="B203" s="408">
        <f>IF(YEAR(Table7[[#This Row],[Date]]) = 2023, WEEKNUM(Table7[[#This Row],[Date]])-13, WEEKNUM(Table7[[#This Row],[Date]])+40)</f>
        <v>29</v>
      </c>
      <c r="C203" s="34" t="s">
        <v>52</v>
      </c>
      <c r="D203" s="34" t="s">
        <v>94</v>
      </c>
      <c r="E203" s="1">
        <v>249</v>
      </c>
      <c r="F203" s="1">
        <v>233</v>
      </c>
      <c r="G203" s="64">
        <f t="shared" ref="G203:H203" si="150">IFERROR((E203-E196)/E196,0%)</f>
        <v>-5.6818181818181816E-2</v>
      </c>
      <c r="H203" s="64">
        <f t="shared" si="150"/>
        <v>-4.5081967213114756E-2</v>
      </c>
      <c r="I203" s="1"/>
      <c r="J203" s="1"/>
      <c r="K203" s="1"/>
      <c r="L203" s="1"/>
      <c r="M203" s="18">
        <v>0.84</v>
      </c>
      <c r="N203" s="18">
        <v>0.06</v>
      </c>
      <c r="O203" s="18">
        <v>0.94</v>
      </c>
      <c r="P203" s="18">
        <v>0.06</v>
      </c>
      <c r="Q203" s="22">
        <v>1</v>
      </c>
      <c r="R203" s="294">
        <v>99</v>
      </c>
      <c r="S203" s="294">
        <v>0</v>
      </c>
      <c r="T203" s="365">
        <v>3</v>
      </c>
      <c r="U203" s="338" t="str">
        <f t="shared" si="102"/>
        <v>Normal</v>
      </c>
      <c r="V203" s="338" t="str">
        <f t="shared" si="103"/>
        <v>Normal</v>
      </c>
      <c r="W203" s="420">
        <f t="shared" si="104"/>
        <v>-5.6818181818181816E-2</v>
      </c>
      <c r="X203" s="420">
        <f t="shared" si="105"/>
        <v>-4.5081967213114756E-2</v>
      </c>
    </row>
    <row r="204" spans="1:37">
      <c r="A204" s="32">
        <v>45219</v>
      </c>
      <c r="B204" s="408">
        <f>IF(YEAR(Table7[[#This Row],[Date]]) = 2023, WEEKNUM(Table7[[#This Row],[Date]])-13, WEEKNUM(Table7[[#This Row],[Date]])+40)</f>
        <v>29</v>
      </c>
      <c r="C204" s="34" t="s">
        <v>53</v>
      </c>
      <c r="D204" s="34" t="s">
        <v>94</v>
      </c>
      <c r="E204" s="1">
        <v>209</v>
      </c>
      <c r="F204" s="1">
        <v>201</v>
      </c>
      <c r="G204" s="64">
        <f t="shared" ref="G204:H204" si="151">IFERROR((E204-E197)/E197,0%)</f>
        <v>-0.13636363636363635</v>
      </c>
      <c r="H204" s="64">
        <f t="shared" si="151"/>
        <v>-0.14830508474576271</v>
      </c>
      <c r="I204" s="1"/>
      <c r="J204" s="1"/>
      <c r="K204" s="1"/>
      <c r="L204" s="1"/>
      <c r="M204" s="18">
        <v>0.94</v>
      </c>
      <c r="N204" s="18">
        <v>0.04</v>
      </c>
      <c r="O204" s="18">
        <v>0.96</v>
      </c>
      <c r="P204" s="18">
        <v>0.46</v>
      </c>
      <c r="Q204" s="22">
        <v>1</v>
      </c>
      <c r="R204" s="294">
        <v>106</v>
      </c>
      <c r="S204" s="294">
        <v>0</v>
      </c>
      <c r="T204" s="365">
        <v>4</v>
      </c>
      <c r="U204" s="338" t="str">
        <f t="shared" si="102"/>
        <v>Normal</v>
      </c>
      <c r="V204" s="338" t="str">
        <f t="shared" si="103"/>
        <v>Normal</v>
      </c>
      <c r="W204" s="420">
        <f t="shared" si="104"/>
        <v>-0.13636363636363635</v>
      </c>
      <c r="X204" s="420">
        <f t="shared" si="105"/>
        <v>-0.14830508474576271</v>
      </c>
    </row>
    <row r="205" spans="1:37">
      <c r="A205" s="32">
        <v>45220</v>
      </c>
      <c r="B205" s="408">
        <f>IF(YEAR(Table7[[#This Row],[Date]]) = 2023, WEEKNUM(Table7[[#This Row],[Date]])-13, WEEKNUM(Table7[[#This Row],[Date]])+40)</f>
        <v>29</v>
      </c>
      <c r="C205" s="34" t="s">
        <v>54</v>
      </c>
      <c r="D205" s="34" t="s">
        <v>94</v>
      </c>
      <c r="E205" s="1">
        <v>188</v>
      </c>
      <c r="F205" s="1">
        <v>176</v>
      </c>
      <c r="G205" s="64">
        <f t="shared" ref="G205:H205" si="152">IFERROR((E205-E198)/E198,0%)</f>
        <v>0</v>
      </c>
      <c r="H205" s="64">
        <f t="shared" si="152"/>
        <v>-1.6759776536312849E-2</v>
      </c>
      <c r="I205" s="1"/>
      <c r="J205" s="1"/>
      <c r="K205" s="1"/>
      <c r="L205" s="1"/>
      <c r="M205" s="18">
        <v>0.67</v>
      </c>
      <c r="N205" s="18">
        <v>0.06</v>
      </c>
      <c r="O205" s="18">
        <v>0.94</v>
      </c>
      <c r="P205" s="18">
        <v>0.41</v>
      </c>
      <c r="Q205" s="22">
        <v>1</v>
      </c>
      <c r="R205" s="294">
        <v>119</v>
      </c>
      <c r="S205" s="294">
        <v>0</v>
      </c>
      <c r="T205" s="365">
        <v>3</v>
      </c>
      <c r="U205" s="338" t="str">
        <f t="shared" si="102"/>
        <v>Normal</v>
      </c>
      <c r="V205" s="338" t="str">
        <f t="shared" si="103"/>
        <v>Normal</v>
      </c>
      <c r="W205" s="420">
        <f t="shared" si="104"/>
        <v>0</v>
      </c>
      <c r="X205" s="420">
        <f t="shared" si="105"/>
        <v>-1.6759776536312849E-2</v>
      </c>
    </row>
    <row r="206" spans="1:37">
      <c r="A206" s="32">
        <v>45221</v>
      </c>
      <c r="B206" s="408">
        <f>IF(YEAR(Table7[[#This Row],[Date]]) = 2023, WEEKNUM(Table7[[#This Row],[Date]])-13, WEEKNUM(Table7[[#This Row],[Date]])+40)</f>
        <v>30</v>
      </c>
      <c r="C206" s="34" t="s">
        <v>48</v>
      </c>
      <c r="D206" s="34" t="s">
        <v>94</v>
      </c>
      <c r="E206" s="1">
        <v>99</v>
      </c>
      <c r="F206" s="1">
        <v>90</v>
      </c>
      <c r="G206" s="64">
        <f t="shared" ref="G206:H206" si="153">IFERROR((E206-E199)/E199,0%)</f>
        <v>4.2105263157894735</v>
      </c>
      <c r="H206" s="64">
        <f t="shared" si="153"/>
        <v>5</v>
      </c>
      <c r="I206" s="1"/>
      <c r="J206" s="1"/>
      <c r="K206" s="1"/>
      <c r="L206" s="1"/>
      <c r="M206" s="18">
        <v>0.83</v>
      </c>
      <c r="N206" s="18">
        <v>0.09</v>
      </c>
      <c r="O206" s="18">
        <v>0.91</v>
      </c>
      <c r="P206" s="18">
        <v>0.37</v>
      </c>
      <c r="Q206" s="22">
        <v>0.99</v>
      </c>
      <c r="R206" s="294">
        <v>47</v>
      </c>
      <c r="S206" s="294">
        <v>0</v>
      </c>
      <c r="T206" s="365">
        <v>2</v>
      </c>
      <c r="U206" s="338" t="str">
        <f t="shared" si="102"/>
        <v>Outlier</v>
      </c>
      <c r="V206" s="338" t="str">
        <f t="shared" si="103"/>
        <v>Outlier</v>
      </c>
      <c r="W206" s="420">
        <f t="shared" si="104"/>
        <v>0.30866978799112715</v>
      </c>
      <c r="X206" s="420">
        <f t="shared" si="105"/>
        <v>0.30815517891211569</v>
      </c>
    </row>
    <row r="207" spans="1:37">
      <c r="A207" s="32">
        <v>45222</v>
      </c>
      <c r="B207" s="408">
        <f>IF(YEAR(Table7[[#This Row],[Date]]) = 2023, WEEKNUM(Table7[[#This Row],[Date]])-13, WEEKNUM(Table7[[#This Row],[Date]])+40)</f>
        <v>30</v>
      </c>
      <c r="C207" s="34" t="s">
        <v>49</v>
      </c>
      <c r="D207" s="34" t="s">
        <v>94</v>
      </c>
      <c r="E207" s="1">
        <v>239</v>
      </c>
      <c r="F207" s="1">
        <v>232</v>
      </c>
      <c r="G207" s="64">
        <f t="shared" ref="G207:H207" si="154">IFERROR((E207-E200)/E200,0%)</f>
        <v>-4.3999999999999997E-2</v>
      </c>
      <c r="H207" s="64">
        <f t="shared" si="154"/>
        <v>-8.5470085470085479E-3</v>
      </c>
      <c r="I207" s="1"/>
      <c r="J207" s="1"/>
      <c r="K207" s="1"/>
      <c r="L207" s="1"/>
      <c r="M207" s="18">
        <v>0.96</v>
      </c>
      <c r="N207" s="18">
        <v>0.03</v>
      </c>
      <c r="O207" s="18">
        <v>0.97</v>
      </c>
      <c r="P207" s="18">
        <v>0.6</v>
      </c>
      <c r="Q207" s="22">
        <v>1</v>
      </c>
      <c r="R207" s="294">
        <v>111</v>
      </c>
      <c r="S207" s="294">
        <v>0</v>
      </c>
      <c r="T207" s="365">
        <v>4</v>
      </c>
      <c r="U207" s="338" t="str">
        <f t="shared" si="102"/>
        <v>Normal</v>
      </c>
      <c r="V207" s="338" t="str">
        <f t="shared" si="103"/>
        <v>Normal</v>
      </c>
      <c r="W207" s="420">
        <f t="shared" si="104"/>
        <v>-4.3999999999999997E-2</v>
      </c>
      <c r="X207" s="420">
        <f t="shared" si="105"/>
        <v>-8.5470085470085479E-3</v>
      </c>
    </row>
    <row r="208" spans="1:37">
      <c r="A208" s="32">
        <v>45223</v>
      </c>
      <c r="B208" s="408">
        <f>IF(YEAR(Table7[[#This Row],[Date]]) = 2023, WEEKNUM(Table7[[#This Row],[Date]])-13, WEEKNUM(Table7[[#This Row],[Date]])+40)</f>
        <v>30</v>
      </c>
      <c r="C208" s="34" t="s">
        <v>50</v>
      </c>
      <c r="D208" s="34" t="s">
        <v>94</v>
      </c>
      <c r="E208" s="1">
        <v>266</v>
      </c>
      <c r="F208" s="1">
        <v>254</v>
      </c>
      <c r="G208" s="64">
        <f t="shared" ref="G208:H208" si="155">IFERROR((E208-E201)/E201,0%)</f>
        <v>-6.6666666666666666E-2</v>
      </c>
      <c r="H208" s="64">
        <f t="shared" si="155"/>
        <v>-6.6176470588235295E-2</v>
      </c>
      <c r="I208" s="1"/>
      <c r="J208" s="1"/>
      <c r="K208" s="1"/>
      <c r="L208" s="1"/>
      <c r="M208" s="18">
        <v>0.96</v>
      </c>
      <c r="N208" s="18">
        <v>0.05</v>
      </c>
      <c r="O208" s="18">
        <v>0.95</v>
      </c>
      <c r="P208" s="18">
        <v>0.48</v>
      </c>
      <c r="Q208" s="22">
        <v>1</v>
      </c>
      <c r="R208" s="294">
        <v>127</v>
      </c>
      <c r="S208" s="294">
        <v>0</v>
      </c>
      <c r="T208" s="365">
        <v>3</v>
      </c>
      <c r="U208" s="338" t="str">
        <f t="shared" si="102"/>
        <v>Normal</v>
      </c>
      <c r="V208" s="338" t="str">
        <f t="shared" si="103"/>
        <v>Normal</v>
      </c>
      <c r="W208" s="420">
        <f t="shared" si="104"/>
        <v>-6.6666666666666666E-2</v>
      </c>
      <c r="X208" s="420">
        <f t="shared" si="105"/>
        <v>-6.6176470588235295E-2</v>
      </c>
    </row>
    <row r="209" spans="1:38">
      <c r="A209" s="32">
        <v>45224</v>
      </c>
      <c r="B209" s="408">
        <f>IF(YEAR(Table7[[#This Row],[Date]]) = 2023, WEEKNUM(Table7[[#This Row],[Date]])-13, WEEKNUM(Table7[[#This Row],[Date]])+40)</f>
        <v>30</v>
      </c>
      <c r="C209" s="34" t="s">
        <v>51</v>
      </c>
      <c r="D209" s="34" t="s">
        <v>94</v>
      </c>
      <c r="E209" s="1">
        <v>229</v>
      </c>
      <c r="F209" s="1">
        <v>206</v>
      </c>
      <c r="G209" s="64">
        <f t="shared" ref="G209:H209" si="156">IFERROR((E209-E202)/E202,0%)</f>
        <v>-4.583333333333333E-2</v>
      </c>
      <c r="H209" s="64">
        <f t="shared" si="156"/>
        <v>-0.12340425531914893</v>
      </c>
      <c r="I209" s="1"/>
      <c r="J209" s="1"/>
      <c r="K209" s="1"/>
      <c r="L209" s="1"/>
      <c r="M209" s="18">
        <v>0.92</v>
      </c>
      <c r="N209" s="18">
        <v>0.1</v>
      </c>
      <c r="O209" s="18">
        <v>0.9</v>
      </c>
      <c r="P209" s="18">
        <v>0.65</v>
      </c>
      <c r="Q209" s="22">
        <v>1</v>
      </c>
      <c r="R209" s="294">
        <v>158</v>
      </c>
      <c r="S209" s="294">
        <v>0</v>
      </c>
      <c r="T209" s="365">
        <v>4</v>
      </c>
      <c r="U209" s="338" t="str">
        <f t="shared" si="102"/>
        <v>Normal</v>
      </c>
      <c r="V209" s="338" t="str">
        <f t="shared" si="103"/>
        <v>Normal</v>
      </c>
      <c r="W209" s="420">
        <f t="shared" si="104"/>
        <v>-4.583333333333333E-2</v>
      </c>
      <c r="X209" s="420">
        <f t="shared" si="105"/>
        <v>-0.12340425531914893</v>
      </c>
    </row>
    <row r="210" spans="1:38">
      <c r="A210" s="32">
        <v>45225</v>
      </c>
      <c r="B210" s="408">
        <f>IF(YEAR(Table7[[#This Row],[Date]]) = 2023, WEEKNUM(Table7[[#This Row],[Date]])-13, WEEKNUM(Table7[[#This Row],[Date]])+40)</f>
        <v>30</v>
      </c>
      <c r="C210" s="34" t="s">
        <v>52</v>
      </c>
      <c r="D210" s="34" t="s">
        <v>94</v>
      </c>
      <c r="E210" s="1">
        <v>254</v>
      </c>
      <c r="F210" s="1">
        <v>248</v>
      </c>
      <c r="G210" s="64">
        <f t="shared" ref="G210:H210" si="157">IFERROR((E210-E203)/E203,0%)</f>
        <v>2.0080321285140562E-2</v>
      </c>
      <c r="H210" s="64">
        <f t="shared" si="157"/>
        <v>6.4377682403433473E-2</v>
      </c>
      <c r="I210" s="1"/>
      <c r="J210" s="1"/>
      <c r="K210" s="1"/>
      <c r="L210" s="1"/>
      <c r="M210" s="18">
        <v>0.95</v>
      </c>
      <c r="N210" s="18">
        <v>0.02</v>
      </c>
      <c r="O210" s="18">
        <v>0.98</v>
      </c>
      <c r="P210" s="18">
        <v>0.48</v>
      </c>
      <c r="Q210" s="22">
        <v>1</v>
      </c>
      <c r="R210" s="294">
        <v>77</v>
      </c>
      <c r="S210" s="294">
        <v>0</v>
      </c>
      <c r="T210" s="365">
        <v>4</v>
      </c>
      <c r="U210" s="338" t="str">
        <f t="shared" si="102"/>
        <v>Normal</v>
      </c>
      <c r="V210" s="338" t="str">
        <f t="shared" si="103"/>
        <v>Normal</v>
      </c>
      <c r="W210" s="420">
        <f t="shared" si="104"/>
        <v>2.0080321285140562E-2</v>
      </c>
      <c r="X210" s="420">
        <f t="shared" si="105"/>
        <v>6.4377682403433473E-2</v>
      </c>
    </row>
    <row r="211" spans="1:38">
      <c r="A211" s="32">
        <v>45226</v>
      </c>
      <c r="B211" s="408">
        <f>IF(YEAR(Table7[[#This Row],[Date]]) = 2023, WEEKNUM(Table7[[#This Row],[Date]])-13, WEEKNUM(Table7[[#This Row],[Date]])+40)</f>
        <v>30</v>
      </c>
      <c r="C211" s="34" t="s">
        <v>53</v>
      </c>
      <c r="D211" s="34" t="s">
        <v>94</v>
      </c>
      <c r="E211" s="1">
        <v>262</v>
      </c>
      <c r="F211" s="1">
        <v>231</v>
      </c>
      <c r="G211" s="64">
        <f t="shared" ref="G211:H211" si="158">IFERROR((E211-E204)/E204,0%)</f>
        <v>0.25358851674641147</v>
      </c>
      <c r="H211" s="64">
        <f t="shared" si="158"/>
        <v>0.14925373134328357</v>
      </c>
      <c r="I211" s="1"/>
      <c r="J211" s="1"/>
      <c r="K211" s="1"/>
      <c r="L211" s="1"/>
      <c r="M211" s="18">
        <v>0.65</v>
      </c>
      <c r="N211" s="18">
        <v>0.12</v>
      </c>
      <c r="O211" s="18">
        <v>0.88</v>
      </c>
      <c r="P211" s="18">
        <v>0.56000000000000005</v>
      </c>
      <c r="Q211" s="22">
        <v>1</v>
      </c>
      <c r="R211" s="294">
        <v>115</v>
      </c>
      <c r="S211" s="294">
        <v>0</v>
      </c>
      <c r="T211" s="365">
        <v>4</v>
      </c>
      <c r="U211" s="338" t="str">
        <f t="shared" si="102"/>
        <v>Normal</v>
      </c>
      <c r="V211" s="338" t="str">
        <f t="shared" si="103"/>
        <v>Normal</v>
      </c>
      <c r="W211" s="420">
        <f t="shared" si="104"/>
        <v>0.25358851674641147</v>
      </c>
      <c r="X211" s="420">
        <f t="shared" si="105"/>
        <v>0.14925373134328357</v>
      </c>
    </row>
    <row r="212" spans="1:38">
      <c r="A212" s="32">
        <v>45227</v>
      </c>
      <c r="B212" s="408">
        <f>IF(YEAR(Table7[[#This Row],[Date]]) = 2023, WEEKNUM(Table7[[#This Row],[Date]])-13, WEEKNUM(Table7[[#This Row],[Date]])+40)</f>
        <v>30</v>
      </c>
      <c r="C212" s="34" t="s">
        <v>54</v>
      </c>
      <c r="D212" s="34" t="s">
        <v>94</v>
      </c>
      <c r="E212" s="1">
        <v>205</v>
      </c>
      <c r="F212" s="1">
        <v>196</v>
      </c>
      <c r="G212" s="64">
        <f t="shared" ref="G212:H212" si="159">IFERROR((E212-E205)/E205,0%)</f>
        <v>9.0425531914893623E-2</v>
      </c>
      <c r="H212" s="64">
        <f t="shared" si="159"/>
        <v>0.11363636363636363</v>
      </c>
      <c r="I212" s="1"/>
      <c r="J212" s="1"/>
      <c r="K212" s="1"/>
      <c r="L212" s="1"/>
      <c r="M212" s="18">
        <v>0.96</v>
      </c>
      <c r="N212" s="18">
        <v>0.04</v>
      </c>
      <c r="O212" s="18">
        <v>0.96</v>
      </c>
      <c r="P212" s="18">
        <v>0.5</v>
      </c>
      <c r="Q212" s="22">
        <v>1</v>
      </c>
      <c r="R212" s="294">
        <v>97</v>
      </c>
      <c r="S212" s="294">
        <v>0</v>
      </c>
      <c r="T212" s="365">
        <v>3</v>
      </c>
      <c r="U212" s="338" t="str">
        <f t="shared" si="102"/>
        <v>Normal</v>
      </c>
      <c r="V212" s="338" t="str">
        <f t="shared" si="103"/>
        <v>Normal</v>
      </c>
      <c r="W212" s="420">
        <f t="shared" si="104"/>
        <v>9.0425531914893623E-2</v>
      </c>
      <c r="X212" s="420">
        <f t="shared" si="105"/>
        <v>0.11363636363636363</v>
      </c>
    </row>
    <row r="213" spans="1:38">
      <c r="A213" s="32">
        <v>45228</v>
      </c>
      <c r="B213" s="408">
        <f>IF(YEAR(Table7[[#This Row],[Date]]) = 2023, WEEKNUM(Table7[[#This Row],[Date]])-13, WEEKNUM(Table7[[#This Row],[Date]])+40)</f>
        <v>31</v>
      </c>
      <c r="C213" s="34" t="s">
        <v>48</v>
      </c>
      <c r="D213" s="34" t="s">
        <v>94</v>
      </c>
      <c r="E213" s="1">
        <v>37</v>
      </c>
      <c r="F213" s="1">
        <v>31</v>
      </c>
      <c r="G213" s="64">
        <f t="shared" ref="G213:H213" si="160">IFERROR((E213-E206)/E206,0%)</f>
        <v>-0.6262626262626263</v>
      </c>
      <c r="H213" s="64">
        <f t="shared" si="160"/>
        <v>-0.65555555555555556</v>
      </c>
      <c r="I213" s="1"/>
      <c r="J213" s="1"/>
      <c r="K213" s="1"/>
      <c r="L213" s="1"/>
      <c r="M213" s="18">
        <v>0.83</v>
      </c>
      <c r="N213" s="18">
        <v>0.16</v>
      </c>
      <c r="O213" s="18">
        <v>0.84</v>
      </c>
      <c r="P213" s="18">
        <v>7.0000000000000007E-2</v>
      </c>
      <c r="Q213" s="22">
        <v>1</v>
      </c>
      <c r="R213" s="294">
        <v>58</v>
      </c>
      <c r="S213" s="294">
        <v>0</v>
      </c>
      <c r="T213" s="365">
        <v>1</v>
      </c>
      <c r="U213" s="338" t="str">
        <f t="shared" si="102"/>
        <v>Outlier</v>
      </c>
      <c r="V213" s="338" t="str">
        <f t="shared" si="103"/>
        <v>Outlier</v>
      </c>
      <c r="W213" s="420">
        <f t="shared" si="104"/>
        <v>-0.6262626262626263</v>
      </c>
      <c r="X213" s="420">
        <f t="shared" si="105"/>
        <v>-0.65555555555555556</v>
      </c>
    </row>
    <row r="214" spans="1:38">
      <c r="A214" s="32">
        <v>45229</v>
      </c>
      <c r="B214" s="408">
        <f>IF(YEAR(Table7[[#This Row],[Date]]) = 2023, WEEKNUM(Table7[[#This Row],[Date]])-13, WEEKNUM(Table7[[#This Row],[Date]])+40)</f>
        <v>31</v>
      </c>
      <c r="C214" s="34" t="s">
        <v>49</v>
      </c>
      <c r="D214" s="34" t="s">
        <v>94</v>
      </c>
      <c r="E214" s="1">
        <v>286</v>
      </c>
      <c r="F214" s="1">
        <v>265</v>
      </c>
      <c r="G214" s="64">
        <f t="shared" ref="G214:H214" si="161">IFERROR((E214-E207)/E207,0%)</f>
        <v>0.19665271966527198</v>
      </c>
      <c r="H214" s="64">
        <f t="shared" si="161"/>
        <v>0.14224137931034483</v>
      </c>
      <c r="I214" s="1"/>
      <c r="J214" s="1"/>
      <c r="K214" s="1"/>
      <c r="L214" s="1"/>
      <c r="M214" s="18">
        <v>0.7</v>
      </c>
      <c r="N214" s="18">
        <v>7.0000000000000007E-2</v>
      </c>
      <c r="O214" s="18">
        <v>0.93</v>
      </c>
      <c r="P214" s="18">
        <v>0.94</v>
      </c>
      <c r="Q214" s="22">
        <v>0.98</v>
      </c>
      <c r="R214" s="294">
        <v>98</v>
      </c>
      <c r="S214" s="294">
        <v>0</v>
      </c>
      <c r="T214" s="365">
        <v>3</v>
      </c>
      <c r="U214" s="338" t="str">
        <f t="shared" si="102"/>
        <v>Normal</v>
      </c>
      <c r="V214" s="338" t="str">
        <f t="shared" si="103"/>
        <v>Normal</v>
      </c>
      <c r="W214" s="420">
        <f t="shared" si="104"/>
        <v>0.19665271966527198</v>
      </c>
      <c r="X214" s="420">
        <f t="shared" si="105"/>
        <v>0.14224137931034483</v>
      </c>
    </row>
    <row r="215" spans="1:38" s="48" customFormat="1">
      <c r="A215" s="32">
        <v>45230</v>
      </c>
      <c r="B215" s="408">
        <f>IF(YEAR(Table7[[#This Row],[Date]]) = 2023, WEEKNUM(Table7[[#This Row],[Date]])-13, WEEKNUM(Table7[[#This Row],[Date]])+40)</f>
        <v>31</v>
      </c>
      <c r="C215" s="49" t="s">
        <v>50</v>
      </c>
      <c r="D215" s="34" t="s">
        <v>94</v>
      </c>
      <c r="E215" s="1">
        <v>292</v>
      </c>
      <c r="F215" s="1">
        <v>278</v>
      </c>
      <c r="G215" s="64">
        <f t="shared" ref="G215:H215" si="162">IFERROR((E215-E208)/E208,0%)</f>
        <v>9.7744360902255634E-2</v>
      </c>
      <c r="H215" s="64">
        <f t="shared" si="162"/>
        <v>9.4488188976377951E-2</v>
      </c>
      <c r="I215" s="1"/>
      <c r="J215" s="1"/>
      <c r="K215" s="1"/>
      <c r="L215" s="1"/>
      <c r="M215" s="18">
        <v>0.92</v>
      </c>
      <c r="N215" s="18">
        <v>0.05</v>
      </c>
      <c r="O215" s="18">
        <v>0.95</v>
      </c>
      <c r="P215" s="18">
        <v>0.49</v>
      </c>
      <c r="Q215" s="22">
        <v>1</v>
      </c>
      <c r="R215" s="294">
        <v>64</v>
      </c>
      <c r="S215" s="294">
        <v>0</v>
      </c>
      <c r="T215" s="365">
        <v>3</v>
      </c>
      <c r="U215" s="338" t="str">
        <f t="shared" si="102"/>
        <v>Normal</v>
      </c>
      <c r="V215" s="338" t="str">
        <f t="shared" si="103"/>
        <v>Normal</v>
      </c>
      <c r="W215" s="420">
        <f t="shared" si="104"/>
        <v>9.7744360902255634E-2</v>
      </c>
      <c r="X215" s="420">
        <f t="shared" si="105"/>
        <v>9.4488188976377951E-2</v>
      </c>
      <c r="Y215" s="338"/>
      <c r="Z215" s="338"/>
      <c r="AA215" s="338"/>
      <c r="AB215" s="338"/>
      <c r="AC215" s="338"/>
      <c r="AD215" s="338"/>
      <c r="AE215" s="338"/>
      <c r="AF215" s="338"/>
      <c r="AG215" s="338"/>
      <c r="AH215" s="338"/>
      <c r="AI215" s="338"/>
      <c r="AJ215"/>
      <c r="AK215"/>
      <c r="AL215"/>
    </row>
    <row r="216" spans="1:38">
      <c r="A216" s="32">
        <v>45231</v>
      </c>
      <c r="B216" s="408">
        <f>IF(YEAR(Table7[[#This Row],[Date]]) = 2023, WEEKNUM(Table7[[#This Row],[Date]])-13, WEEKNUM(Table7[[#This Row],[Date]])+40)</f>
        <v>31</v>
      </c>
      <c r="C216" s="34" t="s">
        <v>51</v>
      </c>
      <c r="D216" s="34" t="s">
        <v>94</v>
      </c>
      <c r="E216" s="1">
        <v>283</v>
      </c>
      <c r="F216" s="1">
        <v>272</v>
      </c>
      <c r="G216" s="64">
        <f t="shared" ref="G216:H216" si="163">IFERROR((E216-E209)/E209,0%)</f>
        <v>0.23580786026200873</v>
      </c>
      <c r="H216" s="64">
        <f t="shared" si="163"/>
        <v>0.32038834951456313</v>
      </c>
      <c r="I216" s="1"/>
      <c r="J216" s="1"/>
      <c r="K216" s="1"/>
      <c r="L216" s="1"/>
      <c r="M216" s="18">
        <v>0.93</v>
      </c>
      <c r="N216" s="18">
        <v>0.04</v>
      </c>
      <c r="O216" s="18">
        <v>0.96</v>
      </c>
      <c r="P216" s="18">
        <v>0.57999999999999996</v>
      </c>
      <c r="Q216" s="22">
        <v>1</v>
      </c>
      <c r="R216" s="294">
        <v>79</v>
      </c>
      <c r="S216" s="294">
        <v>0</v>
      </c>
      <c r="T216" s="365">
        <v>4</v>
      </c>
      <c r="U216" s="338" t="str">
        <f t="shared" si="102"/>
        <v>Normal</v>
      </c>
      <c r="V216" s="338" t="str">
        <f t="shared" si="103"/>
        <v>Normal</v>
      </c>
      <c r="W216" s="420">
        <f t="shared" si="104"/>
        <v>0.23580786026200873</v>
      </c>
      <c r="X216" s="420">
        <f t="shared" si="105"/>
        <v>0.32038834951456313</v>
      </c>
    </row>
    <row r="217" spans="1:38">
      <c r="A217" s="32">
        <v>45232</v>
      </c>
      <c r="B217" s="408">
        <f>IF(YEAR(Table7[[#This Row],[Date]]) = 2023, WEEKNUM(Table7[[#This Row],[Date]])-13, WEEKNUM(Table7[[#This Row],[Date]])+40)</f>
        <v>31</v>
      </c>
      <c r="C217" s="34" t="s">
        <v>52</v>
      </c>
      <c r="D217" s="34" t="s">
        <v>94</v>
      </c>
      <c r="E217" s="1">
        <v>316</v>
      </c>
      <c r="F217" s="1">
        <v>302</v>
      </c>
      <c r="G217" s="64">
        <f t="shared" ref="G217:H217" si="164">IFERROR((E217-E210)/E210,0%)</f>
        <v>0.24409448818897639</v>
      </c>
      <c r="H217" s="64">
        <f t="shared" si="164"/>
        <v>0.21774193548387097</v>
      </c>
      <c r="I217" s="1"/>
      <c r="J217" s="1"/>
      <c r="K217" s="1"/>
      <c r="L217" s="1"/>
      <c r="M217" s="18">
        <v>0.89</v>
      </c>
      <c r="N217" s="18">
        <v>0.04</v>
      </c>
      <c r="O217" s="18">
        <v>0.96</v>
      </c>
      <c r="P217" s="18">
        <v>0.54</v>
      </c>
      <c r="Q217" s="22">
        <v>1</v>
      </c>
      <c r="R217" s="294">
        <v>92</v>
      </c>
      <c r="S217" s="294">
        <v>0</v>
      </c>
      <c r="T217" s="365">
        <v>4</v>
      </c>
      <c r="U217" s="338" t="str">
        <f t="shared" si="102"/>
        <v>Normal</v>
      </c>
      <c r="V217" s="338" t="str">
        <f t="shared" si="103"/>
        <v>Normal</v>
      </c>
      <c r="W217" s="420">
        <f t="shared" si="104"/>
        <v>0.24409448818897639</v>
      </c>
      <c r="X217" s="420">
        <f t="shared" si="105"/>
        <v>0.21774193548387097</v>
      </c>
    </row>
    <row r="218" spans="1:38">
      <c r="A218" s="32">
        <v>45233</v>
      </c>
      <c r="B218" s="408">
        <f>IF(YEAR(Table7[[#This Row],[Date]]) = 2023, WEEKNUM(Table7[[#This Row],[Date]])-13, WEEKNUM(Table7[[#This Row],[Date]])+40)</f>
        <v>31</v>
      </c>
      <c r="C218" s="34" t="s">
        <v>53</v>
      </c>
      <c r="D218" s="34" t="s">
        <v>94</v>
      </c>
      <c r="E218" s="1">
        <v>231</v>
      </c>
      <c r="F218" s="1">
        <v>216</v>
      </c>
      <c r="G218" s="64">
        <f t="shared" ref="G218:H218" si="165">IFERROR((E218-E211)/E211,0%)</f>
        <v>-0.1183206106870229</v>
      </c>
      <c r="H218" s="64">
        <f t="shared" si="165"/>
        <v>-6.4935064935064929E-2</v>
      </c>
      <c r="I218" s="1"/>
      <c r="J218" s="1"/>
      <c r="K218" s="1"/>
      <c r="L218" s="1"/>
      <c r="M218" s="18">
        <v>0.72</v>
      </c>
      <c r="N218" s="18">
        <v>0.06</v>
      </c>
      <c r="O218" s="18">
        <v>0.94</v>
      </c>
      <c r="P218" s="18">
        <v>0.55000000000000004</v>
      </c>
      <c r="Q218" s="22">
        <v>1</v>
      </c>
      <c r="R218" s="294">
        <v>137</v>
      </c>
      <c r="S218" s="294">
        <v>0</v>
      </c>
      <c r="T218" s="365">
        <v>3</v>
      </c>
      <c r="U218" s="338" t="str">
        <f t="shared" si="102"/>
        <v>Normal</v>
      </c>
      <c r="V218" s="338" t="str">
        <f t="shared" si="103"/>
        <v>Normal</v>
      </c>
      <c r="W218" s="420">
        <f t="shared" si="104"/>
        <v>-0.1183206106870229</v>
      </c>
      <c r="X218" s="420">
        <f t="shared" si="105"/>
        <v>-6.4935064935064929E-2</v>
      </c>
    </row>
    <row r="219" spans="1:38">
      <c r="A219" s="32">
        <v>45234</v>
      </c>
      <c r="B219" s="408">
        <f>IF(YEAR(Table7[[#This Row],[Date]]) = 2023, WEEKNUM(Table7[[#This Row],[Date]])-13, WEEKNUM(Table7[[#This Row],[Date]])+40)</f>
        <v>31</v>
      </c>
      <c r="C219" s="34" t="s">
        <v>54</v>
      </c>
      <c r="D219" s="34" t="s">
        <v>94</v>
      </c>
      <c r="E219" s="1">
        <v>290</v>
      </c>
      <c r="F219" s="1">
        <v>256</v>
      </c>
      <c r="G219" s="64">
        <f t="shared" ref="G219:H219" si="166">IFERROR((E219-E212)/E212,0%)</f>
        <v>0.41463414634146339</v>
      </c>
      <c r="H219" s="64">
        <f t="shared" si="166"/>
        <v>0.30612244897959184</v>
      </c>
      <c r="I219" s="1"/>
      <c r="J219" s="1"/>
      <c r="K219" s="1"/>
      <c r="L219" s="1"/>
      <c r="M219" s="18">
        <v>0.8</v>
      </c>
      <c r="N219" s="18">
        <v>0.12</v>
      </c>
      <c r="O219" s="18">
        <v>0.88</v>
      </c>
      <c r="P219" s="18">
        <v>0.49</v>
      </c>
      <c r="Q219" s="22">
        <v>1</v>
      </c>
      <c r="R219" s="294">
        <v>64</v>
      </c>
      <c r="S219" s="294">
        <v>0</v>
      </c>
      <c r="T219" s="365">
        <v>4</v>
      </c>
      <c r="U219" s="338" t="str">
        <f t="shared" si="102"/>
        <v>Normal</v>
      </c>
      <c r="V219" s="338" t="str">
        <f t="shared" si="103"/>
        <v>Normal</v>
      </c>
      <c r="W219" s="420">
        <f t="shared" si="104"/>
        <v>0.41463414634146339</v>
      </c>
      <c r="X219" s="420">
        <f t="shared" si="105"/>
        <v>0.30612244897959184</v>
      </c>
    </row>
    <row r="220" spans="1:38">
      <c r="A220" s="32">
        <v>45235</v>
      </c>
      <c r="B220" s="408">
        <f>IF(YEAR(Table7[[#This Row],[Date]]) = 2023, WEEKNUM(Table7[[#This Row],[Date]])-13, WEEKNUM(Table7[[#This Row],[Date]])+40)</f>
        <v>32</v>
      </c>
      <c r="C220" s="34" t="s">
        <v>48</v>
      </c>
      <c r="D220" s="34" t="s">
        <v>94</v>
      </c>
      <c r="E220" s="1">
        <v>33</v>
      </c>
      <c r="F220" s="1">
        <v>29</v>
      </c>
      <c r="G220" s="64">
        <f t="shared" ref="G220:H220" si="167">IFERROR((E220-E213)/E213,0%)</f>
        <v>-0.10810810810810811</v>
      </c>
      <c r="H220" s="64">
        <f t="shared" si="167"/>
        <v>-6.4516129032258063E-2</v>
      </c>
      <c r="I220" s="1"/>
      <c r="J220" s="1"/>
      <c r="K220" s="1"/>
      <c r="L220" s="1"/>
      <c r="M220" s="18">
        <v>0.69</v>
      </c>
      <c r="N220" s="18">
        <v>0.12</v>
      </c>
      <c r="O220" s="18">
        <v>0.88</v>
      </c>
      <c r="P220" s="18">
        <v>0.18</v>
      </c>
      <c r="Q220" s="22">
        <v>0.99</v>
      </c>
      <c r="R220" s="294">
        <v>96</v>
      </c>
      <c r="S220" s="294">
        <v>0</v>
      </c>
      <c r="T220" s="365">
        <v>1</v>
      </c>
      <c r="U220" s="338" t="str">
        <f t="shared" si="102"/>
        <v>Normal</v>
      </c>
      <c r="V220" s="338" t="str">
        <f t="shared" si="103"/>
        <v>Normal</v>
      </c>
      <c r="W220" s="420">
        <f t="shared" si="104"/>
        <v>-0.10810810810810811</v>
      </c>
      <c r="X220" s="420">
        <f t="shared" si="105"/>
        <v>-6.4516129032258063E-2</v>
      </c>
    </row>
    <row r="221" spans="1:38">
      <c r="A221" s="32">
        <v>45236</v>
      </c>
      <c r="B221" s="408">
        <f>IF(YEAR(Table7[[#This Row],[Date]]) = 2023, WEEKNUM(Table7[[#This Row],[Date]])-13, WEEKNUM(Table7[[#This Row],[Date]])+40)</f>
        <v>32</v>
      </c>
      <c r="C221" s="34" t="s">
        <v>49</v>
      </c>
      <c r="D221" s="34" t="s">
        <v>94</v>
      </c>
      <c r="E221" s="1">
        <v>285</v>
      </c>
      <c r="F221" s="1">
        <v>253</v>
      </c>
      <c r="G221" s="64">
        <f t="shared" ref="G221:H221" si="168">IFERROR((E221-E214)/E214,0%)</f>
        <v>-3.4965034965034965E-3</v>
      </c>
      <c r="H221" s="64">
        <f t="shared" si="168"/>
        <v>-4.5283018867924525E-2</v>
      </c>
      <c r="I221" s="1"/>
      <c r="J221" s="1"/>
      <c r="K221" s="1"/>
      <c r="L221" s="1"/>
      <c r="M221" s="18">
        <v>0.74</v>
      </c>
      <c r="N221" s="18">
        <v>0.11</v>
      </c>
      <c r="O221" s="18">
        <v>0.89</v>
      </c>
      <c r="P221" s="18">
        <v>0.56000000000000005</v>
      </c>
      <c r="Q221" s="22">
        <v>1</v>
      </c>
      <c r="R221" s="294">
        <v>142</v>
      </c>
      <c r="S221" s="294">
        <v>0</v>
      </c>
      <c r="T221" s="365">
        <v>3</v>
      </c>
      <c r="U221" s="338" t="str">
        <f t="shared" ref="U221:U284" si="169">IF(OR(G221&lt;$AA$5,G221&gt;$AB$5), "Outlier", "Normal")</f>
        <v>Normal</v>
      </c>
      <c r="V221" s="338" t="str">
        <f t="shared" ref="V221:V284" si="170">IF(OR(H221&lt;$AA$6,H221&gt;$AB$6), "Outlier", "Normal")</f>
        <v>Normal</v>
      </c>
      <c r="W221" s="420">
        <f t="shared" ref="W221:W284" si="171">IF(U221="Normal",$G221,IF($G221&lt;150%, $G221, $AA$9))</f>
        <v>-3.4965034965034965E-3</v>
      </c>
      <c r="X221" s="420">
        <f t="shared" ref="X221:X284" si="172">IF(V221="Normal",$H221,IF($H221&lt;150%, $H221, $AE$9))</f>
        <v>-4.5283018867924525E-2</v>
      </c>
    </row>
    <row r="222" spans="1:38">
      <c r="A222" s="32">
        <v>45237</v>
      </c>
      <c r="B222" s="408">
        <f>IF(YEAR(Table7[[#This Row],[Date]]) = 2023, WEEKNUM(Table7[[#This Row],[Date]])-13, WEEKNUM(Table7[[#This Row],[Date]])+40)</f>
        <v>32</v>
      </c>
      <c r="C222" s="34" t="s">
        <v>50</v>
      </c>
      <c r="D222" s="34" t="s">
        <v>94</v>
      </c>
      <c r="E222" s="1">
        <v>259</v>
      </c>
      <c r="F222" s="1">
        <v>247</v>
      </c>
      <c r="G222" s="64">
        <f t="shared" ref="G222:H222" si="173">IFERROR((E222-E215)/E215,0%)</f>
        <v>-0.11301369863013698</v>
      </c>
      <c r="H222" s="64">
        <f t="shared" si="173"/>
        <v>-0.11151079136690648</v>
      </c>
      <c r="I222" s="1"/>
      <c r="J222" s="1"/>
      <c r="K222" s="1"/>
      <c r="L222" s="1"/>
      <c r="M222" s="18">
        <v>0.93</v>
      </c>
      <c r="N222" s="18">
        <v>0.05</v>
      </c>
      <c r="O222" s="18">
        <v>0.95</v>
      </c>
      <c r="P222" s="18">
        <v>0.47</v>
      </c>
      <c r="Q222" s="22">
        <v>1</v>
      </c>
      <c r="R222" s="294">
        <v>68</v>
      </c>
      <c r="S222" s="294">
        <v>0</v>
      </c>
      <c r="T222" s="365">
        <v>4</v>
      </c>
      <c r="U222" s="338" t="str">
        <f t="shared" si="169"/>
        <v>Normal</v>
      </c>
      <c r="V222" s="338" t="str">
        <f t="shared" si="170"/>
        <v>Normal</v>
      </c>
      <c r="W222" s="420">
        <f t="shared" si="171"/>
        <v>-0.11301369863013698</v>
      </c>
      <c r="X222" s="420">
        <f t="shared" si="172"/>
        <v>-0.11151079136690648</v>
      </c>
    </row>
    <row r="223" spans="1:38">
      <c r="A223" s="32">
        <v>45238</v>
      </c>
      <c r="B223" s="408">
        <f>IF(YEAR(Table7[[#This Row],[Date]]) = 2023, WEEKNUM(Table7[[#This Row],[Date]])-13, WEEKNUM(Table7[[#This Row],[Date]])+40)</f>
        <v>32</v>
      </c>
      <c r="C223" s="34" t="s">
        <v>51</v>
      </c>
      <c r="D223" s="34" t="s">
        <v>94</v>
      </c>
      <c r="E223" s="1">
        <v>242</v>
      </c>
      <c r="F223" s="1">
        <v>235</v>
      </c>
      <c r="G223" s="64">
        <f t="shared" ref="G223:H223" si="174">IFERROR((E223-E216)/E216,0%)</f>
        <v>-0.14487632508833923</v>
      </c>
      <c r="H223" s="64">
        <f t="shared" si="174"/>
        <v>-0.13602941176470587</v>
      </c>
      <c r="I223" s="1"/>
      <c r="J223" s="1"/>
      <c r="K223" s="1"/>
      <c r="L223" s="1"/>
      <c r="M223" s="18">
        <v>0.92</v>
      </c>
      <c r="N223" s="18">
        <v>0.03</v>
      </c>
      <c r="O223" s="18">
        <v>0.97</v>
      </c>
      <c r="P223" s="18">
        <v>0.54</v>
      </c>
      <c r="Q223" s="22">
        <v>1</v>
      </c>
      <c r="R223" s="294">
        <v>156</v>
      </c>
      <c r="S223" s="294">
        <v>0</v>
      </c>
      <c r="T223" s="365">
        <v>4</v>
      </c>
      <c r="U223" s="338" t="str">
        <f t="shared" si="169"/>
        <v>Normal</v>
      </c>
      <c r="V223" s="338" t="str">
        <f t="shared" si="170"/>
        <v>Normal</v>
      </c>
      <c r="W223" s="420">
        <f t="shared" si="171"/>
        <v>-0.14487632508833923</v>
      </c>
      <c r="X223" s="420">
        <f t="shared" si="172"/>
        <v>-0.13602941176470587</v>
      </c>
    </row>
    <row r="224" spans="1:38">
      <c r="A224" s="32">
        <v>45239</v>
      </c>
      <c r="B224" s="408">
        <f>IF(YEAR(Table7[[#This Row],[Date]]) = 2023, WEEKNUM(Table7[[#This Row],[Date]])-13, WEEKNUM(Table7[[#This Row],[Date]])+40)</f>
        <v>32</v>
      </c>
      <c r="C224" s="34" t="s">
        <v>52</v>
      </c>
      <c r="D224" s="34" t="s">
        <v>94</v>
      </c>
      <c r="E224" s="1">
        <v>278</v>
      </c>
      <c r="F224" s="1">
        <v>265</v>
      </c>
      <c r="G224" s="64">
        <f t="shared" ref="G224:H224" si="175">IFERROR((E224-E217)/E217,0%)</f>
        <v>-0.12025316455696203</v>
      </c>
      <c r="H224" s="64">
        <f t="shared" si="175"/>
        <v>-0.12251655629139073</v>
      </c>
      <c r="I224" s="1"/>
      <c r="J224" s="1"/>
      <c r="K224" s="1"/>
      <c r="L224" s="1"/>
      <c r="M224" s="18">
        <v>0.91</v>
      </c>
      <c r="N224" s="18">
        <v>0.05</v>
      </c>
      <c r="O224" s="18">
        <v>0.95</v>
      </c>
      <c r="P224" s="18">
        <v>0.52</v>
      </c>
      <c r="Q224" s="22">
        <v>1</v>
      </c>
      <c r="R224" s="294">
        <v>75</v>
      </c>
      <c r="S224" s="294">
        <v>0</v>
      </c>
      <c r="T224" s="365">
        <v>5</v>
      </c>
      <c r="U224" s="338" t="str">
        <f t="shared" si="169"/>
        <v>Normal</v>
      </c>
      <c r="V224" s="338" t="str">
        <f t="shared" si="170"/>
        <v>Normal</v>
      </c>
      <c r="W224" s="420">
        <f t="shared" si="171"/>
        <v>-0.12025316455696203</v>
      </c>
      <c r="X224" s="420">
        <f t="shared" si="172"/>
        <v>-0.12251655629139073</v>
      </c>
    </row>
    <row r="225" spans="1:38">
      <c r="A225" s="32">
        <v>45240</v>
      </c>
      <c r="B225" s="408">
        <f>IF(YEAR(Table7[[#This Row],[Date]]) = 2023, WEEKNUM(Table7[[#This Row],[Date]])-13, WEEKNUM(Table7[[#This Row],[Date]])+40)</f>
        <v>32</v>
      </c>
      <c r="C225" s="34" t="s">
        <v>53</v>
      </c>
      <c r="D225" s="34" t="s">
        <v>94</v>
      </c>
      <c r="E225" s="1">
        <v>620</v>
      </c>
      <c r="F225" s="1">
        <v>513</v>
      </c>
      <c r="G225" s="64">
        <f t="shared" ref="G225:H225" si="176">IFERROR((E225-E218)/E218,0%)</f>
        <v>1.6839826839826839</v>
      </c>
      <c r="H225" s="64">
        <f t="shared" si="176"/>
        <v>1.375</v>
      </c>
      <c r="I225" s="1"/>
      <c r="J225" s="1"/>
      <c r="K225" s="1"/>
      <c r="L225" s="1"/>
      <c r="M225" s="18">
        <v>0.74</v>
      </c>
      <c r="N225" s="18">
        <v>0.17</v>
      </c>
      <c r="O225" s="18">
        <v>0.83</v>
      </c>
      <c r="P225" s="18">
        <v>0.67</v>
      </c>
      <c r="Q225" s="22">
        <v>1</v>
      </c>
      <c r="R225" s="294">
        <v>108</v>
      </c>
      <c r="S225" s="294">
        <v>0</v>
      </c>
      <c r="T225" s="365">
        <v>4</v>
      </c>
      <c r="U225" s="338" t="str">
        <f t="shared" si="169"/>
        <v>Outlier</v>
      </c>
      <c r="V225" s="338" t="str">
        <f t="shared" si="170"/>
        <v>Outlier</v>
      </c>
      <c r="W225" s="420">
        <f t="shared" si="171"/>
        <v>0.30866978799112715</v>
      </c>
      <c r="X225" s="420">
        <f t="shared" si="172"/>
        <v>1.375</v>
      </c>
    </row>
    <row r="226" spans="1:38">
      <c r="A226" s="32">
        <v>45241</v>
      </c>
      <c r="B226" s="408">
        <f>IF(YEAR(Table7[[#This Row],[Date]]) = 2023, WEEKNUM(Table7[[#This Row],[Date]])-13, WEEKNUM(Table7[[#This Row],[Date]])+40)</f>
        <v>32</v>
      </c>
      <c r="C226" s="34" t="s">
        <v>54</v>
      </c>
      <c r="D226" s="34" t="s">
        <v>94</v>
      </c>
      <c r="E226" s="1">
        <v>530</v>
      </c>
      <c r="F226" s="1">
        <v>461</v>
      </c>
      <c r="G226" s="64">
        <f t="shared" ref="G226:H226" si="177">IFERROR((E226-E219)/E219,0%)</f>
        <v>0.82758620689655171</v>
      </c>
      <c r="H226" s="64">
        <f t="shared" si="177"/>
        <v>0.80078125</v>
      </c>
      <c r="I226" s="1"/>
      <c r="J226" s="1"/>
      <c r="K226" s="1"/>
      <c r="L226" s="1"/>
      <c r="M226" s="18">
        <v>0.77</v>
      </c>
      <c r="N226" s="18">
        <v>0.13</v>
      </c>
      <c r="O226" s="18">
        <v>0.87</v>
      </c>
      <c r="P226" s="18">
        <v>0.67</v>
      </c>
      <c r="Q226" s="22">
        <v>1</v>
      </c>
      <c r="R226" s="294">
        <v>98</v>
      </c>
      <c r="S226" s="294">
        <v>0</v>
      </c>
      <c r="T226" s="365">
        <v>4</v>
      </c>
      <c r="U226" s="338" t="str">
        <f t="shared" si="169"/>
        <v>Outlier</v>
      </c>
      <c r="V226" s="338" t="str">
        <f t="shared" si="170"/>
        <v>Outlier</v>
      </c>
      <c r="W226" s="420">
        <f t="shared" si="171"/>
        <v>0.82758620689655171</v>
      </c>
      <c r="X226" s="420">
        <f t="shared" si="172"/>
        <v>0.80078125</v>
      </c>
    </row>
    <row r="227" spans="1:38">
      <c r="A227" s="32">
        <v>45242</v>
      </c>
      <c r="B227" s="408">
        <f>IF(YEAR(Table7[[#This Row],[Date]]) = 2023, WEEKNUM(Table7[[#This Row],[Date]])-13, WEEKNUM(Table7[[#This Row],[Date]])+40)</f>
        <v>33</v>
      </c>
      <c r="C227" s="34" t="s">
        <v>48</v>
      </c>
      <c r="D227" s="34" t="s">
        <v>94</v>
      </c>
      <c r="E227" s="1">
        <v>0</v>
      </c>
      <c r="F227" s="1">
        <v>0</v>
      </c>
      <c r="G227" s="64">
        <v>0</v>
      </c>
      <c r="H227" s="64">
        <v>0</v>
      </c>
      <c r="I227" s="1">
        <v>0</v>
      </c>
      <c r="J227" s="1">
        <v>0</v>
      </c>
      <c r="K227" s="1">
        <v>0</v>
      </c>
      <c r="L227" s="1">
        <v>0</v>
      </c>
      <c r="M227" s="18">
        <v>0</v>
      </c>
      <c r="N227" s="18">
        <v>0</v>
      </c>
      <c r="O227" s="18">
        <v>0</v>
      </c>
      <c r="P227" s="18">
        <v>0</v>
      </c>
      <c r="Q227" s="22">
        <v>0</v>
      </c>
      <c r="R227" s="294">
        <v>0</v>
      </c>
      <c r="S227" s="294">
        <v>0</v>
      </c>
      <c r="T227" s="365">
        <v>0</v>
      </c>
      <c r="U227" s="338" t="str">
        <f t="shared" si="169"/>
        <v>Normal</v>
      </c>
      <c r="V227" s="338" t="str">
        <f t="shared" si="170"/>
        <v>Normal</v>
      </c>
      <c r="W227" s="420">
        <f t="shared" si="171"/>
        <v>0</v>
      </c>
      <c r="X227" s="420">
        <f t="shared" si="172"/>
        <v>0</v>
      </c>
    </row>
    <row r="228" spans="1:38">
      <c r="A228" s="32">
        <v>45243</v>
      </c>
      <c r="B228" s="408">
        <f>IF(YEAR(Table7[[#This Row],[Date]]) = 2023, WEEKNUM(Table7[[#This Row],[Date]])-13, WEEKNUM(Table7[[#This Row],[Date]])+40)</f>
        <v>33</v>
      </c>
      <c r="C228" s="34" t="s">
        <v>64</v>
      </c>
      <c r="D228" s="34" t="s">
        <v>94</v>
      </c>
      <c r="E228" s="1">
        <v>0</v>
      </c>
      <c r="F228" s="1">
        <v>0</v>
      </c>
      <c r="G228" s="64">
        <v>0</v>
      </c>
      <c r="H228" s="64">
        <v>0</v>
      </c>
      <c r="I228" s="1">
        <v>0</v>
      </c>
      <c r="J228" s="1">
        <v>0</v>
      </c>
      <c r="K228" s="1">
        <v>0</v>
      </c>
      <c r="L228" s="1">
        <v>0</v>
      </c>
      <c r="M228" s="18">
        <v>0</v>
      </c>
      <c r="N228" s="18">
        <v>0</v>
      </c>
      <c r="O228" s="18">
        <v>0</v>
      </c>
      <c r="P228" s="18">
        <v>0</v>
      </c>
      <c r="Q228" s="22">
        <v>0</v>
      </c>
      <c r="R228" s="294">
        <v>0</v>
      </c>
      <c r="S228" s="294">
        <v>0</v>
      </c>
      <c r="T228" s="365">
        <v>0</v>
      </c>
      <c r="U228" s="338" t="str">
        <f t="shared" si="169"/>
        <v>Normal</v>
      </c>
      <c r="V228" s="338" t="str">
        <f t="shared" si="170"/>
        <v>Normal</v>
      </c>
      <c r="W228" s="420">
        <f t="shared" si="171"/>
        <v>0</v>
      </c>
      <c r="X228" s="420">
        <f t="shared" si="172"/>
        <v>0</v>
      </c>
    </row>
    <row r="229" spans="1:38">
      <c r="A229" s="32">
        <v>45244</v>
      </c>
      <c r="B229" s="408">
        <f>IF(YEAR(Table7[[#This Row],[Date]]) = 2023, WEEKNUM(Table7[[#This Row],[Date]])-13, WEEKNUM(Table7[[#This Row],[Date]])+40)</f>
        <v>33</v>
      </c>
      <c r="C229" s="34" t="s">
        <v>50</v>
      </c>
      <c r="D229" s="34" t="s">
        <v>94</v>
      </c>
      <c r="E229" s="1">
        <v>922</v>
      </c>
      <c r="F229" s="1">
        <v>841</v>
      </c>
      <c r="G229" s="64">
        <f t="shared" ref="G229:H229" si="178">IFERROR((E229-E222)/E222,0%)</f>
        <v>2.5598455598455598</v>
      </c>
      <c r="H229" s="64">
        <f t="shared" si="178"/>
        <v>2.4048582995951415</v>
      </c>
      <c r="I229" s="1"/>
      <c r="J229" s="1"/>
      <c r="K229" s="1"/>
      <c r="L229" s="1"/>
      <c r="M229" s="18">
        <v>0.86</v>
      </c>
      <c r="N229" s="18">
        <v>0.09</v>
      </c>
      <c r="O229" s="18">
        <v>0.91</v>
      </c>
      <c r="P229" s="18">
        <v>0.73</v>
      </c>
      <c r="Q229" s="22">
        <v>1</v>
      </c>
      <c r="R229" s="294">
        <v>4</v>
      </c>
      <c r="S229" s="294">
        <v>0</v>
      </c>
      <c r="T229" s="365">
        <v>6</v>
      </c>
      <c r="U229" s="338" t="str">
        <f t="shared" si="169"/>
        <v>Outlier</v>
      </c>
      <c r="V229" s="338" t="str">
        <f t="shared" si="170"/>
        <v>Outlier</v>
      </c>
      <c r="W229" s="420">
        <f t="shared" si="171"/>
        <v>0.30866978799112715</v>
      </c>
      <c r="X229" s="420">
        <f t="shared" si="172"/>
        <v>0.30815517891211569</v>
      </c>
    </row>
    <row r="230" spans="1:38">
      <c r="A230" s="32">
        <v>45245</v>
      </c>
      <c r="B230" s="408">
        <f>IF(YEAR(Table7[[#This Row],[Date]]) = 2023, WEEKNUM(Table7[[#This Row],[Date]])-13, WEEKNUM(Table7[[#This Row],[Date]])+40)</f>
        <v>33</v>
      </c>
      <c r="C230" s="34" t="s">
        <v>51</v>
      </c>
      <c r="D230" s="34" t="s">
        <v>94</v>
      </c>
      <c r="E230" s="1">
        <v>812</v>
      </c>
      <c r="F230" s="1">
        <v>692</v>
      </c>
      <c r="G230" s="64">
        <f t="shared" ref="G230:H230" si="179">IFERROR((E230-E223)/E223,0%)</f>
        <v>2.3553719008264462</v>
      </c>
      <c r="H230" s="64">
        <f t="shared" si="179"/>
        <v>1.9446808510638298</v>
      </c>
      <c r="I230" s="1"/>
      <c r="J230" s="1"/>
      <c r="K230" s="1"/>
      <c r="L230" s="1"/>
      <c r="M230" s="18">
        <v>0.64</v>
      </c>
      <c r="N230" s="18">
        <v>0.15</v>
      </c>
      <c r="O230" s="18">
        <v>0.85</v>
      </c>
      <c r="P230" s="18">
        <v>0.77</v>
      </c>
      <c r="Q230" s="22">
        <v>1</v>
      </c>
      <c r="R230" s="294">
        <v>113</v>
      </c>
      <c r="S230" s="294">
        <v>0</v>
      </c>
      <c r="T230" s="365">
        <v>5</v>
      </c>
      <c r="U230" s="338" t="str">
        <f t="shared" si="169"/>
        <v>Outlier</v>
      </c>
      <c r="V230" s="338" t="str">
        <f t="shared" si="170"/>
        <v>Outlier</v>
      </c>
      <c r="W230" s="420">
        <f t="shared" si="171"/>
        <v>0.30866978799112715</v>
      </c>
      <c r="X230" s="420">
        <f t="shared" si="172"/>
        <v>0.30815517891211569</v>
      </c>
    </row>
    <row r="231" spans="1:38">
      <c r="A231" s="32">
        <v>45246</v>
      </c>
      <c r="B231" s="408">
        <f>IF(YEAR(Table7[[#This Row],[Date]]) = 2023, WEEKNUM(Table7[[#This Row],[Date]])-13, WEEKNUM(Table7[[#This Row],[Date]])+40)</f>
        <v>33</v>
      </c>
      <c r="C231" s="34" t="s">
        <v>52</v>
      </c>
      <c r="D231" s="34" t="s">
        <v>94</v>
      </c>
      <c r="E231" s="1">
        <v>765</v>
      </c>
      <c r="F231" s="1">
        <v>594</v>
      </c>
      <c r="G231" s="64">
        <f t="shared" ref="G231:H231" si="180">IFERROR((E231-E224)/E224,0%)</f>
        <v>1.7517985611510791</v>
      </c>
      <c r="H231" s="64">
        <f t="shared" si="180"/>
        <v>1.2415094339622641</v>
      </c>
      <c r="I231" s="1"/>
      <c r="J231" s="1"/>
      <c r="K231" s="1"/>
      <c r="L231" s="1"/>
      <c r="M231" s="18">
        <v>0.65</v>
      </c>
      <c r="N231" s="18">
        <v>0.22</v>
      </c>
      <c r="O231" s="18">
        <v>0.78</v>
      </c>
      <c r="P231" s="18">
        <v>0.68</v>
      </c>
      <c r="Q231" s="22">
        <v>1</v>
      </c>
      <c r="R231" s="294">
        <v>121</v>
      </c>
      <c r="S231" s="294">
        <v>0</v>
      </c>
      <c r="T231" s="365">
        <v>5</v>
      </c>
      <c r="U231" s="338" t="str">
        <f t="shared" si="169"/>
        <v>Outlier</v>
      </c>
      <c r="V231" s="338" t="str">
        <f t="shared" si="170"/>
        <v>Outlier</v>
      </c>
      <c r="W231" s="420">
        <f t="shared" si="171"/>
        <v>0.30866978799112715</v>
      </c>
      <c r="X231" s="420">
        <f t="shared" si="172"/>
        <v>1.2415094339622641</v>
      </c>
    </row>
    <row r="232" spans="1:38">
      <c r="A232" s="32">
        <v>45247</v>
      </c>
      <c r="B232" s="408">
        <f>IF(YEAR(Table7[[#This Row],[Date]]) = 2023, WEEKNUM(Table7[[#This Row],[Date]])-13, WEEKNUM(Table7[[#This Row],[Date]])+40)</f>
        <v>33</v>
      </c>
      <c r="C232" s="34" t="s">
        <v>53</v>
      </c>
      <c r="D232" s="34" t="s">
        <v>94</v>
      </c>
      <c r="E232" s="1">
        <v>648</v>
      </c>
      <c r="F232" s="1">
        <v>535</v>
      </c>
      <c r="G232" s="64">
        <f t="shared" ref="G232:H232" si="181">IFERROR((E232-E225)/E225,0%)</f>
        <v>4.5161290322580643E-2</v>
      </c>
      <c r="H232" s="64">
        <f t="shared" si="181"/>
        <v>4.2884990253411304E-2</v>
      </c>
      <c r="I232" s="1"/>
      <c r="J232" s="1"/>
      <c r="K232" s="1"/>
      <c r="L232" s="1"/>
      <c r="M232" s="18">
        <v>0.63</v>
      </c>
      <c r="N232" s="18">
        <v>0.17</v>
      </c>
      <c r="O232" s="18">
        <v>0.83</v>
      </c>
      <c r="P232" s="18">
        <v>0.68</v>
      </c>
      <c r="Q232" s="22">
        <v>1</v>
      </c>
      <c r="R232" s="294">
        <v>138</v>
      </c>
      <c r="S232" s="294">
        <v>0</v>
      </c>
      <c r="T232" s="365">
        <v>5</v>
      </c>
      <c r="U232" s="338" t="str">
        <f t="shared" si="169"/>
        <v>Normal</v>
      </c>
      <c r="V232" s="338" t="str">
        <f t="shared" si="170"/>
        <v>Normal</v>
      </c>
      <c r="W232" s="420">
        <f t="shared" si="171"/>
        <v>4.5161290322580643E-2</v>
      </c>
      <c r="X232" s="420">
        <f t="shared" si="172"/>
        <v>4.2884990253411304E-2</v>
      </c>
    </row>
    <row r="233" spans="1:38">
      <c r="A233" s="32">
        <v>45248</v>
      </c>
      <c r="B233" s="408">
        <f>IF(YEAR(Table7[[#This Row],[Date]]) = 2023, WEEKNUM(Table7[[#This Row],[Date]])-13, WEEKNUM(Table7[[#This Row],[Date]])+40)</f>
        <v>33</v>
      </c>
      <c r="C233" s="34" t="s">
        <v>54</v>
      </c>
      <c r="D233" s="34" t="s">
        <v>94</v>
      </c>
      <c r="E233" s="1">
        <v>487</v>
      </c>
      <c r="F233" s="1">
        <v>356</v>
      </c>
      <c r="G233" s="64">
        <f t="shared" ref="G233:H233" si="182">IFERROR((E233-E226)/E226,0%)</f>
        <v>-8.1132075471698109E-2</v>
      </c>
      <c r="H233" s="64">
        <f t="shared" si="182"/>
        <v>-0.22776572668112799</v>
      </c>
      <c r="I233" s="1"/>
      <c r="J233" s="1"/>
      <c r="K233" s="1"/>
      <c r="L233" s="1"/>
      <c r="M233" s="18">
        <v>0.52</v>
      </c>
      <c r="N233" s="18">
        <v>0.27</v>
      </c>
      <c r="O233" s="18">
        <v>0.73</v>
      </c>
      <c r="P233" s="18">
        <v>0.66</v>
      </c>
      <c r="Q233" s="22">
        <v>1</v>
      </c>
      <c r="R233" s="294">
        <v>96</v>
      </c>
      <c r="S233" s="294">
        <v>0</v>
      </c>
      <c r="T233" s="365">
        <v>3</v>
      </c>
      <c r="U233" s="338" t="str">
        <f t="shared" si="169"/>
        <v>Normal</v>
      </c>
      <c r="V233" s="338" t="str">
        <f t="shared" si="170"/>
        <v>Normal</v>
      </c>
      <c r="W233" s="420">
        <f t="shared" si="171"/>
        <v>-8.1132075471698109E-2</v>
      </c>
      <c r="X233" s="420">
        <f t="shared" si="172"/>
        <v>-0.22776572668112799</v>
      </c>
    </row>
    <row r="234" spans="1:38">
      <c r="A234" s="32">
        <v>45249</v>
      </c>
      <c r="B234" s="408">
        <f>IF(YEAR(Table7[[#This Row],[Date]]) = 2023, WEEKNUM(Table7[[#This Row],[Date]])-13, WEEKNUM(Table7[[#This Row],[Date]])+40)</f>
        <v>34</v>
      </c>
      <c r="C234" s="34" t="s">
        <v>48</v>
      </c>
      <c r="D234" s="34" t="s">
        <v>94</v>
      </c>
      <c r="E234" s="1">
        <v>0</v>
      </c>
      <c r="F234" s="1">
        <v>0</v>
      </c>
      <c r="G234" s="64">
        <f t="shared" ref="G234:H234" si="183">IFERROR((E234-E227)/E227,0%)</f>
        <v>0</v>
      </c>
      <c r="H234" s="64">
        <f t="shared" si="183"/>
        <v>0</v>
      </c>
      <c r="I234" s="1">
        <v>0</v>
      </c>
      <c r="J234" s="1">
        <v>0</v>
      </c>
      <c r="K234" s="1">
        <v>0</v>
      </c>
      <c r="L234" s="1">
        <v>0</v>
      </c>
      <c r="M234" s="18">
        <v>0</v>
      </c>
      <c r="N234" s="18">
        <v>0</v>
      </c>
      <c r="O234" s="18">
        <v>0</v>
      </c>
      <c r="P234" s="18">
        <v>0</v>
      </c>
      <c r="Q234" s="22">
        <v>0</v>
      </c>
      <c r="R234" s="294">
        <v>0</v>
      </c>
      <c r="S234" s="294">
        <v>0</v>
      </c>
      <c r="T234" s="365">
        <v>0</v>
      </c>
      <c r="U234" s="338" t="str">
        <f t="shared" si="169"/>
        <v>Normal</v>
      </c>
      <c r="V234" s="338" t="str">
        <f t="shared" si="170"/>
        <v>Normal</v>
      </c>
      <c r="W234" s="420">
        <f t="shared" si="171"/>
        <v>0</v>
      </c>
      <c r="X234" s="420">
        <f t="shared" si="172"/>
        <v>0</v>
      </c>
    </row>
    <row r="235" spans="1:38">
      <c r="A235" s="32">
        <v>45250</v>
      </c>
      <c r="B235" s="408">
        <f>IF(YEAR(Table7[[#This Row],[Date]]) = 2023, WEEKNUM(Table7[[#This Row],[Date]])-13, WEEKNUM(Table7[[#This Row],[Date]])+40)</f>
        <v>34</v>
      </c>
      <c r="C235" s="34" t="s">
        <v>49</v>
      </c>
      <c r="D235" s="34" t="s">
        <v>94</v>
      </c>
      <c r="E235" s="1">
        <v>837</v>
      </c>
      <c r="F235" s="1">
        <v>725</v>
      </c>
      <c r="G235" s="64">
        <f t="shared" ref="G235:H235" si="184">IFERROR((E235-E228)/E228,0%)</f>
        <v>0</v>
      </c>
      <c r="H235" s="64">
        <f t="shared" si="184"/>
        <v>0</v>
      </c>
      <c r="I235" s="1"/>
      <c r="J235" s="1"/>
      <c r="K235" s="1"/>
      <c r="L235" s="1"/>
      <c r="M235" s="18">
        <v>0.83</v>
      </c>
      <c r="N235" s="18">
        <v>0.13</v>
      </c>
      <c r="O235" s="18">
        <v>0.87</v>
      </c>
      <c r="P235" s="18">
        <v>0.89</v>
      </c>
      <c r="Q235" s="22">
        <v>1</v>
      </c>
      <c r="R235" s="294">
        <v>125</v>
      </c>
      <c r="S235" s="294">
        <v>0</v>
      </c>
      <c r="T235" s="365">
        <v>5</v>
      </c>
      <c r="U235" s="338" t="str">
        <f t="shared" si="169"/>
        <v>Normal</v>
      </c>
      <c r="V235" s="338" t="str">
        <f t="shared" si="170"/>
        <v>Normal</v>
      </c>
      <c r="W235" s="420">
        <f t="shared" si="171"/>
        <v>0</v>
      </c>
      <c r="X235" s="420">
        <f t="shared" si="172"/>
        <v>0</v>
      </c>
    </row>
    <row r="236" spans="1:38">
      <c r="A236" s="32">
        <v>45251</v>
      </c>
      <c r="B236" s="408">
        <f>IF(YEAR(Table7[[#This Row],[Date]]) = 2023, WEEKNUM(Table7[[#This Row],[Date]])-13, WEEKNUM(Table7[[#This Row],[Date]])+40)</f>
        <v>34</v>
      </c>
      <c r="C236" s="34" t="s">
        <v>50</v>
      </c>
      <c r="D236" s="34" t="s">
        <v>94</v>
      </c>
      <c r="E236" s="1">
        <v>836</v>
      </c>
      <c r="F236" s="1">
        <v>725</v>
      </c>
      <c r="G236" s="64">
        <f t="shared" ref="G236:H236" si="185">IFERROR((E236-E229)/E229,0%)</f>
        <v>-9.3275488069414311E-2</v>
      </c>
      <c r="H236" s="64">
        <f t="shared" si="185"/>
        <v>-0.13793103448275862</v>
      </c>
      <c r="I236" s="1"/>
      <c r="J236" s="1"/>
      <c r="K236" s="1"/>
      <c r="L236" s="1"/>
      <c r="M236" s="18">
        <v>0.51</v>
      </c>
      <c r="N236" s="18">
        <v>0.13</v>
      </c>
      <c r="O236" s="18">
        <v>0.87</v>
      </c>
      <c r="P236" s="18">
        <v>0.81</v>
      </c>
      <c r="Q236" s="22">
        <v>0.99</v>
      </c>
      <c r="R236" s="294">
        <v>86</v>
      </c>
      <c r="S236" s="294">
        <v>0</v>
      </c>
      <c r="T236" s="365">
        <v>5</v>
      </c>
      <c r="U236" s="338" t="str">
        <f t="shared" si="169"/>
        <v>Normal</v>
      </c>
      <c r="V236" s="338" t="str">
        <f t="shared" si="170"/>
        <v>Normal</v>
      </c>
      <c r="W236" s="420">
        <f t="shared" si="171"/>
        <v>-9.3275488069414311E-2</v>
      </c>
      <c r="X236" s="420">
        <f t="shared" si="172"/>
        <v>-0.13793103448275862</v>
      </c>
      <c r="AJ236" s="48"/>
      <c r="AK236" s="48"/>
      <c r="AL236" s="48"/>
    </row>
    <row r="237" spans="1:38">
      <c r="A237" s="32">
        <v>45252</v>
      </c>
      <c r="B237" s="408">
        <f>IF(YEAR(Table7[[#This Row],[Date]]) = 2023, WEEKNUM(Table7[[#This Row],[Date]])-13, WEEKNUM(Table7[[#This Row],[Date]])+40)</f>
        <v>34</v>
      </c>
      <c r="C237" s="34" t="s">
        <v>51</v>
      </c>
      <c r="D237" s="34" t="s">
        <v>94</v>
      </c>
      <c r="E237" s="1">
        <v>633</v>
      </c>
      <c r="F237" s="1">
        <v>434</v>
      </c>
      <c r="G237" s="64">
        <f t="shared" ref="G237:H237" si="186">IFERROR((E237-E230)/E230,0%)</f>
        <v>-0.22044334975369459</v>
      </c>
      <c r="H237" s="64">
        <f t="shared" si="186"/>
        <v>-0.37283236994219654</v>
      </c>
      <c r="I237" s="1"/>
      <c r="J237" s="1"/>
      <c r="K237" s="1"/>
      <c r="L237" s="1"/>
      <c r="M237" s="18">
        <v>0.37</v>
      </c>
      <c r="N237" s="18">
        <v>0.31</v>
      </c>
      <c r="O237" s="18">
        <v>0.69</v>
      </c>
      <c r="P237" s="18">
        <v>0.57999999999999996</v>
      </c>
      <c r="Q237" s="22">
        <v>1</v>
      </c>
      <c r="R237" s="294">
        <v>114</v>
      </c>
      <c r="S237" s="294">
        <v>0</v>
      </c>
      <c r="T237" s="365">
        <v>5</v>
      </c>
      <c r="U237" s="338" t="str">
        <f t="shared" si="169"/>
        <v>Normal</v>
      </c>
      <c r="V237" s="338" t="str">
        <f t="shared" si="170"/>
        <v>Normal</v>
      </c>
      <c r="W237" s="420">
        <f t="shared" si="171"/>
        <v>-0.22044334975369459</v>
      </c>
      <c r="X237" s="420">
        <f t="shared" si="172"/>
        <v>-0.37283236994219654</v>
      </c>
    </row>
    <row r="238" spans="1:38">
      <c r="A238" s="32">
        <v>45253</v>
      </c>
      <c r="B238" s="408">
        <f>IF(YEAR(Table7[[#This Row],[Date]]) = 2023, WEEKNUM(Table7[[#This Row],[Date]])-13, WEEKNUM(Table7[[#This Row],[Date]])+40)</f>
        <v>34</v>
      </c>
      <c r="C238" s="34" t="s">
        <v>52</v>
      </c>
      <c r="D238" s="34" t="s">
        <v>94</v>
      </c>
      <c r="E238" s="1">
        <v>421</v>
      </c>
      <c r="F238" s="1">
        <v>365</v>
      </c>
      <c r="G238" s="64">
        <f t="shared" ref="G238:H238" si="187">IFERROR((E238-E231)/E231,0%)</f>
        <v>-0.4496732026143791</v>
      </c>
      <c r="H238" s="64">
        <f t="shared" si="187"/>
        <v>-0.38552188552188554</v>
      </c>
      <c r="I238" s="1"/>
      <c r="J238" s="1"/>
      <c r="K238" s="1"/>
      <c r="L238" s="1"/>
      <c r="M238" s="18">
        <v>0.76</v>
      </c>
      <c r="N238" s="18">
        <v>0.13</v>
      </c>
      <c r="O238" s="18">
        <v>0.87</v>
      </c>
      <c r="P238" s="18">
        <v>0.74</v>
      </c>
      <c r="Q238" s="22">
        <v>0.99</v>
      </c>
      <c r="R238" s="294">
        <v>130</v>
      </c>
      <c r="S238" s="294">
        <v>0</v>
      </c>
      <c r="T238" s="365">
        <v>5</v>
      </c>
      <c r="U238" s="338" t="str">
        <f t="shared" si="169"/>
        <v>Normal</v>
      </c>
      <c r="V238" s="338" t="str">
        <f t="shared" si="170"/>
        <v>Normal</v>
      </c>
      <c r="W238" s="420">
        <f t="shared" si="171"/>
        <v>-0.4496732026143791</v>
      </c>
      <c r="X238" s="420">
        <f t="shared" si="172"/>
        <v>-0.38552188552188554</v>
      </c>
    </row>
    <row r="239" spans="1:38">
      <c r="A239" s="32">
        <v>45254</v>
      </c>
      <c r="B239" s="408">
        <f>IF(YEAR(Table7[[#This Row],[Date]]) = 2023, WEEKNUM(Table7[[#This Row],[Date]])-13, WEEKNUM(Table7[[#This Row],[Date]])+40)</f>
        <v>34</v>
      </c>
      <c r="C239" s="34" t="s">
        <v>53</v>
      </c>
      <c r="D239" s="34" t="s">
        <v>94</v>
      </c>
      <c r="E239" s="1">
        <v>826</v>
      </c>
      <c r="F239" s="1">
        <v>312</v>
      </c>
      <c r="G239" s="64">
        <f t="shared" ref="G239:H239" si="188">IFERROR((E239-E232)/E232,0%)</f>
        <v>0.27469135802469136</v>
      </c>
      <c r="H239" s="64">
        <f t="shared" si="188"/>
        <v>-0.41682242990654206</v>
      </c>
      <c r="I239" s="1"/>
      <c r="J239" s="1"/>
      <c r="K239" s="1"/>
      <c r="L239" s="1"/>
      <c r="M239" s="18">
        <v>0.02</v>
      </c>
      <c r="N239" s="18">
        <v>0.62</v>
      </c>
      <c r="O239" s="18">
        <v>0.38</v>
      </c>
      <c r="P239" s="18">
        <v>0.65</v>
      </c>
      <c r="Q239" s="22">
        <v>1</v>
      </c>
      <c r="R239" s="294">
        <v>126</v>
      </c>
      <c r="S239" s="294">
        <v>0</v>
      </c>
      <c r="T239" s="365">
        <v>4</v>
      </c>
      <c r="U239" s="338" t="str">
        <f t="shared" si="169"/>
        <v>Normal</v>
      </c>
      <c r="V239" s="338" t="str">
        <f t="shared" si="170"/>
        <v>Normal</v>
      </c>
      <c r="W239" s="420">
        <f t="shared" si="171"/>
        <v>0.27469135802469136</v>
      </c>
      <c r="X239" s="420">
        <f t="shared" si="172"/>
        <v>-0.41682242990654206</v>
      </c>
    </row>
    <row r="240" spans="1:38">
      <c r="A240" s="32">
        <v>45255</v>
      </c>
      <c r="B240" s="408">
        <f>IF(YEAR(Table7[[#This Row],[Date]]) = 2023, WEEKNUM(Table7[[#This Row],[Date]])-13, WEEKNUM(Table7[[#This Row],[Date]])+40)</f>
        <v>34</v>
      </c>
      <c r="C240" s="34" t="s">
        <v>54</v>
      </c>
      <c r="D240" s="34" t="s">
        <v>94</v>
      </c>
      <c r="E240" s="1">
        <v>713</v>
      </c>
      <c r="F240" s="1">
        <v>236</v>
      </c>
      <c r="G240" s="64">
        <f t="shared" ref="G240:H240" si="189">IFERROR((E240-E233)/E233,0%)</f>
        <v>0.46406570841889117</v>
      </c>
      <c r="H240" s="64">
        <f t="shared" si="189"/>
        <v>-0.33707865168539325</v>
      </c>
      <c r="I240" s="1"/>
      <c r="J240" s="1"/>
      <c r="K240" s="1"/>
      <c r="L240" s="1"/>
      <c r="M240" s="18">
        <v>0.04</v>
      </c>
      <c r="N240" s="18">
        <v>0.67</v>
      </c>
      <c r="O240" s="18">
        <v>0.33</v>
      </c>
      <c r="P240" s="18">
        <v>0.8</v>
      </c>
      <c r="Q240" s="22">
        <v>1</v>
      </c>
      <c r="R240" s="294">
        <v>131</v>
      </c>
      <c r="S240" s="294">
        <v>0</v>
      </c>
      <c r="T240" s="365">
        <v>2</v>
      </c>
      <c r="U240" s="338" t="str">
        <f t="shared" si="169"/>
        <v>Normal</v>
      </c>
      <c r="V240" s="338" t="str">
        <f t="shared" si="170"/>
        <v>Normal</v>
      </c>
      <c r="W240" s="420">
        <f t="shared" si="171"/>
        <v>0.46406570841889117</v>
      </c>
      <c r="X240" s="420">
        <f t="shared" si="172"/>
        <v>-0.33707865168539325</v>
      </c>
    </row>
    <row r="241" spans="1:38">
      <c r="A241" s="32">
        <v>45256</v>
      </c>
      <c r="B241" s="408">
        <f>IF(YEAR(Table7[[#This Row],[Date]]) = 2023, WEEKNUM(Table7[[#This Row],[Date]])-13, WEEKNUM(Table7[[#This Row],[Date]])+40)</f>
        <v>35</v>
      </c>
      <c r="C241" s="34" t="s">
        <v>48</v>
      </c>
      <c r="D241" s="34" t="s">
        <v>94</v>
      </c>
      <c r="E241" s="1">
        <v>232</v>
      </c>
      <c r="F241" s="1">
        <v>171</v>
      </c>
      <c r="G241" s="64">
        <f t="shared" ref="G241:H241" si="190">IFERROR((E241-E234)/E234,0%)</f>
        <v>0</v>
      </c>
      <c r="H241" s="64">
        <f t="shared" si="190"/>
        <v>0</v>
      </c>
      <c r="I241" s="1"/>
      <c r="J241" s="1"/>
      <c r="K241" s="1"/>
      <c r="L241" s="1"/>
      <c r="M241" s="18">
        <v>0.59</v>
      </c>
      <c r="N241" s="18">
        <v>0.26</v>
      </c>
      <c r="O241" s="18">
        <v>0.74</v>
      </c>
      <c r="P241" s="18">
        <v>0.71</v>
      </c>
      <c r="Q241" s="22">
        <v>1</v>
      </c>
      <c r="R241" s="294">
        <v>58</v>
      </c>
      <c r="S241" s="294">
        <v>0</v>
      </c>
      <c r="T241" s="365">
        <v>2</v>
      </c>
      <c r="U241" s="338" t="str">
        <f t="shared" si="169"/>
        <v>Normal</v>
      </c>
      <c r="V241" s="338" t="str">
        <f t="shared" si="170"/>
        <v>Normal</v>
      </c>
      <c r="W241" s="420">
        <f t="shared" si="171"/>
        <v>0</v>
      </c>
      <c r="X241" s="420">
        <f t="shared" si="172"/>
        <v>0</v>
      </c>
    </row>
    <row r="242" spans="1:38">
      <c r="A242" s="32">
        <v>45257</v>
      </c>
      <c r="B242" s="408">
        <f>IF(YEAR(Table7[[#This Row],[Date]]) = 2023, WEEKNUM(Table7[[#This Row],[Date]])-13, WEEKNUM(Table7[[#This Row],[Date]])+40)</f>
        <v>35</v>
      </c>
      <c r="C242" s="34" t="s">
        <v>49</v>
      </c>
      <c r="D242" s="34" t="s">
        <v>94</v>
      </c>
      <c r="E242" s="1">
        <v>1593</v>
      </c>
      <c r="F242" s="1">
        <v>634</v>
      </c>
      <c r="G242" s="64">
        <f t="shared" ref="G242:H242" si="191">IFERROR((E242-E235)/E235,0%)</f>
        <v>0.90322580645161288</v>
      </c>
      <c r="H242" s="64">
        <f t="shared" si="191"/>
        <v>-0.12551724137931033</v>
      </c>
      <c r="I242" s="1"/>
      <c r="J242" s="1"/>
      <c r="K242" s="1"/>
      <c r="L242" s="1"/>
      <c r="M242" s="18">
        <v>0.04</v>
      </c>
      <c r="N242" s="18">
        <v>0.6</v>
      </c>
      <c r="O242" s="18">
        <v>0.4</v>
      </c>
      <c r="P242" s="18">
        <v>0.76</v>
      </c>
      <c r="Q242" s="22">
        <v>0.99</v>
      </c>
      <c r="R242" s="294">
        <v>56</v>
      </c>
      <c r="S242" s="294">
        <v>0</v>
      </c>
      <c r="T242" s="365">
        <v>4</v>
      </c>
      <c r="U242" s="338" t="str">
        <f t="shared" si="169"/>
        <v>Outlier</v>
      </c>
      <c r="V242" s="338" t="str">
        <f t="shared" si="170"/>
        <v>Normal</v>
      </c>
      <c r="W242" s="420">
        <f t="shared" si="171"/>
        <v>0.90322580645161288</v>
      </c>
      <c r="X242" s="420">
        <f t="shared" si="172"/>
        <v>-0.12551724137931033</v>
      </c>
    </row>
    <row r="243" spans="1:38">
      <c r="A243" s="32">
        <v>45258</v>
      </c>
      <c r="B243" s="408">
        <f>IF(YEAR(Table7[[#This Row],[Date]]) = 2023, WEEKNUM(Table7[[#This Row],[Date]])-13, WEEKNUM(Table7[[#This Row],[Date]])+40)</f>
        <v>35</v>
      </c>
      <c r="C243" s="34" t="s">
        <v>50</v>
      </c>
      <c r="D243" s="34" t="s">
        <v>94</v>
      </c>
      <c r="E243" s="1">
        <v>1319</v>
      </c>
      <c r="F243" s="1">
        <v>676</v>
      </c>
      <c r="G243" s="64">
        <f t="shared" ref="G243:H243" si="192">IFERROR((E243-E236)/E236,0%)</f>
        <v>0.57775119617224879</v>
      </c>
      <c r="H243" s="64">
        <f t="shared" si="192"/>
        <v>-6.7586206896551718E-2</v>
      </c>
      <c r="I243" s="1"/>
      <c r="J243" s="1"/>
      <c r="K243" s="1"/>
      <c r="L243" s="1"/>
      <c r="M243" s="18">
        <v>0.08</v>
      </c>
      <c r="N243" s="18">
        <v>0.49</v>
      </c>
      <c r="O243" s="18">
        <v>0.51</v>
      </c>
      <c r="P243" s="18">
        <v>0.94</v>
      </c>
      <c r="Q243" s="22">
        <v>1</v>
      </c>
      <c r="R243" s="294">
        <v>112</v>
      </c>
      <c r="S243" s="294">
        <v>0</v>
      </c>
      <c r="T243" s="365">
        <v>4</v>
      </c>
      <c r="U243" s="338" t="str">
        <f t="shared" si="169"/>
        <v>Outlier</v>
      </c>
      <c r="V243" s="338" t="str">
        <f t="shared" si="170"/>
        <v>Normal</v>
      </c>
      <c r="W243" s="420">
        <f t="shared" si="171"/>
        <v>0.57775119617224879</v>
      </c>
      <c r="X243" s="420">
        <f t="shared" si="172"/>
        <v>-6.7586206896551718E-2</v>
      </c>
    </row>
    <row r="244" spans="1:38">
      <c r="A244" s="32">
        <v>45259</v>
      </c>
      <c r="B244" s="408">
        <f>IF(YEAR(Table7[[#This Row],[Date]]) = 2023, WEEKNUM(Table7[[#This Row],[Date]])-13, WEEKNUM(Table7[[#This Row],[Date]])+40)</f>
        <v>35</v>
      </c>
      <c r="C244" s="34" t="s">
        <v>51</v>
      </c>
      <c r="D244" s="34" t="s">
        <v>94</v>
      </c>
      <c r="E244" s="1">
        <v>1368</v>
      </c>
      <c r="F244" s="1">
        <v>568</v>
      </c>
      <c r="G244" s="64">
        <f t="shared" ref="G244:H244" si="193">IFERROR((E244-E237)/E237,0%)</f>
        <v>1.1611374407582939</v>
      </c>
      <c r="H244" s="64">
        <f t="shared" si="193"/>
        <v>0.30875576036866359</v>
      </c>
      <c r="I244" s="1"/>
      <c r="J244" s="1"/>
      <c r="K244" s="1"/>
      <c r="L244" s="1"/>
      <c r="M244" s="18">
        <v>0.06</v>
      </c>
      <c r="N244" s="18">
        <v>0.57999999999999996</v>
      </c>
      <c r="O244" s="18">
        <v>0.42</v>
      </c>
      <c r="P244" s="18">
        <v>0.9</v>
      </c>
      <c r="Q244" s="22">
        <v>1</v>
      </c>
      <c r="R244" s="294">
        <v>144</v>
      </c>
      <c r="S244" s="294">
        <v>0</v>
      </c>
      <c r="T244" s="365">
        <v>4</v>
      </c>
      <c r="U244" s="338" t="str">
        <f t="shared" si="169"/>
        <v>Outlier</v>
      </c>
      <c r="V244" s="338" t="str">
        <f t="shared" si="170"/>
        <v>Normal</v>
      </c>
      <c r="W244" s="420">
        <f t="shared" si="171"/>
        <v>1.1611374407582939</v>
      </c>
      <c r="X244" s="420">
        <f t="shared" si="172"/>
        <v>0.30875576036866359</v>
      </c>
    </row>
    <row r="245" spans="1:38">
      <c r="A245" s="32">
        <v>45260</v>
      </c>
      <c r="B245" s="408">
        <f>IF(YEAR(Table7[[#This Row],[Date]]) = 2023, WEEKNUM(Table7[[#This Row],[Date]])-13, WEEKNUM(Table7[[#This Row],[Date]])+40)</f>
        <v>35</v>
      </c>
      <c r="C245" s="34" t="s">
        <v>52</v>
      </c>
      <c r="D245" s="34" t="s">
        <v>94</v>
      </c>
      <c r="E245" s="1">
        <v>1123</v>
      </c>
      <c r="F245" s="1">
        <v>757</v>
      </c>
      <c r="G245" s="64">
        <f t="shared" ref="G245:H245" si="194">IFERROR((E245-E238)/E238,0%)</f>
        <v>1.667458432304038</v>
      </c>
      <c r="H245" s="64">
        <f t="shared" si="194"/>
        <v>1.0739726027397261</v>
      </c>
      <c r="I245" s="1"/>
      <c r="J245" s="1"/>
      <c r="K245" s="1"/>
      <c r="L245" s="1"/>
      <c r="M245" s="18">
        <v>0.35</v>
      </c>
      <c r="N245" s="18">
        <v>0.33</v>
      </c>
      <c r="O245" s="18">
        <v>0.67</v>
      </c>
      <c r="P245" s="18">
        <v>0.91</v>
      </c>
      <c r="Q245" s="22">
        <v>1</v>
      </c>
      <c r="R245" s="294">
        <v>122</v>
      </c>
      <c r="S245" s="294">
        <v>0</v>
      </c>
      <c r="T245" s="365">
        <v>5</v>
      </c>
      <c r="U245" s="338" t="str">
        <f t="shared" si="169"/>
        <v>Outlier</v>
      </c>
      <c r="V245" s="338" t="str">
        <f t="shared" si="170"/>
        <v>Outlier</v>
      </c>
      <c r="W245" s="420">
        <f t="shared" si="171"/>
        <v>0.30866978799112715</v>
      </c>
      <c r="X245" s="420">
        <f t="shared" si="172"/>
        <v>1.0739726027397261</v>
      </c>
    </row>
    <row r="246" spans="1:38" s="47" customFormat="1">
      <c r="A246" s="32">
        <v>45261</v>
      </c>
      <c r="B246" s="408">
        <f>IF(YEAR(Table7[[#This Row],[Date]]) = 2023, WEEKNUM(Table7[[#This Row],[Date]])-13, WEEKNUM(Table7[[#This Row],[Date]])+40)</f>
        <v>35</v>
      </c>
      <c r="C246" s="76" t="s">
        <v>53</v>
      </c>
      <c r="D246" s="34" t="s">
        <v>94</v>
      </c>
      <c r="E246" s="1">
        <v>912</v>
      </c>
      <c r="F246" s="1">
        <v>569</v>
      </c>
      <c r="G246" s="64">
        <f t="shared" ref="G246:H246" si="195">IFERROR((E246-E239)/E239,0%)</f>
        <v>0.10411622276029056</v>
      </c>
      <c r="H246" s="64">
        <f t="shared" si="195"/>
        <v>0.82371794871794868</v>
      </c>
      <c r="I246" s="1"/>
      <c r="J246" s="1"/>
      <c r="K246" s="1"/>
      <c r="L246" s="1"/>
      <c r="M246" s="18">
        <v>0.32</v>
      </c>
      <c r="N246" s="18">
        <v>0.38</v>
      </c>
      <c r="O246" s="18">
        <v>0.62</v>
      </c>
      <c r="P246" s="18">
        <v>0.81</v>
      </c>
      <c r="Q246" s="22">
        <v>1</v>
      </c>
      <c r="R246" s="294">
        <v>174</v>
      </c>
      <c r="S246" s="294">
        <v>0</v>
      </c>
      <c r="T246" s="365">
        <v>4</v>
      </c>
      <c r="U246" s="338" t="str">
        <f t="shared" si="169"/>
        <v>Normal</v>
      </c>
      <c r="V246" s="338" t="str">
        <f t="shared" si="170"/>
        <v>Outlier</v>
      </c>
      <c r="W246" s="420">
        <f t="shared" si="171"/>
        <v>0.10411622276029056</v>
      </c>
      <c r="X246" s="420">
        <f t="shared" si="172"/>
        <v>0.82371794871794868</v>
      </c>
      <c r="Y246" s="338"/>
      <c r="Z246" s="338"/>
      <c r="AA246" s="338"/>
      <c r="AB246" s="338"/>
      <c r="AC246" s="338"/>
      <c r="AD246" s="338"/>
      <c r="AE246" s="338"/>
      <c r="AF246" s="338"/>
      <c r="AG246" s="338"/>
      <c r="AH246" s="338"/>
      <c r="AI246" s="338"/>
      <c r="AJ246"/>
      <c r="AK246"/>
      <c r="AL246"/>
    </row>
    <row r="247" spans="1:38">
      <c r="A247" s="32">
        <v>45262</v>
      </c>
      <c r="B247" s="408">
        <f>IF(YEAR(Table7[[#This Row],[Date]]) = 2023, WEEKNUM(Table7[[#This Row],[Date]])-13, WEEKNUM(Table7[[#This Row],[Date]])+40)</f>
        <v>35</v>
      </c>
      <c r="C247" s="34" t="s">
        <v>54</v>
      </c>
      <c r="D247" s="34" t="s">
        <v>94</v>
      </c>
      <c r="E247" s="1">
        <v>752</v>
      </c>
      <c r="F247" s="1">
        <v>457</v>
      </c>
      <c r="G247" s="64">
        <f t="shared" ref="G247:H247" si="196">IFERROR((E247-E240)/E240,0%)</f>
        <v>5.4698457223001401E-2</v>
      </c>
      <c r="H247" s="64">
        <f t="shared" si="196"/>
        <v>0.93644067796610164</v>
      </c>
      <c r="I247" s="1"/>
      <c r="J247" s="1"/>
      <c r="K247" s="1"/>
      <c r="L247" s="1"/>
      <c r="M247" s="18">
        <v>0.08</v>
      </c>
      <c r="N247" s="18">
        <v>0.39</v>
      </c>
      <c r="O247" s="18">
        <v>0.61</v>
      </c>
      <c r="P247" s="18">
        <v>0.76</v>
      </c>
      <c r="Q247" s="22">
        <v>1</v>
      </c>
      <c r="R247" s="294">
        <v>106</v>
      </c>
      <c r="S247" s="294">
        <v>0</v>
      </c>
      <c r="T247" s="365">
        <v>4</v>
      </c>
      <c r="U247" s="338" t="str">
        <f t="shared" si="169"/>
        <v>Normal</v>
      </c>
      <c r="V247" s="338" t="str">
        <f t="shared" si="170"/>
        <v>Outlier</v>
      </c>
      <c r="W247" s="420">
        <f t="shared" si="171"/>
        <v>5.4698457223001401E-2</v>
      </c>
      <c r="X247" s="420">
        <f t="shared" si="172"/>
        <v>0.93644067796610164</v>
      </c>
    </row>
    <row r="248" spans="1:38">
      <c r="A248" s="32">
        <v>45263</v>
      </c>
      <c r="B248" s="408">
        <f>IF(YEAR(Table7[[#This Row],[Date]]) = 2023, WEEKNUM(Table7[[#This Row],[Date]])-13, WEEKNUM(Table7[[#This Row],[Date]])+40)</f>
        <v>36</v>
      </c>
      <c r="C248" s="34" t="s">
        <v>48</v>
      </c>
      <c r="D248" s="34" t="s">
        <v>94</v>
      </c>
      <c r="E248" s="1">
        <v>93</v>
      </c>
      <c r="F248" s="1">
        <v>62</v>
      </c>
      <c r="G248" s="64">
        <f t="shared" ref="G248:H248" si="197">IFERROR((E248-E241)/E241,0%)</f>
        <v>-0.59913793103448276</v>
      </c>
      <c r="H248" s="64">
        <f t="shared" si="197"/>
        <v>-0.63742690058479534</v>
      </c>
      <c r="I248" s="1"/>
      <c r="J248" s="1"/>
      <c r="K248" s="1"/>
      <c r="L248" s="1"/>
      <c r="M248" s="18">
        <v>0.59</v>
      </c>
      <c r="N248" s="18">
        <v>0.33</v>
      </c>
      <c r="O248" s="18">
        <v>0.67</v>
      </c>
      <c r="P248" s="18">
        <v>0.74</v>
      </c>
      <c r="Q248" s="22">
        <v>1</v>
      </c>
      <c r="R248" s="294">
        <v>118</v>
      </c>
      <c r="S248" s="294">
        <v>0</v>
      </c>
      <c r="T248" s="365">
        <v>1</v>
      </c>
      <c r="U248" s="338" t="str">
        <f t="shared" si="169"/>
        <v>Outlier</v>
      </c>
      <c r="V248" s="338" t="str">
        <f t="shared" si="170"/>
        <v>Outlier</v>
      </c>
      <c r="W248" s="420">
        <f t="shared" si="171"/>
        <v>-0.59913793103448276</v>
      </c>
      <c r="X248" s="420">
        <f t="shared" si="172"/>
        <v>-0.63742690058479534</v>
      </c>
    </row>
    <row r="249" spans="1:38">
      <c r="A249" s="32">
        <v>45264</v>
      </c>
      <c r="B249" s="408">
        <f>IF(YEAR(Table7[[#This Row],[Date]]) = 2023, WEEKNUM(Table7[[#This Row],[Date]])-13, WEEKNUM(Table7[[#This Row],[Date]])+40)</f>
        <v>36</v>
      </c>
      <c r="C249" s="34" t="s">
        <v>49</v>
      </c>
      <c r="D249" s="34" t="s">
        <v>94</v>
      </c>
      <c r="E249" s="1">
        <v>1144</v>
      </c>
      <c r="F249" s="1">
        <v>635</v>
      </c>
      <c r="G249" s="64">
        <f t="shared" ref="G249:H249" si="198">IFERROR((E249-E242)/E242,0%)</f>
        <v>-0.28185812931575643</v>
      </c>
      <c r="H249" s="64">
        <f t="shared" si="198"/>
        <v>1.5772870662460567E-3</v>
      </c>
      <c r="I249" s="1"/>
      <c r="J249" s="1"/>
      <c r="K249" s="1"/>
      <c r="L249" s="1"/>
      <c r="M249" s="18">
        <v>0.25</v>
      </c>
      <c r="N249" s="18">
        <v>0.44</v>
      </c>
      <c r="O249" s="18">
        <v>0.56000000000000005</v>
      </c>
      <c r="P249" s="18">
        <v>0.98</v>
      </c>
      <c r="Q249" s="22">
        <v>1</v>
      </c>
      <c r="R249" s="294">
        <v>71</v>
      </c>
      <c r="S249" s="294">
        <v>0</v>
      </c>
      <c r="T249" s="365">
        <v>4</v>
      </c>
      <c r="U249" s="338" t="str">
        <f t="shared" si="169"/>
        <v>Normal</v>
      </c>
      <c r="V249" s="338" t="str">
        <f t="shared" si="170"/>
        <v>Normal</v>
      </c>
      <c r="W249" s="420">
        <f t="shared" si="171"/>
        <v>-0.28185812931575643</v>
      </c>
      <c r="X249" s="420">
        <f t="shared" si="172"/>
        <v>1.5772870662460567E-3</v>
      </c>
    </row>
    <row r="250" spans="1:38">
      <c r="A250" s="32">
        <v>45265</v>
      </c>
      <c r="B250" s="408">
        <f>IF(YEAR(Table7[[#This Row],[Date]]) = 2023, WEEKNUM(Table7[[#This Row],[Date]])-13, WEEKNUM(Table7[[#This Row],[Date]])+40)</f>
        <v>36</v>
      </c>
      <c r="C250" s="34" t="s">
        <v>50</v>
      </c>
      <c r="D250" s="34" t="s">
        <v>94</v>
      </c>
      <c r="E250" s="1">
        <v>1117</v>
      </c>
      <c r="F250" s="1">
        <v>687</v>
      </c>
      <c r="G250" s="64">
        <f t="shared" ref="G250:H250" si="199">IFERROR((E250-E243)/E243,0%)</f>
        <v>-0.15314632297194844</v>
      </c>
      <c r="H250" s="64">
        <f t="shared" si="199"/>
        <v>1.6272189349112426E-2</v>
      </c>
      <c r="I250" s="1"/>
      <c r="J250" s="1"/>
      <c r="K250" s="1"/>
      <c r="L250" s="1"/>
      <c r="M250" s="18">
        <v>0.43</v>
      </c>
      <c r="N250" s="18">
        <v>0.39</v>
      </c>
      <c r="O250" s="18">
        <v>0.61</v>
      </c>
      <c r="P250" s="18">
        <v>0.95</v>
      </c>
      <c r="Q250" s="22">
        <v>0.98</v>
      </c>
      <c r="R250" s="294">
        <v>121</v>
      </c>
      <c r="S250" s="294">
        <v>0</v>
      </c>
      <c r="T250" s="365">
        <v>4</v>
      </c>
      <c r="U250" s="338" t="str">
        <f t="shared" si="169"/>
        <v>Normal</v>
      </c>
      <c r="V250" s="338" t="str">
        <f t="shared" si="170"/>
        <v>Normal</v>
      </c>
      <c r="W250" s="420">
        <f t="shared" si="171"/>
        <v>-0.15314632297194844</v>
      </c>
      <c r="X250" s="420">
        <f t="shared" si="172"/>
        <v>1.6272189349112426E-2</v>
      </c>
    </row>
    <row r="251" spans="1:38">
      <c r="A251" s="32">
        <v>45266</v>
      </c>
      <c r="B251" s="408">
        <f>IF(YEAR(Table7[[#This Row],[Date]]) = 2023, WEEKNUM(Table7[[#This Row],[Date]])-13, WEEKNUM(Table7[[#This Row],[Date]])+40)</f>
        <v>36</v>
      </c>
      <c r="C251" s="34" t="s">
        <v>51</v>
      </c>
      <c r="D251" s="34" t="s">
        <v>94</v>
      </c>
      <c r="E251" s="1">
        <v>903</v>
      </c>
      <c r="F251" s="1">
        <v>596</v>
      </c>
      <c r="G251" s="64">
        <f t="shared" ref="G251:H251" si="200">IFERROR((E251-E244)/E244,0%)</f>
        <v>-0.33991228070175439</v>
      </c>
      <c r="H251" s="64">
        <f t="shared" si="200"/>
        <v>4.9295774647887321E-2</v>
      </c>
      <c r="I251" s="1"/>
      <c r="J251" s="1"/>
      <c r="K251" s="1"/>
      <c r="L251" s="1"/>
      <c r="M251" s="18">
        <v>0.15</v>
      </c>
      <c r="N251" s="18">
        <v>0.34</v>
      </c>
      <c r="O251" s="18">
        <v>0.66</v>
      </c>
      <c r="P251" s="18">
        <v>0.86</v>
      </c>
      <c r="Q251" s="22">
        <v>0.99</v>
      </c>
      <c r="R251" s="294">
        <v>171</v>
      </c>
      <c r="S251" s="294">
        <v>0</v>
      </c>
      <c r="T251" s="365">
        <v>4</v>
      </c>
      <c r="U251" s="338" t="str">
        <f t="shared" si="169"/>
        <v>Normal</v>
      </c>
      <c r="V251" s="338" t="str">
        <f t="shared" si="170"/>
        <v>Normal</v>
      </c>
      <c r="W251" s="420">
        <f t="shared" si="171"/>
        <v>-0.33991228070175439</v>
      </c>
      <c r="X251" s="420">
        <f t="shared" si="172"/>
        <v>4.9295774647887321E-2</v>
      </c>
    </row>
    <row r="252" spans="1:38">
      <c r="A252" s="32">
        <v>45267</v>
      </c>
      <c r="B252" s="408">
        <f>IF(YEAR(Table7[[#This Row],[Date]]) = 2023, WEEKNUM(Table7[[#This Row],[Date]])-13, WEEKNUM(Table7[[#This Row],[Date]])+40)</f>
        <v>36</v>
      </c>
      <c r="C252" s="34" t="s">
        <v>52</v>
      </c>
      <c r="D252" s="34" t="s">
        <v>94</v>
      </c>
      <c r="E252" s="1">
        <v>1077</v>
      </c>
      <c r="F252" s="1">
        <v>619</v>
      </c>
      <c r="G252" s="64">
        <f t="shared" ref="G252:H252" si="201">IFERROR((E252-E245)/E245,0%)</f>
        <v>-4.0961709706144253E-2</v>
      </c>
      <c r="H252" s="64">
        <f t="shared" si="201"/>
        <v>-0.18229854689564068</v>
      </c>
      <c r="I252" s="1"/>
      <c r="J252" s="1"/>
      <c r="K252" s="1"/>
      <c r="L252" s="1"/>
      <c r="M252" s="18">
        <v>0.19</v>
      </c>
      <c r="N252" s="18">
        <v>0.43</v>
      </c>
      <c r="O252" s="18">
        <v>0.56999999999999995</v>
      </c>
      <c r="P252" s="18">
        <v>0.86</v>
      </c>
      <c r="Q252" s="22">
        <v>1</v>
      </c>
      <c r="R252" s="294">
        <v>137</v>
      </c>
      <c r="S252" s="294">
        <v>0</v>
      </c>
      <c r="T252" s="365">
        <v>7</v>
      </c>
      <c r="U252" s="338" t="str">
        <f t="shared" si="169"/>
        <v>Normal</v>
      </c>
      <c r="V252" s="338" t="str">
        <f t="shared" si="170"/>
        <v>Normal</v>
      </c>
      <c r="W252" s="420">
        <f t="shared" si="171"/>
        <v>-4.0961709706144253E-2</v>
      </c>
      <c r="X252" s="420">
        <f t="shared" si="172"/>
        <v>-0.18229854689564068</v>
      </c>
    </row>
    <row r="253" spans="1:38">
      <c r="A253" s="32">
        <v>45268</v>
      </c>
      <c r="B253" s="408">
        <f>IF(YEAR(Table7[[#This Row],[Date]]) = 2023, WEEKNUM(Table7[[#This Row],[Date]])-13, WEEKNUM(Table7[[#This Row],[Date]])+40)</f>
        <v>36</v>
      </c>
      <c r="C253" s="34" t="s">
        <v>53</v>
      </c>
      <c r="D253" s="34" t="s">
        <v>94</v>
      </c>
      <c r="E253" s="1">
        <v>958</v>
      </c>
      <c r="F253" s="1">
        <v>459</v>
      </c>
      <c r="G253" s="64">
        <f t="shared" ref="G253:H253" si="202">IFERROR((E253-E246)/E246,0%)</f>
        <v>5.0438596491228067E-2</v>
      </c>
      <c r="H253" s="64">
        <f t="shared" si="202"/>
        <v>-0.19332161687170474</v>
      </c>
      <c r="I253" s="1"/>
      <c r="J253" s="1"/>
      <c r="K253" s="1"/>
      <c r="L253" s="1"/>
      <c r="M253" s="18">
        <v>0.06</v>
      </c>
      <c r="N253" s="18">
        <v>0.52</v>
      </c>
      <c r="O253" s="18">
        <v>0.48</v>
      </c>
      <c r="P253" s="18">
        <v>1.05</v>
      </c>
      <c r="Q253" s="22">
        <v>1</v>
      </c>
      <c r="R253" s="294">
        <v>69</v>
      </c>
      <c r="S253" s="294">
        <v>0</v>
      </c>
      <c r="T253" s="365">
        <v>4</v>
      </c>
      <c r="U253" s="338" t="str">
        <f t="shared" si="169"/>
        <v>Normal</v>
      </c>
      <c r="V253" s="338" t="str">
        <f t="shared" si="170"/>
        <v>Normal</v>
      </c>
      <c r="W253" s="420">
        <f t="shared" si="171"/>
        <v>5.0438596491228067E-2</v>
      </c>
      <c r="X253" s="420">
        <f t="shared" si="172"/>
        <v>-0.19332161687170474</v>
      </c>
    </row>
    <row r="254" spans="1:38">
      <c r="A254" s="32">
        <v>45269</v>
      </c>
      <c r="B254" s="408">
        <f>IF(YEAR(Table7[[#This Row],[Date]]) = 2023, WEEKNUM(Table7[[#This Row],[Date]])-13, WEEKNUM(Table7[[#This Row],[Date]])+40)</f>
        <v>36</v>
      </c>
      <c r="C254" s="34" t="s">
        <v>54</v>
      </c>
      <c r="D254" s="34" t="s">
        <v>94</v>
      </c>
      <c r="E254" s="1">
        <v>585</v>
      </c>
      <c r="F254" s="1">
        <v>333</v>
      </c>
      <c r="G254" s="64">
        <f t="shared" ref="G254:H254" si="203">IFERROR((E254-E247)/E247,0%)</f>
        <v>-0.22207446808510639</v>
      </c>
      <c r="H254" s="64">
        <f t="shared" si="203"/>
        <v>-0.2713347921225383</v>
      </c>
      <c r="I254" s="1"/>
      <c r="J254" s="1"/>
      <c r="K254" s="1"/>
      <c r="L254" s="1"/>
      <c r="M254" s="18">
        <v>0.32</v>
      </c>
      <c r="N254" s="18">
        <v>0.43</v>
      </c>
      <c r="O254" s="18">
        <v>0.56999999999999995</v>
      </c>
      <c r="P254" s="18">
        <v>0.84</v>
      </c>
      <c r="Q254" s="22">
        <v>1</v>
      </c>
      <c r="R254" s="294">
        <v>172</v>
      </c>
      <c r="S254" s="294">
        <v>0</v>
      </c>
      <c r="T254" s="365">
        <v>4</v>
      </c>
      <c r="U254" s="338" t="str">
        <f t="shared" si="169"/>
        <v>Normal</v>
      </c>
      <c r="V254" s="338" t="str">
        <f t="shared" si="170"/>
        <v>Normal</v>
      </c>
      <c r="W254" s="420">
        <f t="shared" si="171"/>
        <v>-0.22207446808510639</v>
      </c>
      <c r="X254" s="420">
        <f t="shared" si="172"/>
        <v>-0.2713347921225383</v>
      </c>
    </row>
    <row r="255" spans="1:38">
      <c r="A255" s="32">
        <v>45270</v>
      </c>
      <c r="B255" s="408">
        <f>IF(YEAR(Table7[[#This Row],[Date]]) = 2023, WEEKNUM(Table7[[#This Row],[Date]])-13, WEEKNUM(Table7[[#This Row],[Date]])+40)</f>
        <v>37</v>
      </c>
      <c r="C255" s="34" t="s">
        <v>48</v>
      </c>
      <c r="D255" s="34" t="s">
        <v>94</v>
      </c>
      <c r="E255" s="1">
        <v>111</v>
      </c>
      <c r="F255" s="1">
        <v>84</v>
      </c>
      <c r="G255" s="64">
        <f t="shared" ref="G255:H255" si="204">IFERROR((E255-E248)/E248,0%)</f>
        <v>0.19354838709677419</v>
      </c>
      <c r="H255" s="64">
        <f t="shared" si="204"/>
        <v>0.35483870967741937</v>
      </c>
      <c r="I255" s="1"/>
      <c r="J255" s="1"/>
      <c r="K255" s="1"/>
      <c r="L255" s="1"/>
      <c r="M255" s="18">
        <v>0.56000000000000005</v>
      </c>
      <c r="N255" s="18">
        <v>0.24</v>
      </c>
      <c r="O255" s="18">
        <v>0.76</v>
      </c>
      <c r="P255" s="18">
        <v>0.44</v>
      </c>
      <c r="Q255" s="22">
        <v>1</v>
      </c>
      <c r="R255" s="294">
        <v>122</v>
      </c>
      <c r="S255" s="294">
        <v>0</v>
      </c>
      <c r="T255" s="365">
        <v>2</v>
      </c>
      <c r="U255" s="338" t="str">
        <f t="shared" si="169"/>
        <v>Normal</v>
      </c>
      <c r="V255" s="338" t="str">
        <f t="shared" si="170"/>
        <v>Normal</v>
      </c>
      <c r="W255" s="420">
        <f t="shared" si="171"/>
        <v>0.19354838709677419</v>
      </c>
      <c r="X255" s="420">
        <f t="shared" si="172"/>
        <v>0.35483870967741937</v>
      </c>
    </row>
    <row r="256" spans="1:38">
      <c r="A256" s="32">
        <v>45271</v>
      </c>
      <c r="B256" s="408">
        <f>IF(YEAR(Table7[[#This Row],[Date]]) = 2023, WEEKNUM(Table7[[#This Row],[Date]])-13, WEEKNUM(Table7[[#This Row],[Date]])+40)</f>
        <v>37</v>
      </c>
      <c r="C256" s="34" t="s">
        <v>49</v>
      </c>
      <c r="D256" s="34" t="s">
        <v>94</v>
      </c>
      <c r="E256" s="1">
        <v>1043</v>
      </c>
      <c r="F256" s="1">
        <v>587</v>
      </c>
      <c r="G256" s="64">
        <f t="shared" ref="G256:H256" si="205">IFERROR((E256-E249)/E249,0%)</f>
        <v>-8.8286713286713281E-2</v>
      </c>
      <c r="H256" s="64">
        <f t="shared" si="205"/>
        <v>-7.5590551181102361E-2</v>
      </c>
      <c r="I256" s="1"/>
      <c r="J256" s="1"/>
      <c r="K256" s="1"/>
      <c r="L256" s="1"/>
      <c r="M256" s="18">
        <v>0.27</v>
      </c>
      <c r="N256" s="18">
        <v>0.44</v>
      </c>
      <c r="O256" s="18">
        <v>0.56000000000000005</v>
      </c>
      <c r="P256" s="18">
        <v>0.88</v>
      </c>
      <c r="Q256" s="22">
        <v>1</v>
      </c>
      <c r="R256" s="294">
        <v>112</v>
      </c>
      <c r="S256" s="294">
        <v>0</v>
      </c>
      <c r="T256" s="365">
        <v>4</v>
      </c>
      <c r="U256" s="338" t="str">
        <f t="shared" si="169"/>
        <v>Normal</v>
      </c>
      <c r="V256" s="338" t="str">
        <f t="shared" si="170"/>
        <v>Normal</v>
      </c>
      <c r="W256" s="420">
        <f t="shared" si="171"/>
        <v>-8.8286713286713281E-2</v>
      </c>
      <c r="X256" s="420">
        <f t="shared" si="172"/>
        <v>-7.5590551181102361E-2</v>
      </c>
    </row>
    <row r="257" spans="1:38">
      <c r="A257" s="32">
        <v>45272</v>
      </c>
      <c r="B257" s="408">
        <f>IF(YEAR(Table7[[#This Row],[Date]]) = 2023, WEEKNUM(Table7[[#This Row],[Date]])-13, WEEKNUM(Table7[[#This Row],[Date]])+40)</f>
        <v>37</v>
      </c>
      <c r="C257" s="34" t="s">
        <v>50</v>
      </c>
      <c r="D257" s="34" t="s">
        <v>94</v>
      </c>
      <c r="E257" s="1">
        <v>962</v>
      </c>
      <c r="F257" s="1">
        <v>543</v>
      </c>
      <c r="G257" s="64">
        <f t="shared" ref="G257:H257" si="206">IFERROR((E257-E250)/E250,0%)</f>
        <v>-0.13876454789615039</v>
      </c>
      <c r="H257" s="64">
        <f t="shared" si="206"/>
        <v>-0.20960698689956331</v>
      </c>
      <c r="I257" s="1"/>
      <c r="J257" s="1"/>
      <c r="K257" s="1"/>
      <c r="L257" s="1"/>
      <c r="M257" s="18">
        <v>0.22</v>
      </c>
      <c r="N257" s="18">
        <v>0.44</v>
      </c>
      <c r="O257" s="18">
        <v>0.56000000000000005</v>
      </c>
      <c r="P257" s="18">
        <v>0.86</v>
      </c>
      <c r="Q257" s="22">
        <v>1</v>
      </c>
      <c r="R257" s="294">
        <v>131</v>
      </c>
      <c r="S257" s="294">
        <v>0</v>
      </c>
      <c r="T257" s="365">
        <v>4</v>
      </c>
      <c r="U257" s="338" t="str">
        <f t="shared" si="169"/>
        <v>Normal</v>
      </c>
      <c r="V257" s="338" t="str">
        <f t="shared" si="170"/>
        <v>Normal</v>
      </c>
      <c r="W257" s="420">
        <f t="shared" si="171"/>
        <v>-0.13876454789615039</v>
      </c>
      <c r="X257" s="420">
        <f t="shared" si="172"/>
        <v>-0.20960698689956331</v>
      </c>
    </row>
    <row r="258" spans="1:38">
      <c r="A258" s="32">
        <v>45273</v>
      </c>
      <c r="B258" s="408">
        <f>IF(YEAR(Table7[[#This Row],[Date]]) = 2023, WEEKNUM(Table7[[#This Row],[Date]])-13, WEEKNUM(Table7[[#This Row],[Date]])+40)</f>
        <v>37</v>
      </c>
      <c r="C258" s="34" t="s">
        <v>51</v>
      </c>
      <c r="D258" s="34" t="s">
        <v>94</v>
      </c>
      <c r="E258" s="1">
        <v>858</v>
      </c>
      <c r="F258" s="1">
        <v>527</v>
      </c>
      <c r="G258" s="64">
        <f t="shared" ref="G258:H258" si="207">IFERROR((E258-E251)/E251,0%)</f>
        <v>-4.9833887043189369E-2</v>
      </c>
      <c r="H258" s="64">
        <f t="shared" si="207"/>
        <v>-0.11577181208053691</v>
      </c>
      <c r="I258" s="1"/>
      <c r="J258" s="1"/>
      <c r="K258" s="1"/>
      <c r="L258" s="1"/>
      <c r="M258" s="18">
        <v>0.26</v>
      </c>
      <c r="N258" s="18">
        <v>0.39</v>
      </c>
      <c r="O258" s="18">
        <v>0.61</v>
      </c>
      <c r="P258" s="18">
        <v>0.67</v>
      </c>
      <c r="Q258" s="22">
        <v>0.99</v>
      </c>
      <c r="R258" s="294">
        <v>69</v>
      </c>
      <c r="S258" s="294">
        <v>0</v>
      </c>
      <c r="T258" s="365">
        <v>4</v>
      </c>
      <c r="U258" s="338" t="str">
        <f t="shared" si="169"/>
        <v>Normal</v>
      </c>
      <c r="V258" s="338" t="str">
        <f t="shared" si="170"/>
        <v>Normal</v>
      </c>
      <c r="W258" s="420">
        <f t="shared" si="171"/>
        <v>-4.9833887043189369E-2</v>
      </c>
      <c r="X258" s="420">
        <f t="shared" si="172"/>
        <v>-0.11577181208053691</v>
      </c>
      <c r="AK258">
        <v>0.99727272727272753</v>
      </c>
    </row>
    <row r="259" spans="1:38">
      <c r="A259" s="32">
        <v>45274</v>
      </c>
      <c r="B259" s="408">
        <f>IF(YEAR(Table7[[#This Row],[Date]]) = 2023, WEEKNUM(Table7[[#This Row],[Date]])-13, WEEKNUM(Table7[[#This Row],[Date]])+40)</f>
        <v>37</v>
      </c>
      <c r="C259" s="34" t="s">
        <v>52</v>
      </c>
      <c r="D259" s="34" t="s">
        <v>94</v>
      </c>
      <c r="E259" s="1">
        <v>883</v>
      </c>
      <c r="F259" s="1">
        <v>450</v>
      </c>
      <c r="G259" s="64">
        <f t="shared" ref="G259:H259" si="208">IFERROR((E259-E252)/E252,0%)</f>
        <v>-0.18012999071494892</v>
      </c>
      <c r="H259" s="64">
        <f t="shared" si="208"/>
        <v>-0.27302100161550891</v>
      </c>
      <c r="I259" s="1"/>
      <c r="J259" s="1"/>
      <c r="K259" s="1"/>
      <c r="L259" s="1"/>
      <c r="M259" s="18">
        <v>0.15</v>
      </c>
      <c r="N259" s="18">
        <v>0.49</v>
      </c>
      <c r="O259" s="18">
        <v>0.51</v>
      </c>
      <c r="P259" s="18">
        <v>0.97</v>
      </c>
      <c r="Q259" s="22">
        <v>1</v>
      </c>
      <c r="R259" s="294">
        <v>121</v>
      </c>
      <c r="S259" s="294">
        <v>0</v>
      </c>
      <c r="T259" s="365">
        <v>4</v>
      </c>
      <c r="U259" s="338" t="str">
        <f t="shared" si="169"/>
        <v>Normal</v>
      </c>
      <c r="V259" s="338" t="str">
        <f t="shared" si="170"/>
        <v>Normal</v>
      </c>
      <c r="W259" s="420">
        <f t="shared" si="171"/>
        <v>-0.18012999071494892</v>
      </c>
      <c r="X259" s="420">
        <f t="shared" si="172"/>
        <v>-0.27302100161550891</v>
      </c>
    </row>
    <row r="260" spans="1:38">
      <c r="A260" s="32">
        <v>45275</v>
      </c>
      <c r="B260" s="408">
        <f>IF(YEAR(Table7[[#This Row],[Date]]) = 2023, WEEKNUM(Table7[[#This Row],[Date]])-13, WEEKNUM(Table7[[#This Row],[Date]])+40)</f>
        <v>37</v>
      </c>
      <c r="C260" s="34" t="s">
        <v>53</v>
      </c>
      <c r="D260" s="34" t="s">
        <v>94</v>
      </c>
      <c r="E260" s="1">
        <v>805</v>
      </c>
      <c r="F260" s="1">
        <v>507</v>
      </c>
      <c r="G260" s="64">
        <f t="shared" ref="G260:H260" si="209">IFERROR((E260-E253)/E253,0%)</f>
        <v>-0.15970772442588727</v>
      </c>
      <c r="H260" s="64">
        <f t="shared" si="209"/>
        <v>0.10457516339869281</v>
      </c>
      <c r="I260" s="1"/>
      <c r="J260" s="1"/>
      <c r="K260" s="1"/>
      <c r="L260" s="1"/>
      <c r="M260" s="18">
        <v>0.37</v>
      </c>
      <c r="N260" s="18">
        <v>0.37</v>
      </c>
      <c r="O260" s="18">
        <v>0.63</v>
      </c>
      <c r="P260" s="18">
        <v>0.8</v>
      </c>
      <c r="Q260" s="22">
        <v>1</v>
      </c>
      <c r="R260" s="294">
        <v>153</v>
      </c>
      <c r="S260" s="294">
        <v>0</v>
      </c>
      <c r="T260" s="365">
        <v>4</v>
      </c>
      <c r="U260" s="338" t="str">
        <f t="shared" si="169"/>
        <v>Normal</v>
      </c>
      <c r="V260" s="338" t="str">
        <f t="shared" si="170"/>
        <v>Normal</v>
      </c>
      <c r="W260" s="420">
        <f t="shared" si="171"/>
        <v>-0.15970772442588727</v>
      </c>
      <c r="X260" s="420">
        <f t="shared" si="172"/>
        <v>0.10457516339869281</v>
      </c>
    </row>
    <row r="261" spans="1:38">
      <c r="A261" s="32">
        <v>45276</v>
      </c>
      <c r="B261" s="408">
        <f>IF(YEAR(Table7[[#This Row],[Date]]) = 2023, WEEKNUM(Table7[[#This Row],[Date]])-13, WEEKNUM(Table7[[#This Row],[Date]])+40)</f>
        <v>37</v>
      </c>
      <c r="C261" s="34" t="s">
        <v>54</v>
      </c>
      <c r="D261" s="34" t="s">
        <v>94</v>
      </c>
      <c r="E261" s="1">
        <v>632</v>
      </c>
      <c r="F261" s="1">
        <v>480</v>
      </c>
      <c r="G261" s="64">
        <f t="shared" ref="G261:H261" si="210">IFERROR((E261-E254)/E254,0%)</f>
        <v>8.0341880341880348E-2</v>
      </c>
      <c r="H261" s="64">
        <f t="shared" si="210"/>
        <v>0.44144144144144143</v>
      </c>
      <c r="I261" s="1"/>
      <c r="J261" s="1"/>
      <c r="K261" s="1"/>
      <c r="L261" s="1"/>
      <c r="M261" s="18">
        <v>0.37</v>
      </c>
      <c r="N261" s="18">
        <v>0.24</v>
      </c>
      <c r="O261" s="18">
        <v>0.76</v>
      </c>
      <c r="P261" s="18">
        <v>0.72</v>
      </c>
      <c r="Q261" s="22">
        <v>1</v>
      </c>
      <c r="R261" s="294">
        <v>110</v>
      </c>
      <c r="S261" s="294">
        <v>0</v>
      </c>
      <c r="T261" s="365">
        <v>4</v>
      </c>
      <c r="U261" s="338" t="str">
        <f t="shared" si="169"/>
        <v>Normal</v>
      </c>
      <c r="V261" s="338" t="str">
        <f t="shared" si="170"/>
        <v>Normal</v>
      </c>
      <c r="W261" s="420">
        <f t="shared" si="171"/>
        <v>8.0341880341880348E-2</v>
      </c>
      <c r="X261" s="420">
        <f t="shared" si="172"/>
        <v>0.44144144144144143</v>
      </c>
    </row>
    <row r="262" spans="1:38">
      <c r="A262" s="32">
        <v>45277</v>
      </c>
      <c r="B262" s="408">
        <f>IF(YEAR(Table7[[#This Row],[Date]]) = 2023, WEEKNUM(Table7[[#This Row],[Date]])-13, WEEKNUM(Table7[[#This Row],[Date]])+40)</f>
        <v>38</v>
      </c>
      <c r="C262" s="34" t="s">
        <v>48</v>
      </c>
      <c r="D262" s="34" t="s">
        <v>94</v>
      </c>
      <c r="E262" s="1">
        <v>177</v>
      </c>
      <c r="F262" s="1">
        <v>146</v>
      </c>
      <c r="G262" s="64">
        <f t="shared" ref="G262:H262" si="211">IFERROR((E262-E255)/E255,0%)</f>
        <v>0.59459459459459463</v>
      </c>
      <c r="H262" s="64">
        <f t="shared" si="211"/>
        <v>0.73809523809523814</v>
      </c>
      <c r="I262" s="1"/>
      <c r="J262" s="1"/>
      <c r="K262" s="1"/>
      <c r="L262" s="1"/>
      <c r="M262" s="18">
        <v>0.9</v>
      </c>
      <c r="N262" s="18">
        <v>0.18</v>
      </c>
      <c r="O262" s="18">
        <v>0.82</v>
      </c>
      <c r="P262" s="18">
        <v>0.43</v>
      </c>
      <c r="Q262" s="22">
        <v>1</v>
      </c>
      <c r="R262" s="294">
        <v>184</v>
      </c>
      <c r="S262" s="294">
        <v>0</v>
      </c>
      <c r="T262" s="365">
        <v>3</v>
      </c>
      <c r="U262" s="338" t="str">
        <f t="shared" si="169"/>
        <v>Outlier</v>
      </c>
      <c r="V262" s="338" t="str">
        <f t="shared" si="170"/>
        <v>Outlier</v>
      </c>
      <c r="W262" s="420">
        <f t="shared" si="171"/>
        <v>0.59459459459459463</v>
      </c>
      <c r="X262" s="420">
        <f t="shared" si="172"/>
        <v>0.73809523809523814</v>
      </c>
    </row>
    <row r="263" spans="1:38">
      <c r="A263" s="32">
        <v>45278</v>
      </c>
      <c r="B263" s="408">
        <f>IF(YEAR(Table7[[#This Row],[Date]]) = 2023, WEEKNUM(Table7[[#This Row],[Date]])-13, WEEKNUM(Table7[[#This Row],[Date]])+40)</f>
        <v>38</v>
      </c>
      <c r="C263" s="34" t="s">
        <v>49</v>
      </c>
      <c r="D263" s="34" t="s">
        <v>94</v>
      </c>
      <c r="E263" s="1">
        <v>1045</v>
      </c>
      <c r="F263" s="1">
        <v>554</v>
      </c>
      <c r="G263" s="64">
        <f t="shared" ref="G263:H263" si="212">IFERROR((E263-E256)/E256,0%)</f>
        <v>1.9175455417066154E-3</v>
      </c>
      <c r="H263" s="64">
        <f t="shared" si="212"/>
        <v>-5.6218057921635436E-2</v>
      </c>
      <c r="I263" s="1"/>
      <c r="J263" s="1"/>
      <c r="K263" s="1"/>
      <c r="L263" s="1"/>
      <c r="M263" s="18">
        <v>0.22</v>
      </c>
      <c r="N263" s="18">
        <v>0.47</v>
      </c>
      <c r="O263" s="18">
        <v>0.53</v>
      </c>
      <c r="P263" s="18">
        <v>0.77</v>
      </c>
      <c r="Q263" s="22">
        <v>0.98</v>
      </c>
      <c r="R263" s="294">
        <v>148</v>
      </c>
      <c r="S263" s="294">
        <v>0</v>
      </c>
      <c r="T263" s="365">
        <v>4</v>
      </c>
      <c r="U263" s="338" t="str">
        <f t="shared" si="169"/>
        <v>Normal</v>
      </c>
      <c r="V263" s="338" t="str">
        <f t="shared" si="170"/>
        <v>Normal</v>
      </c>
      <c r="W263" s="420">
        <f t="shared" si="171"/>
        <v>1.9175455417066154E-3</v>
      </c>
      <c r="X263" s="420">
        <f t="shared" si="172"/>
        <v>-5.6218057921635436E-2</v>
      </c>
    </row>
    <row r="264" spans="1:38">
      <c r="A264" s="32">
        <v>45279</v>
      </c>
      <c r="B264" s="408">
        <f>IF(YEAR(Table7[[#This Row],[Date]]) = 2023, WEEKNUM(Table7[[#This Row],[Date]])-13, WEEKNUM(Table7[[#This Row],[Date]])+40)</f>
        <v>38</v>
      </c>
      <c r="C264" s="89" t="s">
        <v>50</v>
      </c>
      <c r="D264" s="34" t="s">
        <v>94</v>
      </c>
      <c r="E264" s="1">
        <v>1029</v>
      </c>
      <c r="F264" s="1">
        <v>547</v>
      </c>
      <c r="G264" s="64">
        <f t="shared" ref="G264:H264" si="213">IFERROR((E264-E257)/E257,0%)</f>
        <v>6.964656964656965E-2</v>
      </c>
      <c r="H264" s="64">
        <f t="shared" si="213"/>
        <v>7.3664825046040518E-3</v>
      </c>
      <c r="I264" s="1"/>
      <c r="J264" s="1"/>
      <c r="K264" s="1"/>
      <c r="L264" s="1"/>
      <c r="M264" s="18">
        <v>0.24</v>
      </c>
      <c r="N264" s="18">
        <v>0.47</v>
      </c>
      <c r="O264" s="18">
        <v>0.53</v>
      </c>
      <c r="P264" s="18">
        <v>0.74</v>
      </c>
      <c r="Q264" s="22">
        <v>0.99</v>
      </c>
      <c r="R264" s="294">
        <v>106</v>
      </c>
      <c r="S264" s="294">
        <v>0</v>
      </c>
      <c r="T264" s="365">
        <v>4</v>
      </c>
      <c r="U264" s="338" t="str">
        <f t="shared" si="169"/>
        <v>Normal</v>
      </c>
      <c r="V264" s="338" t="str">
        <f t="shared" si="170"/>
        <v>Normal</v>
      </c>
      <c r="W264" s="420">
        <f t="shared" si="171"/>
        <v>6.964656964656965E-2</v>
      </c>
      <c r="X264" s="420">
        <f t="shared" si="172"/>
        <v>7.3664825046040518E-3</v>
      </c>
      <c r="AJ264" s="47"/>
      <c r="AK264" s="47"/>
      <c r="AL264" s="47"/>
    </row>
    <row r="265" spans="1:38">
      <c r="A265" s="32">
        <v>45280</v>
      </c>
      <c r="B265" s="408">
        <f>IF(YEAR(Table7[[#This Row],[Date]]) = 2023, WEEKNUM(Table7[[#This Row],[Date]])-13, WEEKNUM(Table7[[#This Row],[Date]])+40)</f>
        <v>38</v>
      </c>
      <c r="C265" s="89" t="s">
        <v>51</v>
      </c>
      <c r="D265" s="34" t="s">
        <v>94</v>
      </c>
      <c r="E265" s="1">
        <v>941</v>
      </c>
      <c r="F265" s="1">
        <v>376</v>
      </c>
      <c r="G265" s="64">
        <f t="shared" ref="G265:H265" si="214">IFERROR((E265-E258)/E258,0%)</f>
        <v>9.6736596736596736E-2</v>
      </c>
      <c r="H265" s="64">
        <f t="shared" si="214"/>
        <v>-0.28652751423149903</v>
      </c>
      <c r="I265" s="1"/>
      <c r="J265" s="1"/>
      <c r="K265" s="1"/>
      <c r="L265" s="1"/>
      <c r="M265" s="18">
        <v>0.2</v>
      </c>
      <c r="N265" s="18">
        <v>0.6</v>
      </c>
      <c r="O265" s="18">
        <v>0.4</v>
      </c>
      <c r="P265" s="18">
        <v>0.77</v>
      </c>
      <c r="Q265" s="22">
        <v>1</v>
      </c>
      <c r="R265" s="294">
        <v>130</v>
      </c>
      <c r="S265" s="294">
        <v>0</v>
      </c>
      <c r="T265" s="365">
        <v>3</v>
      </c>
      <c r="U265" s="338" t="str">
        <f t="shared" si="169"/>
        <v>Normal</v>
      </c>
      <c r="V265" s="338" t="str">
        <f t="shared" si="170"/>
        <v>Normal</v>
      </c>
      <c r="W265" s="420">
        <f t="shared" si="171"/>
        <v>9.6736596736596736E-2</v>
      </c>
      <c r="X265" s="420">
        <f t="shared" si="172"/>
        <v>-0.28652751423149903</v>
      </c>
    </row>
    <row r="266" spans="1:38">
      <c r="A266" s="32">
        <v>45281</v>
      </c>
      <c r="B266" s="408">
        <f>IF(YEAR(Table7[[#This Row],[Date]]) = 2023, WEEKNUM(Table7[[#This Row],[Date]])-13, WEEKNUM(Table7[[#This Row],[Date]])+40)</f>
        <v>38</v>
      </c>
      <c r="C266" s="34" t="s">
        <v>52</v>
      </c>
      <c r="D266" s="34" t="s">
        <v>94</v>
      </c>
      <c r="E266" s="1">
        <v>1004</v>
      </c>
      <c r="F266" s="1">
        <v>524</v>
      </c>
      <c r="G266" s="64">
        <f t="shared" ref="G266:H266" si="215">IFERROR((E266-E259)/E259,0%)</f>
        <v>0.13703284258210646</v>
      </c>
      <c r="H266" s="64">
        <f t="shared" si="215"/>
        <v>0.16444444444444445</v>
      </c>
      <c r="I266" s="1"/>
      <c r="J266" s="1"/>
      <c r="K266" s="1"/>
      <c r="L266" s="1"/>
      <c r="M266" s="18">
        <v>0.39</v>
      </c>
      <c r="N266" s="18">
        <v>0.48</v>
      </c>
      <c r="O266" s="18">
        <v>0.52</v>
      </c>
      <c r="P266" s="18">
        <v>0.68</v>
      </c>
      <c r="Q266" s="22">
        <v>1</v>
      </c>
      <c r="R266" s="294">
        <v>131</v>
      </c>
      <c r="S266" s="294">
        <v>0</v>
      </c>
      <c r="T266" s="365">
        <v>4</v>
      </c>
      <c r="U266" s="338" t="str">
        <f t="shared" si="169"/>
        <v>Normal</v>
      </c>
      <c r="V266" s="338" t="str">
        <f t="shared" si="170"/>
        <v>Normal</v>
      </c>
      <c r="W266" s="420">
        <f t="shared" si="171"/>
        <v>0.13703284258210646</v>
      </c>
      <c r="X266" s="420">
        <f t="shared" si="172"/>
        <v>0.16444444444444445</v>
      </c>
    </row>
    <row r="267" spans="1:38">
      <c r="A267" s="32">
        <v>45282</v>
      </c>
      <c r="B267" s="408">
        <f>IF(YEAR(Table7[[#This Row],[Date]]) = 2023, WEEKNUM(Table7[[#This Row],[Date]])-13, WEEKNUM(Table7[[#This Row],[Date]])+40)</f>
        <v>38</v>
      </c>
      <c r="C267" s="34" t="s">
        <v>53</v>
      </c>
      <c r="D267" s="34" t="s">
        <v>94</v>
      </c>
      <c r="E267" s="1">
        <v>1017</v>
      </c>
      <c r="F267" s="1">
        <v>472</v>
      </c>
      <c r="G267" s="64">
        <f t="shared" ref="G267:H267" si="216">IFERROR((E267-E260)/E260,0%)</f>
        <v>0.26335403726708073</v>
      </c>
      <c r="H267" s="64">
        <f t="shared" si="216"/>
        <v>-6.9033530571992116E-2</v>
      </c>
      <c r="I267" s="1"/>
      <c r="J267" s="1"/>
      <c r="K267" s="1"/>
      <c r="L267" s="1"/>
      <c r="M267" s="18">
        <v>0.12</v>
      </c>
      <c r="N267" s="18">
        <v>0.54</v>
      </c>
      <c r="O267" s="18">
        <v>0.46</v>
      </c>
      <c r="P267" s="18">
        <v>0.69</v>
      </c>
      <c r="Q267" s="22">
        <v>1</v>
      </c>
      <c r="R267" s="294">
        <v>93</v>
      </c>
      <c r="S267" s="294">
        <v>0</v>
      </c>
      <c r="T267" s="365">
        <v>4</v>
      </c>
      <c r="U267" s="338" t="str">
        <f t="shared" si="169"/>
        <v>Normal</v>
      </c>
      <c r="V267" s="338" t="str">
        <f t="shared" si="170"/>
        <v>Normal</v>
      </c>
      <c r="W267" s="420">
        <f t="shared" si="171"/>
        <v>0.26335403726708073</v>
      </c>
      <c r="X267" s="420">
        <f t="shared" si="172"/>
        <v>-6.9033530571992116E-2</v>
      </c>
    </row>
    <row r="268" spans="1:38">
      <c r="A268" s="32">
        <v>45283</v>
      </c>
      <c r="B268" s="408">
        <f>IF(YEAR(Table7[[#This Row],[Date]]) = 2023, WEEKNUM(Table7[[#This Row],[Date]])-13, WEEKNUM(Table7[[#This Row],[Date]])+40)</f>
        <v>38</v>
      </c>
      <c r="C268" s="34" t="s">
        <v>54</v>
      </c>
      <c r="D268" s="34" t="s">
        <v>94</v>
      </c>
      <c r="E268" s="1">
        <v>764</v>
      </c>
      <c r="F268" s="1">
        <v>391</v>
      </c>
      <c r="G268" s="64">
        <f t="shared" ref="G268:H268" si="217">IFERROR((E268-E261)/E261,0%)</f>
        <v>0.20886075949367089</v>
      </c>
      <c r="H268" s="64">
        <f t="shared" si="217"/>
        <v>-0.18541666666666667</v>
      </c>
      <c r="I268" s="1"/>
      <c r="J268" s="1"/>
      <c r="K268" s="1"/>
      <c r="L268" s="1"/>
      <c r="M268" s="18">
        <v>0.13</v>
      </c>
      <c r="N268" s="18">
        <v>0.49</v>
      </c>
      <c r="O268" s="18">
        <v>0.51</v>
      </c>
      <c r="P268" s="18">
        <v>0.54</v>
      </c>
      <c r="Q268" s="22">
        <v>1</v>
      </c>
      <c r="R268" s="294">
        <v>124</v>
      </c>
      <c r="S268" s="294">
        <v>0</v>
      </c>
      <c r="T268" s="365">
        <v>4</v>
      </c>
      <c r="U268" s="338" t="str">
        <f t="shared" si="169"/>
        <v>Normal</v>
      </c>
      <c r="V268" s="338" t="str">
        <f t="shared" si="170"/>
        <v>Normal</v>
      </c>
      <c r="W268" s="420">
        <f t="shared" si="171"/>
        <v>0.20886075949367089</v>
      </c>
      <c r="X268" s="420">
        <f t="shared" si="172"/>
        <v>-0.18541666666666667</v>
      </c>
    </row>
    <row r="269" spans="1:38">
      <c r="A269" s="32">
        <v>45284</v>
      </c>
      <c r="B269" s="408">
        <f>IF(YEAR(Table7[[#This Row],[Date]]) = 2023, WEEKNUM(Table7[[#This Row],[Date]])-13, WEEKNUM(Table7[[#This Row],[Date]])+40)</f>
        <v>39</v>
      </c>
      <c r="C269" s="34" t="s">
        <v>48</v>
      </c>
      <c r="D269" s="34" t="s">
        <v>94</v>
      </c>
      <c r="E269" s="1">
        <v>207</v>
      </c>
      <c r="F269" s="1">
        <v>125</v>
      </c>
      <c r="G269" s="64">
        <f t="shared" ref="G269:H269" si="218">IFERROR((E269-E262)/E262,0%)</f>
        <v>0.16949152542372881</v>
      </c>
      <c r="H269" s="64">
        <f t="shared" si="218"/>
        <v>-0.14383561643835616</v>
      </c>
      <c r="I269" s="1"/>
      <c r="J269" s="1"/>
      <c r="K269" s="1"/>
      <c r="L269" s="1"/>
      <c r="M269" s="18">
        <v>0.45</v>
      </c>
      <c r="N269" s="18">
        <v>0.4</v>
      </c>
      <c r="O269" s="18">
        <v>0.6</v>
      </c>
      <c r="P269" s="18">
        <v>0.62</v>
      </c>
      <c r="Q269" s="22">
        <v>1</v>
      </c>
      <c r="R269" s="294">
        <v>84</v>
      </c>
      <c r="S269" s="294">
        <v>0</v>
      </c>
      <c r="T269" s="365">
        <v>2</v>
      </c>
      <c r="U269" s="338" t="str">
        <f t="shared" si="169"/>
        <v>Normal</v>
      </c>
      <c r="V269" s="338" t="str">
        <f t="shared" si="170"/>
        <v>Normal</v>
      </c>
      <c r="W269" s="420">
        <f t="shared" si="171"/>
        <v>0.16949152542372881</v>
      </c>
      <c r="X269" s="420">
        <f t="shared" si="172"/>
        <v>-0.14383561643835616</v>
      </c>
    </row>
    <row r="270" spans="1:38">
      <c r="A270" s="32">
        <v>45285</v>
      </c>
      <c r="B270" s="408">
        <f>IF(YEAR(Table7[[#This Row],[Date]]) = 2023, WEEKNUM(Table7[[#This Row],[Date]])-13, WEEKNUM(Table7[[#This Row],[Date]])+40)</f>
        <v>39</v>
      </c>
      <c r="C270" s="34" t="s">
        <v>64</v>
      </c>
      <c r="D270" s="34" t="s">
        <v>94</v>
      </c>
      <c r="E270" s="1">
        <v>0</v>
      </c>
      <c r="F270" s="1">
        <v>0</v>
      </c>
      <c r="G270" s="64">
        <v>0</v>
      </c>
      <c r="H270" s="64">
        <v>0</v>
      </c>
      <c r="I270" s="1">
        <v>0</v>
      </c>
      <c r="J270" s="1">
        <v>0</v>
      </c>
      <c r="K270" s="1">
        <v>0</v>
      </c>
      <c r="L270" s="1">
        <v>0</v>
      </c>
      <c r="M270" s="18">
        <v>0</v>
      </c>
      <c r="N270" s="18">
        <v>0</v>
      </c>
      <c r="O270" s="18">
        <v>0</v>
      </c>
      <c r="P270" s="18">
        <v>0</v>
      </c>
      <c r="Q270" s="22">
        <v>0</v>
      </c>
      <c r="R270" s="294">
        <v>0</v>
      </c>
      <c r="S270" s="294">
        <v>0</v>
      </c>
      <c r="T270" s="365">
        <v>0</v>
      </c>
      <c r="U270" s="338" t="str">
        <f t="shared" si="169"/>
        <v>Normal</v>
      </c>
      <c r="V270" s="338" t="str">
        <f t="shared" si="170"/>
        <v>Normal</v>
      </c>
      <c r="W270" s="420">
        <f t="shared" si="171"/>
        <v>0</v>
      </c>
      <c r="X270" s="420">
        <f t="shared" si="172"/>
        <v>0</v>
      </c>
    </row>
    <row r="271" spans="1:38">
      <c r="A271" s="32">
        <v>45286</v>
      </c>
      <c r="B271" s="408">
        <f>IF(YEAR(Table7[[#This Row],[Date]]) = 2023, WEEKNUM(Table7[[#This Row],[Date]])-13, WEEKNUM(Table7[[#This Row],[Date]])+40)</f>
        <v>39</v>
      </c>
      <c r="C271" s="34" t="s">
        <v>64</v>
      </c>
      <c r="D271" s="34" t="s">
        <v>94</v>
      </c>
      <c r="E271" s="1">
        <v>0</v>
      </c>
      <c r="F271" s="1">
        <v>0</v>
      </c>
      <c r="G271" s="64">
        <v>0</v>
      </c>
      <c r="H271" s="64">
        <v>0</v>
      </c>
      <c r="I271" s="1">
        <v>0</v>
      </c>
      <c r="J271" s="1">
        <v>0</v>
      </c>
      <c r="K271" s="1">
        <v>0</v>
      </c>
      <c r="L271" s="1">
        <v>0</v>
      </c>
      <c r="M271" s="18">
        <v>0</v>
      </c>
      <c r="N271" s="18">
        <v>0</v>
      </c>
      <c r="O271" s="18">
        <v>0</v>
      </c>
      <c r="P271" s="18">
        <v>0</v>
      </c>
      <c r="Q271" s="22">
        <v>0</v>
      </c>
      <c r="R271" s="294">
        <v>0</v>
      </c>
      <c r="S271" s="294">
        <v>0</v>
      </c>
      <c r="T271" s="365">
        <v>0</v>
      </c>
      <c r="U271" s="338" t="str">
        <f t="shared" si="169"/>
        <v>Normal</v>
      </c>
      <c r="V271" s="338" t="str">
        <f t="shared" si="170"/>
        <v>Normal</v>
      </c>
      <c r="W271" s="420">
        <f t="shared" si="171"/>
        <v>0</v>
      </c>
      <c r="X271" s="420">
        <f t="shared" si="172"/>
        <v>0</v>
      </c>
    </row>
    <row r="272" spans="1:38">
      <c r="A272" s="32">
        <v>45287</v>
      </c>
      <c r="B272" s="408">
        <f>IF(YEAR(Table7[[#This Row],[Date]]) = 2023, WEEKNUM(Table7[[#This Row],[Date]])-13, WEEKNUM(Table7[[#This Row],[Date]])+40)</f>
        <v>39</v>
      </c>
      <c r="C272" s="34" t="s">
        <v>51</v>
      </c>
      <c r="D272" s="34" t="s">
        <v>94</v>
      </c>
      <c r="E272" s="1">
        <v>813</v>
      </c>
      <c r="F272" s="1">
        <v>524</v>
      </c>
      <c r="G272" s="64">
        <f t="shared" ref="G272:H272" si="219">IFERROR((E272-E265)/E265,0%)</f>
        <v>-0.13602550478214664</v>
      </c>
      <c r="H272" s="64">
        <f t="shared" si="219"/>
        <v>0.39361702127659576</v>
      </c>
      <c r="I272" s="1"/>
      <c r="J272" s="1"/>
      <c r="K272" s="1"/>
      <c r="L272" s="1"/>
      <c r="M272" s="18">
        <v>0.62</v>
      </c>
      <c r="N272" s="18">
        <v>0.36</v>
      </c>
      <c r="O272" s="18">
        <v>0.64</v>
      </c>
      <c r="P272" s="18">
        <v>0.45</v>
      </c>
      <c r="Q272" s="22">
        <v>1</v>
      </c>
      <c r="R272" s="294">
        <v>159</v>
      </c>
      <c r="S272" s="294">
        <v>0</v>
      </c>
      <c r="T272" s="365">
        <v>4</v>
      </c>
      <c r="U272" s="338" t="str">
        <f t="shared" si="169"/>
        <v>Normal</v>
      </c>
      <c r="V272" s="338" t="str">
        <f t="shared" si="170"/>
        <v>Normal</v>
      </c>
      <c r="W272" s="420">
        <f t="shared" si="171"/>
        <v>-0.13602550478214664</v>
      </c>
      <c r="X272" s="420">
        <f t="shared" si="172"/>
        <v>0.39361702127659576</v>
      </c>
    </row>
    <row r="273" spans="1:24">
      <c r="A273" s="32">
        <v>45288</v>
      </c>
      <c r="B273" s="408">
        <f>IF(YEAR(Table7[[#This Row],[Date]]) = 2023, WEEKNUM(Table7[[#This Row],[Date]])-13, WEEKNUM(Table7[[#This Row],[Date]])+40)</f>
        <v>39</v>
      </c>
      <c r="C273" s="34" t="s">
        <v>52</v>
      </c>
      <c r="D273" s="34" t="s">
        <v>94</v>
      </c>
      <c r="E273" s="1">
        <v>567</v>
      </c>
      <c r="F273" s="1">
        <v>326</v>
      </c>
      <c r="G273" s="64">
        <f t="shared" ref="G273:H273" si="220">IFERROR((E273-E266)/E266,0%)</f>
        <v>-0.4352589641434263</v>
      </c>
      <c r="H273" s="64">
        <f t="shared" si="220"/>
        <v>-0.37786259541984735</v>
      </c>
      <c r="I273" s="1"/>
      <c r="J273" s="1"/>
      <c r="K273" s="1"/>
      <c r="L273" s="1"/>
      <c r="M273" s="18">
        <v>0.56999999999999995</v>
      </c>
      <c r="N273" s="18">
        <v>0.43</v>
      </c>
      <c r="O273" s="18">
        <v>0.56999999999999995</v>
      </c>
      <c r="P273" s="18">
        <v>0.45</v>
      </c>
      <c r="Q273" s="22">
        <v>1</v>
      </c>
      <c r="R273" s="294">
        <v>99</v>
      </c>
      <c r="S273" s="294">
        <v>0</v>
      </c>
      <c r="T273" s="365">
        <v>4</v>
      </c>
      <c r="U273" s="338" t="str">
        <f t="shared" si="169"/>
        <v>Normal</v>
      </c>
      <c r="V273" s="338" t="str">
        <f t="shared" si="170"/>
        <v>Normal</v>
      </c>
      <c r="W273" s="420">
        <f t="shared" si="171"/>
        <v>-0.4352589641434263</v>
      </c>
      <c r="X273" s="420">
        <f t="shared" si="172"/>
        <v>-0.37786259541984735</v>
      </c>
    </row>
    <row r="274" spans="1:24">
      <c r="A274" s="32">
        <v>45289</v>
      </c>
      <c r="B274" s="408">
        <f>IF(YEAR(Table7[[#This Row],[Date]]) = 2023, WEEKNUM(Table7[[#This Row],[Date]])-13, WEEKNUM(Table7[[#This Row],[Date]])+40)</f>
        <v>39</v>
      </c>
      <c r="C274" s="34" t="s">
        <v>53</v>
      </c>
      <c r="D274" s="34" t="s">
        <v>94</v>
      </c>
      <c r="E274" s="1">
        <v>662</v>
      </c>
      <c r="F274" s="1">
        <v>476</v>
      </c>
      <c r="G274" s="64">
        <f t="shared" ref="G274:H274" si="221">IFERROR((E274-E267)/E267,0%)</f>
        <v>-0.34906588003933137</v>
      </c>
      <c r="H274" s="64">
        <f t="shared" si="221"/>
        <v>8.4745762711864406E-3</v>
      </c>
      <c r="I274" s="1"/>
      <c r="J274" s="1"/>
      <c r="K274" s="1"/>
      <c r="L274" s="1"/>
      <c r="M274" s="18">
        <v>0.33</v>
      </c>
      <c r="N274" s="18">
        <v>0.28000000000000003</v>
      </c>
      <c r="O274" s="18">
        <v>0.72</v>
      </c>
      <c r="P274" s="18">
        <v>0.59</v>
      </c>
      <c r="Q274" s="22">
        <v>1</v>
      </c>
      <c r="R274" s="294">
        <v>156</v>
      </c>
      <c r="S274" s="294">
        <v>0</v>
      </c>
      <c r="T274" s="365">
        <v>4</v>
      </c>
      <c r="U274" s="338" t="str">
        <f t="shared" si="169"/>
        <v>Normal</v>
      </c>
      <c r="V274" s="338" t="str">
        <f t="shared" si="170"/>
        <v>Normal</v>
      </c>
      <c r="W274" s="420">
        <f t="shared" si="171"/>
        <v>-0.34906588003933137</v>
      </c>
      <c r="X274" s="420">
        <f t="shared" si="172"/>
        <v>8.4745762711864406E-3</v>
      </c>
    </row>
    <row r="275" spans="1:24">
      <c r="A275" s="32">
        <v>45290</v>
      </c>
      <c r="B275" s="408">
        <f>IF(YEAR(Table7[[#This Row],[Date]]) = 2023, WEEKNUM(Table7[[#This Row],[Date]])-13, WEEKNUM(Table7[[#This Row],[Date]])+40)</f>
        <v>39</v>
      </c>
      <c r="C275" s="34" t="s">
        <v>54</v>
      </c>
      <c r="D275" s="34" t="s">
        <v>94</v>
      </c>
      <c r="E275" s="1">
        <v>567</v>
      </c>
      <c r="F275" s="1">
        <v>448</v>
      </c>
      <c r="G275" s="64">
        <f t="shared" ref="G275:H275" si="222">IFERROR((E275-E268)/E268,0%)</f>
        <v>-0.25785340314136124</v>
      </c>
      <c r="H275" s="64">
        <f t="shared" si="222"/>
        <v>0.14578005115089515</v>
      </c>
      <c r="I275" s="1"/>
      <c r="J275" s="1"/>
      <c r="K275" s="1"/>
      <c r="L275" s="1"/>
      <c r="M275" s="18">
        <v>0.61</v>
      </c>
      <c r="N275" s="18">
        <v>0.21</v>
      </c>
      <c r="O275" s="18">
        <v>0.79</v>
      </c>
      <c r="P275" s="18">
        <v>0.56999999999999995</v>
      </c>
      <c r="Q275" s="22">
        <v>1</v>
      </c>
      <c r="R275" s="294">
        <v>180</v>
      </c>
      <c r="S275" s="294">
        <v>0</v>
      </c>
      <c r="T275" s="365">
        <v>4</v>
      </c>
      <c r="U275" s="338" t="str">
        <f t="shared" si="169"/>
        <v>Normal</v>
      </c>
      <c r="V275" s="338" t="str">
        <f t="shared" si="170"/>
        <v>Normal</v>
      </c>
      <c r="W275" s="420">
        <f t="shared" si="171"/>
        <v>-0.25785340314136124</v>
      </c>
      <c r="X275" s="420">
        <f t="shared" si="172"/>
        <v>0.14578005115089515</v>
      </c>
    </row>
    <row r="276" spans="1:24">
      <c r="A276" s="32">
        <v>45291</v>
      </c>
      <c r="B276" s="408">
        <f>IF(YEAR(Table7[[#This Row],[Date]]) = 2023, WEEKNUM(Table7[[#This Row],[Date]])-13, WEEKNUM(Table7[[#This Row],[Date]])+40)</f>
        <v>40</v>
      </c>
      <c r="C276" s="34" t="s">
        <v>48</v>
      </c>
      <c r="D276" s="34" t="s">
        <v>94</v>
      </c>
      <c r="E276" s="1">
        <v>0</v>
      </c>
      <c r="F276" s="1">
        <v>0</v>
      </c>
      <c r="G276" s="64">
        <v>0</v>
      </c>
      <c r="H276" s="64">
        <v>0</v>
      </c>
      <c r="I276" s="1">
        <v>0</v>
      </c>
      <c r="J276" s="1">
        <v>0</v>
      </c>
      <c r="K276" s="1">
        <v>0</v>
      </c>
      <c r="L276" s="1">
        <v>0</v>
      </c>
      <c r="M276" s="18">
        <v>0</v>
      </c>
      <c r="N276" s="18">
        <v>0</v>
      </c>
      <c r="O276" s="18">
        <v>0</v>
      </c>
      <c r="P276" s="18">
        <v>0</v>
      </c>
      <c r="Q276" s="22">
        <v>0</v>
      </c>
      <c r="R276" s="294">
        <v>0</v>
      </c>
      <c r="S276" s="294">
        <v>0</v>
      </c>
      <c r="T276" s="365">
        <v>0</v>
      </c>
      <c r="U276" s="338" t="str">
        <f t="shared" si="169"/>
        <v>Normal</v>
      </c>
      <c r="V276" s="338" t="str">
        <f t="shared" si="170"/>
        <v>Normal</v>
      </c>
      <c r="W276" s="420">
        <f t="shared" si="171"/>
        <v>0</v>
      </c>
      <c r="X276" s="420">
        <f t="shared" si="172"/>
        <v>0</v>
      </c>
    </row>
    <row r="277" spans="1:24">
      <c r="A277" s="207">
        <v>45292</v>
      </c>
      <c r="B277" s="409">
        <f>IF(YEAR(Table7[[#This Row],[Date]]) = 2023, WEEKNUM(Table7[[#This Row],[Date]])-13, WEEKNUM(Table7[[#This Row],[Date]])+40)</f>
        <v>41</v>
      </c>
      <c r="C277" s="76" t="s">
        <v>64</v>
      </c>
      <c r="D277" s="76" t="s">
        <v>94</v>
      </c>
      <c r="E277" s="65">
        <v>0</v>
      </c>
      <c r="F277" s="65">
        <v>0</v>
      </c>
      <c r="G277" s="64">
        <f t="shared" ref="G277:H277" si="223">IFERROR((E277-E270)/E270,0%)</f>
        <v>0</v>
      </c>
      <c r="H277" s="64">
        <f t="shared" si="223"/>
        <v>0</v>
      </c>
      <c r="I277" s="65">
        <v>0</v>
      </c>
      <c r="J277" s="65">
        <v>0</v>
      </c>
      <c r="K277" s="65">
        <v>0</v>
      </c>
      <c r="L277" s="65">
        <v>0</v>
      </c>
      <c r="M277" s="2">
        <v>0</v>
      </c>
      <c r="N277" s="2">
        <v>0</v>
      </c>
      <c r="O277" s="2">
        <v>0</v>
      </c>
      <c r="P277" s="2">
        <v>0</v>
      </c>
      <c r="Q277" s="12">
        <v>0</v>
      </c>
      <c r="R277" s="295">
        <v>0</v>
      </c>
      <c r="S277" s="295">
        <v>0</v>
      </c>
      <c r="T277" s="366">
        <v>0</v>
      </c>
      <c r="U277" s="338" t="str">
        <f t="shared" si="169"/>
        <v>Normal</v>
      </c>
      <c r="V277" s="338" t="str">
        <f t="shared" si="170"/>
        <v>Normal</v>
      </c>
      <c r="W277" s="420">
        <f t="shared" si="171"/>
        <v>0</v>
      </c>
      <c r="X277" s="420">
        <f t="shared" si="172"/>
        <v>0</v>
      </c>
    </row>
    <row r="278" spans="1:24">
      <c r="A278" s="32">
        <v>45293</v>
      </c>
      <c r="B278" s="408">
        <f>IF(YEAR(Table7[[#This Row],[Date]]) = 2023, WEEKNUM(Table7[[#This Row],[Date]])-13, WEEKNUM(Table7[[#This Row],[Date]])+40)</f>
        <v>41</v>
      </c>
      <c r="C278" s="34" t="s">
        <v>50</v>
      </c>
      <c r="D278" s="34" t="s">
        <v>94</v>
      </c>
      <c r="E278" s="1">
        <v>665</v>
      </c>
      <c r="F278" s="1">
        <v>171</v>
      </c>
      <c r="G278" s="64">
        <f t="shared" ref="G278:H278" si="224">IFERROR((E278-E271)/E271,0%)</f>
        <v>0</v>
      </c>
      <c r="H278" s="64">
        <f t="shared" si="224"/>
        <v>0</v>
      </c>
      <c r="I278" s="1"/>
      <c r="J278" s="1"/>
      <c r="K278" s="1"/>
      <c r="L278" s="1"/>
      <c r="M278" s="18">
        <v>0.32</v>
      </c>
      <c r="N278" s="18">
        <v>0.26</v>
      </c>
      <c r="O278" s="18">
        <v>0.74</v>
      </c>
      <c r="P278" s="18">
        <v>0.79</v>
      </c>
      <c r="Q278" s="22">
        <v>1</v>
      </c>
      <c r="R278" s="294">
        <v>137</v>
      </c>
      <c r="S278" s="294">
        <v>0</v>
      </c>
      <c r="T278" s="365">
        <v>4</v>
      </c>
      <c r="U278" s="338" t="str">
        <f t="shared" si="169"/>
        <v>Normal</v>
      </c>
      <c r="V278" s="338" t="str">
        <f t="shared" si="170"/>
        <v>Normal</v>
      </c>
      <c r="W278" s="420">
        <f t="shared" si="171"/>
        <v>0</v>
      </c>
      <c r="X278" s="420">
        <f t="shared" si="172"/>
        <v>0</v>
      </c>
    </row>
    <row r="279" spans="1:24">
      <c r="A279" s="32">
        <v>45294</v>
      </c>
      <c r="B279" s="408">
        <f>IF(YEAR(Table7[[#This Row],[Date]]) = 2023, WEEKNUM(Table7[[#This Row],[Date]])-13, WEEKNUM(Table7[[#This Row],[Date]])+40)</f>
        <v>41</v>
      </c>
      <c r="C279" s="34" t="s">
        <v>51</v>
      </c>
      <c r="D279" s="34" t="s">
        <v>94</v>
      </c>
      <c r="E279" s="1">
        <v>723</v>
      </c>
      <c r="F279" s="1">
        <v>454</v>
      </c>
      <c r="G279" s="64">
        <f t="shared" ref="G279:H279" si="225">IFERROR((E279-E272)/E272,0%)</f>
        <v>-0.11070110701107011</v>
      </c>
      <c r="H279" s="64">
        <f t="shared" si="225"/>
        <v>-0.13358778625954199</v>
      </c>
      <c r="I279" s="1"/>
      <c r="J279" s="1"/>
      <c r="K279" s="1"/>
      <c r="L279" s="1"/>
      <c r="M279" s="18">
        <v>0.44</v>
      </c>
      <c r="N279" s="18">
        <v>0.37</v>
      </c>
      <c r="O279" s="18">
        <v>0.63</v>
      </c>
      <c r="P279" s="18">
        <v>0.67</v>
      </c>
      <c r="Q279" s="22">
        <v>1</v>
      </c>
      <c r="R279" s="294">
        <v>142</v>
      </c>
      <c r="S279" s="294">
        <v>0</v>
      </c>
      <c r="T279" s="365">
        <v>4</v>
      </c>
      <c r="U279" s="338" t="str">
        <f t="shared" si="169"/>
        <v>Normal</v>
      </c>
      <c r="V279" s="338" t="str">
        <f t="shared" si="170"/>
        <v>Normal</v>
      </c>
      <c r="W279" s="420">
        <f t="shared" si="171"/>
        <v>-0.11070110701107011</v>
      </c>
      <c r="X279" s="420">
        <f t="shared" si="172"/>
        <v>-0.13358778625954199</v>
      </c>
    </row>
    <row r="280" spans="1:24">
      <c r="A280" s="32">
        <v>45295</v>
      </c>
      <c r="B280" s="408">
        <f>IF(YEAR(Table7[[#This Row],[Date]]) = 2023, WEEKNUM(Table7[[#This Row],[Date]])-13, WEEKNUM(Table7[[#This Row],[Date]])+40)</f>
        <v>41</v>
      </c>
      <c r="C280" s="34" t="s">
        <v>52</v>
      </c>
      <c r="D280" s="34" t="s">
        <v>94</v>
      </c>
      <c r="E280" s="1">
        <v>684</v>
      </c>
      <c r="F280" s="1">
        <v>340</v>
      </c>
      <c r="G280" s="64">
        <f t="shared" ref="G280:H280" si="226">IFERROR((E280-E273)/E273,0%)</f>
        <v>0.20634920634920634</v>
      </c>
      <c r="H280" s="64">
        <f t="shared" si="226"/>
        <v>4.2944785276073622E-2</v>
      </c>
      <c r="I280" s="1"/>
      <c r="J280" s="1"/>
      <c r="K280" s="1"/>
      <c r="L280" s="1"/>
      <c r="M280" s="18">
        <v>0.44</v>
      </c>
      <c r="N280" s="18">
        <v>0.26</v>
      </c>
      <c r="O280" s="18">
        <v>0.74</v>
      </c>
      <c r="P280" s="18">
        <v>1.05</v>
      </c>
      <c r="Q280" s="22">
        <v>1</v>
      </c>
      <c r="R280" s="294">
        <v>145</v>
      </c>
      <c r="S280" s="294">
        <v>0</v>
      </c>
      <c r="T280" s="365">
        <v>3</v>
      </c>
      <c r="U280" s="338" t="str">
        <f t="shared" si="169"/>
        <v>Normal</v>
      </c>
      <c r="V280" s="338" t="str">
        <f t="shared" si="170"/>
        <v>Normal</v>
      </c>
      <c r="W280" s="420">
        <f t="shared" si="171"/>
        <v>0.20634920634920634</v>
      </c>
      <c r="X280" s="420">
        <f t="shared" si="172"/>
        <v>4.2944785276073622E-2</v>
      </c>
    </row>
    <row r="281" spans="1:24">
      <c r="A281" s="32">
        <v>45296</v>
      </c>
      <c r="B281" s="408">
        <f>IF(YEAR(Table7[[#This Row],[Date]]) = 2023, WEEKNUM(Table7[[#This Row],[Date]])-13, WEEKNUM(Table7[[#This Row],[Date]])+40)</f>
        <v>41</v>
      </c>
      <c r="C281" s="34" t="s">
        <v>53</v>
      </c>
      <c r="D281" s="34" t="s">
        <v>94</v>
      </c>
      <c r="E281" s="1">
        <v>654</v>
      </c>
      <c r="F281" s="1">
        <v>411</v>
      </c>
      <c r="G281" s="64">
        <f t="shared" ref="G281:H281" si="227">IFERROR((E281-E274)/E274,0%)</f>
        <v>-1.2084592145015106E-2</v>
      </c>
      <c r="H281" s="64">
        <f t="shared" si="227"/>
        <v>-0.13655462184873948</v>
      </c>
      <c r="I281" s="1"/>
      <c r="J281" s="1"/>
      <c r="K281" s="1"/>
      <c r="L281" s="1"/>
      <c r="M281" s="18">
        <v>0.33</v>
      </c>
      <c r="N281" s="18">
        <v>0.37</v>
      </c>
      <c r="O281" s="18">
        <v>0.67</v>
      </c>
      <c r="P281" s="18">
        <v>0.73</v>
      </c>
      <c r="Q281" s="22">
        <v>1</v>
      </c>
      <c r="R281" s="294">
        <v>119</v>
      </c>
      <c r="S281" s="294">
        <v>0</v>
      </c>
      <c r="T281" s="365">
        <v>3</v>
      </c>
      <c r="U281" s="338" t="str">
        <f t="shared" si="169"/>
        <v>Normal</v>
      </c>
      <c r="V281" s="338" t="str">
        <f t="shared" si="170"/>
        <v>Normal</v>
      </c>
      <c r="W281" s="420">
        <f t="shared" si="171"/>
        <v>-1.2084592145015106E-2</v>
      </c>
      <c r="X281" s="420">
        <f t="shared" si="172"/>
        <v>-0.13655462184873948</v>
      </c>
    </row>
    <row r="282" spans="1:24">
      <c r="A282" s="32">
        <v>45297</v>
      </c>
      <c r="B282" s="408">
        <f>IF(YEAR(Table7[[#This Row],[Date]]) = 2023, WEEKNUM(Table7[[#This Row],[Date]])-13, WEEKNUM(Table7[[#This Row],[Date]])+40)</f>
        <v>41</v>
      </c>
      <c r="C282" s="34" t="s">
        <v>54</v>
      </c>
      <c r="D282" s="34" t="s">
        <v>94</v>
      </c>
      <c r="E282" s="1">
        <v>402</v>
      </c>
      <c r="F282" s="1">
        <v>340</v>
      </c>
      <c r="G282" s="64">
        <f t="shared" ref="G282:H282" si="228">IFERROR((E282-E275)/E275,0%)</f>
        <v>-0.29100529100529099</v>
      </c>
      <c r="H282" s="64">
        <f t="shared" si="228"/>
        <v>-0.24107142857142858</v>
      </c>
      <c r="I282" s="1"/>
      <c r="J282" s="1"/>
      <c r="K282" s="1"/>
      <c r="L282" s="1"/>
      <c r="M282" s="18">
        <v>0.73</v>
      </c>
      <c r="N282" s="18">
        <v>0.15</v>
      </c>
      <c r="O282" s="18">
        <v>0.85</v>
      </c>
      <c r="P282" s="18">
        <v>0.65</v>
      </c>
      <c r="Q282" s="22">
        <v>0.99</v>
      </c>
      <c r="R282" s="294">
        <v>155</v>
      </c>
      <c r="S282" s="294">
        <v>0</v>
      </c>
      <c r="T282" s="365">
        <v>4</v>
      </c>
      <c r="U282" s="338" t="str">
        <f t="shared" si="169"/>
        <v>Normal</v>
      </c>
      <c r="V282" s="338" t="str">
        <f t="shared" si="170"/>
        <v>Normal</v>
      </c>
      <c r="W282" s="420">
        <f t="shared" si="171"/>
        <v>-0.29100529100529099</v>
      </c>
      <c r="X282" s="420">
        <f t="shared" si="172"/>
        <v>-0.24107142857142858</v>
      </c>
    </row>
    <row r="283" spans="1:24">
      <c r="A283" s="32">
        <v>45298</v>
      </c>
      <c r="B283" s="408">
        <f>IF(YEAR(Table7[[#This Row],[Date]]) = 2023, WEEKNUM(Table7[[#This Row],[Date]])-13, WEEKNUM(Table7[[#This Row],[Date]])+40)</f>
        <v>42</v>
      </c>
      <c r="C283" s="34" t="s">
        <v>48</v>
      </c>
      <c r="D283" s="34" t="s">
        <v>94</v>
      </c>
      <c r="E283" s="1">
        <v>0</v>
      </c>
      <c r="F283" s="1">
        <v>0</v>
      </c>
      <c r="G283" s="64">
        <f t="shared" ref="G283:H283" si="229">IFERROR((E283-E276)/E276,0%)</f>
        <v>0</v>
      </c>
      <c r="H283" s="64">
        <f t="shared" si="229"/>
        <v>0</v>
      </c>
      <c r="I283" s="1">
        <v>0</v>
      </c>
      <c r="J283" s="1">
        <v>0</v>
      </c>
      <c r="K283" s="1">
        <v>0</v>
      </c>
      <c r="L283" s="1">
        <v>0</v>
      </c>
      <c r="M283" s="18">
        <v>0</v>
      </c>
      <c r="N283" s="18">
        <v>0</v>
      </c>
      <c r="O283" s="18">
        <v>0</v>
      </c>
      <c r="P283" s="18">
        <v>0</v>
      </c>
      <c r="Q283" s="22">
        <v>0</v>
      </c>
      <c r="R283" s="294">
        <v>0</v>
      </c>
      <c r="S283" s="294">
        <v>0</v>
      </c>
      <c r="T283" s="365">
        <v>0</v>
      </c>
      <c r="U283" s="338" t="str">
        <f t="shared" si="169"/>
        <v>Normal</v>
      </c>
      <c r="V283" s="338" t="str">
        <f t="shared" si="170"/>
        <v>Normal</v>
      </c>
      <c r="W283" s="420">
        <f t="shared" si="171"/>
        <v>0</v>
      </c>
      <c r="X283" s="420">
        <f t="shared" si="172"/>
        <v>0</v>
      </c>
    </row>
    <row r="284" spans="1:24">
      <c r="A284" s="32">
        <v>45299</v>
      </c>
      <c r="B284" s="408">
        <f>IF(YEAR(Table7[[#This Row],[Date]]) = 2023, WEEKNUM(Table7[[#This Row],[Date]])-13, WEEKNUM(Table7[[#This Row],[Date]])+40)</f>
        <v>42</v>
      </c>
      <c r="C284" s="34" t="s">
        <v>49</v>
      </c>
      <c r="D284" s="34" t="s">
        <v>94</v>
      </c>
      <c r="E284" s="1">
        <v>570</v>
      </c>
      <c r="F284" s="1">
        <v>487</v>
      </c>
      <c r="G284" s="64">
        <f t="shared" ref="G284:H284" si="230">IFERROR((E284-E277)/E277,0%)</f>
        <v>0</v>
      </c>
      <c r="H284" s="64">
        <f t="shared" si="230"/>
        <v>0</v>
      </c>
      <c r="I284" s="1"/>
      <c r="J284" s="1"/>
      <c r="K284" s="1"/>
      <c r="L284" s="1"/>
      <c r="M284" s="18">
        <v>0.77</v>
      </c>
      <c r="N284" s="18">
        <v>0.15</v>
      </c>
      <c r="O284" s="18">
        <v>0.85</v>
      </c>
      <c r="P284" s="18">
        <v>0.7</v>
      </c>
      <c r="Q284" s="22">
        <v>1</v>
      </c>
      <c r="R284" s="294">
        <v>87</v>
      </c>
      <c r="S284" s="294">
        <v>0</v>
      </c>
      <c r="T284" s="365">
        <v>4</v>
      </c>
      <c r="U284" s="338" t="str">
        <f t="shared" si="169"/>
        <v>Normal</v>
      </c>
      <c r="V284" s="338" t="str">
        <f t="shared" si="170"/>
        <v>Normal</v>
      </c>
      <c r="W284" s="420">
        <f t="shared" si="171"/>
        <v>0</v>
      </c>
      <c r="X284" s="420">
        <f t="shared" si="172"/>
        <v>0</v>
      </c>
    </row>
    <row r="285" spans="1:24">
      <c r="A285" s="32">
        <v>45300</v>
      </c>
      <c r="B285" s="408">
        <f>IF(YEAR(Table7[[#This Row],[Date]]) = 2023, WEEKNUM(Table7[[#This Row],[Date]])-13, WEEKNUM(Table7[[#This Row],[Date]])+40)</f>
        <v>42</v>
      </c>
      <c r="C285" s="34" t="s">
        <v>50</v>
      </c>
      <c r="D285" s="34" t="s">
        <v>94</v>
      </c>
      <c r="E285" s="1">
        <v>468</v>
      </c>
      <c r="F285" s="1">
        <v>408</v>
      </c>
      <c r="G285" s="64">
        <f t="shared" ref="G285:H285" si="231">IFERROR((E285-E278)/E278,0%)</f>
        <v>-0.29624060150375942</v>
      </c>
      <c r="H285" s="64">
        <f t="shared" si="231"/>
        <v>1.3859649122807018</v>
      </c>
      <c r="I285" s="1"/>
      <c r="J285" s="1"/>
      <c r="K285" s="1"/>
      <c r="L285" s="1"/>
      <c r="M285" s="18">
        <v>0.81</v>
      </c>
      <c r="N285" s="18">
        <v>0.13</v>
      </c>
      <c r="O285" s="18">
        <v>0.87</v>
      </c>
      <c r="P285" s="18">
        <v>0.73</v>
      </c>
      <c r="Q285" s="22">
        <v>1</v>
      </c>
      <c r="R285" s="294">
        <v>98</v>
      </c>
      <c r="S285" s="294">
        <v>0</v>
      </c>
      <c r="T285" s="365">
        <v>4</v>
      </c>
      <c r="U285" s="338" t="str">
        <f t="shared" ref="U285:U348" si="232">IF(OR(G285&lt;$AA$5,G285&gt;$AB$5), "Outlier", "Normal")</f>
        <v>Normal</v>
      </c>
      <c r="V285" s="338" t="str">
        <f t="shared" ref="V285:V348" si="233">IF(OR(H285&lt;$AA$6,H285&gt;$AB$6), "Outlier", "Normal")</f>
        <v>Outlier</v>
      </c>
      <c r="W285" s="420">
        <f t="shared" ref="W285:W348" si="234">IF(U285="Normal",$G285,IF($G285&lt;150%, $G285, $AA$9))</f>
        <v>-0.29624060150375942</v>
      </c>
      <c r="X285" s="420">
        <f t="shared" ref="X285:X348" si="235">IF(V285="Normal",$H285,IF($H285&lt;150%, $H285, $AE$9))</f>
        <v>1.3859649122807018</v>
      </c>
    </row>
    <row r="286" spans="1:24">
      <c r="A286" s="32">
        <v>45301</v>
      </c>
      <c r="B286" s="408">
        <f>IF(YEAR(Table7[[#This Row],[Date]]) = 2023, WEEKNUM(Table7[[#This Row],[Date]])-13, WEEKNUM(Table7[[#This Row],[Date]])+40)</f>
        <v>42</v>
      </c>
      <c r="C286" s="34" t="s">
        <v>51</v>
      </c>
      <c r="D286" s="34" t="s">
        <v>94</v>
      </c>
      <c r="E286" s="1">
        <v>480</v>
      </c>
      <c r="F286" s="1">
        <v>404</v>
      </c>
      <c r="G286" s="64">
        <f t="shared" ref="G286:H286" si="236">IFERROR((E286-E279)/E279,0%)</f>
        <v>-0.33609958506224069</v>
      </c>
      <c r="H286" s="64">
        <f t="shared" si="236"/>
        <v>-0.11013215859030837</v>
      </c>
      <c r="I286" s="1"/>
      <c r="J286" s="1"/>
      <c r="K286" s="1"/>
      <c r="L286" s="1"/>
      <c r="M286" s="18">
        <v>0.56000000000000005</v>
      </c>
      <c r="N286" s="18">
        <v>0.16</v>
      </c>
      <c r="O286" s="18">
        <v>0.84</v>
      </c>
      <c r="P286" s="18">
        <v>0.67</v>
      </c>
      <c r="Q286" s="22">
        <v>1</v>
      </c>
      <c r="R286" s="294">
        <v>95</v>
      </c>
      <c r="S286" s="294">
        <v>0</v>
      </c>
      <c r="T286" s="365">
        <v>4</v>
      </c>
      <c r="U286" s="338" t="str">
        <f t="shared" si="232"/>
        <v>Normal</v>
      </c>
      <c r="V286" s="338" t="str">
        <f t="shared" si="233"/>
        <v>Normal</v>
      </c>
      <c r="W286" s="420">
        <f t="shared" si="234"/>
        <v>-0.33609958506224069</v>
      </c>
      <c r="X286" s="420">
        <f t="shared" si="235"/>
        <v>-0.11013215859030837</v>
      </c>
    </row>
    <row r="287" spans="1:24">
      <c r="A287" s="32">
        <v>45302</v>
      </c>
      <c r="B287" s="408">
        <f>IF(YEAR(Table7[[#This Row],[Date]]) = 2023, WEEKNUM(Table7[[#This Row],[Date]])-13, WEEKNUM(Table7[[#This Row],[Date]])+40)</f>
        <v>42</v>
      </c>
      <c r="C287" s="34" t="s">
        <v>52</v>
      </c>
      <c r="D287" s="34" t="s">
        <v>94</v>
      </c>
      <c r="E287" s="1">
        <v>439</v>
      </c>
      <c r="F287" s="1">
        <v>404</v>
      </c>
      <c r="G287" s="64">
        <f t="shared" ref="G287:H287" si="237">IFERROR((E287-E280)/E280,0%)</f>
        <v>-0.358187134502924</v>
      </c>
      <c r="H287" s="64">
        <f t="shared" si="237"/>
        <v>0.18823529411764706</v>
      </c>
      <c r="I287" s="1"/>
      <c r="J287" s="1"/>
      <c r="K287" s="1"/>
      <c r="L287" s="1"/>
      <c r="M287" s="18">
        <v>0.81</v>
      </c>
      <c r="N287" s="18">
        <v>0.09</v>
      </c>
      <c r="O287" s="18">
        <v>0.91</v>
      </c>
      <c r="P287" s="18">
        <v>0.61</v>
      </c>
      <c r="Q287" s="22">
        <v>1</v>
      </c>
      <c r="R287" s="294">
        <v>142</v>
      </c>
      <c r="S287" s="294">
        <v>0</v>
      </c>
      <c r="T287" s="365">
        <v>4</v>
      </c>
      <c r="U287" s="338" t="str">
        <f t="shared" si="232"/>
        <v>Normal</v>
      </c>
      <c r="V287" s="338" t="str">
        <f t="shared" si="233"/>
        <v>Normal</v>
      </c>
      <c r="W287" s="420">
        <f t="shared" si="234"/>
        <v>-0.358187134502924</v>
      </c>
      <c r="X287" s="420">
        <f t="shared" si="235"/>
        <v>0.18823529411764706</v>
      </c>
    </row>
    <row r="288" spans="1:24">
      <c r="A288" s="32">
        <v>45303</v>
      </c>
      <c r="B288" s="408">
        <f>IF(YEAR(Table7[[#This Row],[Date]]) = 2023, WEEKNUM(Table7[[#This Row],[Date]])-13, WEEKNUM(Table7[[#This Row],[Date]])+40)</f>
        <v>42</v>
      </c>
      <c r="C288" s="34" t="s">
        <v>53</v>
      </c>
      <c r="D288" s="34" t="s">
        <v>94</v>
      </c>
      <c r="E288" s="1">
        <v>533</v>
      </c>
      <c r="F288" s="1">
        <v>459</v>
      </c>
      <c r="G288" s="64">
        <f t="shared" ref="G288:H288" si="238">IFERROR((E288-E281)/E281,0%)</f>
        <v>-0.18501529051987767</v>
      </c>
      <c r="H288" s="64">
        <f t="shared" si="238"/>
        <v>0.11678832116788321</v>
      </c>
      <c r="I288" s="1"/>
      <c r="J288" s="1"/>
      <c r="K288" s="1"/>
      <c r="L288" s="1"/>
      <c r="M288" s="18">
        <v>0.63</v>
      </c>
      <c r="N288" s="18">
        <v>0.14000000000000001</v>
      </c>
      <c r="O288" s="18">
        <v>0.86</v>
      </c>
      <c r="P288" s="18">
        <v>0.66</v>
      </c>
      <c r="Q288" s="22">
        <v>1</v>
      </c>
      <c r="R288" s="294">
        <v>101</v>
      </c>
      <c r="S288" s="294">
        <v>0</v>
      </c>
      <c r="T288" s="365">
        <v>4</v>
      </c>
      <c r="U288" s="338" t="str">
        <f t="shared" si="232"/>
        <v>Normal</v>
      </c>
      <c r="V288" s="338" t="str">
        <f t="shared" si="233"/>
        <v>Normal</v>
      </c>
      <c r="W288" s="420">
        <f t="shared" si="234"/>
        <v>-0.18501529051987767</v>
      </c>
      <c r="X288" s="420">
        <f t="shared" si="235"/>
        <v>0.11678832116788321</v>
      </c>
    </row>
    <row r="289" spans="1:24">
      <c r="A289" s="32">
        <v>45304</v>
      </c>
      <c r="B289" s="408">
        <f>IF(YEAR(Table7[[#This Row],[Date]]) = 2023, WEEKNUM(Table7[[#This Row],[Date]])-13, WEEKNUM(Table7[[#This Row],[Date]])+40)</f>
        <v>42</v>
      </c>
      <c r="C289" s="34" t="s">
        <v>54</v>
      </c>
      <c r="D289" s="34" t="s">
        <v>94</v>
      </c>
      <c r="E289" s="1">
        <v>447</v>
      </c>
      <c r="F289" s="1">
        <v>425</v>
      </c>
      <c r="G289" s="64">
        <f t="shared" ref="G289:H289" si="239">IFERROR((E289-E282)/E282,0%)</f>
        <v>0.11194029850746269</v>
      </c>
      <c r="H289" s="64">
        <f t="shared" si="239"/>
        <v>0.25</v>
      </c>
      <c r="I289" s="1"/>
      <c r="J289" s="1"/>
      <c r="K289" s="1"/>
      <c r="L289" s="1"/>
      <c r="M289" s="18">
        <v>0.94</v>
      </c>
      <c r="N289" s="18">
        <v>0.05</v>
      </c>
      <c r="O289" s="18">
        <v>0.95</v>
      </c>
      <c r="P289" s="18">
        <v>0.63</v>
      </c>
      <c r="Q289" s="22">
        <v>1</v>
      </c>
      <c r="R289" s="294">
        <v>62</v>
      </c>
      <c r="S289" s="294">
        <v>0</v>
      </c>
      <c r="T289" s="365">
        <v>4</v>
      </c>
      <c r="U289" s="338" t="str">
        <f t="shared" si="232"/>
        <v>Normal</v>
      </c>
      <c r="V289" s="338" t="str">
        <f t="shared" si="233"/>
        <v>Normal</v>
      </c>
      <c r="W289" s="420">
        <f t="shared" si="234"/>
        <v>0.11194029850746269</v>
      </c>
      <c r="X289" s="420">
        <f t="shared" si="235"/>
        <v>0.25</v>
      </c>
    </row>
    <row r="290" spans="1:24">
      <c r="A290" s="32">
        <v>45305</v>
      </c>
      <c r="B290" s="408">
        <f>IF(YEAR(Table7[[#This Row],[Date]]) = 2023, WEEKNUM(Table7[[#This Row],[Date]])-13, WEEKNUM(Table7[[#This Row],[Date]])+40)</f>
        <v>43</v>
      </c>
      <c r="C290" s="34" t="s">
        <v>48</v>
      </c>
      <c r="D290" s="34" t="s">
        <v>94</v>
      </c>
      <c r="E290" s="1">
        <v>0</v>
      </c>
      <c r="F290" s="1">
        <v>0</v>
      </c>
      <c r="G290" s="64">
        <f t="shared" ref="G290:H290" si="240">IFERROR((E290-E283)/E283,0%)</f>
        <v>0</v>
      </c>
      <c r="H290" s="64">
        <f t="shared" si="240"/>
        <v>0</v>
      </c>
      <c r="I290" s="1">
        <v>0</v>
      </c>
      <c r="J290" s="1">
        <v>0</v>
      </c>
      <c r="K290" s="1">
        <v>0</v>
      </c>
      <c r="L290" s="1">
        <v>0</v>
      </c>
      <c r="M290" s="18">
        <v>0</v>
      </c>
      <c r="N290" s="18">
        <v>0</v>
      </c>
      <c r="O290" s="18">
        <v>0</v>
      </c>
      <c r="P290" s="18">
        <v>0</v>
      </c>
      <c r="Q290" s="22">
        <v>0</v>
      </c>
      <c r="R290" s="294">
        <v>0</v>
      </c>
      <c r="S290" s="294">
        <v>0</v>
      </c>
      <c r="T290" s="365">
        <v>0</v>
      </c>
      <c r="U290" s="338" t="str">
        <f t="shared" si="232"/>
        <v>Normal</v>
      </c>
      <c r="V290" s="338" t="str">
        <f t="shared" si="233"/>
        <v>Normal</v>
      </c>
      <c r="W290" s="420">
        <f t="shared" si="234"/>
        <v>0</v>
      </c>
      <c r="X290" s="420">
        <f t="shared" si="235"/>
        <v>0</v>
      </c>
    </row>
    <row r="291" spans="1:24">
      <c r="A291" s="32">
        <v>45306</v>
      </c>
      <c r="B291" s="408">
        <f>IF(YEAR(Table7[[#This Row],[Date]]) = 2023, WEEKNUM(Table7[[#This Row],[Date]])-13, WEEKNUM(Table7[[#This Row],[Date]])+40)</f>
        <v>43</v>
      </c>
      <c r="C291" s="34" t="s">
        <v>49</v>
      </c>
      <c r="D291" s="34" t="s">
        <v>94</v>
      </c>
      <c r="E291" s="1">
        <v>589</v>
      </c>
      <c r="F291" s="1">
        <v>513</v>
      </c>
      <c r="G291" s="64">
        <f t="shared" ref="G291:H291" si="241">IFERROR((E291-E284)/E284,0%)</f>
        <v>3.3333333333333333E-2</v>
      </c>
      <c r="H291" s="64">
        <f t="shared" si="241"/>
        <v>5.3388090349075976E-2</v>
      </c>
      <c r="I291" s="1"/>
      <c r="J291" s="1"/>
      <c r="K291" s="1"/>
      <c r="L291" s="1"/>
      <c r="M291" s="18">
        <v>0.82</v>
      </c>
      <c r="N291" s="18">
        <v>0.13</v>
      </c>
      <c r="O291" s="18">
        <v>0.87</v>
      </c>
      <c r="P291" s="18">
        <v>0.77</v>
      </c>
      <c r="Q291" s="22">
        <v>1</v>
      </c>
      <c r="R291" s="294">
        <v>113</v>
      </c>
      <c r="S291" s="294">
        <v>0</v>
      </c>
      <c r="T291" s="365">
        <v>4</v>
      </c>
      <c r="U291" s="338" t="str">
        <f t="shared" si="232"/>
        <v>Normal</v>
      </c>
      <c r="V291" s="338" t="str">
        <f t="shared" si="233"/>
        <v>Normal</v>
      </c>
      <c r="W291" s="420">
        <f t="shared" si="234"/>
        <v>3.3333333333333333E-2</v>
      </c>
      <c r="X291" s="420">
        <f t="shared" si="235"/>
        <v>5.3388090349075976E-2</v>
      </c>
    </row>
    <row r="292" spans="1:24">
      <c r="A292" s="32">
        <v>45307</v>
      </c>
      <c r="B292" s="408">
        <f>IF(YEAR(Table7[[#This Row],[Date]]) = 2023, WEEKNUM(Table7[[#This Row],[Date]])-13, WEEKNUM(Table7[[#This Row],[Date]])+40)</f>
        <v>43</v>
      </c>
      <c r="C292" s="34" t="s">
        <v>50</v>
      </c>
      <c r="D292" s="34" t="s">
        <v>94</v>
      </c>
      <c r="E292" s="1">
        <v>584</v>
      </c>
      <c r="F292" s="1">
        <v>502</v>
      </c>
      <c r="G292" s="64">
        <f t="shared" ref="G292:H292" si="242">IFERROR((E292-E285)/E285,0%)</f>
        <v>0.24786324786324787</v>
      </c>
      <c r="H292" s="64">
        <f t="shared" si="242"/>
        <v>0.23039215686274508</v>
      </c>
      <c r="I292" s="1"/>
      <c r="J292" s="1"/>
      <c r="K292" s="1"/>
      <c r="L292" s="1"/>
      <c r="M292" s="18">
        <v>0.69</v>
      </c>
      <c r="N292" s="18">
        <v>0.14000000000000001</v>
      </c>
      <c r="O292" s="18">
        <v>0.86</v>
      </c>
      <c r="P292" s="18">
        <v>0.6</v>
      </c>
      <c r="Q292" s="22">
        <v>0.99</v>
      </c>
      <c r="R292" s="294">
        <v>137</v>
      </c>
      <c r="S292" s="294">
        <v>0</v>
      </c>
      <c r="T292" s="365">
        <v>4</v>
      </c>
      <c r="U292" s="338" t="str">
        <f t="shared" si="232"/>
        <v>Normal</v>
      </c>
      <c r="V292" s="338" t="str">
        <f t="shared" si="233"/>
        <v>Normal</v>
      </c>
      <c r="W292" s="420">
        <f t="shared" si="234"/>
        <v>0.24786324786324787</v>
      </c>
      <c r="X292" s="420">
        <f t="shared" si="235"/>
        <v>0.23039215686274508</v>
      </c>
    </row>
    <row r="293" spans="1:24">
      <c r="A293" s="32">
        <v>45308</v>
      </c>
      <c r="B293" s="408">
        <f>IF(YEAR(Table7[[#This Row],[Date]]) = 2023, WEEKNUM(Table7[[#This Row],[Date]])-13, WEEKNUM(Table7[[#This Row],[Date]])+40)</f>
        <v>43</v>
      </c>
      <c r="C293" s="34" t="s">
        <v>51</v>
      </c>
      <c r="D293" s="34" t="s">
        <v>94</v>
      </c>
      <c r="E293" s="1">
        <v>534</v>
      </c>
      <c r="F293" s="1">
        <v>508</v>
      </c>
      <c r="G293" s="64">
        <f t="shared" ref="G293:H293" si="243">IFERROR((E293-E286)/E286,0%)</f>
        <v>0.1125</v>
      </c>
      <c r="H293" s="64">
        <f t="shared" si="243"/>
        <v>0.25742574257425743</v>
      </c>
      <c r="I293" s="1"/>
      <c r="J293" s="1"/>
      <c r="K293" s="1"/>
      <c r="L293" s="1"/>
      <c r="M293" s="18">
        <v>0.92</v>
      </c>
      <c r="N293" s="18">
        <v>0.05</v>
      </c>
      <c r="O293" s="18">
        <v>0.95</v>
      </c>
      <c r="P293" s="18">
        <v>0.63</v>
      </c>
      <c r="Q293" s="22">
        <v>0.99</v>
      </c>
      <c r="R293" s="294">
        <v>92</v>
      </c>
      <c r="S293" s="294">
        <v>0</v>
      </c>
      <c r="T293" s="365">
        <v>4</v>
      </c>
      <c r="U293" s="338" t="str">
        <f t="shared" si="232"/>
        <v>Normal</v>
      </c>
      <c r="V293" s="338" t="str">
        <f t="shared" si="233"/>
        <v>Normal</v>
      </c>
      <c r="W293" s="420">
        <f t="shared" si="234"/>
        <v>0.1125</v>
      </c>
      <c r="X293" s="420">
        <f t="shared" si="235"/>
        <v>0.25742574257425743</v>
      </c>
    </row>
    <row r="294" spans="1:24">
      <c r="A294" s="32">
        <v>45309</v>
      </c>
      <c r="B294" s="408">
        <f>IF(YEAR(Table7[[#This Row],[Date]]) = 2023, WEEKNUM(Table7[[#This Row],[Date]])-13, WEEKNUM(Table7[[#This Row],[Date]])+40)</f>
        <v>43</v>
      </c>
      <c r="C294" s="34" t="s">
        <v>52</v>
      </c>
      <c r="D294" s="34" t="s">
        <v>94</v>
      </c>
      <c r="E294" s="1">
        <v>655</v>
      </c>
      <c r="F294" s="1">
        <v>573</v>
      </c>
      <c r="G294" s="64">
        <f t="shared" ref="G294:H294" si="244">IFERROR((E294-E287)/E287,0%)</f>
        <v>0.49202733485193623</v>
      </c>
      <c r="H294" s="64">
        <f t="shared" si="244"/>
        <v>0.4183168316831683</v>
      </c>
      <c r="I294" s="1"/>
      <c r="J294" s="1"/>
      <c r="K294" s="1"/>
      <c r="L294" s="1"/>
      <c r="M294" s="18">
        <v>0.56999999999999995</v>
      </c>
      <c r="N294" s="18">
        <v>0.13</v>
      </c>
      <c r="O294" s="18">
        <v>0.87</v>
      </c>
      <c r="P294" s="18">
        <v>0.76</v>
      </c>
      <c r="Q294" s="22">
        <v>0.99</v>
      </c>
      <c r="R294" s="294">
        <v>84</v>
      </c>
      <c r="S294" s="294">
        <v>0</v>
      </c>
      <c r="T294" s="365">
        <v>4</v>
      </c>
      <c r="U294" s="338" t="str">
        <f t="shared" si="232"/>
        <v>Outlier</v>
      </c>
      <c r="V294" s="338" t="str">
        <f t="shared" si="233"/>
        <v>Normal</v>
      </c>
      <c r="W294" s="420">
        <f t="shared" si="234"/>
        <v>0.49202733485193623</v>
      </c>
      <c r="X294" s="420">
        <f t="shared" si="235"/>
        <v>0.4183168316831683</v>
      </c>
    </row>
    <row r="295" spans="1:24">
      <c r="A295" s="32">
        <v>45310</v>
      </c>
      <c r="B295" s="408">
        <f>IF(YEAR(Table7[[#This Row],[Date]]) = 2023, WEEKNUM(Table7[[#This Row],[Date]])-13, WEEKNUM(Table7[[#This Row],[Date]])+40)</f>
        <v>43</v>
      </c>
      <c r="C295" s="34" t="s">
        <v>53</v>
      </c>
      <c r="D295" s="34" t="s">
        <v>94</v>
      </c>
      <c r="E295" s="1">
        <v>516</v>
      </c>
      <c r="F295" s="1">
        <v>491</v>
      </c>
      <c r="G295" s="64">
        <f t="shared" ref="G295:H295" si="245">IFERROR((E295-E288)/E288,0%)</f>
        <v>-3.1894934333958722E-2</v>
      </c>
      <c r="H295" s="64">
        <f t="shared" si="245"/>
        <v>6.9716775599128547E-2</v>
      </c>
      <c r="I295" s="1"/>
      <c r="J295" s="1"/>
      <c r="K295" s="1"/>
      <c r="L295" s="1"/>
      <c r="M295" s="18">
        <v>0.94</v>
      </c>
      <c r="N295" s="18">
        <v>0.05</v>
      </c>
      <c r="O295" s="18">
        <v>0.95</v>
      </c>
      <c r="P295" s="18">
        <v>0.65</v>
      </c>
      <c r="Q295" s="22">
        <v>0.99</v>
      </c>
      <c r="R295" s="294">
        <v>122</v>
      </c>
      <c r="S295" s="294">
        <v>0</v>
      </c>
      <c r="T295" s="365">
        <v>4</v>
      </c>
      <c r="U295" s="338" t="str">
        <f t="shared" si="232"/>
        <v>Normal</v>
      </c>
      <c r="V295" s="338" t="str">
        <f t="shared" si="233"/>
        <v>Normal</v>
      </c>
      <c r="W295" s="420">
        <f t="shared" si="234"/>
        <v>-3.1894934333958722E-2</v>
      </c>
      <c r="X295" s="420">
        <f t="shared" si="235"/>
        <v>6.9716775599128547E-2</v>
      </c>
    </row>
    <row r="296" spans="1:24">
      <c r="A296" s="32">
        <v>45311</v>
      </c>
      <c r="B296" s="408">
        <f>IF(YEAR(Table7[[#This Row],[Date]]) = 2023, WEEKNUM(Table7[[#This Row],[Date]])-13, WEEKNUM(Table7[[#This Row],[Date]])+40)</f>
        <v>43</v>
      </c>
      <c r="C296" s="34" t="s">
        <v>54</v>
      </c>
      <c r="D296" s="34" t="s">
        <v>94</v>
      </c>
      <c r="E296" s="1">
        <v>408</v>
      </c>
      <c r="F296" s="1">
        <v>342</v>
      </c>
      <c r="G296" s="64">
        <f t="shared" ref="G296:H296" si="246">IFERROR((E296-E289)/E289,0%)</f>
        <v>-8.7248322147651006E-2</v>
      </c>
      <c r="H296" s="64">
        <f t="shared" si="246"/>
        <v>-0.19529411764705881</v>
      </c>
      <c r="I296" s="1"/>
      <c r="J296" s="1"/>
      <c r="K296" s="1"/>
      <c r="L296" s="1"/>
      <c r="M296" s="18">
        <v>0.59</v>
      </c>
      <c r="N296" s="18">
        <v>0.16</v>
      </c>
      <c r="O296" s="18">
        <v>0.84</v>
      </c>
      <c r="P296" s="18">
        <v>0.62</v>
      </c>
      <c r="Q296" s="22">
        <v>0.99</v>
      </c>
      <c r="R296" s="294">
        <v>145</v>
      </c>
      <c r="S296" s="294">
        <v>0</v>
      </c>
      <c r="T296" s="365">
        <v>4</v>
      </c>
      <c r="U296" s="338" t="str">
        <f t="shared" si="232"/>
        <v>Normal</v>
      </c>
      <c r="V296" s="338" t="str">
        <f t="shared" si="233"/>
        <v>Normal</v>
      </c>
      <c r="W296" s="420">
        <f t="shared" si="234"/>
        <v>-8.7248322147651006E-2</v>
      </c>
      <c r="X296" s="420">
        <f t="shared" si="235"/>
        <v>-0.19529411764705881</v>
      </c>
    </row>
    <row r="297" spans="1:24">
      <c r="A297" s="32">
        <v>45312</v>
      </c>
      <c r="B297" s="408">
        <f>IF(YEAR(Table7[[#This Row],[Date]]) = 2023, WEEKNUM(Table7[[#This Row],[Date]])-13, WEEKNUM(Table7[[#This Row],[Date]])+40)</f>
        <v>44</v>
      </c>
      <c r="C297" s="34" t="s">
        <v>48</v>
      </c>
      <c r="D297" s="34" t="s">
        <v>94</v>
      </c>
      <c r="E297" s="1">
        <v>0</v>
      </c>
      <c r="F297" s="1">
        <v>0</v>
      </c>
      <c r="G297" s="64">
        <f t="shared" ref="G297:H297" si="247">IFERROR((E297-E290)/E290,0%)</f>
        <v>0</v>
      </c>
      <c r="H297" s="64">
        <f t="shared" si="247"/>
        <v>0</v>
      </c>
      <c r="I297" s="1">
        <v>0</v>
      </c>
      <c r="J297" s="1">
        <v>0</v>
      </c>
      <c r="K297" s="1">
        <v>0</v>
      </c>
      <c r="L297" s="1">
        <v>0</v>
      </c>
      <c r="M297" s="18">
        <v>0</v>
      </c>
      <c r="N297" s="18">
        <v>0</v>
      </c>
      <c r="O297" s="18">
        <v>0</v>
      </c>
      <c r="P297" s="18">
        <v>0</v>
      </c>
      <c r="Q297" s="22">
        <v>0</v>
      </c>
      <c r="R297" s="294">
        <v>0</v>
      </c>
      <c r="S297" s="294">
        <v>0</v>
      </c>
      <c r="T297" s="365">
        <v>0</v>
      </c>
      <c r="U297" s="338" t="str">
        <f t="shared" si="232"/>
        <v>Normal</v>
      </c>
      <c r="V297" s="338" t="str">
        <f t="shared" si="233"/>
        <v>Normal</v>
      </c>
      <c r="W297" s="420">
        <f t="shared" si="234"/>
        <v>0</v>
      </c>
      <c r="X297" s="420">
        <f t="shared" si="235"/>
        <v>0</v>
      </c>
    </row>
    <row r="298" spans="1:24">
      <c r="A298" s="32">
        <v>45313</v>
      </c>
      <c r="B298" s="408">
        <f>IF(YEAR(Table7[[#This Row],[Date]]) = 2023, WEEKNUM(Table7[[#This Row],[Date]])-13, WEEKNUM(Table7[[#This Row],[Date]])+40)</f>
        <v>44</v>
      </c>
      <c r="C298" s="34" t="s">
        <v>49</v>
      </c>
      <c r="D298" s="34" t="s">
        <v>94</v>
      </c>
      <c r="E298" s="1">
        <v>626</v>
      </c>
      <c r="F298" s="1">
        <v>544</v>
      </c>
      <c r="G298" s="64">
        <f t="shared" ref="G298:H298" si="248">IFERROR((E298-E291)/E291,0%)</f>
        <v>6.2818336162988112E-2</v>
      </c>
      <c r="H298" s="64">
        <f t="shared" si="248"/>
        <v>6.042884990253411E-2</v>
      </c>
      <c r="I298" s="1"/>
      <c r="J298" s="1"/>
      <c r="K298" s="1"/>
      <c r="L298" s="1"/>
      <c r="M298" s="18">
        <v>0.63</v>
      </c>
      <c r="N298" s="18">
        <v>0.13</v>
      </c>
      <c r="O298" s="18">
        <v>0.87</v>
      </c>
      <c r="P298" s="18">
        <v>0.71</v>
      </c>
      <c r="Q298" s="22">
        <v>1</v>
      </c>
      <c r="R298" s="294">
        <v>102</v>
      </c>
      <c r="S298" s="294">
        <v>0</v>
      </c>
      <c r="T298" s="365">
        <v>4</v>
      </c>
      <c r="U298" s="338" t="str">
        <f t="shared" si="232"/>
        <v>Normal</v>
      </c>
      <c r="V298" s="338" t="str">
        <f t="shared" si="233"/>
        <v>Normal</v>
      </c>
      <c r="W298" s="420">
        <f t="shared" si="234"/>
        <v>6.2818336162988112E-2</v>
      </c>
      <c r="X298" s="420">
        <f t="shared" si="235"/>
        <v>6.042884990253411E-2</v>
      </c>
    </row>
    <row r="299" spans="1:24">
      <c r="A299" s="32">
        <v>45314</v>
      </c>
      <c r="B299" s="408">
        <f>IF(YEAR(Table7[[#This Row],[Date]]) = 2023, WEEKNUM(Table7[[#This Row],[Date]])-13, WEEKNUM(Table7[[#This Row],[Date]])+40)</f>
        <v>44</v>
      </c>
      <c r="C299" s="34" t="s">
        <v>50</v>
      </c>
      <c r="D299" s="34" t="s">
        <v>94</v>
      </c>
      <c r="E299" s="1">
        <v>586</v>
      </c>
      <c r="F299" s="1">
        <v>478</v>
      </c>
      <c r="G299" s="64">
        <f t="shared" ref="G299:H299" si="249">IFERROR((E299-E292)/E292,0%)</f>
        <v>3.4246575342465752E-3</v>
      </c>
      <c r="H299" s="64">
        <f t="shared" si="249"/>
        <v>-4.7808764940239043E-2</v>
      </c>
      <c r="I299" s="1"/>
      <c r="J299" s="1"/>
      <c r="K299" s="1"/>
      <c r="L299" s="1"/>
      <c r="M299" s="18">
        <v>0.56999999999999995</v>
      </c>
      <c r="N299" s="18">
        <v>0.18</v>
      </c>
      <c r="O299" s="18">
        <v>0.82</v>
      </c>
      <c r="P299" s="18">
        <v>0.76</v>
      </c>
      <c r="Q299" s="22">
        <v>0.99</v>
      </c>
      <c r="R299" s="294">
        <v>103</v>
      </c>
      <c r="S299" s="294">
        <v>0</v>
      </c>
      <c r="T299" s="365">
        <v>4</v>
      </c>
      <c r="U299" s="338" t="str">
        <f t="shared" si="232"/>
        <v>Normal</v>
      </c>
      <c r="V299" s="338" t="str">
        <f t="shared" si="233"/>
        <v>Normal</v>
      </c>
      <c r="W299" s="420">
        <f t="shared" si="234"/>
        <v>3.4246575342465752E-3</v>
      </c>
      <c r="X299" s="420">
        <f t="shared" si="235"/>
        <v>-4.7808764940239043E-2</v>
      </c>
    </row>
    <row r="300" spans="1:24">
      <c r="A300" s="32">
        <v>45315</v>
      </c>
      <c r="B300" s="408">
        <f>IF(YEAR(Table7[[#This Row],[Date]]) = 2023, WEEKNUM(Table7[[#This Row],[Date]])-13, WEEKNUM(Table7[[#This Row],[Date]])+40)</f>
        <v>44</v>
      </c>
      <c r="C300" s="34" t="s">
        <v>51</v>
      </c>
      <c r="D300" s="34" t="s">
        <v>94</v>
      </c>
      <c r="E300" s="1">
        <v>635</v>
      </c>
      <c r="F300" s="1">
        <v>526</v>
      </c>
      <c r="G300" s="64">
        <f t="shared" ref="G300:H300" si="250">IFERROR((E300-E293)/E293,0%)</f>
        <v>0.18913857677902621</v>
      </c>
      <c r="H300" s="64">
        <f t="shared" si="250"/>
        <v>3.5433070866141732E-2</v>
      </c>
      <c r="I300" s="1"/>
      <c r="J300" s="1"/>
      <c r="K300" s="1"/>
      <c r="L300" s="1"/>
      <c r="M300" s="18">
        <v>0.71</v>
      </c>
      <c r="N300" s="18">
        <v>0.17</v>
      </c>
      <c r="O300" s="18">
        <v>0.83</v>
      </c>
      <c r="P300" s="18">
        <v>0.75</v>
      </c>
      <c r="Q300" s="22">
        <v>1</v>
      </c>
      <c r="R300" s="294">
        <v>155</v>
      </c>
      <c r="S300" s="294">
        <v>0</v>
      </c>
      <c r="T300" s="365">
        <v>4</v>
      </c>
      <c r="U300" s="338" t="str">
        <f t="shared" si="232"/>
        <v>Normal</v>
      </c>
      <c r="V300" s="338" t="str">
        <f t="shared" si="233"/>
        <v>Normal</v>
      </c>
      <c r="W300" s="420">
        <f t="shared" si="234"/>
        <v>0.18913857677902621</v>
      </c>
      <c r="X300" s="420">
        <f t="shared" si="235"/>
        <v>3.5433070866141732E-2</v>
      </c>
    </row>
    <row r="301" spans="1:24">
      <c r="A301" s="32">
        <v>45316</v>
      </c>
      <c r="B301" s="408">
        <f>IF(YEAR(Table7[[#This Row],[Date]]) = 2023, WEEKNUM(Table7[[#This Row],[Date]])-13, WEEKNUM(Table7[[#This Row],[Date]])+40)</f>
        <v>44</v>
      </c>
      <c r="C301" s="34" t="s">
        <v>52</v>
      </c>
      <c r="D301" s="34" t="s">
        <v>94</v>
      </c>
      <c r="E301" s="1">
        <v>600</v>
      </c>
      <c r="F301" s="1">
        <v>468</v>
      </c>
      <c r="G301" s="64">
        <f t="shared" ref="G301:H301" si="251">IFERROR((E301-E294)/E294,0%)</f>
        <v>-8.3969465648854963E-2</v>
      </c>
      <c r="H301" s="64">
        <f t="shared" si="251"/>
        <v>-0.18324607329842932</v>
      </c>
      <c r="I301" s="1"/>
      <c r="J301" s="1"/>
      <c r="K301" s="1"/>
      <c r="L301" s="1"/>
      <c r="M301" s="18">
        <v>0.41</v>
      </c>
      <c r="N301" s="18">
        <v>0.22</v>
      </c>
      <c r="O301" s="18">
        <v>0.78</v>
      </c>
      <c r="P301" s="18">
        <v>0.74</v>
      </c>
      <c r="Q301" s="22">
        <v>0.99</v>
      </c>
      <c r="R301" s="294">
        <v>101</v>
      </c>
      <c r="S301" s="294">
        <v>0</v>
      </c>
      <c r="T301" s="365">
        <v>4</v>
      </c>
      <c r="U301" s="338" t="str">
        <f t="shared" si="232"/>
        <v>Normal</v>
      </c>
      <c r="V301" s="338" t="str">
        <f t="shared" si="233"/>
        <v>Normal</v>
      </c>
      <c r="W301" s="420">
        <f t="shared" si="234"/>
        <v>-8.3969465648854963E-2</v>
      </c>
      <c r="X301" s="420">
        <f t="shared" si="235"/>
        <v>-0.18324607329842932</v>
      </c>
    </row>
    <row r="302" spans="1:24">
      <c r="A302" s="32">
        <v>45317</v>
      </c>
      <c r="B302" s="408">
        <f>IF(YEAR(Table7[[#This Row],[Date]]) = 2023, WEEKNUM(Table7[[#This Row],[Date]])-13, WEEKNUM(Table7[[#This Row],[Date]])+40)</f>
        <v>44</v>
      </c>
      <c r="C302" s="34" t="s">
        <v>53</v>
      </c>
      <c r="D302" s="34" t="s">
        <v>94</v>
      </c>
      <c r="E302" s="1">
        <v>549</v>
      </c>
      <c r="F302" s="1">
        <v>428</v>
      </c>
      <c r="G302" s="64">
        <f t="shared" ref="G302:H302" si="252">IFERROR((E302-E295)/E295,0%)</f>
        <v>6.3953488372093026E-2</v>
      </c>
      <c r="H302" s="64">
        <f t="shared" si="252"/>
        <v>-0.12830957230142567</v>
      </c>
      <c r="I302" s="1"/>
      <c r="J302" s="1"/>
      <c r="K302" s="1"/>
      <c r="L302" s="1"/>
      <c r="M302" s="18">
        <v>0.59</v>
      </c>
      <c r="N302" s="18">
        <v>0.22</v>
      </c>
      <c r="O302" s="18">
        <v>0.78</v>
      </c>
      <c r="P302" s="18">
        <v>0.81</v>
      </c>
      <c r="Q302" s="22">
        <v>1</v>
      </c>
      <c r="R302" s="294">
        <v>120</v>
      </c>
      <c r="S302" s="294">
        <v>0</v>
      </c>
      <c r="T302" s="365">
        <v>3</v>
      </c>
      <c r="U302" s="338" t="str">
        <f t="shared" si="232"/>
        <v>Normal</v>
      </c>
      <c r="V302" s="338" t="str">
        <f t="shared" si="233"/>
        <v>Normal</v>
      </c>
      <c r="W302" s="420">
        <f t="shared" si="234"/>
        <v>6.3953488372093026E-2</v>
      </c>
      <c r="X302" s="420">
        <f t="shared" si="235"/>
        <v>-0.12830957230142567</v>
      </c>
    </row>
    <row r="303" spans="1:24">
      <c r="A303" s="32">
        <v>45318</v>
      </c>
      <c r="B303" s="408">
        <f>IF(YEAR(Table7[[#This Row],[Date]]) = 2023, WEEKNUM(Table7[[#This Row],[Date]])-13, WEEKNUM(Table7[[#This Row],[Date]])+40)</f>
        <v>44</v>
      </c>
      <c r="C303" s="34" t="s">
        <v>54</v>
      </c>
      <c r="D303" s="34" t="s">
        <v>94</v>
      </c>
      <c r="E303" s="1">
        <v>400</v>
      </c>
      <c r="F303" s="1">
        <v>369</v>
      </c>
      <c r="G303" s="64">
        <f t="shared" ref="G303:H303" si="253">IFERROR((E303-E296)/E296,0%)</f>
        <v>-1.9607843137254902E-2</v>
      </c>
      <c r="H303" s="64">
        <f t="shared" si="253"/>
        <v>7.8947368421052627E-2</v>
      </c>
      <c r="I303" s="1"/>
      <c r="J303" s="1"/>
      <c r="K303" s="1"/>
      <c r="L303" s="1"/>
      <c r="M303" s="18">
        <v>0.88</v>
      </c>
      <c r="N303" s="18">
        <v>0.08</v>
      </c>
      <c r="O303" s="18">
        <v>0.92</v>
      </c>
      <c r="P303" s="18">
        <v>0.56999999999999995</v>
      </c>
      <c r="Q303" s="22">
        <v>0.99</v>
      </c>
      <c r="R303" s="294">
        <v>108</v>
      </c>
      <c r="S303" s="294">
        <v>0</v>
      </c>
      <c r="T303" s="365">
        <v>4</v>
      </c>
      <c r="U303" s="338" t="str">
        <f t="shared" si="232"/>
        <v>Normal</v>
      </c>
      <c r="V303" s="338" t="str">
        <f t="shared" si="233"/>
        <v>Normal</v>
      </c>
      <c r="W303" s="420">
        <f t="shared" si="234"/>
        <v>-1.9607843137254902E-2</v>
      </c>
      <c r="X303" s="420">
        <f t="shared" si="235"/>
        <v>7.8947368421052627E-2</v>
      </c>
    </row>
    <row r="304" spans="1:24">
      <c r="A304" s="32">
        <v>45319</v>
      </c>
      <c r="B304" s="408">
        <f>IF(YEAR(Table7[[#This Row],[Date]]) = 2023, WEEKNUM(Table7[[#This Row],[Date]])-13, WEEKNUM(Table7[[#This Row],[Date]])+40)</f>
        <v>45</v>
      </c>
      <c r="C304" s="34" t="s">
        <v>48</v>
      </c>
      <c r="D304" s="34" t="s">
        <v>94</v>
      </c>
      <c r="E304" s="1">
        <v>0</v>
      </c>
      <c r="F304" s="1">
        <v>0</v>
      </c>
      <c r="G304" s="64">
        <f t="shared" ref="G304:H304" si="254">IFERROR((E304-E297)/E297,0%)</f>
        <v>0</v>
      </c>
      <c r="H304" s="64">
        <f t="shared" si="254"/>
        <v>0</v>
      </c>
      <c r="I304" s="1">
        <v>0</v>
      </c>
      <c r="J304" s="1">
        <v>0</v>
      </c>
      <c r="K304" s="1">
        <v>0</v>
      </c>
      <c r="L304" s="1">
        <v>0</v>
      </c>
      <c r="M304" s="18">
        <v>0</v>
      </c>
      <c r="N304" s="18">
        <v>0</v>
      </c>
      <c r="O304" s="18">
        <v>0</v>
      </c>
      <c r="P304" s="18">
        <v>0</v>
      </c>
      <c r="Q304" s="22">
        <v>0</v>
      </c>
      <c r="R304" s="294">
        <v>0</v>
      </c>
      <c r="S304" s="294">
        <v>0</v>
      </c>
      <c r="T304" s="365">
        <v>0</v>
      </c>
      <c r="U304" s="338" t="str">
        <f t="shared" si="232"/>
        <v>Normal</v>
      </c>
      <c r="V304" s="338" t="str">
        <f t="shared" si="233"/>
        <v>Normal</v>
      </c>
      <c r="W304" s="420">
        <f t="shared" si="234"/>
        <v>0</v>
      </c>
      <c r="X304" s="420">
        <f t="shared" si="235"/>
        <v>0</v>
      </c>
    </row>
    <row r="305" spans="1:38">
      <c r="A305" s="32">
        <v>45320</v>
      </c>
      <c r="B305" s="408">
        <f>IF(YEAR(Table7[[#This Row],[Date]]) = 2023, WEEKNUM(Table7[[#This Row],[Date]])-13, WEEKNUM(Table7[[#This Row],[Date]])+40)</f>
        <v>45</v>
      </c>
      <c r="C305" s="34" t="s">
        <v>49</v>
      </c>
      <c r="D305" s="34" t="s">
        <v>94</v>
      </c>
      <c r="E305" s="1">
        <v>636</v>
      </c>
      <c r="F305" s="1">
        <v>569</v>
      </c>
      <c r="G305" s="64">
        <f t="shared" ref="G305:H305" si="255">IFERROR((E305-E298)/E298,0%)</f>
        <v>1.5974440894568689E-2</v>
      </c>
      <c r="H305" s="64">
        <f t="shared" si="255"/>
        <v>4.595588235294118E-2</v>
      </c>
      <c r="I305" s="1"/>
      <c r="J305" s="1"/>
      <c r="K305" s="1"/>
      <c r="L305" s="1"/>
      <c r="M305" s="18">
        <v>0.84</v>
      </c>
      <c r="N305" s="18">
        <v>0.11</v>
      </c>
      <c r="O305" s="18">
        <v>0.89</v>
      </c>
      <c r="P305" s="18">
        <v>0.76</v>
      </c>
      <c r="Q305" s="22">
        <v>0.99</v>
      </c>
      <c r="R305" s="294">
        <v>95</v>
      </c>
      <c r="S305" s="294">
        <v>0</v>
      </c>
      <c r="T305" s="365">
        <v>5</v>
      </c>
      <c r="U305" s="338" t="str">
        <f t="shared" si="232"/>
        <v>Normal</v>
      </c>
      <c r="V305" s="338" t="str">
        <f t="shared" si="233"/>
        <v>Normal</v>
      </c>
      <c r="W305" s="420">
        <f t="shared" si="234"/>
        <v>1.5974440894568689E-2</v>
      </c>
      <c r="X305" s="420">
        <f t="shared" si="235"/>
        <v>4.595588235294118E-2</v>
      </c>
    </row>
    <row r="306" spans="1:38">
      <c r="A306" s="32">
        <v>45321</v>
      </c>
      <c r="B306" s="408">
        <f>IF(YEAR(Table7[[#This Row],[Date]]) = 2023, WEEKNUM(Table7[[#This Row],[Date]])-13, WEEKNUM(Table7[[#This Row],[Date]])+40)</f>
        <v>45</v>
      </c>
      <c r="C306" s="34" t="s">
        <v>50</v>
      </c>
      <c r="D306" s="34" t="s">
        <v>94</v>
      </c>
      <c r="E306" s="1">
        <v>564</v>
      </c>
      <c r="F306" s="1">
        <v>498</v>
      </c>
      <c r="G306" s="64">
        <f t="shared" ref="G306:H306" si="256">IFERROR((E306-E299)/E299,0%)</f>
        <v>-3.7542662116040959E-2</v>
      </c>
      <c r="H306" s="64">
        <f t="shared" si="256"/>
        <v>4.1841004184100417E-2</v>
      </c>
      <c r="I306" s="1"/>
      <c r="J306" s="1"/>
      <c r="K306" s="1"/>
      <c r="L306" s="1"/>
      <c r="M306" s="18">
        <v>0.61</v>
      </c>
      <c r="N306" s="18">
        <v>0.12</v>
      </c>
      <c r="O306" s="18">
        <v>0.88</v>
      </c>
      <c r="P306" s="18">
        <v>0.71</v>
      </c>
      <c r="Q306" s="22">
        <v>0.98</v>
      </c>
      <c r="R306" s="294">
        <v>97</v>
      </c>
      <c r="S306" s="294">
        <v>0</v>
      </c>
      <c r="T306" s="365">
        <v>4</v>
      </c>
      <c r="U306" s="338" t="str">
        <f t="shared" si="232"/>
        <v>Normal</v>
      </c>
      <c r="V306" s="338" t="str">
        <f t="shared" si="233"/>
        <v>Normal</v>
      </c>
      <c r="W306" s="420">
        <f t="shared" si="234"/>
        <v>-3.7542662116040959E-2</v>
      </c>
      <c r="X306" s="420">
        <f t="shared" si="235"/>
        <v>4.1841004184100417E-2</v>
      </c>
    </row>
    <row r="307" spans="1:38" s="48" customFormat="1">
      <c r="A307" s="32">
        <v>45322</v>
      </c>
      <c r="B307" s="408">
        <f>IF(YEAR(Table7[[#This Row],[Date]]) = 2023, WEEKNUM(Table7[[#This Row],[Date]])-13, WEEKNUM(Table7[[#This Row],[Date]])+40)</f>
        <v>45</v>
      </c>
      <c r="C307" s="49" t="s">
        <v>51</v>
      </c>
      <c r="D307" s="34" t="s">
        <v>94</v>
      </c>
      <c r="E307" s="1">
        <v>517</v>
      </c>
      <c r="F307" s="1">
        <v>433</v>
      </c>
      <c r="G307" s="64">
        <f t="shared" ref="G307:H307" si="257">IFERROR((E307-E300)/E300,0%)</f>
        <v>-0.1858267716535433</v>
      </c>
      <c r="H307" s="64">
        <f t="shared" si="257"/>
        <v>-0.17680608365019013</v>
      </c>
      <c r="I307" s="1"/>
      <c r="J307" s="1"/>
      <c r="K307" s="1"/>
      <c r="L307" s="1"/>
      <c r="M307" s="18">
        <v>0.61</v>
      </c>
      <c r="N307" s="18">
        <v>0.16</v>
      </c>
      <c r="O307" s="18">
        <v>0.84</v>
      </c>
      <c r="P307" s="18">
        <v>0.65</v>
      </c>
      <c r="Q307" s="22">
        <v>0.99</v>
      </c>
      <c r="R307" s="294">
        <v>124</v>
      </c>
      <c r="S307" s="294">
        <v>0</v>
      </c>
      <c r="T307" s="365">
        <v>4</v>
      </c>
      <c r="U307" s="338" t="str">
        <f t="shared" si="232"/>
        <v>Normal</v>
      </c>
      <c r="V307" s="338" t="str">
        <f t="shared" si="233"/>
        <v>Normal</v>
      </c>
      <c r="W307" s="420">
        <f t="shared" si="234"/>
        <v>-0.1858267716535433</v>
      </c>
      <c r="X307" s="420">
        <f t="shared" si="235"/>
        <v>-0.17680608365019013</v>
      </c>
      <c r="Y307" s="338"/>
      <c r="Z307" s="338"/>
      <c r="AA307" s="338"/>
      <c r="AB307" s="338"/>
      <c r="AC307" s="338"/>
      <c r="AD307" s="338"/>
      <c r="AE307" s="338"/>
      <c r="AF307" s="338"/>
      <c r="AG307" s="338"/>
      <c r="AH307" s="338"/>
      <c r="AI307" s="338"/>
      <c r="AJ307"/>
      <c r="AK307"/>
      <c r="AL307"/>
    </row>
    <row r="308" spans="1:38">
      <c r="A308" s="32">
        <v>45323</v>
      </c>
      <c r="B308" s="408">
        <f>IF(YEAR(Table7[[#This Row],[Date]]) = 2023, WEEKNUM(Table7[[#This Row],[Date]])-13, WEEKNUM(Table7[[#This Row],[Date]])+40)</f>
        <v>45</v>
      </c>
      <c r="C308" s="34" t="s">
        <v>52</v>
      </c>
      <c r="D308" s="34" t="s">
        <v>94</v>
      </c>
      <c r="E308" s="1">
        <v>508</v>
      </c>
      <c r="F308" s="1">
        <v>452</v>
      </c>
      <c r="G308" s="64">
        <f t="shared" ref="G308:H308" si="258">IFERROR((E308-E301)/E301,0%)</f>
        <v>-0.15333333333333332</v>
      </c>
      <c r="H308" s="64">
        <f t="shared" si="258"/>
        <v>-3.4188034188034191E-2</v>
      </c>
      <c r="I308" s="1"/>
      <c r="J308" s="1"/>
      <c r="K308" s="1"/>
      <c r="L308" s="1"/>
      <c r="M308" s="18">
        <v>0.6</v>
      </c>
      <c r="N308" s="18">
        <v>0.11</v>
      </c>
      <c r="O308" s="18">
        <v>0.89</v>
      </c>
      <c r="P308" s="18">
        <v>0.65</v>
      </c>
      <c r="Q308" s="22">
        <v>1</v>
      </c>
      <c r="R308" s="294">
        <v>102</v>
      </c>
      <c r="S308" s="294">
        <v>0</v>
      </c>
      <c r="T308" s="365">
        <v>4</v>
      </c>
      <c r="U308" s="338" t="str">
        <f t="shared" si="232"/>
        <v>Normal</v>
      </c>
      <c r="V308" s="338" t="str">
        <f t="shared" si="233"/>
        <v>Normal</v>
      </c>
      <c r="W308" s="420">
        <f t="shared" si="234"/>
        <v>-0.15333333333333332</v>
      </c>
      <c r="X308" s="420">
        <f t="shared" si="235"/>
        <v>-3.4188034188034191E-2</v>
      </c>
    </row>
    <row r="309" spans="1:38">
      <c r="A309" s="32">
        <v>45324</v>
      </c>
      <c r="B309" s="408">
        <f>IF(YEAR(Table7[[#This Row],[Date]]) = 2023, WEEKNUM(Table7[[#This Row],[Date]])-13, WEEKNUM(Table7[[#This Row],[Date]])+40)</f>
        <v>45</v>
      </c>
      <c r="C309" s="34" t="s">
        <v>53</v>
      </c>
      <c r="D309" s="34" t="s">
        <v>94</v>
      </c>
      <c r="E309" s="1">
        <v>424</v>
      </c>
      <c r="F309" s="1">
        <v>316</v>
      </c>
      <c r="G309" s="64">
        <f t="shared" ref="G309:H309" si="259">IFERROR((E309-E302)/E302,0%)</f>
        <v>-0.22768670309653916</v>
      </c>
      <c r="H309" s="64">
        <f t="shared" si="259"/>
        <v>-0.26168224299065418</v>
      </c>
      <c r="I309" s="1"/>
      <c r="J309" s="1"/>
      <c r="K309" s="1"/>
      <c r="L309" s="1"/>
      <c r="M309" s="18">
        <v>0.73</v>
      </c>
      <c r="N309" s="18">
        <v>0.25</v>
      </c>
      <c r="O309" s="18">
        <v>0.75</v>
      </c>
      <c r="P309" s="18">
        <v>0.67</v>
      </c>
      <c r="Q309" s="22">
        <v>0.99</v>
      </c>
      <c r="R309" s="294">
        <v>140</v>
      </c>
      <c r="S309" s="294">
        <v>0</v>
      </c>
      <c r="T309" s="365">
        <v>3</v>
      </c>
      <c r="U309" s="338" t="str">
        <f t="shared" si="232"/>
        <v>Normal</v>
      </c>
      <c r="V309" s="338" t="str">
        <f t="shared" si="233"/>
        <v>Normal</v>
      </c>
      <c r="W309" s="420">
        <f t="shared" si="234"/>
        <v>-0.22768670309653916</v>
      </c>
      <c r="X309" s="420">
        <f t="shared" si="235"/>
        <v>-0.26168224299065418</v>
      </c>
    </row>
    <row r="310" spans="1:38">
      <c r="A310" s="32">
        <v>45325</v>
      </c>
      <c r="B310" s="408">
        <f>IF(YEAR(Table7[[#This Row],[Date]]) = 2023, WEEKNUM(Table7[[#This Row],[Date]])-13, WEEKNUM(Table7[[#This Row],[Date]])+40)</f>
        <v>45</v>
      </c>
      <c r="C310" s="34" t="s">
        <v>54</v>
      </c>
      <c r="D310" s="34" t="s">
        <v>94</v>
      </c>
      <c r="E310" s="1">
        <v>381</v>
      </c>
      <c r="F310" s="1">
        <v>303</v>
      </c>
      <c r="G310" s="64">
        <f t="shared" ref="G310:H310" si="260">IFERROR((E310-E303)/E303,0%)</f>
        <v>-4.7500000000000001E-2</v>
      </c>
      <c r="H310" s="64">
        <f t="shared" si="260"/>
        <v>-0.17886178861788618</v>
      </c>
      <c r="I310" s="1"/>
      <c r="J310" s="1"/>
      <c r="K310" s="1"/>
      <c r="L310" s="1"/>
      <c r="M310" s="18">
        <v>0.8</v>
      </c>
      <c r="N310" s="18">
        <v>0.2</v>
      </c>
      <c r="O310" s="18">
        <v>0.8</v>
      </c>
      <c r="P310" s="18">
        <v>0.59</v>
      </c>
      <c r="Q310" s="22">
        <v>1</v>
      </c>
      <c r="R310" s="294">
        <v>117</v>
      </c>
      <c r="S310" s="294">
        <v>0</v>
      </c>
      <c r="T310" s="365">
        <v>4</v>
      </c>
      <c r="U310" s="338" t="str">
        <f t="shared" si="232"/>
        <v>Normal</v>
      </c>
      <c r="V310" s="338" t="str">
        <f t="shared" si="233"/>
        <v>Normal</v>
      </c>
      <c r="W310" s="420">
        <f t="shared" si="234"/>
        <v>-4.7500000000000001E-2</v>
      </c>
      <c r="X310" s="420">
        <f t="shared" si="235"/>
        <v>-0.17886178861788618</v>
      </c>
    </row>
    <row r="311" spans="1:38">
      <c r="A311" s="32">
        <v>45326</v>
      </c>
      <c r="B311" s="408">
        <f>IF(YEAR(Table7[[#This Row],[Date]]) = 2023, WEEKNUM(Table7[[#This Row],[Date]])-13, WEEKNUM(Table7[[#This Row],[Date]])+40)</f>
        <v>46</v>
      </c>
      <c r="C311" s="34" t="s">
        <v>48</v>
      </c>
      <c r="D311" s="34" t="s">
        <v>94</v>
      </c>
      <c r="E311" s="1">
        <v>0</v>
      </c>
      <c r="F311" s="1">
        <v>0</v>
      </c>
      <c r="G311" s="64">
        <f t="shared" ref="G311:H311" si="261">IFERROR((E311-E304)/E304,0%)</f>
        <v>0</v>
      </c>
      <c r="H311" s="64">
        <f t="shared" si="261"/>
        <v>0</v>
      </c>
      <c r="I311" s="1">
        <v>0</v>
      </c>
      <c r="J311" s="1">
        <v>0</v>
      </c>
      <c r="K311" s="1">
        <v>0</v>
      </c>
      <c r="L311" s="1">
        <v>0</v>
      </c>
      <c r="M311" s="18">
        <v>0</v>
      </c>
      <c r="N311" s="18">
        <v>0</v>
      </c>
      <c r="O311" s="18">
        <v>0</v>
      </c>
      <c r="P311" s="18">
        <v>0</v>
      </c>
      <c r="Q311" s="22">
        <v>0</v>
      </c>
      <c r="R311" s="294">
        <v>0</v>
      </c>
      <c r="S311" s="294">
        <v>0</v>
      </c>
      <c r="T311" s="365">
        <v>0</v>
      </c>
      <c r="U311" s="338" t="str">
        <f t="shared" si="232"/>
        <v>Normal</v>
      </c>
      <c r="V311" s="338" t="str">
        <f t="shared" si="233"/>
        <v>Normal</v>
      </c>
      <c r="W311" s="420">
        <f t="shared" si="234"/>
        <v>0</v>
      </c>
      <c r="X311" s="420">
        <f t="shared" si="235"/>
        <v>0</v>
      </c>
    </row>
    <row r="312" spans="1:38">
      <c r="A312" s="32">
        <v>45327</v>
      </c>
      <c r="B312" s="408">
        <f>IF(YEAR(Table7[[#This Row],[Date]]) = 2023, WEEKNUM(Table7[[#This Row],[Date]])-13, WEEKNUM(Table7[[#This Row],[Date]])+40)</f>
        <v>46</v>
      </c>
      <c r="C312" s="34" t="s">
        <v>49</v>
      </c>
      <c r="D312" s="34" t="s">
        <v>94</v>
      </c>
      <c r="E312" s="1">
        <v>575</v>
      </c>
      <c r="F312" s="1">
        <v>485</v>
      </c>
      <c r="G312" s="64">
        <f t="shared" ref="G312:H312" si="262">IFERROR((E312-E305)/E305,0%)</f>
        <v>-9.5911949685534598E-2</v>
      </c>
      <c r="H312" s="64">
        <f t="shared" si="262"/>
        <v>-0.14762741652021089</v>
      </c>
      <c r="I312" s="1"/>
      <c r="J312" s="1"/>
      <c r="K312" s="1"/>
      <c r="L312" s="1"/>
      <c r="M312" s="18">
        <v>0.69</v>
      </c>
      <c r="N312" s="18">
        <v>0.16</v>
      </c>
      <c r="O312" s="18">
        <v>0.84</v>
      </c>
      <c r="P312" s="18">
        <v>0.68</v>
      </c>
      <c r="Q312" s="22">
        <v>1</v>
      </c>
      <c r="R312" s="294">
        <v>116</v>
      </c>
      <c r="S312" s="294">
        <v>0</v>
      </c>
      <c r="T312" s="365">
        <v>4</v>
      </c>
      <c r="U312" s="338" t="str">
        <f t="shared" si="232"/>
        <v>Normal</v>
      </c>
      <c r="V312" s="338" t="str">
        <f t="shared" si="233"/>
        <v>Normal</v>
      </c>
      <c r="W312" s="420">
        <f t="shared" si="234"/>
        <v>-9.5911949685534598E-2</v>
      </c>
      <c r="X312" s="420">
        <f t="shared" si="235"/>
        <v>-0.14762741652021089</v>
      </c>
    </row>
    <row r="313" spans="1:38">
      <c r="A313" s="32">
        <v>45328</v>
      </c>
      <c r="B313" s="408">
        <f>IF(YEAR(Table7[[#This Row],[Date]]) = 2023, WEEKNUM(Table7[[#This Row],[Date]])-13, WEEKNUM(Table7[[#This Row],[Date]])+40)</f>
        <v>46</v>
      </c>
      <c r="C313" s="34" t="s">
        <v>50</v>
      </c>
      <c r="D313" s="34" t="s">
        <v>94</v>
      </c>
      <c r="E313" s="1">
        <v>604</v>
      </c>
      <c r="F313" s="1">
        <v>505</v>
      </c>
      <c r="G313" s="64">
        <f t="shared" ref="G313:H313" si="263">IFERROR((E313-E306)/E306,0%)</f>
        <v>7.0921985815602842E-2</v>
      </c>
      <c r="H313" s="64">
        <f t="shared" si="263"/>
        <v>1.4056224899598393E-2</v>
      </c>
      <c r="I313" s="1"/>
      <c r="J313" s="1"/>
      <c r="K313" s="1"/>
      <c r="L313" s="1"/>
      <c r="M313" s="18">
        <v>0.59</v>
      </c>
      <c r="N313" s="18">
        <v>0.16</v>
      </c>
      <c r="O313" s="18">
        <v>0.84</v>
      </c>
      <c r="P313" s="18">
        <v>0.72</v>
      </c>
      <c r="Q313" s="22">
        <v>0.99</v>
      </c>
      <c r="R313" s="294">
        <v>82</v>
      </c>
      <c r="S313" s="294">
        <v>0</v>
      </c>
      <c r="T313" s="365">
        <v>4</v>
      </c>
      <c r="U313" s="338" t="str">
        <f t="shared" si="232"/>
        <v>Normal</v>
      </c>
      <c r="V313" s="338" t="str">
        <f t="shared" si="233"/>
        <v>Normal</v>
      </c>
      <c r="W313" s="420">
        <f t="shared" si="234"/>
        <v>7.0921985815602842E-2</v>
      </c>
      <c r="X313" s="420">
        <f t="shared" si="235"/>
        <v>1.4056224899598393E-2</v>
      </c>
    </row>
    <row r="314" spans="1:38">
      <c r="A314" s="32">
        <v>45329</v>
      </c>
      <c r="B314" s="408">
        <f>IF(YEAR(Table7[[#This Row],[Date]]) = 2023, WEEKNUM(Table7[[#This Row],[Date]])-13, WEEKNUM(Table7[[#This Row],[Date]])+40)</f>
        <v>46</v>
      </c>
      <c r="C314" s="34" t="s">
        <v>51</v>
      </c>
      <c r="D314" s="34" t="s">
        <v>94</v>
      </c>
      <c r="E314" s="1">
        <v>589</v>
      </c>
      <c r="F314" s="1">
        <v>514</v>
      </c>
      <c r="G314" s="64">
        <f t="shared" ref="G314:H314" si="264">IFERROR((E314-E307)/E307,0%)</f>
        <v>0.13926499032882012</v>
      </c>
      <c r="H314" s="64">
        <f t="shared" si="264"/>
        <v>0.18706697459584296</v>
      </c>
      <c r="I314" s="1"/>
      <c r="J314" s="1"/>
      <c r="K314" s="1"/>
      <c r="L314" s="1"/>
      <c r="M314" s="18">
        <v>0.7</v>
      </c>
      <c r="N314" s="18">
        <v>0.13</v>
      </c>
      <c r="O314" s="18">
        <v>0.87</v>
      </c>
      <c r="P314" s="18">
        <v>0.69</v>
      </c>
      <c r="Q314" s="22">
        <v>1</v>
      </c>
      <c r="R314" s="294">
        <v>100</v>
      </c>
      <c r="S314" s="294">
        <v>0</v>
      </c>
      <c r="T314" s="365">
        <v>4</v>
      </c>
      <c r="U314" s="338" t="str">
        <f t="shared" si="232"/>
        <v>Normal</v>
      </c>
      <c r="V314" s="338" t="str">
        <f t="shared" si="233"/>
        <v>Normal</v>
      </c>
      <c r="W314" s="420">
        <f t="shared" si="234"/>
        <v>0.13926499032882012</v>
      </c>
      <c r="X314" s="420">
        <f t="shared" si="235"/>
        <v>0.18706697459584296</v>
      </c>
      <c r="AJ314" s="48"/>
      <c r="AK314" s="48"/>
      <c r="AL314" s="48"/>
    </row>
    <row r="315" spans="1:38">
      <c r="A315" s="32">
        <v>45330</v>
      </c>
      <c r="B315" s="408">
        <f>IF(YEAR(Table7[[#This Row],[Date]]) = 2023, WEEKNUM(Table7[[#This Row],[Date]])-13, WEEKNUM(Table7[[#This Row],[Date]])+40)</f>
        <v>46</v>
      </c>
      <c r="C315" s="34" t="s">
        <v>52</v>
      </c>
      <c r="D315" s="34" t="s">
        <v>94</v>
      </c>
      <c r="E315" s="1">
        <v>554</v>
      </c>
      <c r="F315" s="1">
        <v>397</v>
      </c>
      <c r="G315" s="64">
        <f t="shared" ref="G315:H315" si="265">IFERROR((E315-E308)/E308,0%)</f>
        <v>9.055118110236221E-2</v>
      </c>
      <c r="H315" s="64">
        <f t="shared" si="265"/>
        <v>-0.12168141592920353</v>
      </c>
      <c r="I315" s="1"/>
      <c r="J315" s="1"/>
      <c r="K315" s="1"/>
      <c r="L315" s="1"/>
      <c r="M315" s="18">
        <v>0.41</v>
      </c>
      <c r="N315" s="18">
        <v>0.28000000000000003</v>
      </c>
      <c r="O315" s="18">
        <v>0.72</v>
      </c>
      <c r="P315" s="18">
        <v>0.66</v>
      </c>
      <c r="Q315" s="22">
        <v>0.99</v>
      </c>
      <c r="R315" s="294">
        <v>112</v>
      </c>
      <c r="S315" s="294">
        <v>0</v>
      </c>
      <c r="T315" s="365">
        <v>3</v>
      </c>
      <c r="U315" s="338" t="str">
        <f t="shared" si="232"/>
        <v>Normal</v>
      </c>
      <c r="V315" s="338" t="str">
        <f t="shared" si="233"/>
        <v>Normal</v>
      </c>
      <c r="W315" s="420">
        <f t="shared" si="234"/>
        <v>9.055118110236221E-2</v>
      </c>
      <c r="X315" s="420">
        <f t="shared" si="235"/>
        <v>-0.12168141592920353</v>
      </c>
    </row>
    <row r="316" spans="1:38">
      <c r="A316" s="32">
        <v>45331</v>
      </c>
      <c r="B316" s="408">
        <f>IF(YEAR(Table7[[#This Row],[Date]]) = 2023, WEEKNUM(Table7[[#This Row],[Date]])-13, WEEKNUM(Table7[[#This Row],[Date]])+40)</f>
        <v>46</v>
      </c>
      <c r="C316" s="34" t="s">
        <v>53</v>
      </c>
      <c r="D316" s="34" t="s">
        <v>94</v>
      </c>
      <c r="E316" s="1">
        <v>575</v>
      </c>
      <c r="F316" s="1">
        <v>397</v>
      </c>
      <c r="G316" s="64">
        <f t="shared" ref="G316:H316" si="266">IFERROR((E316-E309)/E309,0%)</f>
        <v>0.35613207547169812</v>
      </c>
      <c r="H316" s="64">
        <f t="shared" si="266"/>
        <v>0.25632911392405061</v>
      </c>
      <c r="I316" s="1"/>
      <c r="J316" s="1"/>
      <c r="K316" s="1"/>
      <c r="L316" s="1"/>
      <c r="M316" s="18">
        <v>0.32</v>
      </c>
      <c r="N316" s="18">
        <v>0.34</v>
      </c>
      <c r="O316" s="18">
        <v>0.66</v>
      </c>
      <c r="P316" s="18">
        <v>0.8</v>
      </c>
      <c r="Q316" s="22">
        <v>1</v>
      </c>
      <c r="R316" s="294">
        <v>99</v>
      </c>
      <c r="S316" s="294">
        <v>0</v>
      </c>
      <c r="T316" s="365">
        <v>3</v>
      </c>
      <c r="U316" s="338" t="str">
        <f t="shared" si="232"/>
        <v>Normal</v>
      </c>
      <c r="V316" s="338" t="str">
        <f t="shared" si="233"/>
        <v>Normal</v>
      </c>
      <c r="W316" s="420">
        <f t="shared" si="234"/>
        <v>0.35613207547169812</v>
      </c>
      <c r="X316" s="420">
        <f t="shared" si="235"/>
        <v>0.25632911392405061</v>
      </c>
    </row>
    <row r="317" spans="1:38">
      <c r="A317" s="32">
        <v>45332</v>
      </c>
      <c r="B317" s="408">
        <f>IF(YEAR(Table7[[#This Row],[Date]]) = 2023, WEEKNUM(Table7[[#This Row],[Date]])-13, WEEKNUM(Table7[[#This Row],[Date]])+40)</f>
        <v>46</v>
      </c>
      <c r="C317" s="34" t="s">
        <v>54</v>
      </c>
      <c r="D317" s="34" t="s">
        <v>94</v>
      </c>
      <c r="E317" s="1">
        <v>387</v>
      </c>
      <c r="F317" s="1">
        <v>316</v>
      </c>
      <c r="G317" s="64">
        <f t="shared" ref="G317:H317" si="267">IFERROR((E317-E310)/E310,0%)</f>
        <v>1.5748031496062992E-2</v>
      </c>
      <c r="H317" s="64">
        <f t="shared" si="267"/>
        <v>4.2904290429042903E-2</v>
      </c>
      <c r="I317" s="1"/>
      <c r="J317" s="1"/>
      <c r="K317" s="1"/>
      <c r="L317" s="1"/>
      <c r="M317" s="18">
        <v>0.56999999999999995</v>
      </c>
      <c r="N317" s="18">
        <v>0.18</v>
      </c>
      <c r="O317" s="18">
        <v>0.82</v>
      </c>
      <c r="P317" s="18">
        <v>0.69</v>
      </c>
      <c r="Q317" s="22">
        <v>0.98</v>
      </c>
      <c r="R317" s="294">
        <v>136</v>
      </c>
      <c r="S317" s="294">
        <v>0</v>
      </c>
      <c r="T317" s="365">
        <v>3</v>
      </c>
      <c r="U317" s="338" t="str">
        <f t="shared" si="232"/>
        <v>Normal</v>
      </c>
      <c r="V317" s="338" t="str">
        <f t="shared" si="233"/>
        <v>Normal</v>
      </c>
      <c r="W317" s="420">
        <f t="shared" si="234"/>
        <v>1.5748031496062992E-2</v>
      </c>
      <c r="X317" s="420">
        <f t="shared" si="235"/>
        <v>4.2904290429042903E-2</v>
      </c>
    </row>
    <row r="318" spans="1:38">
      <c r="A318" s="32">
        <v>45333</v>
      </c>
      <c r="B318" s="408">
        <f>IF(YEAR(Table7[[#This Row],[Date]]) = 2023, WEEKNUM(Table7[[#This Row],[Date]])-13, WEEKNUM(Table7[[#This Row],[Date]])+40)</f>
        <v>47</v>
      </c>
      <c r="C318" s="34" t="s">
        <v>48</v>
      </c>
      <c r="D318" s="34" t="s">
        <v>94</v>
      </c>
      <c r="E318" s="1">
        <v>0</v>
      </c>
      <c r="F318" s="1">
        <v>0</v>
      </c>
      <c r="G318" s="64">
        <f t="shared" ref="G318:H318" si="268">IFERROR((E318-E311)/E311,0%)</f>
        <v>0</v>
      </c>
      <c r="H318" s="64">
        <f t="shared" si="268"/>
        <v>0</v>
      </c>
      <c r="I318" s="1">
        <v>0</v>
      </c>
      <c r="J318" s="1">
        <v>0</v>
      </c>
      <c r="K318" s="1">
        <v>0</v>
      </c>
      <c r="L318" s="1">
        <v>0</v>
      </c>
      <c r="M318" s="18">
        <v>0</v>
      </c>
      <c r="N318" s="18">
        <v>0</v>
      </c>
      <c r="O318" s="18">
        <v>0</v>
      </c>
      <c r="P318" s="18">
        <v>0</v>
      </c>
      <c r="Q318" s="22">
        <v>0</v>
      </c>
      <c r="R318" s="294">
        <v>0</v>
      </c>
      <c r="S318" s="294">
        <v>0</v>
      </c>
      <c r="T318" s="365">
        <v>0</v>
      </c>
      <c r="U318" s="338" t="str">
        <f t="shared" si="232"/>
        <v>Normal</v>
      </c>
      <c r="V318" s="338" t="str">
        <f t="shared" si="233"/>
        <v>Normal</v>
      </c>
      <c r="W318" s="420">
        <f t="shared" si="234"/>
        <v>0</v>
      </c>
      <c r="X318" s="420">
        <f t="shared" si="235"/>
        <v>0</v>
      </c>
    </row>
    <row r="319" spans="1:38">
      <c r="A319" s="32">
        <v>45334</v>
      </c>
      <c r="B319" s="408">
        <f>IF(YEAR(Table7[[#This Row],[Date]]) = 2023, WEEKNUM(Table7[[#This Row],[Date]])-13, WEEKNUM(Table7[[#This Row],[Date]])+40)</f>
        <v>47</v>
      </c>
      <c r="C319" s="34" t="s">
        <v>49</v>
      </c>
      <c r="D319" s="34" t="s">
        <v>94</v>
      </c>
      <c r="E319" s="1">
        <v>550</v>
      </c>
      <c r="F319" s="1">
        <v>455</v>
      </c>
      <c r="G319" s="64">
        <f t="shared" ref="G319:H319" si="269">IFERROR((E319-E312)/E312,0%)</f>
        <v>-4.3478260869565216E-2</v>
      </c>
      <c r="H319" s="64">
        <f t="shared" si="269"/>
        <v>-6.1855670103092786E-2</v>
      </c>
      <c r="I319" s="1"/>
      <c r="J319" s="1"/>
      <c r="K319" s="1"/>
      <c r="L319" s="1"/>
      <c r="M319" s="18">
        <v>0.83</v>
      </c>
      <c r="N319" s="18">
        <v>0.17</v>
      </c>
      <c r="O319" s="18">
        <v>0.83</v>
      </c>
      <c r="P319" s="18">
        <v>0.68</v>
      </c>
      <c r="Q319" s="22">
        <v>1</v>
      </c>
      <c r="R319" s="294">
        <v>123</v>
      </c>
      <c r="S319" s="294">
        <v>0</v>
      </c>
      <c r="T319" s="365">
        <v>4</v>
      </c>
      <c r="U319" s="338" t="str">
        <f t="shared" si="232"/>
        <v>Normal</v>
      </c>
      <c r="V319" s="338" t="str">
        <f t="shared" si="233"/>
        <v>Normal</v>
      </c>
      <c r="W319" s="420">
        <f t="shared" si="234"/>
        <v>-4.3478260869565216E-2</v>
      </c>
      <c r="X319" s="420">
        <f t="shared" si="235"/>
        <v>-6.1855670103092786E-2</v>
      </c>
    </row>
    <row r="320" spans="1:38">
      <c r="A320" s="32">
        <v>45335</v>
      </c>
      <c r="B320" s="408">
        <f>IF(YEAR(Table7[[#This Row],[Date]]) = 2023, WEEKNUM(Table7[[#This Row],[Date]])-13, WEEKNUM(Table7[[#This Row],[Date]])+40)</f>
        <v>47</v>
      </c>
      <c r="C320" s="34" t="s">
        <v>50</v>
      </c>
      <c r="D320" s="34" t="s">
        <v>94</v>
      </c>
      <c r="E320" s="1">
        <v>523</v>
      </c>
      <c r="F320" s="1">
        <v>403</v>
      </c>
      <c r="G320" s="64">
        <f t="shared" ref="G320:H320" si="270">IFERROR((E320-E313)/E313,0%)</f>
        <v>-0.13410596026490065</v>
      </c>
      <c r="H320" s="64">
        <f t="shared" si="270"/>
        <v>-0.20198019801980199</v>
      </c>
      <c r="I320" s="1"/>
      <c r="J320" s="1"/>
      <c r="K320" s="1"/>
      <c r="L320" s="1"/>
      <c r="M320" s="18">
        <v>0.63</v>
      </c>
      <c r="N320" s="18">
        <v>0.23</v>
      </c>
      <c r="O320" s="18">
        <v>0.77</v>
      </c>
      <c r="P320" s="18">
        <v>0.65</v>
      </c>
      <c r="Q320" s="22">
        <v>1</v>
      </c>
      <c r="R320" s="294">
        <v>113</v>
      </c>
      <c r="S320" s="294">
        <v>0</v>
      </c>
      <c r="T320" s="365">
        <v>4</v>
      </c>
      <c r="U320" s="338" t="str">
        <f t="shared" si="232"/>
        <v>Normal</v>
      </c>
      <c r="V320" s="338" t="str">
        <f t="shared" si="233"/>
        <v>Normal</v>
      </c>
      <c r="W320" s="420">
        <f t="shared" si="234"/>
        <v>-0.13410596026490065</v>
      </c>
      <c r="X320" s="420">
        <f t="shared" si="235"/>
        <v>-0.20198019801980199</v>
      </c>
    </row>
    <row r="321" spans="1:38">
      <c r="A321" s="32">
        <v>45336</v>
      </c>
      <c r="B321" s="408">
        <f>IF(YEAR(Table7[[#This Row],[Date]]) = 2023, WEEKNUM(Table7[[#This Row],[Date]])-13, WEEKNUM(Table7[[#This Row],[Date]])+40)</f>
        <v>47</v>
      </c>
      <c r="C321" s="34" t="s">
        <v>51</v>
      </c>
      <c r="D321" s="34" t="s">
        <v>94</v>
      </c>
      <c r="E321" s="1">
        <v>518</v>
      </c>
      <c r="F321" s="1">
        <v>412</v>
      </c>
      <c r="G321" s="64">
        <f t="shared" ref="G321:H321" si="271">IFERROR((E321-E314)/E314,0%)</f>
        <v>-0.12054329371816638</v>
      </c>
      <c r="H321" s="64">
        <f t="shared" si="271"/>
        <v>-0.19844357976653695</v>
      </c>
      <c r="I321" s="1"/>
      <c r="J321" s="1"/>
      <c r="K321" s="1"/>
      <c r="L321" s="1"/>
      <c r="M321" s="18">
        <v>0.52</v>
      </c>
      <c r="N321" s="18">
        <v>0.2</v>
      </c>
      <c r="O321" s="18">
        <v>0.8</v>
      </c>
      <c r="P321" s="18">
        <v>0.78</v>
      </c>
      <c r="Q321" s="22">
        <v>1</v>
      </c>
      <c r="R321" s="294">
        <v>71</v>
      </c>
      <c r="S321" s="294">
        <v>0</v>
      </c>
      <c r="T321" s="365">
        <v>3</v>
      </c>
      <c r="U321" s="338" t="str">
        <f t="shared" si="232"/>
        <v>Normal</v>
      </c>
      <c r="V321" s="338" t="str">
        <f t="shared" si="233"/>
        <v>Normal</v>
      </c>
      <c r="W321" s="420">
        <f t="shared" si="234"/>
        <v>-0.12054329371816638</v>
      </c>
      <c r="X321" s="420">
        <f t="shared" si="235"/>
        <v>-0.19844357976653695</v>
      </c>
    </row>
    <row r="322" spans="1:38">
      <c r="A322" s="32">
        <v>45337</v>
      </c>
      <c r="B322" s="408">
        <f>IF(YEAR(Table7[[#This Row],[Date]]) = 2023, WEEKNUM(Table7[[#This Row],[Date]])-13, WEEKNUM(Table7[[#This Row],[Date]])+40)</f>
        <v>47</v>
      </c>
      <c r="C322" s="34" t="s">
        <v>52</v>
      </c>
      <c r="D322" s="34" t="s">
        <v>94</v>
      </c>
      <c r="E322" s="1">
        <v>540</v>
      </c>
      <c r="F322" s="1">
        <v>416</v>
      </c>
      <c r="G322" s="64">
        <f t="shared" ref="G322:H322" si="272">IFERROR((E322-E315)/E315,0%)</f>
        <v>-2.5270758122743681E-2</v>
      </c>
      <c r="H322" s="64">
        <f t="shared" si="272"/>
        <v>4.7858942065491183E-2</v>
      </c>
      <c r="I322" s="1"/>
      <c r="J322" s="1"/>
      <c r="K322" s="1"/>
      <c r="L322" s="1"/>
      <c r="M322" s="18">
        <v>0.43</v>
      </c>
      <c r="N322" s="18">
        <v>0.23</v>
      </c>
      <c r="O322" s="18">
        <v>0.77</v>
      </c>
      <c r="P322" s="18">
        <v>0.82</v>
      </c>
      <c r="Q322" s="22">
        <v>1</v>
      </c>
      <c r="R322" s="294">
        <v>98</v>
      </c>
      <c r="S322" s="294">
        <v>0</v>
      </c>
      <c r="T322" s="365">
        <v>3</v>
      </c>
      <c r="U322" s="338" t="str">
        <f t="shared" si="232"/>
        <v>Normal</v>
      </c>
      <c r="V322" s="338" t="str">
        <f t="shared" si="233"/>
        <v>Normal</v>
      </c>
      <c r="W322" s="420">
        <f t="shared" si="234"/>
        <v>-2.5270758122743681E-2</v>
      </c>
      <c r="X322" s="420">
        <f t="shared" si="235"/>
        <v>4.7858942065491183E-2</v>
      </c>
    </row>
    <row r="323" spans="1:38">
      <c r="A323" s="32">
        <v>45338</v>
      </c>
      <c r="B323" s="408">
        <f>IF(YEAR(Table7[[#This Row],[Date]]) = 2023, WEEKNUM(Table7[[#This Row],[Date]])-13, WEEKNUM(Table7[[#This Row],[Date]])+40)</f>
        <v>47</v>
      </c>
      <c r="C323" s="34" t="s">
        <v>53</v>
      </c>
      <c r="D323" s="34" t="s">
        <v>94</v>
      </c>
      <c r="E323" s="1">
        <v>553</v>
      </c>
      <c r="F323" s="1">
        <v>372</v>
      </c>
      <c r="G323" s="64">
        <f t="shared" ref="G323:H323" si="273">IFERROR((E323-E316)/E316,0%)</f>
        <v>-3.826086956521739E-2</v>
      </c>
      <c r="H323" s="64">
        <f t="shared" si="273"/>
        <v>-6.2972292191435769E-2</v>
      </c>
      <c r="I323" s="1"/>
      <c r="J323" s="1"/>
      <c r="K323" s="1"/>
      <c r="L323" s="1"/>
      <c r="M323" s="18">
        <v>0.24</v>
      </c>
      <c r="N323" s="18">
        <v>0.33</v>
      </c>
      <c r="O323" s="18">
        <v>0.67</v>
      </c>
      <c r="P323" s="18">
        <v>0.74</v>
      </c>
      <c r="Q323" s="22">
        <v>0.99</v>
      </c>
      <c r="R323" s="294">
        <v>105</v>
      </c>
      <c r="S323" s="294">
        <v>0</v>
      </c>
      <c r="T323" s="365">
        <v>3</v>
      </c>
      <c r="U323" s="338" t="str">
        <f t="shared" si="232"/>
        <v>Normal</v>
      </c>
      <c r="V323" s="338" t="str">
        <f t="shared" si="233"/>
        <v>Normal</v>
      </c>
      <c r="W323" s="420">
        <f t="shared" si="234"/>
        <v>-3.826086956521739E-2</v>
      </c>
      <c r="X323" s="420">
        <f t="shared" si="235"/>
        <v>-6.2972292191435769E-2</v>
      </c>
    </row>
    <row r="324" spans="1:38">
      <c r="A324" s="32">
        <v>45339</v>
      </c>
      <c r="B324" s="408">
        <f>IF(YEAR(Table7[[#This Row],[Date]]) = 2023, WEEKNUM(Table7[[#This Row],[Date]])-13, WEEKNUM(Table7[[#This Row],[Date]])+40)</f>
        <v>47</v>
      </c>
      <c r="C324" s="34" t="s">
        <v>54</v>
      </c>
      <c r="D324" s="34" t="s">
        <v>94</v>
      </c>
      <c r="E324" s="1">
        <v>378</v>
      </c>
      <c r="F324" s="1">
        <v>328</v>
      </c>
      <c r="G324" s="64">
        <f t="shared" ref="G324:H324" si="274">IFERROR((E324-E317)/E317,0%)</f>
        <v>-2.3255813953488372E-2</v>
      </c>
      <c r="H324" s="64">
        <f t="shared" si="274"/>
        <v>3.7974683544303799E-2</v>
      </c>
      <c r="I324" s="1"/>
      <c r="J324" s="1"/>
      <c r="K324" s="1"/>
      <c r="L324" s="1"/>
      <c r="M324" s="18">
        <v>0.85</v>
      </c>
      <c r="N324" s="18">
        <v>0.13</v>
      </c>
      <c r="O324" s="18">
        <v>0.87</v>
      </c>
      <c r="P324" s="18">
        <v>0.61</v>
      </c>
      <c r="Q324" s="22">
        <v>0.99</v>
      </c>
      <c r="R324" s="294">
        <v>140</v>
      </c>
      <c r="S324" s="294">
        <v>0</v>
      </c>
      <c r="T324" s="365">
        <v>3</v>
      </c>
      <c r="U324" s="338" t="str">
        <f t="shared" si="232"/>
        <v>Normal</v>
      </c>
      <c r="V324" s="338" t="str">
        <f t="shared" si="233"/>
        <v>Normal</v>
      </c>
      <c r="W324" s="420">
        <f t="shared" si="234"/>
        <v>-2.3255813953488372E-2</v>
      </c>
      <c r="X324" s="420">
        <f t="shared" si="235"/>
        <v>3.7974683544303799E-2</v>
      </c>
    </row>
    <row r="325" spans="1:38">
      <c r="A325" s="32">
        <v>45340</v>
      </c>
      <c r="B325" s="408">
        <f>IF(YEAR(Table7[[#This Row],[Date]]) = 2023, WEEKNUM(Table7[[#This Row],[Date]])-13, WEEKNUM(Table7[[#This Row],[Date]])+40)</f>
        <v>48</v>
      </c>
      <c r="C325" s="34" t="s">
        <v>48</v>
      </c>
      <c r="D325" s="34" t="s">
        <v>94</v>
      </c>
      <c r="E325" s="1">
        <v>0</v>
      </c>
      <c r="F325" s="1">
        <v>0</v>
      </c>
      <c r="G325" s="64">
        <f t="shared" ref="G325:H325" si="275">IFERROR((E325-E318)/E318,0%)</f>
        <v>0</v>
      </c>
      <c r="H325" s="64">
        <f t="shared" si="275"/>
        <v>0</v>
      </c>
      <c r="I325" s="1">
        <v>0</v>
      </c>
      <c r="J325" s="1">
        <v>0</v>
      </c>
      <c r="K325" s="1">
        <v>0</v>
      </c>
      <c r="L325" s="1">
        <v>0</v>
      </c>
      <c r="M325" s="18">
        <v>0</v>
      </c>
      <c r="N325" s="18">
        <v>0</v>
      </c>
      <c r="O325" s="18">
        <v>0</v>
      </c>
      <c r="P325" s="18">
        <v>0</v>
      </c>
      <c r="Q325" s="22">
        <v>0</v>
      </c>
      <c r="R325" s="294">
        <v>0</v>
      </c>
      <c r="S325" s="294">
        <v>0</v>
      </c>
      <c r="T325" s="365">
        <v>0</v>
      </c>
      <c r="U325" s="338" t="str">
        <f t="shared" si="232"/>
        <v>Normal</v>
      </c>
      <c r="V325" s="338" t="str">
        <f t="shared" si="233"/>
        <v>Normal</v>
      </c>
      <c r="W325" s="420">
        <f t="shared" si="234"/>
        <v>0</v>
      </c>
      <c r="X325" s="420">
        <f t="shared" si="235"/>
        <v>0</v>
      </c>
    </row>
    <row r="326" spans="1:38">
      <c r="A326" s="32">
        <v>45341</v>
      </c>
      <c r="B326" s="408">
        <f>IF(YEAR(Table7[[#This Row],[Date]]) = 2023, WEEKNUM(Table7[[#This Row],[Date]])-13, WEEKNUM(Table7[[#This Row],[Date]])+40)</f>
        <v>48</v>
      </c>
      <c r="C326" s="34" t="s">
        <v>49</v>
      </c>
      <c r="D326" s="34" t="s">
        <v>94</v>
      </c>
      <c r="E326" s="1">
        <v>638</v>
      </c>
      <c r="F326" s="1">
        <v>543</v>
      </c>
      <c r="G326" s="64">
        <f t="shared" ref="G326:H326" si="276">IFERROR((E326-E319)/E319,0%)</f>
        <v>0.16</v>
      </c>
      <c r="H326" s="64">
        <f t="shared" si="276"/>
        <v>0.19340659340659341</v>
      </c>
      <c r="I326" s="1"/>
      <c r="J326" s="1"/>
      <c r="K326" s="1"/>
      <c r="L326" s="1"/>
      <c r="M326" s="18">
        <v>0.79</v>
      </c>
      <c r="N326" s="18">
        <v>0.15</v>
      </c>
      <c r="O326" s="18">
        <v>0.85</v>
      </c>
      <c r="P326" s="18">
        <v>0.8</v>
      </c>
      <c r="Q326" s="22">
        <v>1</v>
      </c>
      <c r="R326" s="294">
        <v>99</v>
      </c>
      <c r="S326" s="294">
        <v>0</v>
      </c>
      <c r="T326" s="365">
        <v>4</v>
      </c>
      <c r="U326" s="338" t="str">
        <f t="shared" si="232"/>
        <v>Normal</v>
      </c>
      <c r="V326" s="338" t="str">
        <f t="shared" si="233"/>
        <v>Normal</v>
      </c>
      <c r="W326" s="420">
        <f t="shared" si="234"/>
        <v>0.16</v>
      </c>
      <c r="X326" s="420">
        <f t="shared" si="235"/>
        <v>0.19340659340659341</v>
      </c>
    </row>
    <row r="327" spans="1:38">
      <c r="A327" s="32">
        <v>45342</v>
      </c>
      <c r="B327" s="408">
        <f>IF(YEAR(Table7[[#This Row],[Date]]) = 2023, WEEKNUM(Table7[[#This Row],[Date]])-13, WEEKNUM(Table7[[#This Row],[Date]])+40)</f>
        <v>48</v>
      </c>
      <c r="C327" s="34" t="s">
        <v>50</v>
      </c>
      <c r="D327" s="34" t="s">
        <v>94</v>
      </c>
      <c r="E327" s="1">
        <v>586</v>
      </c>
      <c r="F327" s="1">
        <v>480</v>
      </c>
      <c r="G327" s="64">
        <f t="shared" ref="G327:H327" si="277">IFERROR((E327-E320)/E320,0%)</f>
        <v>0.12045889101338432</v>
      </c>
      <c r="H327" s="64">
        <f t="shared" si="277"/>
        <v>0.19106699751861042</v>
      </c>
      <c r="I327" s="1"/>
      <c r="J327" s="1"/>
      <c r="K327" s="1"/>
      <c r="L327" s="1"/>
      <c r="M327" s="18">
        <v>0.83</v>
      </c>
      <c r="N327" s="18">
        <v>0.18</v>
      </c>
      <c r="O327" s="18">
        <v>0.82</v>
      </c>
      <c r="P327" s="18">
        <v>0.62</v>
      </c>
      <c r="Q327" s="22">
        <v>0.99</v>
      </c>
      <c r="R327" s="294">
        <v>113</v>
      </c>
      <c r="S327" s="294">
        <v>0</v>
      </c>
      <c r="T327" s="365">
        <v>4</v>
      </c>
      <c r="U327" s="338" t="str">
        <f t="shared" si="232"/>
        <v>Normal</v>
      </c>
      <c r="V327" s="338" t="str">
        <f t="shared" si="233"/>
        <v>Normal</v>
      </c>
      <c r="W327" s="420">
        <f t="shared" si="234"/>
        <v>0.12045889101338432</v>
      </c>
      <c r="X327" s="420">
        <f t="shared" si="235"/>
        <v>0.19106699751861042</v>
      </c>
    </row>
    <row r="328" spans="1:38">
      <c r="A328" s="32">
        <v>45343</v>
      </c>
      <c r="B328" s="408">
        <f>IF(YEAR(Table7[[#This Row],[Date]]) = 2023, WEEKNUM(Table7[[#This Row],[Date]])-13, WEEKNUM(Table7[[#This Row],[Date]])+40)</f>
        <v>48</v>
      </c>
      <c r="C328" s="34" t="s">
        <v>51</v>
      </c>
      <c r="D328" s="34" t="s">
        <v>94</v>
      </c>
      <c r="E328" s="1">
        <v>588</v>
      </c>
      <c r="F328" s="1">
        <v>462</v>
      </c>
      <c r="G328" s="64">
        <f t="shared" ref="G328:H328" si="278">IFERROR((E328-E321)/E321,0%)</f>
        <v>0.13513513513513514</v>
      </c>
      <c r="H328" s="64">
        <f t="shared" si="278"/>
        <v>0.12135922330097088</v>
      </c>
      <c r="I328" s="1"/>
      <c r="J328" s="1"/>
      <c r="K328" s="1"/>
      <c r="L328" s="1"/>
      <c r="M328" s="18">
        <v>0.65</v>
      </c>
      <c r="N328" s="18">
        <v>0.21</v>
      </c>
      <c r="O328" s="18">
        <v>0.79</v>
      </c>
      <c r="P328" s="18">
        <v>0.68</v>
      </c>
      <c r="Q328" s="22">
        <v>1</v>
      </c>
      <c r="R328" s="294">
        <v>112</v>
      </c>
      <c r="S328" s="294">
        <v>0</v>
      </c>
      <c r="T328" s="365">
        <v>4</v>
      </c>
      <c r="U328" s="338" t="str">
        <f t="shared" si="232"/>
        <v>Normal</v>
      </c>
      <c r="V328" s="338" t="str">
        <f t="shared" si="233"/>
        <v>Normal</v>
      </c>
      <c r="W328" s="420">
        <f t="shared" si="234"/>
        <v>0.13513513513513514</v>
      </c>
      <c r="X328" s="420">
        <f t="shared" si="235"/>
        <v>0.12135922330097088</v>
      </c>
    </row>
    <row r="329" spans="1:38">
      <c r="A329" s="32">
        <v>45344</v>
      </c>
      <c r="B329" s="408">
        <f>IF(YEAR(Table7[[#This Row],[Date]]) = 2023, WEEKNUM(Table7[[#This Row],[Date]])-13, WEEKNUM(Table7[[#This Row],[Date]])+40)</f>
        <v>48</v>
      </c>
      <c r="C329" s="34" t="s">
        <v>52</v>
      </c>
      <c r="D329" s="34" t="s">
        <v>94</v>
      </c>
      <c r="E329" s="1">
        <v>639</v>
      </c>
      <c r="F329" s="1">
        <v>427</v>
      </c>
      <c r="G329" s="64">
        <f t="shared" ref="G329:H329" si="279">IFERROR((E329-E322)/E322,0%)</f>
        <v>0.18333333333333332</v>
      </c>
      <c r="H329" s="64">
        <f t="shared" si="279"/>
        <v>2.6442307692307692E-2</v>
      </c>
      <c r="I329" s="1"/>
      <c r="J329" s="1"/>
      <c r="K329" s="1"/>
      <c r="L329" s="1"/>
      <c r="M329" s="18">
        <v>0.12</v>
      </c>
      <c r="N329" s="18">
        <v>0.33</v>
      </c>
      <c r="O329" s="18">
        <v>0.67</v>
      </c>
      <c r="P329" s="18">
        <v>0.78</v>
      </c>
      <c r="Q329" s="22">
        <v>0.98</v>
      </c>
      <c r="R329" s="294">
        <v>94</v>
      </c>
      <c r="S329" s="294">
        <v>0</v>
      </c>
      <c r="T329" s="365">
        <v>3</v>
      </c>
      <c r="U329" s="338" t="str">
        <f t="shared" si="232"/>
        <v>Normal</v>
      </c>
      <c r="V329" s="338" t="str">
        <f t="shared" si="233"/>
        <v>Normal</v>
      </c>
      <c r="W329" s="420">
        <f t="shared" si="234"/>
        <v>0.18333333333333332</v>
      </c>
      <c r="X329" s="420">
        <f t="shared" si="235"/>
        <v>2.6442307692307692E-2</v>
      </c>
    </row>
    <row r="330" spans="1:38">
      <c r="A330" s="32">
        <v>45345</v>
      </c>
      <c r="B330" s="408">
        <f>IF(YEAR(Table7[[#This Row],[Date]]) = 2023, WEEKNUM(Table7[[#This Row],[Date]])-13, WEEKNUM(Table7[[#This Row],[Date]])+40)</f>
        <v>48</v>
      </c>
      <c r="C330" s="34" t="s">
        <v>64</v>
      </c>
      <c r="D330" s="34" t="s">
        <v>94</v>
      </c>
      <c r="E330" s="1">
        <v>0</v>
      </c>
      <c r="F330" s="1">
        <v>0</v>
      </c>
      <c r="G330" s="64">
        <v>0</v>
      </c>
      <c r="H330" s="64">
        <v>0</v>
      </c>
      <c r="I330" s="1">
        <v>0</v>
      </c>
      <c r="J330" s="1">
        <v>0</v>
      </c>
      <c r="K330" s="1">
        <v>0</v>
      </c>
      <c r="L330" s="1">
        <v>0</v>
      </c>
      <c r="M330" s="18">
        <v>0</v>
      </c>
      <c r="N330" s="18">
        <v>0</v>
      </c>
      <c r="O330" s="18">
        <v>0</v>
      </c>
      <c r="P330" s="18">
        <v>0</v>
      </c>
      <c r="Q330" s="22">
        <v>0</v>
      </c>
      <c r="R330" s="294">
        <v>0</v>
      </c>
      <c r="S330" s="294">
        <v>0</v>
      </c>
      <c r="T330" s="365">
        <v>0</v>
      </c>
      <c r="U330" s="338" t="str">
        <f t="shared" si="232"/>
        <v>Normal</v>
      </c>
      <c r="V330" s="338" t="str">
        <f t="shared" si="233"/>
        <v>Normal</v>
      </c>
      <c r="W330" s="420">
        <f t="shared" si="234"/>
        <v>0</v>
      </c>
      <c r="X330" s="420">
        <f t="shared" si="235"/>
        <v>0</v>
      </c>
    </row>
    <row r="331" spans="1:38">
      <c r="A331" s="32">
        <v>45346</v>
      </c>
      <c r="B331" s="408">
        <f>IF(YEAR(Table7[[#This Row],[Date]]) = 2023, WEEKNUM(Table7[[#This Row],[Date]])-13, WEEKNUM(Table7[[#This Row],[Date]])+40)</f>
        <v>48</v>
      </c>
      <c r="C331" s="34" t="s">
        <v>54</v>
      </c>
      <c r="D331" s="34" t="s">
        <v>94</v>
      </c>
      <c r="E331" s="1">
        <v>548</v>
      </c>
      <c r="F331" s="1">
        <v>303</v>
      </c>
      <c r="G331" s="64">
        <f t="shared" ref="G331:H331" si="280">IFERROR((E331-E324)/E324,0%)</f>
        <v>0.44973544973544971</v>
      </c>
      <c r="H331" s="64">
        <f t="shared" si="280"/>
        <v>-7.621951219512195E-2</v>
      </c>
      <c r="I331" s="1"/>
      <c r="J331" s="1"/>
      <c r="K331" s="1"/>
      <c r="L331" s="1"/>
      <c r="M331" s="18">
        <v>0.45</v>
      </c>
      <c r="N331" s="18">
        <v>0.17</v>
      </c>
      <c r="O331" s="18">
        <v>0.83</v>
      </c>
      <c r="P331" s="18">
        <v>0.74</v>
      </c>
      <c r="Q331" s="22">
        <v>0.99</v>
      </c>
      <c r="R331" s="294">
        <v>84</v>
      </c>
      <c r="S331" s="294">
        <v>0</v>
      </c>
      <c r="T331" s="365">
        <v>2</v>
      </c>
      <c r="U331" s="338" t="str">
        <f t="shared" si="232"/>
        <v>Normal</v>
      </c>
      <c r="V331" s="338" t="str">
        <f t="shared" si="233"/>
        <v>Normal</v>
      </c>
      <c r="W331" s="420">
        <f t="shared" si="234"/>
        <v>0.44973544973544971</v>
      </c>
      <c r="X331" s="420">
        <f t="shared" si="235"/>
        <v>-7.621951219512195E-2</v>
      </c>
    </row>
    <row r="332" spans="1:38">
      <c r="A332" s="32">
        <v>45347</v>
      </c>
      <c r="B332" s="408">
        <f>IF(YEAR(Table7[[#This Row],[Date]]) = 2023, WEEKNUM(Table7[[#This Row],[Date]])-13, WEEKNUM(Table7[[#This Row],[Date]])+40)</f>
        <v>49</v>
      </c>
      <c r="C332" s="34" t="s">
        <v>48</v>
      </c>
      <c r="D332" s="34" t="s">
        <v>94</v>
      </c>
      <c r="E332" s="1">
        <v>0</v>
      </c>
      <c r="F332" s="1">
        <v>0</v>
      </c>
      <c r="G332" s="64">
        <f t="shared" ref="G332:H332" si="281">IFERROR((E332-E325)/E325,0%)</f>
        <v>0</v>
      </c>
      <c r="H332" s="64">
        <f t="shared" si="281"/>
        <v>0</v>
      </c>
      <c r="I332" s="1">
        <v>0</v>
      </c>
      <c r="J332" s="1">
        <v>0</v>
      </c>
      <c r="K332" s="1">
        <v>0</v>
      </c>
      <c r="L332" s="1">
        <v>0</v>
      </c>
      <c r="M332" s="18">
        <v>0</v>
      </c>
      <c r="N332" s="18">
        <v>0</v>
      </c>
      <c r="O332" s="18">
        <v>0</v>
      </c>
      <c r="P332" s="18">
        <v>0</v>
      </c>
      <c r="Q332" s="22">
        <v>0</v>
      </c>
      <c r="R332" s="294">
        <v>0</v>
      </c>
      <c r="S332" s="294">
        <v>0</v>
      </c>
      <c r="T332" s="365">
        <v>0</v>
      </c>
      <c r="U332" s="338" t="str">
        <f t="shared" si="232"/>
        <v>Normal</v>
      </c>
      <c r="V332" s="338" t="str">
        <f t="shared" si="233"/>
        <v>Normal</v>
      </c>
      <c r="W332" s="420">
        <f t="shared" si="234"/>
        <v>0</v>
      </c>
      <c r="X332" s="420">
        <f t="shared" si="235"/>
        <v>0</v>
      </c>
    </row>
    <row r="333" spans="1:38">
      <c r="A333" s="32">
        <v>45348</v>
      </c>
      <c r="B333" s="408">
        <f>IF(YEAR(Table7[[#This Row],[Date]]) = 2023, WEEKNUM(Table7[[#This Row],[Date]])-13, WEEKNUM(Table7[[#This Row],[Date]])+40)</f>
        <v>49</v>
      </c>
      <c r="C333" s="34" t="s">
        <v>49</v>
      </c>
      <c r="D333" s="34" t="s">
        <v>94</v>
      </c>
      <c r="E333" s="1">
        <v>752</v>
      </c>
      <c r="F333" s="1">
        <v>582</v>
      </c>
      <c r="G333" s="64">
        <f t="shared" ref="G333:H333" si="282">IFERROR((E333-E326)/E326,0%)</f>
        <v>0.17868338557993729</v>
      </c>
      <c r="H333" s="64">
        <f t="shared" si="282"/>
        <v>7.18232044198895E-2</v>
      </c>
      <c r="I333" s="1"/>
      <c r="J333" s="1"/>
      <c r="K333" s="1"/>
      <c r="L333" s="1"/>
      <c r="M333" s="18">
        <v>0.45</v>
      </c>
      <c r="N333" s="18">
        <v>0.23</v>
      </c>
      <c r="O333" s="18">
        <v>0.77</v>
      </c>
      <c r="P333" s="18">
        <v>0.72</v>
      </c>
      <c r="Q333" s="22">
        <v>1</v>
      </c>
      <c r="R333" s="294">
        <v>150</v>
      </c>
      <c r="S333" s="294">
        <v>0</v>
      </c>
      <c r="T333" s="365">
        <v>4</v>
      </c>
      <c r="U333" s="338" t="str">
        <f t="shared" si="232"/>
        <v>Normal</v>
      </c>
      <c r="V333" s="338" t="str">
        <f t="shared" si="233"/>
        <v>Normal</v>
      </c>
      <c r="W333" s="420">
        <f t="shared" si="234"/>
        <v>0.17868338557993729</v>
      </c>
      <c r="X333" s="420">
        <f t="shared" si="235"/>
        <v>7.18232044198895E-2</v>
      </c>
    </row>
    <row r="334" spans="1:38">
      <c r="A334" s="32">
        <v>45349</v>
      </c>
      <c r="B334" s="408">
        <f>IF(YEAR(Table7[[#This Row],[Date]]) = 2023, WEEKNUM(Table7[[#This Row],[Date]])-13, WEEKNUM(Table7[[#This Row],[Date]])+40)</f>
        <v>49</v>
      </c>
      <c r="C334" s="34" t="s">
        <v>50</v>
      </c>
      <c r="D334" s="34" t="s">
        <v>94</v>
      </c>
      <c r="E334" s="1">
        <v>666</v>
      </c>
      <c r="F334" s="1">
        <v>505</v>
      </c>
      <c r="G334" s="64">
        <f t="shared" ref="G334:H334" si="283">IFERROR((E334-E327)/E327,0%)</f>
        <v>0.13651877133105803</v>
      </c>
      <c r="H334" s="64">
        <f t="shared" si="283"/>
        <v>5.2083333333333336E-2</v>
      </c>
      <c r="I334" s="1"/>
      <c r="J334" s="1"/>
      <c r="K334" s="1"/>
      <c r="L334" s="1"/>
      <c r="M334" s="18">
        <v>0.72</v>
      </c>
      <c r="N334" s="18">
        <v>0.24</v>
      </c>
      <c r="O334" s="18">
        <v>0.76</v>
      </c>
      <c r="P334" s="18">
        <v>0.79</v>
      </c>
      <c r="Q334" s="22">
        <v>1</v>
      </c>
      <c r="R334" s="294">
        <v>69</v>
      </c>
      <c r="S334" s="294">
        <v>0</v>
      </c>
      <c r="T334" s="365">
        <v>3</v>
      </c>
      <c r="U334" s="338" t="str">
        <f t="shared" si="232"/>
        <v>Normal</v>
      </c>
      <c r="V334" s="338" t="str">
        <f t="shared" si="233"/>
        <v>Normal</v>
      </c>
      <c r="W334" s="420">
        <f t="shared" si="234"/>
        <v>0.13651877133105803</v>
      </c>
      <c r="X334" s="420">
        <f t="shared" si="235"/>
        <v>5.2083333333333336E-2</v>
      </c>
    </row>
    <row r="335" spans="1:38" s="48" customFormat="1">
      <c r="A335" s="32">
        <v>45350</v>
      </c>
      <c r="B335" s="408">
        <f>IF(YEAR(Table7[[#This Row],[Date]]) = 2023, WEEKNUM(Table7[[#This Row],[Date]])-13, WEEKNUM(Table7[[#This Row],[Date]])+40)</f>
        <v>49</v>
      </c>
      <c r="C335" s="49" t="s">
        <v>51</v>
      </c>
      <c r="D335" s="34" t="s">
        <v>94</v>
      </c>
      <c r="E335" s="1">
        <v>694</v>
      </c>
      <c r="F335" s="1">
        <v>561</v>
      </c>
      <c r="G335" s="64">
        <f t="shared" ref="G335:H335" si="284">IFERROR((E335-E328)/E328,0%)</f>
        <v>0.18027210884353742</v>
      </c>
      <c r="H335" s="64">
        <f t="shared" si="284"/>
        <v>0.21428571428571427</v>
      </c>
      <c r="I335" s="1"/>
      <c r="J335" s="1"/>
      <c r="K335" s="1"/>
      <c r="L335" s="1"/>
      <c r="M335" s="18">
        <v>0.52</v>
      </c>
      <c r="N335" s="18">
        <v>0.19</v>
      </c>
      <c r="O335" s="18">
        <v>0.81</v>
      </c>
      <c r="P335" s="18">
        <v>0.74</v>
      </c>
      <c r="Q335" s="22">
        <v>1</v>
      </c>
      <c r="R335" s="294">
        <v>119</v>
      </c>
      <c r="S335" s="294">
        <v>0</v>
      </c>
      <c r="T335" s="365">
        <v>4</v>
      </c>
      <c r="U335" s="338" t="str">
        <f t="shared" si="232"/>
        <v>Normal</v>
      </c>
      <c r="V335" s="338" t="str">
        <f t="shared" si="233"/>
        <v>Normal</v>
      </c>
      <c r="W335" s="420">
        <f t="shared" si="234"/>
        <v>0.18027210884353742</v>
      </c>
      <c r="X335" s="420">
        <f t="shared" si="235"/>
        <v>0.21428571428571427</v>
      </c>
      <c r="Y335" s="338"/>
      <c r="Z335" s="338"/>
      <c r="AA335" s="338"/>
      <c r="AB335" s="338"/>
      <c r="AC335" s="338"/>
      <c r="AD335" s="338"/>
      <c r="AE335" s="338"/>
      <c r="AF335" s="338"/>
      <c r="AG335" s="338"/>
      <c r="AH335" s="338"/>
      <c r="AI335" s="338"/>
      <c r="AJ335"/>
      <c r="AK335"/>
      <c r="AL335"/>
    </row>
    <row r="336" spans="1:38">
      <c r="A336" s="32">
        <v>45351</v>
      </c>
      <c r="B336" s="408">
        <f>IF(YEAR(Table7[[#This Row],[Date]]) = 2023, WEEKNUM(Table7[[#This Row],[Date]])-13, WEEKNUM(Table7[[#This Row],[Date]])+40)</f>
        <v>49</v>
      </c>
      <c r="C336" s="34" t="s">
        <v>52</v>
      </c>
      <c r="D336" s="34" t="s">
        <v>94</v>
      </c>
      <c r="E336" s="1">
        <v>875</v>
      </c>
      <c r="F336" s="1">
        <v>466</v>
      </c>
      <c r="G336" s="64">
        <f t="shared" ref="G336:H336" si="285">IFERROR((E336-E329)/E329,0%)</f>
        <v>0.36932707355242567</v>
      </c>
      <c r="H336" s="64">
        <f t="shared" si="285"/>
        <v>9.1334894613583142E-2</v>
      </c>
      <c r="I336" s="1"/>
      <c r="J336" s="1"/>
      <c r="K336" s="1"/>
      <c r="L336" s="1"/>
      <c r="M336" s="18">
        <v>0.14000000000000001</v>
      </c>
      <c r="N336" s="18">
        <v>0.47</v>
      </c>
      <c r="O336" s="18">
        <v>0.53</v>
      </c>
      <c r="P336" s="18">
        <v>0.79</v>
      </c>
      <c r="Q336" s="22">
        <v>1</v>
      </c>
      <c r="R336" s="294">
        <v>79</v>
      </c>
      <c r="S336" s="294">
        <v>0</v>
      </c>
      <c r="T336" s="365">
        <v>4</v>
      </c>
      <c r="U336" s="338" t="str">
        <f t="shared" si="232"/>
        <v>Normal</v>
      </c>
      <c r="V336" s="338" t="str">
        <f t="shared" si="233"/>
        <v>Normal</v>
      </c>
      <c r="W336" s="420">
        <f t="shared" si="234"/>
        <v>0.36932707355242567</v>
      </c>
      <c r="X336" s="420">
        <f t="shared" si="235"/>
        <v>9.1334894613583142E-2</v>
      </c>
    </row>
    <row r="337" spans="1:38">
      <c r="A337" s="32">
        <v>45352</v>
      </c>
      <c r="B337" s="408">
        <f>IF(YEAR(Table7[[#This Row],[Date]]) = 2023, WEEKNUM(Table7[[#This Row],[Date]])-13, WEEKNUM(Table7[[#This Row],[Date]])+40)</f>
        <v>49</v>
      </c>
      <c r="C337" s="34" t="s">
        <v>53</v>
      </c>
      <c r="D337" s="34" t="s">
        <v>94</v>
      </c>
      <c r="E337" s="1">
        <v>732</v>
      </c>
      <c r="F337" s="1">
        <v>443</v>
      </c>
      <c r="G337" s="64">
        <f t="shared" ref="G337:H337" si="286">IFERROR((E337-E330)/E330,0%)</f>
        <v>0</v>
      </c>
      <c r="H337" s="64">
        <f t="shared" si="286"/>
        <v>0</v>
      </c>
      <c r="I337" s="1"/>
      <c r="J337" s="1"/>
      <c r="K337" s="1"/>
      <c r="L337" s="1"/>
      <c r="M337" s="18">
        <v>0.26</v>
      </c>
      <c r="N337" s="18">
        <v>0.39</v>
      </c>
      <c r="O337" s="18">
        <v>0.61</v>
      </c>
      <c r="P337" s="18">
        <v>0.78</v>
      </c>
      <c r="Q337" s="22">
        <v>1</v>
      </c>
      <c r="R337" s="294">
        <v>106</v>
      </c>
      <c r="S337" s="294">
        <v>0</v>
      </c>
      <c r="T337" s="365">
        <v>3</v>
      </c>
      <c r="U337" s="338" t="str">
        <f t="shared" si="232"/>
        <v>Normal</v>
      </c>
      <c r="V337" s="338" t="str">
        <f t="shared" si="233"/>
        <v>Normal</v>
      </c>
      <c r="W337" s="420">
        <f t="shared" si="234"/>
        <v>0</v>
      </c>
      <c r="X337" s="420">
        <f t="shared" si="235"/>
        <v>0</v>
      </c>
    </row>
    <row r="338" spans="1:38">
      <c r="A338" s="32">
        <v>45353</v>
      </c>
      <c r="B338" s="408">
        <f>IF(YEAR(Table7[[#This Row],[Date]]) = 2023, WEEKNUM(Table7[[#This Row],[Date]])-13, WEEKNUM(Table7[[#This Row],[Date]])+40)</f>
        <v>49</v>
      </c>
      <c r="C338" s="34" t="s">
        <v>54</v>
      </c>
      <c r="D338" s="34" t="s">
        <v>94</v>
      </c>
      <c r="E338" s="1">
        <v>422</v>
      </c>
      <c r="F338" s="1">
        <v>351</v>
      </c>
      <c r="G338" s="64">
        <f t="shared" ref="G338:H338" si="287">IFERROR((E338-E331)/E331,0%)</f>
        <v>-0.22992700729927007</v>
      </c>
      <c r="H338" s="64">
        <f t="shared" si="287"/>
        <v>0.15841584158415842</v>
      </c>
      <c r="I338" s="1"/>
      <c r="J338" s="1"/>
      <c r="K338" s="1"/>
      <c r="L338" s="1"/>
      <c r="M338" s="18">
        <v>0.56000000000000005</v>
      </c>
      <c r="N338" s="18">
        <v>0.17</v>
      </c>
      <c r="O338" s="18">
        <v>0.83</v>
      </c>
      <c r="P338" s="18">
        <v>0.68</v>
      </c>
      <c r="Q338" s="22">
        <v>0.98</v>
      </c>
      <c r="R338" s="294">
        <v>94</v>
      </c>
      <c r="S338" s="294">
        <v>0</v>
      </c>
      <c r="T338" s="365">
        <v>3</v>
      </c>
      <c r="U338" s="338" t="str">
        <f t="shared" si="232"/>
        <v>Normal</v>
      </c>
      <c r="V338" s="338" t="str">
        <f t="shared" si="233"/>
        <v>Normal</v>
      </c>
      <c r="W338" s="420">
        <f t="shared" si="234"/>
        <v>-0.22992700729927007</v>
      </c>
      <c r="X338" s="420">
        <f t="shared" si="235"/>
        <v>0.15841584158415842</v>
      </c>
    </row>
    <row r="339" spans="1:38">
      <c r="A339" s="32">
        <v>45354</v>
      </c>
      <c r="B339" s="408">
        <f>IF(YEAR(Table7[[#This Row],[Date]]) = 2023, WEEKNUM(Table7[[#This Row],[Date]])-13, WEEKNUM(Table7[[#This Row],[Date]])+40)</f>
        <v>50</v>
      </c>
      <c r="C339" s="34" t="s">
        <v>48</v>
      </c>
      <c r="D339" s="34" t="s">
        <v>94</v>
      </c>
      <c r="E339" s="1">
        <v>0</v>
      </c>
      <c r="F339" s="1">
        <v>0</v>
      </c>
      <c r="G339" s="64">
        <f t="shared" ref="G339:H339" si="288">IFERROR((E339-E332)/E332,0%)</f>
        <v>0</v>
      </c>
      <c r="H339" s="64">
        <f t="shared" si="288"/>
        <v>0</v>
      </c>
      <c r="I339" s="1">
        <v>0</v>
      </c>
      <c r="J339" s="1">
        <v>0</v>
      </c>
      <c r="K339" s="1">
        <v>0</v>
      </c>
      <c r="L339" s="1">
        <v>0</v>
      </c>
      <c r="M339" s="18">
        <v>0</v>
      </c>
      <c r="N339" s="18">
        <v>0</v>
      </c>
      <c r="O339" s="18">
        <v>0</v>
      </c>
      <c r="P339" s="18">
        <v>0</v>
      </c>
      <c r="Q339" s="22">
        <v>0</v>
      </c>
      <c r="R339" s="294">
        <v>0</v>
      </c>
      <c r="S339" s="294">
        <v>0</v>
      </c>
      <c r="T339" s="365">
        <v>0</v>
      </c>
      <c r="U339" s="338" t="str">
        <f t="shared" si="232"/>
        <v>Normal</v>
      </c>
      <c r="V339" s="338" t="str">
        <f t="shared" si="233"/>
        <v>Normal</v>
      </c>
      <c r="W339" s="420">
        <f t="shared" si="234"/>
        <v>0</v>
      </c>
      <c r="X339" s="420">
        <f t="shared" si="235"/>
        <v>0</v>
      </c>
      <c r="AJ339" s="48"/>
      <c r="AK339" s="48"/>
      <c r="AL339" s="48"/>
    </row>
    <row r="340" spans="1:38">
      <c r="A340" s="32">
        <v>45355</v>
      </c>
      <c r="B340" s="408">
        <f>IF(YEAR(Table7[[#This Row],[Date]]) = 2023, WEEKNUM(Table7[[#This Row],[Date]])-13, WEEKNUM(Table7[[#This Row],[Date]])+40)</f>
        <v>50</v>
      </c>
      <c r="C340" s="34" t="s">
        <v>49</v>
      </c>
      <c r="D340" s="34" t="s">
        <v>94</v>
      </c>
      <c r="E340" s="1">
        <v>788</v>
      </c>
      <c r="F340" s="1">
        <v>572</v>
      </c>
      <c r="G340" s="64">
        <f t="shared" ref="G340:H340" si="289">IFERROR((E340-E333)/E333,0%)</f>
        <v>4.7872340425531915E-2</v>
      </c>
      <c r="H340" s="64">
        <f t="shared" si="289"/>
        <v>-1.7182130584192441E-2</v>
      </c>
      <c r="I340" s="1"/>
      <c r="J340" s="1"/>
      <c r="K340" s="1"/>
      <c r="L340" s="1"/>
      <c r="M340" s="18">
        <v>0.46</v>
      </c>
      <c r="N340" s="18">
        <v>0.27</v>
      </c>
      <c r="O340" s="18">
        <v>0.73</v>
      </c>
      <c r="P340" s="18">
        <v>0.8</v>
      </c>
      <c r="Q340" s="22">
        <v>1</v>
      </c>
      <c r="R340" s="294">
        <v>153</v>
      </c>
      <c r="S340" s="294">
        <v>0</v>
      </c>
      <c r="T340" s="365">
        <v>4</v>
      </c>
      <c r="U340" s="338" t="str">
        <f t="shared" si="232"/>
        <v>Normal</v>
      </c>
      <c r="V340" s="338" t="str">
        <f t="shared" si="233"/>
        <v>Normal</v>
      </c>
      <c r="W340" s="420">
        <f t="shared" si="234"/>
        <v>4.7872340425531915E-2</v>
      </c>
      <c r="X340" s="420">
        <f t="shared" si="235"/>
        <v>-1.7182130584192441E-2</v>
      </c>
    </row>
    <row r="341" spans="1:38">
      <c r="A341" s="32">
        <v>45356</v>
      </c>
      <c r="B341" s="408">
        <f>IF(YEAR(Table7[[#This Row],[Date]]) = 2023, WEEKNUM(Table7[[#This Row],[Date]])-13, WEEKNUM(Table7[[#This Row],[Date]])+40)</f>
        <v>50</v>
      </c>
      <c r="C341" s="34" t="s">
        <v>50</v>
      </c>
      <c r="D341" s="34" t="s">
        <v>94</v>
      </c>
      <c r="E341" s="1">
        <v>723</v>
      </c>
      <c r="F341" s="1">
        <v>430</v>
      </c>
      <c r="G341" s="64">
        <f t="shared" ref="G341:H341" si="290">IFERROR((E341-E334)/E334,0%)</f>
        <v>8.5585585585585586E-2</v>
      </c>
      <c r="H341" s="64">
        <f t="shared" si="290"/>
        <v>-0.14851485148514851</v>
      </c>
      <c r="I341" s="1"/>
      <c r="J341" s="1"/>
      <c r="K341" s="1"/>
      <c r="L341" s="1"/>
      <c r="M341" s="18">
        <v>0.25</v>
      </c>
      <c r="N341" s="18">
        <v>0.41</v>
      </c>
      <c r="O341" s="18">
        <v>0.59</v>
      </c>
      <c r="P341" s="18">
        <v>0.83</v>
      </c>
      <c r="Q341" s="22">
        <v>1</v>
      </c>
      <c r="R341" s="294">
        <v>115</v>
      </c>
      <c r="S341" s="294">
        <v>0</v>
      </c>
      <c r="T341" s="365">
        <v>3</v>
      </c>
      <c r="U341" s="338" t="str">
        <f t="shared" si="232"/>
        <v>Normal</v>
      </c>
      <c r="V341" s="338" t="str">
        <f t="shared" si="233"/>
        <v>Normal</v>
      </c>
      <c r="W341" s="420">
        <f t="shared" si="234"/>
        <v>8.5585585585585586E-2</v>
      </c>
      <c r="X341" s="420">
        <f t="shared" si="235"/>
        <v>-0.14851485148514851</v>
      </c>
    </row>
    <row r="342" spans="1:38">
      <c r="A342" s="32">
        <v>45357</v>
      </c>
      <c r="B342" s="408">
        <f>IF(YEAR(Table7[[#This Row],[Date]]) = 2023, WEEKNUM(Table7[[#This Row],[Date]])-13, WEEKNUM(Table7[[#This Row],[Date]])+40)</f>
        <v>50</v>
      </c>
      <c r="C342" s="34" t="s">
        <v>51</v>
      </c>
      <c r="D342" s="34" t="s">
        <v>94</v>
      </c>
      <c r="E342" s="1">
        <v>724</v>
      </c>
      <c r="F342" s="1">
        <v>500</v>
      </c>
      <c r="G342" s="64">
        <f t="shared" ref="G342:H342" si="291">IFERROR((E342-E335)/E335,0%)</f>
        <v>4.3227665706051875E-2</v>
      </c>
      <c r="H342" s="64">
        <f t="shared" si="291"/>
        <v>-0.10873440285204991</v>
      </c>
      <c r="I342" s="1"/>
      <c r="J342" s="1"/>
      <c r="K342" s="1"/>
      <c r="L342" s="1"/>
      <c r="M342" s="18">
        <v>0.76</v>
      </c>
      <c r="N342" s="18">
        <v>0.31</v>
      </c>
      <c r="O342" s="18">
        <v>0.69</v>
      </c>
      <c r="P342" s="18">
        <v>0.76</v>
      </c>
      <c r="Q342" s="22">
        <v>0.98</v>
      </c>
      <c r="R342" s="294">
        <v>82</v>
      </c>
      <c r="S342" s="294">
        <v>0</v>
      </c>
      <c r="T342" s="365">
        <v>6</v>
      </c>
      <c r="U342" s="338" t="str">
        <f t="shared" si="232"/>
        <v>Normal</v>
      </c>
      <c r="V342" s="338" t="str">
        <f t="shared" si="233"/>
        <v>Normal</v>
      </c>
      <c r="W342" s="420">
        <f t="shared" si="234"/>
        <v>4.3227665706051875E-2</v>
      </c>
      <c r="X342" s="420">
        <f t="shared" si="235"/>
        <v>-0.10873440285204991</v>
      </c>
    </row>
    <row r="343" spans="1:38">
      <c r="A343" s="32">
        <v>45358</v>
      </c>
      <c r="B343" s="408">
        <f>IF(YEAR(Table7[[#This Row],[Date]]) = 2023, WEEKNUM(Table7[[#This Row],[Date]])-13, WEEKNUM(Table7[[#This Row],[Date]])+40)</f>
        <v>50</v>
      </c>
      <c r="C343" s="34" t="s">
        <v>52</v>
      </c>
      <c r="D343" s="34" t="s">
        <v>94</v>
      </c>
      <c r="E343" s="1">
        <v>617</v>
      </c>
      <c r="F343" s="1">
        <v>505</v>
      </c>
      <c r="G343" s="64">
        <f t="shared" ref="G343:H343" si="292">IFERROR((E343-E336)/E336,0%)</f>
        <v>-0.29485714285714287</v>
      </c>
      <c r="H343" s="64">
        <f t="shared" si="292"/>
        <v>8.3690987124463517E-2</v>
      </c>
      <c r="I343" s="1"/>
      <c r="J343" s="1"/>
      <c r="K343" s="1"/>
      <c r="L343" s="1"/>
      <c r="M343" s="18">
        <v>0.72</v>
      </c>
      <c r="N343" s="18">
        <v>0.18</v>
      </c>
      <c r="O343" s="18">
        <v>0.82</v>
      </c>
      <c r="P343" s="18">
        <v>0.69</v>
      </c>
      <c r="Q343" s="22">
        <v>0.99</v>
      </c>
      <c r="R343" s="294">
        <v>117</v>
      </c>
      <c r="S343" s="294">
        <v>0</v>
      </c>
      <c r="T343" s="365">
        <v>4</v>
      </c>
      <c r="U343" s="338" t="str">
        <f t="shared" si="232"/>
        <v>Normal</v>
      </c>
      <c r="V343" s="338" t="str">
        <f t="shared" si="233"/>
        <v>Normal</v>
      </c>
      <c r="W343" s="420">
        <f t="shared" si="234"/>
        <v>-0.29485714285714287</v>
      </c>
      <c r="X343" s="420">
        <f t="shared" si="235"/>
        <v>8.3690987124463517E-2</v>
      </c>
    </row>
    <row r="344" spans="1:38">
      <c r="A344" s="32">
        <v>45359</v>
      </c>
      <c r="B344" s="408">
        <f>IF(YEAR(Table7[[#This Row],[Date]]) = 2023, WEEKNUM(Table7[[#This Row],[Date]])-13, WEEKNUM(Table7[[#This Row],[Date]])+40)</f>
        <v>50</v>
      </c>
      <c r="C344" s="34" t="s">
        <v>53</v>
      </c>
      <c r="D344" s="34" t="s">
        <v>94</v>
      </c>
      <c r="E344" s="1">
        <v>659</v>
      </c>
      <c r="F344" s="1">
        <v>397</v>
      </c>
      <c r="G344" s="64">
        <f t="shared" ref="G344:H344" si="293">IFERROR((E344-E337)/E337,0%)</f>
        <v>-9.9726775956284153E-2</v>
      </c>
      <c r="H344" s="64">
        <f t="shared" si="293"/>
        <v>-0.10383747178329571</v>
      </c>
      <c r="I344" s="1"/>
      <c r="J344" s="1"/>
      <c r="K344" s="1"/>
      <c r="L344" s="1"/>
      <c r="M344" s="18">
        <v>0.31</v>
      </c>
      <c r="N344" s="18">
        <v>0.4</v>
      </c>
      <c r="O344" s="18">
        <v>0.6</v>
      </c>
      <c r="P344" s="18">
        <v>0.71</v>
      </c>
      <c r="Q344" s="22">
        <v>1</v>
      </c>
      <c r="R344" s="294">
        <v>125</v>
      </c>
      <c r="S344" s="294">
        <v>0</v>
      </c>
      <c r="T344" s="365">
        <v>3</v>
      </c>
      <c r="U344" s="338" t="str">
        <f t="shared" si="232"/>
        <v>Normal</v>
      </c>
      <c r="V344" s="338" t="str">
        <f t="shared" si="233"/>
        <v>Normal</v>
      </c>
      <c r="W344" s="420">
        <f t="shared" si="234"/>
        <v>-9.9726775956284153E-2</v>
      </c>
      <c r="X344" s="420">
        <f t="shared" si="235"/>
        <v>-0.10383747178329571</v>
      </c>
    </row>
    <row r="345" spans="1:38">
      <c r="A345" s="32">
        <v>45360</v>
      </c>
      <c r="B345" s="408">
        <f>IF(YEAR(Table7[[#This Row],[Date]]) = 2023, WEEKNUM(Table7[[#This Row],[Date]])-13, WEEKNUM(Table7[[#This Row],[Date]])+40)</f>
        <v>50</v>
      </c>
      <c r="C345" s="34" t="s">
        <v>54</v>
      </c>
      <c r="D345" s="34" t="s">
        <v>94</v>
      </c>
      <c r="E345" s="1">
        <v>365</v>
      </c>
      <c r="F345" s="1">
        <v>318</v>
      </c>
      <c r="G345" s="64">
        <f t="shared" ref="G345:H345" si="294">IFERROR((E345-E338)/E338,0%)</f>
        <v>-0.13507109004739337</v>
      </c>
      <c r="H345" s="64">
        <f t="shared" si="294"/>
        <v>-9.4017094017094016E-2</v>
      </c>
      <c r="I345" s="1"/>
      <c r="J345" s="1"/>
      <c r="K345" s="1"/>
      <c r="L345" s="1"/>
      <c r="M345" s="18">
        <v>0.79</v>
      </c>
      <c r="N345" s="18">
        <v>0.13</v>
      </c>
      <c r="O345" s="18">
        <v>0.87</v>
      </c>
      <c r="P345" s="18">
        <v>0.55000000000000004</v>
      </c>
      <c r="Q345" s="22">
        <v>1</v>
      </c>
      <c r="R345" s="294">
        <v>128</v>
      </c>
      <c r="S345" s="294">
        <v>0</v>
      </c>
      <c r="T345" s="365">
        <v>3</v>
      </c>
      <c r="U345" s="338" t="str">
        <f t="shared" si="232"/>
        <v>Normal</v>
      </c>
      <c r="V345" s="338" t="str">
        <f t="shared" si="233"/>
        <v>Normal</v>
      </c>
      <c r="W345" s="420">
        <f t="shared" si="234"/>
        <v>-0.13507109004739337</v>
      </c>
      <c r="X345" s="420">
        <f t="shared" si="235"/>
        <v>-9.4017094017094016E-2</v>
      </c>
    </row>
    <row r="346" spans="1:38">
      <c r="A346" s="32">
        <v>45361</v>
      </c>
      <c r="B346" s="408">
        <f>IF(YEAR(Table7[[#This Row],[Date]]) = 2023, WEEKNUM(Table7[[#This Row],[Date]])-13, WEEKNUM(Table7[[#This Row],[Date]])+40)</f>
        <v>51</v>
      </c>
      <c r="C346" s="34" t="s">
        <v>48</v>
      </c>
      <c r="D346" s="34" t="s">
        <v>94</v>
      </c>
      <c r="E346" s="1">
        <v>0</v>
      </c>
      <c r="F346" s="1">
        <v>0</v>
      </c>
      <c r="G346" s="64">
        <f t="shared" ref="G346:H346" si="295">IFERROR((E346-E339)/E339,0%)</f>
        <v>0</v>
      </c>
      <c r="H346" s="64">
        <f t="shared" si="295"/>
        <v>0</v>
      </c>
      <c r="I346" s="1">
        <v>0</v>
      </c>
      <c r="J346" s="1">
        <v>0</v>
      </c>
      <c r="K346" s="1">
        <v>0</v>
      </c>
      <c r="L346" s="1">
        <v>0</v>
      </c>
      <c r="M346" s="18">
        <v>0</v>
      </c>
      <c r="N346" s="18">
        <v>0</v>
      </c>
      <c r="O346" s="18">
        <v>0</v>
      </c>
      <c r="P346" s="18">
        <v>0</v>
      </c>
      <c r="Q346" s="22">
        <v>0</v>
      </c>
      <c r="R346" s="294">
        <v>0</v>
      </c>
      <c r="S346" s="294">
        <v>0</v>
      </c>
      <c r="T346" s="365">
        <v>0</v>
      </c>
      <c r="U346" s="338" t="str">
        <f t="shared" si="232"/>
        <v>Normal</v>
      </c>
      <c r="V346" s="338" t="str">
        <f t="shared" si="233"/>
        <v>Normal</v>
      </c>
      <c r="W346" s="420">
        <f t="shared" si="234"/>
        <v>0</v>
      </c>
      <c r="X346" s="420">
        <f t="shared" si="235"/>
        <v>0</v>
      </c>
    </row>
    <row r="347" spans="1:38">
      <c r="A347" s="32">
        <v>45362</v>
      </c>
      <c r="B347" s="408">
        <f>IF(YEAR(Table7[[#This Row],[Date]]) = 2023, WEEKNUM(Table7[[#This Row],[Date]])-13, WEEKNUM(Table7[[#This Row],[Date]])+40)</f>
        <v>51</v>
      </c>
      <c r="C347" s="34" t="s">
        <v>49</v>
      </c>
      <c r="D347" s="34" t="s">
        <v>94</v>
      </c>
      <c r="E347" s="1">
        <v>702</v>
      </c>
      <c r="F347" s="1">
        <v>485</v>
      </c>
      <c r="G347" s="64">
        <f t="shared" ref="G347:H347" si="296">IFERROR((E347-E340)/E340,0%)</f>
        <v>-0.10913705583756345</v>
      </c>
      <c r="H347" s="64">
        <f t="shared" si="296"/>
        <v>-0.15209790209790211</v>
      </c>
      <c r="I347" s="1"/>
      <c r="J347" s="1"/>
      <c r="K347" s="1"/>
      <c r="L347" s="1"/>
      <c r="M347" s="18">
        <v>0.46</v>
      </c>
      <c r="N347" s="18">
        <v>0.31</v>
      </c>
      <c r="O347" s="18">
        <v>0.69</v>
      </c>
      <c r="P347" s="18">
        <v>0.72</v>
      </c>
      <c r="Q347" s="22">
        <v>1</v>
      </c>
      <c r="R347" s="294">
        <v>103</v>
      </c>
      <c r="S347" s="294">
        <v>0</v>
      </c>
      <c r="T347" s="365">
        <v>4</v>
      </c>
      <c r="U347" s="338" t="str">
        <f t="shared" si="232"/>
        <v>Normal</v>
      </c>
      <c r="V347" s="338" t="str">
        <f t="shared" si="233"/>
        <v>Normal</v>
      </c>
      <c r="W347" s="420">
        <f t="shared" si="234"/>
        <v>-0.10913705583756345</v>
      </c>
      <c r="X347" s="420">
        <f t="shared" si="235"/>
        <v>-0.15209790209790211</v>
      </c>
    </row>
    <row r="348" spans="1:38">
      <c r="A348" s="32">
        <v>45363</v>
      </c>
      <c r="B348" s="408">
        <f>IF(YEAR(Table7[[#This Row],[Date]]) = 2023, WEEKNUM(Table7[[#This Row],[Date]])-13, WEEKNUM(Table7[[#This Row],[Date]])+40)</f>
        <v>51</v>
      </c>
      <c r="C348" s="34" t="s">
        <v>50</v>
      </c>
      <c r="D348" s="34" t="s">
        <v>94</v>
      </c>
      <c r="E348" s="1">
        <v>679</v>
      </c>
      <c r="F348" s="1">
        <v>444</v>
      </c>
      <c r="G348" s="64">
        <f t="shared" ref="G348:H348" si="297">IFERROR((E348-E341)/E341,0%)</f>
        <v>-6.0857538035961271E-2</v>
      </c>
      <c r="H348" s="64">
        <f t="shared" si="297"/>
        <v>3.255813953488372E-2</v>
      </c>
      <c r="I348" s="1"/>
      <c r="J348" s="1"/>
      <c r="K348" s="1"/>
      <c r="L348" s="1"/>
      <c r="M348" s="18">
        <v>0.56000000000000005</v>
      </c>
      <c r="N348" s="18">
        <v>0.35</v>
      </c>
      <c r="O348" s="18">
        <v>0.65</v>
      </c>
      <c r="P348" s="18">
        <v>0.85</v>
      </c>
      <c r="Q348" s="22">
        <v>1</v>
      </c>
      <c r="R348" s="294">
        <v>119</v>
      </c>
      <c r="S348" s="294">
        <v>0</v>
      </c>
      <c r="T348" s="365">
        <v>3</v>
      </c>
      <c r="U348" s="338" t="str">
        <f t="shared" si="232"/>
        <v>Normal</v>
      </c>
      <c r="V348" s="338" t="str">
        <f t="shared" si="233"/>
        <v>Normal</v>
      </c>
      <c r="W348" s="420">
        <f t="shared" si="234"/>
        <v>-6.0857538035961271E-2</v>
      </c>
      <c r="X348" s="420">
        <f t="shared" si="235"/>
        <v>3.255813953488372E-2</v>
      </c>
    </row>
    <row r="349" spans="1:38">
      <c r="A349" s="32">
        <v>45364</v>
      </c>
      <c r="B349" s="408">
        <f>IF(YEAR(Table7[[#This Row],[Date]]) = 2023, WEEKNUM(Table7[[#This Row],[Date]])-13, WEEKNUM(Table7[[#This Row],[Date]])+40)</f>
        <v>51</v>
      </c>
      <c r="C349" s="34" t="s">
        <v>51</v>
      </c>
      <c r="D349" s="34" t="s">
        <v>94</v>
      </c>
      <c r="E349" s="1">
        <v>719</v>
      </c>
      <c r="F349" s="1">
        <v>436</v>
      </c>
      <c r="G349" s="64">
        <f t="shared" ref="G349:H349" si="298">IFERROR((E349-E342)/E342,0%)</f>
        <v>-6.9060773480662981E-3</v>
      </c>
      <c r="H349" s="64">
        <f t="shared" si="298"/>
        <v>-0.128</v>
      </c>
      <c r="I349" s="1"/>
      <c r="J349" s="1"/>
      <c r="K349" s="1"/>
      <c r="L349" s="1"/>
      <c r="M349" s="18">
        <v>0.11</v>
      </c>
      <c r="N349" s="18">
        <v>0.39</v>
      </c>
      <c r="O349" s="18">
        <v>0.61</v>
      </c>
      <c r="P349" s="18">
        <v>0.66</v>
      </c>
      <c r="Q349" s="22">
        <v>1</v>
      </c>
      <c r="R349" s="294">
        <v>127</v>
      </c>
      <c r="S349" s="294">
        <v>0</v>
      </c>
      <c r="T349" s="365">
        <v>4</v>
      </c>
      <c r="U349" s="338" t="str">
        <f t="shared" ref="U349:U367" si="299">IF(OR(G349&lt;$AA$5,G349&gt;$AB$5), "Outlier", "Normal")</f>
        <v>Normal</v>
      </c>
      <c r="V349" s="338" t="str">
        <f t="shared" ref="V349:V367" si="300">IF(OR(H349&lt;$AA$6,H349&gt;$AB$6), "Outlier", "Normal")</f>
        <v>Normal</v>
      </c>
      <c r="W349" s="420">
        <f t="shared" ref="W349:W367" si="301">IF(U349="Normal",$G349,IF($G349&lt;150%, $G349, $AA$9))</f>
        <v>-6.9060773480662981E-3</v>
      </c>
      <c r="X349" s="420">
        <f t="shared" ref="X349:X367" si="302">IF(V349="Normal",$H349,IF($H349&lt;150%, $H349, $AE$9))</f>
        <v>-0.128</v>
      </c>
    </row>
    <row r="350" spans="1:38">
      <c r="A350" s="32">
        <v>45365</v>
      </c>
      <c r="B350" s="408">
        <f>IF(YEAR(Table7[[#This Row],[Date]]) = 2023, WEEKNUM(Table7[[#This Row],[Date]])-13, WEEKNUM(Table7[[#This Row],[Date]])+40)</f>
        <v>51</v>
      </c>
      <c r="C350" s="34" t="s">
        <v>52</v>
      </c>
      <c r="D350" s="34" t="s">
        <v>94</v>
      </c>
      <c r="E350" s="1">
        <v>530</v>
      </c>
      <c r="F350" s="1">
        <v>444</v>
      </c>
      <c r="G350" s="64">
        <f t="shared" ref="G350:H350" si="303">IFERROR((E350-E343)/E343,0%)</f>
        <v>-0.14100486223662884</v>
      </c>
      <c r="H350" s="64">
        <f t="shared" si="303"/>
        <v>-0.12079207920792079</v>
      </c>
      <c r="I350" s="1"/>
      <c r="J350" s="1"/>
      <c r="K350" s="1"/>
      <c r="L350" s="1"/>
      <c r="M350" s="18">
        <v>0.73</v>
      </c>
      <c r="N350" s="18">
        <v>0.16</v>
      </c>
      <c r="O350" s="18">
        <v>0.84</v>
      </c>
      <c r="P350" s="18">
        <v>0.71</v>
      </c>
      <c r="Q350" s="22">
        <v>1</v>
      </c>
      <c r="R350" s="294">
        <v>138</v>
      </c>
      <c r="S350" s="294">
        <v>0</v>
      </c>
      <c r="T350" s="365">
        <v>4</v>
      </c>
      <c r="U350" s="338" t="str">
        <f t="shared" si="299"/>
        <v>Normal</v>
      </c>
      <c r="V350" s="338" t="str">
        <f t="shared" si="300"/>
        <v>Normal</v>
      </c>
      <c r="W350" s="420">
        <f t="shared" si="301"/>
        <v>-0.14100486223662884</v>
      </c>
      <c r="X350" s="420">
        <f t="shared" si="302"/>
        <v>-0.12079207920792079</v>
      </c>
    </row>
    <row r="351" spans="1:38">
      <c r="A351" s="32">
        <v>45366</v>
      </c>
      <c r="B351" s="408">
        <f>IF(YEAR(Table7[[#This Row],[Date]]) = 2023, WEEKNUM(Table7[[#This Row],[Date]])-13, WEEKNUM(Table7[[#This Row],[Date]])+40)</f>
        <v>51</v>
      </c>
      <c r="C351" s="34" t="s">
        <v>53</v>
      </c>
      <c r="D351" s="34" t="s">
        <v>94</v>
      </c>
      <c r="E351" s="1">
        <v>562</v>
      </c>
      <c r="F351" s="1">
        <v>374</v>
      </c>
      <c r="G351" s="64">
        <f t="shared" ref="G351:H351" si="304">IFERROR((E351-E344)/E344,0%)</f>
        <v>-0.14719271623672231</v>
      </c>
      <c r="H351" s="64">
        <f t="shared" si="304"/>
        <v>-5.793450881612091E-2</v>
      </c>
      <c r="I351" s="1"/>
      <c r="J351" s="1"/>
      <c r="K351" s="1"/>
      <c r="L351" s="1"/>
      <c r="M351" s="18">
        <v>0.37</v>
      </c>
      <c r="N351" s="18">
        <v>0.33</v>
      </c>
      <c r="O351" s="18">
        <v>0.67</v>
      </c>
      <c r="P351" s="18">
        <v>0.7</v>
      </c>
      <c r="Q351" s="22">
        <v>1</v>
      </c>
      <c r="R351" s="294">
        <v>91</v>
      </c>
      <c r="S351" s="294">
        <v>0</v>
      </c>
      <c r="T351" s="365">
        <v>3</v>
      </c>
      <c r="U351" s="338" t="str">
        <f t="shared" si="299"/>
        <v>Normal</v>
      </c>
      <c r="V351" s="338" t="str">
        <f t="shared" si="300"/>
        <v>Normal</v>
      </c>
      <c r="W351" s="420">
        <f t="shared" si="301"/>
        <v>-0.14719271623672231</v>
      </c>
      <c r="X351" s="420">
        <f t="shared" si="302"/>
        <v>-5.793450881612091E-2</v>
      </c>
    </row>
    <row r="352" spans="1:38">
      <c r="A352" s="32">
        <v>45367</v>
      </c>
      <c r="B352" s="408">
        <f>IF(YEAR(Table7[[#This Row],[Date]]) = 2023, WEEKNUM(Table7[[#This Row],[Date]])-13, WEEKNUM(Table7[[#This Row],[Date]])+40)</f>
        <v>51</v>
      </c>
      <c r="C352" s="34" t="s">
        <v>54</v>
      </c>
      <c r="D352" s="34" t="s">
        <v>94</v>
      </c>
      <c r="E352" s="1">
        <v>437</v>
      </c>
      <c r="F352" s="1">
        <v>294</v>
      </c>
      <c r="G352" s="64">
        <f t="shared" ref="G352:H352" si="305">IFERROR((E352-E345)/E345,0%)</f>
        <v>0.19726027397260273</v>
      </c>
      <c r="H352" s="64">
        <f t="shared" si="305"/>
        <v>-7.5471698113207544E-2</v>
      </c>
      <c r="I352" s="1"/>
      <c r="J352" s="1"/>
      <c r="K352" s="1"/>
      <c r="L352" s="1"/>
      <c r="M352" s="18">
        <v>0.43</v>
      </c>
      <c r="N352" s="18">
        <v>0.33</v>
      </c>
      <c r="O352" s="18">
        <v>0.67</v>
      </c>
      <c r="P352" s="18">
        <v>0.69</v>
      </c>
      <c r="Q352" s="22">
        <v>1</v>
      </c>
      <c r="R352" s="294">
        <v>127</v>
      </c>
      <c r="S352" s="294">
        <v>0</v>
      </c>
      <c r="T352" s="365">
        <v>3</v>
      </c>
      <c r="U352" s="338" t="str">
        <f t="shared" si="299"/>
        <v>Normal</v>
      </c>
      <c r="V352" s="338" t="str">
        <f t="shared" si="300"/>
        <v>Normal</v>
      </c>
      <c r="W352" s="420">
        <f t="shared" si="301"/>
        <v>0.19726027397260273</v>
      </c>
      <c r="X352" s="420">
        <f t="shared" si="302"/>
        <v>-7.5471698113207544E-2</v>
      </c>
    </row>
    <row r="353" spans="1:24">
      <c r="A353" s="32">
        <v>45368</v>
      </c>
      <c r="B353" s="408">
        <f>IF(YEAR(Table7[[#This Row],[Date]]) = 2023, WEEKNUM(Table7[[#This Row],[Date]])-13, WEEKNUM(Table7[[#This Row],[Date]])+40)</f>
        <v>52</v>
      </c>
      <c r="C353" s="34" t="s">
        <v>48</v>
      </c>
      <c r="D353" s="34" t="s">
        <v>94</v>
      </c>
      <c r="E353" s="1">
        <v>0</v>
      </c>
      <c r="F353" s="1">
        <v>0</v>
      </c>
      <c r="G353" s="64">
        <f t="shared" ref="G353:H353" si="306">IFERROR((E353-E346)/E346,0%)</f>
        <v>0</v>
      </c>
      <c r="H353" s="64">
        <f t="shared" si="306"/>
        <v>0</v>
      </c>
      <c r="I353" s="1">
        <v>0</v>
      </c>
      <c r="J353" s="1">
        <v>0</v>
      </c>
      <c r="K353" s="1">
        <v>0</v>
      </c>
      <c r="L353" s="1">
        <v>0</v>
      </c>
      <c r="M353" s="18">
        <v>0</v>
      </c>
      <c r="N353" s="18">
        <v>0</v>
      </c>
      <c r="O353" s="18">
        <v>0</v>
      </c>
      <c r="P353" s="18">
        <v>0</v>
      </c>
      <c r="Q353" s="22">
        <v>0</v>
      </c>
      <c r="R353" s="294">
        <v>0</v>
      </c>
      <c r="S353" s="294">
        <v>0</v>
      </c>
      <c r="T353" s="365">
        <v>0</v>
      </c>
      <c r="U353" s="338" t="str">
        <f t="shared" si="299"/>
        <v>Normal</v>
      </c>
      <c r="V353" s="338" t="str">
        <f t="shared" si="300"/>
        <v>Normal</v>
      </c>
      <c r="W353" s="420">
        <f t="shared" si="301"/>
        <v>0</v>
      </c>
      <c r="X353" s="420">
        <f t="shared" si="302"/>
        <v>0</v>
      </c>
    </row>
    <row r="354" spans="1:24">
      <c r="A354" s="32">
        <v>45369</v>
      </c>
      <c r="B354" s="408">
        <f>IF(YEAR(Table7[[#This Row],[Date]]) = 2023, WEEKNUM(Table7[[#This Row],[Date]])-13, WEEKNUM(Table7[[#This Row],[Date]])+40)</f>
        <v>52</v>
      </c>
      <c r="C354" s="34" t="s">
        <v>49</v>
      </c>
      <c r="D354" s="34" t="s">
        <v>94</v>
      </c>
      <c r="E354" s="1">
        <v>607</v>
      </c>
      <c r="F354" s="1">
        <v>439</v>
      </c>
      <c r="G354" s="64">
        <f t="shared" ref="G354:H354" si="307">IFERROR((E354-E347)/E347,0%)</f>
        <v>-0.13532763532763534</v>
      </c>
      <c r="H354" s="64">
        <f t="shared" si="307"/>
        <v>-9.4845360824742264E-2</v>
      </c>
      <c r="I354" s="1"/>
      <c r="J354" s="1"/>
      <c r="K354" s="1"/>
      <c r="L354" s="1"/>
      <c r="M354" s="18">
        <v>0.39</v>
      </c>
      <c r="N354" s="18">
        <v>0.28000000000000003</v>
      </c>
      <c r="O354" s="18">
        <v>0.72</v>
      </c>
      <c r="P354" s="18">
        <v>0.79</v>
      </c>
      <c r="Q354" s="22">
        <v>1</v>
      </c>
      <c r="R354" s="294">
        <v>103</v>
      </c>
      <c r="S354" s="294">
        <v>0</v>
      </c>
      <c r="T354" s="365">
        <v>4</v>
      </c>
      <c r="U354" s="338" t="str">
        <f t="shared" si="299"/>
        <v>Normal</v>
      </c>
      <c r="V354" s="338" t="str">
        <f t="shared" si="300"/>
        <v>Normal</v>
      </c>
      <c r="W354" s="420">
        <f t="shared" si="301"/>
        <v>-0.13532763532763534</v>
      </c>
      <c r="X354" s="420">
        <f t="shared" si="302"/>
        <v>-9.4845360824742264E-2</v>
      </c>
    </row>
    <row r="355" spans="1:24">
      <c r="A355" s="32">
        <v>45370</v>
      </c>
      <c r="B355" s="408">
        <f>IF(YEAR(Table7[[#This Row],[Date]]) = 2023, WEEKNUM(Table7[[#This Row],[Date]])-13, WEEKNUM(Table7[[#This Row],[Date]])+40)</f>
        <v>52</v>
      </c>
      <c r="C355" s="34" t="s">
        <v>50</v>
      </c>
      <c r="D355" s="34" t="s">
        <v>94</v>
      </c>
      <c r="E355" s="1">
        <v>498</v>
      </c>
      <c r="F355" s="1">
        <v>423</v>
      </c>
      <c r="G355" s="64">
        <f t="shared" ref="G355:H355" si="308">IFERROR((E355-E348)/E348,0%)</f>
        <v>-0.26656848306332842</v>
      </c>
      <c r="H355" s="64">
        <f t="shared" si="308"/>
        <v>-4.72972972972973E-2</v>
      </c>
      <c r="I355" s="1"/>
      <c r="J355" s="1"/>
      <c r="K355" s="1"/>
      <c r="L355" s="1"/>
      <c r="M355" s="18">
        <v>0.56000000000000005</v>
      </c>
      <c r="N355" s="18">
        <v>0.15</v>
      </c>
      <c r="O355" s="18">
        <v>0.85</v>
      </c>
      <c r="P355" s="18">
        <v>0.66</v>
      </c>
      <c r="Q355" s="22">
        <v>1</v>
      </c>
      <c r="R355" s="294">
        <v>95</v>
      </c>
      <c r="S355" s="294">
        <v>0</v>
      </c>
      <c r="T355" s="365">
        <v>4</v>
      </c>
      <c r="U355" s="338" t="str">
        <f t="shared" si="299"/>
        <v>Normal</v>
      </c>
      <c r="V355" s="338" t="str">
        <f t="shared" si="300"/>
        <v>Normal</v>
      </c>
      <c r="W355" s="420">
        <f t="shared" si="301"/>
        <v>-0.26656848306332842</v>
      </c>
      <c r="X355" s="420">
        <f t="shared" si="302"/>
        <v>-4.72972972972973E-2</v>
      </c>
    </row>
    <row r="356" spans="1:24">
      <c r="A356" s="32">
        <v>45371</v>
      </c>
      <c r="B356" s="408">
        <f>IF(YEAR(Table7[[#This Row],[Date]]) = 2023, WEEKNUM(Table7[[#This Row],[Date]])-13, WEEKNUM(Table7[[#This Row],[Date]])+40)</f>
        <v>52</v>
      </c>
      <c r="C356" s="34" t="s">
        <v>51</v>
      </c>
      <c r="D356" s="34" t="s">
        <v>94</v>
      </c>
      <c r="E356" s="1">
        <v>538</v>
      </c>
      <c r="F356" s="1">
        <v>347</v>
      </c>
      <c r="G356" s="64">
        <f t="shared" ref="G356:H356" si="309">IFERROR((E356-E349)/E349,0%)</f>
        <v>-0.2517385257301808</v>
      </c>
      <c r="H356" s="64">
        <f t="shared" si="309"/>
        <v>-0.20412844036697247</v>
      </c>
      <c r="I356" s="1"/>
      <c r="J356" s="1"/>
      <c r="K356" s="1"/>
      <c r="L356" s="1"/>
      <c r="M356" s="18">
        <v>0.4</v>
      </c>
      <c r="N356" s="18">
        <v>0.36</v>
      </c>
      <c r="O356" s="18">
        <v>0.64</v>
      </c>
      <c r="P356" s="18">
        <v>0.97</v>
      </c>
      <c r="Q356" s="22">
        <v>0.99</v>
      </c>
      <c r="R356" s="294">
        <v>153</v>
      </c>
      <c r="S356" s="294">
        <v>0</v>
      </c>
      <c r="T356" s="365">
        <v>3</v>
      </c>
      <c r="U356" s="338" t="str">
        <f t="shared" si="299"/>
        <v>Normal</v>
      </c>
      <c r="V356" s="338" t="str">
        <f t="shared" si="300"/>
        <v>Normal</v>
      </c>
      <c r="W356" s="420">
        <f t="shared" si="301"/>
        <v>-0.2517385257301808</v>
      </c>
      <c r="X356" s="420">
        <f t="shared" si="302"/>
        <v>-0.20412844036697247</v>
      </c>
    </row>
    <row r="357" spans="1:24">
      <c r="A357" s="32">
        <v>45372</v>
      </c>
      <c r="B357" s="408">
        <f>IF(YEAR(Table7[[#This Row],[Date]]) = 2023, WEEKNUM(Table7[[#This Row],[Date]])-13, WEEKNUM(Table7[[#This Row],[Date]])+40)</f>
        <v>52</v>
      </c>
      <c r="C357" s="34" t="s">
        <v>52</v>
      </c>
      <c r="D357" s="34" t="s">
        <v>94</v>
      </c>
      <c r="E357" s="1">
        <v>642</v>
      </c>
      <c r="F357" s="1">
        <v>369</v>
      </c>
      <c r="G357" s="64">
        <f t="shared" ref="G357:H357" si="310">IFERROR((E357-E350)/E350,0%)</f>
        <v>0.21132075471698114</v>
      </c>
      <c r="H357" s="64">
        <f t="shared" si="310"/>
        <v>-0.16891891891891891</v>
      </c>
      <c r="I357" s="1"/>
      <c r="J357" s="1"/>
      <c r="K357" s="1"/>
      <c r="L357" s="1"/>
      <c r="M357" s="18">
        <v>0.34</v>
      </c>
      <c r="N357" s="18">
        <v>0.43</v>
      </c>
      <c r="O357" s="18">
        <v>0.56999999999999995</v>
      </c>
      <c r="P357" s="18">
        <v>0.73</v>
      </c>
      <c r="Q357" s="22">
        <v>0.99</v>
      </c>
      <c r="R357" s="294">
        <v>108</v>
      </c>
      <c r="S357" s="294">
        <v>0</v>
      </c>
      <c r="T357" s="365">
        <v>3</v>
      </c>
      <c r="U357" s="338" t="str">
        <f t="shared" si="299"/>
        <v>Normal</v>
      </c>
      <c r="V357" s="338" t="str">
        <f t="shared" si="300"/>
        <v>Normal</v>
      </c>
      <c r="W357" s="420">
        <f t="shared" si="301"/>
        <v>0.21132075471698114</v>
      </c>
      <c r="X357" s="420">
        <f t="shared" si="302"/>
        <v>-0.16891891891891891</v>
      </c>
    </row>
    <row r="358" spans="1:24">
      <c r="A358" s="32">
        <v>45373</v>
      </c>
      <c r="B358" s="408">
        <f>IF(YEAR(Table7[[#This Row],[Date]]) = 2023, WEEKNUM(Table7[[#This Row],[Date]])-13, WEEKNUM(Table7[[#This Row],[Date]])+40)</f>
        <v>52</v>
      </c>
      <c r="C358" s="34" t="s">
        <v>53</v>
      </c>
      <c r="D358" s="34" t="s">
        <v>94</v>
      </c>
      <c r="E358" s="1">
        <v>547</v>
      </c>
      <c r="F358" s="1">
        <v>399</v>
      </c>
      <c r="G358" s="64">
        <f t="shared" ref="G358:H358" si="311">IFERROR((E358-E351)/E351,0%)</f>
        <v>-2.6690391459074734E-2</v>
      </c>
      <c r="H358" s="64">
        <f t="shared" si="311"/>
        <v>6.684491978609626E-2</v>
      </c>
      <c r="I358" s="1"/>
      <c r="J358" s="1"/>
      <c r="K358" s="1"/>
      <c r="L358" s="1"/>
      <c r="M358" s="18">
        <v>0.53</v>
      </c>
      <c r="N358" s="18">
        <v>0.27</v>
      </c>
      <c r="O358" s="18">
        <v>0.73</v>
      </c>
      <c r="P358" s="18">
        <v>0.69</v>
      </c>
      <c r="Q358" s="22">
        <v>0.99</v>
      </c>
      <c r="R358" s="294">
        <v>102</v>
      </c>
      <c r="S358" s="294">
        <v>0</v>
      </c>
      <c r="T358" s="365">
        <v>3</v>
      </c>
      <c r="U358" s="338" t="str">
        <f t="shared" si="299"/>
        <v>Normal</v>
      </c>
      <c r="V358" s="338" t="str">
        <f t="shared" si="300"/>
        <v>Normal</v>
      </c>
      <c r="W358" s="420">
        <f t="shared" si="301"/>
        <v>-2.6690391459074734E-2</v>
      </c>
      <c r="X358" s="420">
        <f t="shared" si="302"/>
        <v>6.684491978609626E-2</v>
      </c>
    </row>
    <row r="359" spans="1:24">
      <c r="A359" s="32">
        <v>45374</v>
      </c>
      <c r="B359" s="408">
        <f>IF(YEAR(Table7[[#This Row],[Date]]) = 2023, WEEKNUM(Table7[[#This Row],[Date]])-13, WEEKNUM(Table7[[#This Row],[Date]])+40)</f>
        <v>52</v>
      </c>
      <c r="C359" s="34" t="s">
        <v>54</v>
      </c>
      <c r="D359" s="34" t="s">
        <v>94</v>
      </c>
      <c r="E359" s="1">
        <v>460</v>
      </c>
      <c r="F359" s="1">
        <v>334</v>
      </c>
      <c r="G359" s="64">
        <f t="shared" ref="G359:H359" si="312">IFERROR((E359-E352)/E352,0%)</f>
        <v>5.2631578947368418E-2</v>
      </c>
      <c r="H359" s="64">
        <f t="shared" si="312"/>
        <v>0.1360544217687075</v>
      </c>
      <c r="I359" s="1"/>
      <c r="J359" s="1"/>
      <c r="K359" s="1"/>
      <c r="L359" s="1"/>
      <c r="M359" s="18">
        <v>0.26</v>
      </c>
      <c r="N359" s="18">
        <v>0.27</v>
      </c>
      <c r="O359" s="18">
        <v>0.73</v>
      </c>
      <c r="P359" s="18">
        <v>0.6</v>
      </c>
      <c r="Q359" s="22">
        <v>1</v>
      </c>
      <c r="R359" s="294">
        <v>121</v>
      </c>
      <c r="S359" s="294">
        <v>0</v>
      </c>
      <c r="T359" s="365">
        <v>3</v>
      </c>
      <c r="U359" s="338" t="str">
        <f t="shared" si="299"/>
        <v>Normal</v>
      </c>
      <c r="V359" s="338" t="str">
        <f t="shared" si="300"/>
        <v>Normal</v>
      </c>
      <c r="W359" s="420">
        <f t="shared" si="301"/>
        <v>5.2631578947368418E-2</v>
      </c>
      <c r="X359" s="420">
        <f t="shared" si="302"/>
        <v>0.1360544217687075</v>
      </c>
    </row>
    <row r="360" spans="1:24">
      <c r="A360" s="32">
        <v>45375</v>
      </c>
      <c r="B360" s="408">
        <f>IF(YEAR(Table7[[#This Row],[Date]]) = 2023, WEEKNUM(Table7[[#This Row],[Date]])-13, WEEKNUM(Table7[[#This Row],[Date]])+40)</f>
        <v>53</v>
      </c>
      <c r="C360" s="34" t="s">
        <v>48</v>
      </c>
      <c r="D360" s="34" t="s">
        <v>94</v>
      </c>
      <c r="E360" s="1">
        <v>0</v>
      </c>
      <c r="F360" s="1">
        <v>0</v>
      </c>
      <c r="G360" s="64">
        <f t="shared" ref="G360:H360" si="313">IFERROR((E360-E353)/E353,0%)</f>
        <v>0</v>
      </c>
      <c r="H360" s="64">
        <f t="shared" si="313"/>
        <v>0</v>
      </c>
      <c r="I360" s="1">
        <v>0</v>
      </c>
      <c r="J360" s="1">
        <v>0</v>
      </c>
      <c r="K360" s="1">
        <v>0</v>
      </c>
      <c r="L360" s="1">
        <v>0</v>
      </c>
      <c r="M360" s="18">
        <v>0</v>
      </c>
      <c r="N360" s="18">
        <v>0</v>
      </c>
      <c r="O360" s="18">
        <v>0</v>
      </c>
      <c r="P360" s="18">
        <v>0</v>
      </c>
      <c r="Q360" s="22">
        <v>0</v>
      </c>
      <c r="R360" s="294">
        <v>0</v>
      </c>
      <c r="S360" s="294">
        <v>0</v>
      </c>
      <c r="T360" s="365">
        <v>0</v>
      </c>
      <c r="U360" s="338" t="str">
        <f t="shared" si="299"/>
        <v>Normal</v>
      </c>
      <c r="V360" s="338" t="str">
        <f t="shared" si="300"/>
        <v>Normal</v>
      </c>
      <c r="W360" s="420">
        <f t="shared" si="301"/>
        <v>0</v>
      </c>
      <c r="X360" s="420">
        <f t="shared" si="302"/>
        <v>0</v>
      </c>
    </row>
    <row r="361" spans="1:24">
      <c r="A361" s="32">
        <v>45376</v>
      </c>
      <c r="B361" s="408">
        <f>IF(YEAR(Table7[[#This Row],[Date]]) = 2023, WEEKNUM(Table7[[#This Row],[Date]])-13, WEEKNUM(Table7[[#This Row],[Date]])+40)</f>
        <v>53</v>
      </c>
      <c r="C361" s="34" t="s">
        <v>64</v>
      </c>
      <c r="D361" s="34" t="s">
        <v>94</v>
      </c>
      <c r="E361" s="1">
        <v>0</v>
      </c>
      <c r="F361" s="1">
        <v>0</v>
      </c>
      <c r="G361" s="64">
        <v>0</v>
      </c>
      <c r="H361" s="64">
        <v>0</v>
      </c>
      <c r="I361" s="1">
        <v>0</v>
      </c>
      <c r="J361" s="1">
        <v>0</v>
      </c>
      <c r="K361" s="1">
        <v>0</v>
      </c>
      <c r="L361" s="1">
        <v>0</v>
      </c>
      <c r="M361" s="18">
        <v>0</v>
      </c>
      <c r="N361" s="18">
        <v>0</v>
      </c>
      <c r="O361" s="18">
        <v>0</v>
      </c>
      <c r="P361" s="18">
        <v>0</v>
      </c>
      <c r="Q361" s="22">
        <v>0</v>
      </c>
      <c r="R361" s="294">
        <v>0</v>
      </c>
      <c r="S361" s="294">
        <v>0</v>
      </c>
      <c r="T361" s="365">
        <v>0</v>
      </c>
      <c r="U361" s="338" t="str">
        <f t="shared" si="299"/>
        <v>Normal</v>
      </c>
      <c r="V361" s="338" t="str">
        <f t="shared" si="300"/>
        <v>Normal</v>
      </c>
      <c r="W361" s="420">
        <f t="shared" si="301"/>
        <v>0</v>
      </c>
      <c r="X361" s="420">
        <f t="shared" si="302"/>
        <v>0</v>
      </c>
    </row>
    <row r="362" spans="1:24">
      <c r="A362" s="32">
        <v>45377</v>
      </c>
      <c r="B362" s="408">
        <f>IF(YEAR(Table7[[#This Row],[Date]]) = 2023, WEEKNUM(Table7[[#This Row],[Date]])-13, WEEKNUM(Table7[[#This Row],[Date]])+40)</f>
        <v>53</v>
      </c>
      <c r="C362" s="34" t="s">
        <v>50</v>
      </c>
      <c r="D362" s="34" t="s">
        <v>94</v>
      </c>
      <c r="E362" s="1">
        <v>738</v>
      </c>
      <c r="F362" s="1">
        <v>557</v>
      </c>
      <c r="G362" s="64">
        <f t="shared" ref="G362:H362" si="314">IFERROR((E362-E355)/E355,0%)</f>
        <v>0.48192771084337349</v>
      </c>
      <c r="H362" s="64">
        <f t="shared" si="314"/>
        <v>0.31678486997635935</v>
      </c>
      <c r="I362" s="1"/>
      <c r="J362" s="1"/>
      <c r="K362" s="1"/>
      <c r="L362" s="1"/>
      <c r="M362" s="18">
        <v>0.47</v>
      </c>
      <c r="N362" s="18">
        <v>0.25</v>
      </c>
      <c r="O362" s="18">
        <v>0.75</v>
      </c>
      <c r="P362" s="18">
        <v>0.8</v>
      </c>
      <c r="Q362" s="22">
        <v>1</v>
      </c>
      <c r="R362" s="294">
        <v>132</v>
      </c>
      <c r="S362" s="294">
        <v>0</v>
      </c>
      <c r="T362" s="365">
        <v>4</v>
      </c>
      <c r="U362" s="338" t="str">
        <f t="shared" si="299"/>
        <v>Normal</v>
      </c>
      <c r="V362" s="338" t="str">
        <f t="shared" si="300"/>
        <v>Normal</v>
      </c>
      <c r="W362" s="420">
        <f t="shared" si="301"/>
        <v>0.48192771084337349</v>
      </c>
      <c r="X362" s="420">
        <f t="shared" si="302"/>
        <v>0.31678486997635935</v>
      </c>
    </row>
    <row r="363" spans="1:24">
      <c r="A363" s="32">
        <v>45378</v>
      </c>
      <c r="B363" s="408">
        <f>IF(YEAR(Table7[[#This Row],[Date]]) = 2023, WEEKNUM(Table7[[#This Row],[Date]])-13, WEEKNUM(Table7[[#This Row],[Date]])+40)</f>
        <v>53</v>
      </c>
      <c r="C363" s="34" t="s">
        <v>51</v>
      </c>
      <c r="D363" s="34" t="s">
        <v>94</v>
      </c>
      <c r="E363" s="1">
        <v>712</v>
      </c>
      <c r="F363" s="1">
        <v>568</v>
      </c>
      <c r="G363" s="64">
        <f t="shared" ref="G363:H363" si="315">IFERROR((E363-E356)/E356,0%)</f>
        <v>0.32342007434944237</v>
      </c>
      <c r="H363" s="64">
        <f t="shared" si="315"/>
        <v>0.63688760806916422</v>
      </c>
      <c r="I363" s="1"/>
      <c r="J363" s="1"/>
      <c r="K363" s="1"/>
      <c r="L363" s="1"/>
      <c r="M363" s="18">
        <v>0.54</v>
      </c>
      <c r="N363" s="18">
        <v>0.2</v>
      </c>
      <c r="O363" s="18">
        <v>0.8</v>
      </c>
      <c r="P363" s="18">
        <v>0.74</v>
      </c>
      <c r="Q363" s="22">
        <v>1</v>
      </c>
      <c r="R363" s="294">
        <v>103</v>
      </c>
      <c r="S363" s="294">
        <v>0</v>
      </c>
      <c r="T363" s="365">
        <v>4</v>
      </c>
      <c r="U363" s="338" t="str">
        <f t="shared" si="299"/>
        <v>Normal</v>
      </c>
      <c r="V363" s="338" t="str">
        <f t="shared" si="300"/>
        <v>Outlier</v>
      </c>
      <c r="W363" s="420">
        <f t="shared" si="301"/>
        <v>0.32342007434944237</v>
      </c>
      <c r="X363" s="420">
        <f t="shared" si="302"/>
        <v>0.63688760806916422</v>
      </c>
    </row>
    <row r="364" spans="1:24">
      <c r="A364" s="32">
        <v>45379</v>
      </c>
      <c r="B364" s="408">
        <f>IF(YEAR(Table7[[#This Row],[Date]]) = 2023, WEEKNUM(Table7[[#This Row],[Date]])-13, WEEKNUM(Table7[[#This Row],[Date]])+40)</f>
        <v>53</v>
      </c>
      <c r="C364" s="34" t="s">
        <v>52</v>
      </c>
      <c r="D364" s="34" t="s">
        <v>94</v>
      </c>
      <c r="E364" s="1">
        <v>670</v>
      </c>
      <c r="F364" s="1">
        <v>633</v>
      </c>
      <c r="G364" s="64">
        <f t="shared" ref="G364:H364" si="316">IFERROR((E364-E357)/E357,0%)</f>
        <v>4.3613707165109032E-2</v>
      </c>
      <c r="H364" s="64">
        <f t="shared" si="316"/>
        <v>0.71544715447154472</v>
      </c>
      <c r="I364" s="1"/>
      <c r="J364" s="1"/>
      <c r="K364" s="1"/>
      <c r="L364" s="1"/>
      <c r="M364" s="18">
        <v>0.96</v>
      </c>
      <c r="N364" s="18">
        <v>0.06</v>
      </c>
      <c r="O364" s="18">
        <v>0.94</v>
      </c>
      <c r="P364" s="18">
        <v>0.67</v>
      </c>
      <c r="Q364" s="22">
        <v>1</v>
      </c>
      <c r="R364" s="294">
        <v>54</v>
      </c>
      <c r="S364" s="294">
        <v>0</v>
      </c>
      <c r="T364" s="365">
        <v>4</v>
      </c>
      <c r="U364" s="338" t="str">
        <f t="shared" si="299"/>
        <v>Normal</v>
      </c>
      <c r="V364" s="338" t="str">
        <f t="shared" si="300"/>
        <v>Outlier</v>
      </c>
      <c r="W364" s="420">
        <f t="shared" si="301"/>
        <v>4.3613707165109032E-2</v>
      </c>
      <c r="X364" s="420">
        <f t="shared" si="302"/>
        <v>0.71544715447154472</v>
      </c>
    </row>
    <row r="365" spans="1:24">
      <c r="A365" s="32">
        <v>45380</v>
      </c>
      <c r="B365" s="408">
        <f>IF(YEAR(Table7[[#This Row],[Date]]) = 2023, WEEKNUM(Table7[[#This Row],[Date]])-13, WEEKNUM(Table7[[#This Row],[Date]])+40)</f>
        <v>53</v>
      </c>
      <c r="C365" s="34" t="s">
        <v>64</v>
      </c>
      <c r="D365" s="34" t="s">
        <v>94</v>
      </c>
      <c r="E365" s="1">
        <v>0</v>
      </c>
      <c r="F365" s="1">
        <v>0</v>
      </c>
      <c r="G365" s="64">
        <v>0</v>
      </c>
      <c r="H365" s="64">
        <v>0</v>
      </c>
      <c r="I365" s="1">
        <v>0</v>
      </c>
      <c r="J365" s="1">
        <v>0</v>
      </c>
      <c r="K365" s="1">
        <v>0</v>
      </c>
      <c r="L365" s="1">
        <v>0</v>
      </c>
      <c r="M365" s="18">
        <v>0</v>
      </c>
      <c r="N365" s="18">
        <v>0</v>
      </c>
      <c r="O365" s="18">
        <v>0</v>
      </c>
      <c r="P365" s="18">
        <v>0</v>
      </c>
      <c r="Q365" s="22">
        <v>0</v>
      </c>
      <c r="R365" s="294">
        <v>0</v>
      </c>
      <c r="S365" s="294">
        <v>0</v>
      </c>
      <c r="T365" s="365">
        <v>0</v>
      </c>
      <c r="U365" s="338" t="str">
        <f t="shared" si="299"/>
        <v>Normal</v>
      </c>
      <c r="V365" s="338" t="str">
        <f t="shared" si="300"/>
        <v>Normal</v>
      </c>
      <c r="W365" s="420">
        <f t="shared" si="301"/>
        <v>0</v>
      </c>
      <c r="X365" s="420">
        <f t="shared" si="302"/>
        <v>0</v>
      </c>
    </row>
    <row r="366" spans="1:24">
      <c r="A366" s="32">
        <v>45381</v>
      </c>
      <c r="B366" s="408">
        <f>IF(YEAR(Table7[[#This Row],[Date]]) = 2023, WEEKNUM(Table7[[#This Row],[Date]])-13, WEEKNUM(Table7[[#This Row],[Date]])+40)</f>
        <v>53</v>
      </c>
      <c r="C366" s="34" t="s">
        <v>54</v>
      </c>
      <c r="D366" s="34" t="s">
        <v>94</v>
      </c>
      <c r="E366" s="1">
        <v>523</v>
      </c>
      <c r="F366" s="1">
        <v>495</v>
      </c>
      <c r="G366" s="64">
        <f t="shared" ref="G366:H366" si="317">IFERROR((E366-E359)/E359,0%)</f>
        <v>0.13695652173913042</v>
      </c>
      <c r="H366" s="64">
        <f t="shared" si="317"/>
        <v>0.4820359281437126</v>
      </c>
      <c r="I366" s="1"/>
      <c r="J366" s="1"/>
      <c r="K366" s="1"/>
      <c r="L366" s="1"/>
      <c r="M366" s="18">
        <v>0.98</v>
      </c>
      <c r="N366" s="18">
        <v>0.05</v>
      </c>
      <c r="O366" s="18">
        <v>0.95</v>
      </c>
      <c r="P366" s="18">
        <v>0.59</v>
      </c>
      <c r="Q366" s="22">
        <v>1</v>
      </c>
      <c r="R366" s="294">
        <v>75</v>
      </c>
      <c r="S366" s="294">
        <v>0</v>
      </c>
      <c r="T366" s="365">
        <v>4</v>
      </c>
      <c r="U366" s="338" t="str">
        <f t="shared" si="299"/>
        <v>Normal</v>
      </c>
      <c r="V366" s="338" t="str">
        <f t="shared" si="300"/>
        <v>Outlier</v>
      </c>
      <c r="W366" s="420">
        <f t="shared" si="301"/>
        <v>0.13695652173913042</v>
      </c>
      <c r="X366" s="420">
        <f t="shared" si="302"/>
        <v>0.4820359281437126</v>
      </c>
    </row>
    <row r="367" spans="1:24">
      <c r="A367" s="32">
        <v>45382</v>
      </c>
      <c r="B367" s="408">
        <f>IF(YEAR(Table7[[#This Row],[Date]]) = 2023, WEEKNUM(Table7[[#This Row],[Date]])-13, WEEKNUM(Table7[[#This Row],[Date]])+40)</f>
        <v>54</v>
      </c>
      <c r="C367" s="34" t="s">
        <v>48</v>
      </c>
      <c r="D367" s="34" t="s">
        <v>94</v>
      </c>
      <c r="E367" s="1">
        <v>0</v>
      </c>
      <c r="F367" s="1">
        <v>0</v>
      </c>
      <c r="G367" s="64">
        <f t="shared" ref="G367:H367" si="318">IFERROR((E367-E360)/E360,0%)</f>
        <v>0</v>
      </c>
      <c r="H367" s="64">
        <f t="shared" si="318"/>
        <v>0</v>
      </c>
      <c r="I367" s="1">
        <v>0</v>
      </c>
      <c r="J367" s="1">
        <v>0</v>
      </c>
      <c r="K367" s="1">
        <v>0</v>
      </c>
      <c r="L367" s="1">
        <v>0</v>
      </c>
      <c r="M367" s="18">
        <v>0</v>
      </c>
      <c r="N367" s="18">
        <v>0</v>
      </c>
      <c r="O367" s="18">
        <v>0</v>
      </c>
      <c r="P367" s="18">
        <v>0</v>
      </c>
      <c r="Q367" s="22">
        <v>0</v>
      </c>
      <c r="R367" s="294">
        <v>0</v>
      </c>
      <c r="S367" s="294">
        <v>0</v>
      </c>
      <c r="T367" s="365">
        <v>0</v>
      </c>
      <c r="U367" s="338" t="str">
        <f t="shared" si="299"/>
        <v>Normal</v>
      </c>
      <c r="V367" s="338" t="str">
        <f t="shared" si="300"/>
        <v>Normal</v>
      </c>
      <c r="W367" s="420">
        <f t="shared" si="301"/>
        <v>0</v>
      </c>
      <c r="X367" s="420">
        <f t="shared" si="302"/>
        <v>0</v>
      </c>
    </row>
    <row r="370" spans="13:17">
      <c r="M370" s="337">
        <f>AVERAGEIF(M2:M92, "&lt;&gt;0")</f>
        <v>0.87698630136986311</v>
      </c>
      <c r="N370" s="337">
        <f t="shared" ref="N370:Q370" si="319">AVERAGEIF(N2:N92, "&lt;&gt;0")</f>
        <v>4.3333333333333314E-2</v>
      </c>
      <c r="O370" s="337">
        <f t="shared" si="319"/>
        <v>0.95726027397260272</v>
      </c>
      <c r="P370" s="337">
        <f t="shared" si="319"/>
        <v>0.62356164383561652</v>
      </c>
      <c r="Q370" s="337">
        <f t="shared" si="319"/>
        <v>0.99753424657534262</v>
      </c>
    </row>
  </sheetData>
  <mergeCells count="6">
    <mergeCell ref="AK133:AL133"/>
    <mergeCell ref="Z3:AB3"/>
    <mergeCell ref="AD3:AE3"/>
    <mergeCell ref="AG3:AH3"/>
    <mergeCell ref="Z8:AA8"/>
    <mergeCell ref="AD8:AE8"/>
  </mergeCells>
  <phoneticPr fontId="8" type="noConversion"/>
  <dataValidations disablePrompts="1" count="2">
    <dataValidation type="list" allowBlank="1" showInputMessage="1" showErrorMessage="1" sqref="AM46:AM47 AK110:AK111" xr:uid="{0C60AD72-4AA5-4C15-91AB-46FAC66AFAF3}">
      <formula1>period_GUY</formula1>
    </dataValidation>
    <dataValidation type="list" allowBlank="1" showInputMessage="1" showErrorMessage="1" sqref="AN3:AN4" xr:uid="{E1B45D47-F307-4719-92C6-37E919E75AF0}">
      <formula1>WoW_dates_GUY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8E82-E4C6-44D1-AD63-0FD75F025826}">
  <sheetPr codeName="Sheet7"/>
  <dimension ref="A1:AT370"/>
  <sheetViews>
    <sheetView zoomScale="70" zoomScaleNormal="70" workbookViewId="0">
      <pane xSplit="1" ySplit="1" topLeftCell="B325" activePane="bottomRight" state="frozen"/>
      <selection pane="topRight" activeCell="B1" sqref="B1"/>
      <selection pane="bottomLeft" activeCell="A3" sqref="A3"/>
      <selection pane="bottomRight" activeCell="A367" sqref="A367"/>
    </sheetView>
  </sheetViews>
  <sheetFormatPr defaultRowHeight="14.5"/>
  <cols>
    <col min="2" max="2" width="16.08984375" bestFit="1" customWidth="1"/>
    <col min="3" max="3" width="19" bestFit="1" customWidth="1"/>
    <col min="4" max="4" width="6.90625" customWidth="1"/>
    <col min="5" max="5" width="10.54296875" customWidth="1"/>
    <col min="6" max="6" width="14.1796875" bestFit="1" customWidth="1"/>
    <col min="7" max="8" width="21.81640625" customWidth="1"/>
    <col min="9" max="9" width="19.36328125" customWidth="1"/>
    <col min="10" max="10" width="21" bestFit="1" customWidth="1"/>
    <col min="11" max="11" width="18.7265625" customWidth="1"/>
    <col min="12" max="12" width="17.6328125" bestFit="1" customWidth="1"/>
    <col min="16" max="16" width="8.90625" customWidth="1"/>
    <col min="20" max="20" width="20.453125" bestFit="1" customWidth="1"/>
    <col min="21" max="21" width="58.7265625" bestFit="1" customWidth="1"/>
    <col min="22" max="22" width="54.54296875" bestFit="1" customWidth="1"/>
    <col min="23" max="23" width="39.08984375" bestFit="1" customWidth="1"/>
    <col min="24" max="24" width="34.7265625" bestFit="1" customWidth="1"/>
    <col min="26" max="26" width="13.08984375" bestFit="1" customWidth="1"/>
    <col min="27" max="27" width="14.08984375" bestFit="1" customWidth="1"/>
    <col min="28" max="28" width="14.54296875" bestFit="1" customWidth="1"/>
    <col min="29" max="29" width="11.90625" bestFit="1" customWidth="1"/>
    <col min="30" max="30" width="12.6328125" bestFit="1" customWidth="1"/>
    <col min="40" max="40" width="9.90625" customWidth="1"/>
    <col min="41" max="41" width="21.26953125" customWidth="1"/>
    <col min="42" max="42" width="23.1796875" customWidth="1"/>
    <col min="45" max="45" width="10.7265625" bestFit="1" customWidth="1"/>
  </cols>
  <sheetData>
    <row r="1" spans="1:46" ht="17" customHeight="1">
      <c r="A1" s="24" t="s">
        <v>36</v>
      </c>
      <c r="B1" s="404" t="s">
        <v>255</v>
      </c>
      <c r="C1" s="25" t="s">
        <v>55</v>
      </c>
      <c r="D1" s="25" t="s">
        <v>60</v>
      </c>
      <c r="E1" s="25" t="s">
        <v>59</v>
      </c>
      <c r="F1" s="25" t="s">
        <v>34</v>
      </c>
      <c r="G1" s="25" t="s">
        <v>234</v>
      </c>
      <c r="H1" s="25" t="s">
        <v>235</v>
      </c>
      <c r="I1" s="25" t="s">
        <v>56</v>
      </c>
      <c r="J1" s="25" t="s">
        <v>57</v>
      </c>
      <c r="K1" s="25" t="s">
        <v>100</v>
      </c>
      <c r="L1" s="25" t="s">
        <v>58</v>
      </c>
      <c r="M1" s="25" t="s">
        <v>32</v>
      </c>
      <c r="N1" s="25" t="s">
        <v>5</v>
      </c>
      <c r="O1" s="25" t="s">
        <v>4</v>
      </c>
      <c r="P1" s="25" t="s">
        <v>119</v>
      </c>
      <c r="Q1" s="26" t="s">
        <v>7</v>
      </c>
      <c r="R1" s="25" t="s">
        <v>79</v>
      </c>
      <c r="S1" s="25" t="s">
        <v>80</v>
      </c>
      <c r="T1" s="25" t="s">
        <v>77</v>
      </c>
      <c r="U1" s="358" t="s">
        <v>236</v>
      </c>
      <c r="V1" s="358" t="s">
        <v>237</v>
      </c>
      <c r="W1" s="358" t="s">
        <v>238</v>
      </c>
      <c r="X1" s="358" t="s">
        <v>239</v>
      </c>
    </row>
    <row r="2" spans="1:46" ht="17" customHeight="1">
      <c r="A2" s="405">
        <v>45017</v>
      </c>
      <c r="B2" s="406">
        <f>IF(YEAR(Table7[[#This Row],[Date]]) = 2023, WEEKNUM(Table7[[#This Row],[Date]])-13, WEEKNUM(Table7[[#This Row],[Date]])+40)</f>
        <v>0</v>
      </c>
      <c r="C2" s="1" t="s">
        <v>54</v>
      </c>
      <c r="D2" s="31" t="s">
        <v>94</v>
      </c>
      <c r="E2" s="1">
        <v>684</v>
      </c>
      <c r="F2" s="1">
        <v>603</v>
      </c>
      <c r="G2" s="81">
        <v>-4.3356643356643354E-2</v>
      </c>
      <c r="H2" s="81">
        <v>-8.7745839636913764E-2</v>
      </c>
      <c r="I2" s="31">
        <v>684</v>
      </c>
      <c r="J2" s="31">
        <v>603</v>
      </c>
      <c r="K2" s="31">
        <v>684</v>
      </c>
      <c r="L2" s="31">
        <v>603</v>
      </c>
      <c r="M2" s="18">
        <v>0.71</v>
      </c>
      <c r="N2" s="18">
        <v>0.12</v>
      </c>
      <c r="O2" s="18">
        <v>0.88</v>
      </c>
      <c r="P2" s="36">
        <v>0.76</v>
      </c>
      <c r="Q2" s="157"/>
      <c r="R2" s="300">
        <v>260</v>
      </c>
      <c r="S2" s="155">
        <v>6.5972222222222224E-2</v>
      </c>
      <c r="T2" s="7">
        <v>8</v>
      </c>
      <c r="U2" s="354" t="str">
        <f>IF(OR(J2&lt;$AA$5,J2&gt;$AB$5), "Outlier", "Normal")</f>
        <v>Outlier</v>
      </c>
      <c r="V2" s="354" t="str">
        <f>IF(OR(K2&lt;$AA$6,K2&gt;$AB$6), "Outlier", "Normal")</f>
        <v>Outlier</v>
      </c>
      <c r="W2" s="81">
        <f>IF(U2="Normal",$G2,IF($G2&lt;150%, $G2, $AA$9))</f>
        <v>-4.3356643356643354E-2</v>
      </c>
      <c r="X2" s="81">
        <f>IF(V2="Normal",$H2,IF($H2&lt;150%, $H2, $AE$9))</f>
        <v>-8.7745839636913764E-2</v>
      </c>
    </row>
    <row r="3" spans="1:46">
      <c r="A3" s="405">
        <v>45018</v>
      </c>
      <c r="B3" s="406">
        <f>IF(YEAR(Table7[[#This Row],[Date]]) = 2023, WEEKNUM(Table7[[#This Row],[Date]])-13, WEEKNUM(Table7[[#This Row],[Date]])+40)</f>
        <v>1</v>
      </c>
      <c r="C3" s="1" t="s">
        <v>48</v>
      </c>
      <c r="D3" s="1" t="s">
        <v>94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8">
        <v>0</v>
      </c>
      <c r="N3" s="18">
        <v>0</v>
      </c>
      <c r="O3" s="18">
        <v>0</v>
      </c>
      <c r="P3" s="18">
        <v>0</v>
      </c>
      <c r="Q3" s="157"/>
      <c r="R3" s="301">
        <v>0</v>
      </c>
      <c r="S3" s="143">
        <v>0</v>
      </c>
      <c r="T3" s="1">
        <v>0</v>
      </c>
      <c r="U3" s="354" t="str">
        <f t="shared" ref="U3:U66" si="0">IF(OR(J3&lt;$AA$5,J3&gt;$AB$5), "Outlier", "Normal")</f>
        <v>Normal</v>
      </c>
      <c r="V3" s="354" t="str">
        <f t="shared" ref="V3:V66" si="1">IF(OR(K3&lt;$AA$6,K3&gt;$AB$6), "Outlier", "Normal")</f>
        <v>Normal</v>
      </c>
      <c r="W3" s="81">
        <f t="shared" ref="W3:W66" si="2">IF(U3="Normal",$G3,IF($G3&lt;150%, $G3, $AA$9))</f>
        <v>0</v>
      </c>
      <c r="X3" s="81">
        <f t="shared" ref="X3:X66" si="3">IF(V3="Normal",$H3,IF($H3&lt;150%, $H3, $AE$9))</f>
        <v>0</v>
      </c>
      <c r="Z3" s="431" t="s">
        <v>240</v>
      </c>
      <c r="AA3" s="431"/>
      <c r="AB3" s="431"/>
      <c r="AD3" s="431" t="s">
        <v>241</v>
      </c>
      <c r="AE3" s="431"/>
      <c r="AG3" s="431" t="s">
        <v>242</v>
      </c>
      <c r="AH3" s="431"/>
    </row>
    <row r="4" spans="1:46">
      <c r="A4" s="405">
        <v>45019</v>
      </c>
      <c r="B4" s="406">
        <f>IF(YEAR(Table7[[#This Row],[Date]]) = 2023, WEEKNUM(Table7[[#This Row],[Date]])-13, WEEKNUM(Table7[[#This Row],[Date]])+40)</f>
        <v>1</v>
      </c>
      <c r="C4" s="1" t="s">
        <v>49</v>
      </c>
      <c r="D4" s="1" t="s">
        <v>94</v>
      </c>
      <c r="E4" s="1">
        <v>892</v>
      </c>
      <c r="F4" s="1">
        <v>864</v>
      </c>
      <c r="G4" s="64">
        <v>-6.400839454354669E-2</v>
      </c>
      <c r="H4" s="64">
        <v>-7.7908217716115266E-2</v>
      </c>
      <c r="I4" s="1">
        <v>1576</v>
      </c>
      <c r="J4" s="1">
        <v>1467</v>
      </c>
      <c r="K4" s="1">
        <v>1576</v>
      </c>
      <c r="L4" s="1">
        <v>1467</v>
      </c>
      <c r="M4" s="18">
        <v>0.89</v>
      </c>
      <c r="N4" s="18">
        <v>0.03</v>
      </c>
      <c r="O4" s="18">
        <v>0.97</v>
      </c>
      <c r="P4" s="18">
        <v>0.69</v>
      </c>
      <c r="Q4" s="157"/>
      <c r="R4" s="301">
        <v>269</v>
      </c>
      <c r="S4" s="143">
        <v>1.1111111111111112E-2</v>
      </c>
      <c r="T4" s="1">
        <v>13</v>
      </c>
      <c r="U4" s="354" t="str">
        <f t="shared" si="0"/>
        <v>Outlier</v>
      </c>
      <c r="V4" s="354" t="str">
        <f t="shared" si="1"/>
        <v>Outlier</v>
      </c>
      <c r="W4" s="81">
        <f t="shared" si="2"/>
        <v>-6.400839454354669E-2</v>
      </c>
      <c r="X4" s="81">
        <f t="shared" si="3"/>
        <v>-7.7908217716115266E-2</v>
      </c>
      <c r="Z4" s="218" t="s">
        <v>243</v>
      </c>
      <c r="AA4" s="1" t="s">
        <v>244</v>
      </c>
      <c r="AB4" s="1" t="s">
        <v>245</v>
      </c>
      <c r="AD4" s="1" t="s">
        <v>246</v>
      </c>
      <c r="AE4" s="346">
        <f>_xlfn.QUARTILE.INC(G:G, 1)</f>
        <v>-6.3306142668428003E-2</v>
      </c>
      <c r="AG4" s="1" t="s">
        <v>246</v>
      </c>
      <c r="AH4" s="346">
        <f>_xlfn.QUARTILE.INC(H:H, 1)</f>
        <v>-6.8271982085343436E-2</v>
      </c>
    </row>
    <row r="5" spans="1:46">
      <c r="A5" s="405">
        <v>45020</v>
      </c>
      <c r="B5" s="406">
        <f>IF(YEAR(Table7[[#This Row],[Date]]) = 2023, WEEKNUM(Table7[[#This Row],[Date]])-13, WEEKNUM(Table7[[#This Row],[Date]])+40)</f>
        <v>1</v>
      </c>
      <c r="C5" s="1" t="s">
        <v>50</v>
      </c>
      <c r="D5" s="1" t="s">
        <v>94</v>
      </c>
      <c r="E5" s="1">
        <v>873</v>
      </c>
      <c r="F5" s="1">
        <v>850</v>
      </c>
      <c r="G5" s="64">
        <v>-6.6310160427807491E-2</v>
      </c>
      <c r="H5" s="64">
        <v>-7.2052401746724892E-2</v>
      </c>
      <c r="I5" s="1">
        <v>2449</v>
      </c>
      <c r="J5" s="1">
        <v>2317</v>
      </c>
      <c r="K5" s="1">
        <v>2449</v>
      </c>
      <c r="L5" s="1">
        <v>2317</v>
      </c>
      <c r="M5" s="18">
        <v>0.93</v>
      </c>
      <c r="N5" s="18">
        <v>0.03</v>
      </c>
      <c r="O5" s="18">
        <v>0.97</v>
      </c>
      <c r="P5" s="18">
        <v>0.55000000000000004</v>
      </c>
      <c r="Q5" s="157"/>
      <c r="R5" s="301">
        <v>300</v>
      </c>
      <c r="S5" s="158">
        <v>6.9444444444444441E-3</v>
      </c>
      <c r="T5" s="1">
        <v>18</v>
      </c>
      <c r="U5" s="354" t="str">
        <f t="shared" si="0"/>
        <v>Outlier</v>
      </c>
      <c r="V5" s="354" t="str">
        <f t="shared" si="1"/>
        <v>Outlier</v>
      </c>
      <c r="W5" s="81">
        <f t="shared" si="2"/>
        <v>-6.6310160427807491E-2</v>
      </c>
      <c r="X5" s="81">
        <f t="shared" si="3"/>
        <v>-7.2052401746724892E-2</v>
      </c>
      <c r="Z5" s="218" t="s">
        <v>247</v>
      </c>
      <c r="AA5" s="19">
        <f>AE4-1.5*AE6</f>
        <v>-0.26491477605058605</v>
      </c>
      <c r="AB5" s="19">
        <f>AE5+1.5*AE6</f>
        <v>0.27270824630183538</v>
      </c>
      <c r="AD5" s="1" t="s">
        <v>248</v>
      </c>
      <c r="AE5" s="346">
        <f>_xlfn.QUARTILE.INC(G:G, 3)</f>
        <v>7.1099612919677355E-2</v>
      </c>
      <c r="AG5" s="1" t="s">
        <v>248</v>
      </c>
      <c r="AH5" s="346">
        <f>_xlfn.QUARTILE.INC(H:H, 3)</f>
        <v>6.5875229232138913E-2</v>
      </c>
      <c r="AN5" t="s">
        <v>65</v>
      </c>
      <c r="AO5" t="s">
        <v>66</v>
      </c>
      <c r="AP5" t="s">
        <v>67</v>
      </c>
      <c r="AS5" t="s">
        <v>68</v>
      </c>
      <c r="AT5" s="16">
        <v>44654</v>
      </c>
    </row>
    <row r="6" spans="1:46">
      <c r="A6" s="405">
        <v>45021</v>
      </c>
      <c r="B6" s="406">
        <f>IF(YEAR(Table7[[#This Row],[Date]]) = 2023, WEEKNUM(Table7[[#This Row],[Date]])-13, WEEKNUM(Table7[[#This Row],[Date]])+40)</f>
        <v>1</v>
      </c>
      <c r="C6" s="1" t="s">
        <v>51</v>
      </c>
      <c r="D6" s="1" t="s">
        <v>94</v>
      </c>
      <c r="E6" s="1">
        <v>856</v>
      </c>
      <c r="F6" s="1">
        <v>791</v>
      </c>
      <c r="G6" s="64">
        <v>-0.11478800413650465</v>
      </c>
      <c r="H6" s="64">
        <v>-0.12111111111111111</v>
      </c>
      <c r="I6" s="1">
        <v>3305</v>
      </c>
      <c r="J6" s="1">
        <v>3108</v>
      </c>
      <c r="K6" s="1">
        <v>3305</v>
      </c>
      <c r="L6" s="1">
        <v>3108</v>
      </c>
      <c r="M6" s="18">
        <v>0.77</v>
      </c>
      <c r="N6" s="18">
        <v>0.08</v>
      </c>
      <c r="O6" s="18">
        <v>0.92</v>
      </c>
      <c r="P6" s="18">
        <v>0.65</v>
      </c>
      <c r="Q6" s="157"/>
      <c r="R6" s="301">
        <v>300</v>
      </c>
      <c r="S6" s="158">
        <v>4.1666666666666664E-2</v>
      </c>
      <c r="T6" s="1">
        <v>14</v>
      </c>
      <c r="U6" s="354" t="str">
        <f t="shared" si="0"/>
        <v>Outlier</v>
      </c>
      <c r="V6" s="354" t="str">
        <f t="shared" si="1"/>
        <v>Outlier</v>
      </c>
      <c r="W6" s="81">
        <f t="shared" si="2"/>
        <v>-0.11478800413650465</v>
      </c>
      <c r="X6" s="81">
        <f t="shared" si="3"/>
        <v>-0.12111111111111111</v>
      </c>
      <c r="Z6" s="218" t="s">
        <v>34</v>
      </c>
      <c r="AA6" s="19">
        <f>AH4-1.5*AH6</f>
        <v>-0.26949279906156698</v>
      </c>
      <c r="AB6" s="19">
        <f>AH5+1.5*AH6</f>
        <v>0.26709604620836247</v>
      </c>
      <c r="AD6" s="65" t="s">
        <v>249</v>
      </c>
      <c r="AE6" s="347">
        <f>AE5-AE4</f>
        <v>0.13440575558810536</v>
      </c>
      <c r="AG6" s="65" t="s">
        <v>249</v>
      </c>
      <c r="AH6" s="347">
        <f>AH5-AH4</f>
        <v>0.13414721131748236</v>
      </c>
      <c r="AN6" s="21">
        <v>45020</v>
      </c>
      <c r="AO6" s="1">
        <v>3243</v>
      </c>
      <c r="AP6" s="1">
        <v>3049</v>
      </c>
      <c r="AS6" t="s">
        <v>69</v>
      </c>
      <c r="AT6" s="16">
        <v>44675</v>
      </c>
    </row>
    <row r="7" spans="1:46">
      <c r="A7" s="405">
        <v>45022</v>
      </c>
      <c r="B7" s="406">
        <f>IF(YEAR(Table7[[#This Row],[Date]]) = 2023, WEEKNUM(Table7[[#This Row],[Date]])-13, WEEKNUM(Table7[[#This Row],[Date]])+40)</f>
        <v>1</v>
      </c>
      <c r="C7" s="1" t="s">
        <v>52</v>
      </c>
      <c r="D7" s="1" t="s">
        <v>94</v>
      </c>
      <c r="E7" s="1">
        <v>834</v>
      </c>
      <c r="F7" s="1">
        <v>775</v>
      </c>
      <c r="G7" s="64">
        <v>-7.2302558398220251E-2</v>
      </c>
      <c r="H7" s="64">
        <v>-8.5005903187721374E-2</v>
      </c>
      <c r="I7" s="1">
        <v>4139</v>
      </c>
      <c r="J7" s="1">
        <v>3883</v>
      </c>
      <c r="K7" s="1">
        <v>4139</v>
      </c>
      <c r="L7" s="1">
        <v>3883</v>
      </c>
      <c r="M7" s="18">
        <v>0.76</v>
      </c>
      <c r="N7" s="18">
        <v>7.0000000000000007E-2</v>
      </c>
      <c r="O7" s="18">
        <v>0.93</v>
      </c>
      <c r="P7" s="18">
        <v>0.6</v>
      </c>
      <c r="Q7" s="157"/>
      <c r="R7" s="301">
        <v>300</v>
      </c>
      <c r="S7" s="143">
        <v>2.2916666666666669E-2</v>
      </c>
      <c r="T7" s="1">
        <v>15</v>
      </c>
      <c r="U7" s="354" t="str">
        <f t="shared" si="0"/>
        <v>Outlier</v>
      </c>
      <c r="V7" s="354" t="str">
        <f t="shared" si="1"/>
        <v>Outlier</v>
      </c>
      <c r="W7" s="81">
        <f t="shared" si="2"/>
        <v>-7.2302558398220251E-2</v>
      </c>
      <c r="X7" s="81">
        <f t="shared" si="3"/>
        <v>-8.5005903187721374E-2</v>
      </c>
      <c r="AN7" s="21">
        <v>45027</v>
      </c>
      <c r="AO7" s="1">
        <v>5529</v>
      </c>
      <c r="AP7" s="1">
        <v>5129</v>
      </c>
    </row>
    <row r="8" spans="1:46">
      <c r="A8" s="405">
        <v>45023</v>
      </c>
      <c r="B8" s="406">
        <f>IF(YEAR(Table7[[#This Row],[Date]]) = 2023, WEEKNUM(Table7[[#This Row],[Date]])-13, WEEKNUM(Table7[[#This Row],[Date]])+40)</f>
        <v>1</v>
      </c>
      <c r="C8" s="1" t="s">
        <v>64</v>
      </c>
      <c r="D8" s="1" t="s">
        <v>94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8">
        <v>0</v>
      </c>
      <c r="N8" s="18">
        <v>0</v>
      </c>
      <c r="O8" s="18">
        <v>0</v>
      </c>
      <c r="P8" s="18">
        <v>0</v>
      </c>
      <c r="Q8" s="157"/>
      <c r="R8" s="301">
        <v>0</v>
      </c>
      <c r="S8" s="143">
        <v>0</v>
      </c>
      <c r="T8" s="1">
        <v>0</v>
      </c>
      <c r="U8" s="354" t="str">
        <f t="shared" si="0"/>
        <v>Normal</v>
      </c>
      <c r="V8" s="354" t="str">
        <f t="shared" si="1"/>
        <v>Normal</v>
      </c>
      <c r="W8" s="81">
        <f t="shared" si="2"/>
        <v>0</v>
      </c>
      <c r="X8" s="81">
        <f t="shared" si="3"/>
        <v>0</v>
      </c>
      <c r="Z8" s="432" t="s">
        <v>250</v>
      </c>
      <c r="AA8" s="433"/>
      <c r="AD8" s="432" t="s">
        <v>251</v>
      </c>
      <c r="AE8" s="433"/>
      <c r="AN8" s="21">
        <v>45034</v>
      </c>
      <c r="AO8" s="1">
        <v>5066</v>
      </c>
      <c r="AP8" s="1">
        <v>4580</v>
      </c>
    </row>
    <row r="9" spans="1:46">
      <c r="A9" s="405">
        <v>45024</v>
      </c>
      <c r="B9" s="406">
        <f>IF(YEAR(Table7[[#This Row],[Date]]) = 2023, WEEKNUM(Table7[[#This Row],[Date]])-13, WEEKNUM(Table7[[#This Row],[Date]])+40)</f>
        <v>1</v>
      </c>
      <c r="C9" s="1" t="s">
        <v>54</v>
      </c>
      <c r="D9" s="1" t="s">
        <v>94</v>
      </c>
      <c r="E9" s="1">
        <v>680</v>
      </c>
      <c r="F9" s="1">
        <v>633</v>
      </c>
      <c r="G9" s="64">
        <v>-5.8479532163742687E-3</v>
      </c>
      <c r="H9" s="64">
        <v>4.975124378109453E-2</v>
      </c>
      <c r="I9" s="1">
        <v>4819</v>
      </c>
      <c r="J9" s="1">
        <v>4516</v>
      </c>
      <c r="K9" s="1">
        <v>4819</v>
      </c>
      <c r="L9" s="1">
        <v>4516</v>
      </c>
      <c r="M9" s="18">
        <v>0.8</v>
      </c>
      <c r="N9" s="18">
        <v>7.0000000000000007E-2</v>
      </c>
      <c r="O9" s="18">
        <v>0.93</v>
      </c>
      <c r="P9" s="18">
        <v>0.61</v>
      </c>
      <c r="Q9" s="157"/>
      <c r="R9" s="301">
        <v>300</v>
      </c>
      <c r="S9" s="143">
        <v>2.2916666666666669E-2</v>
      </c>
      <c r="T9" s="1">
        <v>12</v>
      </c>
      <c r="U9" s="354" t="str">
        <f t="shared" si="0"/>
        <v>Outlier</v>
      </c>
      <c r="V9" s="354" t="str">
        <f t="shared" si="1"/>
        <v>Outlier</v>
      </c>
      <c r="W9" s="81">
        <f t="shared" si="2"/>
        <v>-5.8479532163742687E-3</v>
      </c>
      <c r="X9" s="81">
        <f t="shared" si="3"/>
        <v>4.975124378109453E-2</v>
      </c>
      <c r="Z9" s="1" t="s">
        <v>252</v>
      </c>
      <c r="AA9" s="64">
        <f>AVERAGE(G2:G367)</f>
        <v>1.5661376805663478E-2</v>
      </c>
      <c r="AD9" s="1" t="s">
        <v>252</v>
      </c>
      <c r="AE9" s="64">
        <f>AVERAGE(H2:H367)</f>
        <v>9.762980341289652E-3</v>
      </c>
      <c r="AN9" s="21">
        <v>45041</v>
      </c>
      <c r="AO9" s="1">
        <v>5819</v>
      </c>
      <c r="AP9" s="1">
        <v>4985</v>
      </c>
    </row>
    <row r="10" spans="1:46">
      <c r="A10" s="405">
        <v>45025</v>
      </c>
      <c r="B10" s="406">
        <f>IF(YEAR(Table7[[#This Row],[Date]]) = 2023, WEEKNUM(Table7[[#This Row],[Date]])-13, WEEKNUM(Table7[[#This Row],[Date]])+40)</f>
        <v>2</v>
      </c>
      <c r="C10" s="1" t="s">
        <v>48</v>
      </c>
      <c r="D10" s="1" t="s">
        <v>94</v>
      </c>
      <c r="E10" s="1">
        <v>0</v>
      </c>
      <c r="F10" s="1">
        <v>0</v>
      </c>
      <c r="G10" s="64">
        <v>0</v>
      </c>
      <c r="H10" s="64">
        <v>0</v>
      </c>
      <c r="I10" s="1">
        <v>0</v>
      </c>
      <c r="J10" s="1">
        <v>0</v>
      </c>
      <c r="K10" s="1">
        <v>0</v>
      </c>
      <c r="L10" s="1">
        <v>0</v>
      </c>
      <c r="M10" s="18">
        <v>0</v>
      </c>
      <c r="N10" s="18">
        <v>0</v>
      </c>
      <c r="O10" s="18">
        <v>0</v>
      </c>
      <c r="P10" s="18">
        <v>0</v>
      </c>
      <c r="Q10" s="157"/>
      <c r="R10" s="301">
        <v>0</v>
      </c>
      <c r="S10" s="158">
        <v>0</v>
      </c>
      <c r="T10" s="1">
        <v>0</v>
      </c>
      <c r="U10" s="354" t="str">
        <f t="shared" si="0"/>
        <v>Normal</v>
      </c>
      <c r="V10" s="354" t="str">
        <f t="shared" si="1"/>
        <v>Normal</v>
      </c>
      <c r="W10" s="81">
        <f t="shared" si="2"/>
        <v>0</v>
      </c>
      <c r="X10" s="81">
        <f t="shared" si="3"/>
        <v>0</v>
      </c>
      <c r="Z10" s="1" t="s">
        <v>253</v>
      </c>
      <c r="AA10" s="19">
        <f>MEDIAN(G2:G367)</f>
        <v>0</v>
      </c>
      <c r="AD10" s="1" t="s">
        <v>253</v>
      </c>
      <c r="AE10" s="19">
        <f>MEDIAN(H2:H367)</f>
        <v>0</v>
      </c>
      <c r="AN10" s="21">
        <v>45048</v>
      </c>
      <c r="AO10" s="1">
        <v>5436</v>
      </c>
      <c r="AP10" s="1">
        <v>4917</v>
      </c>
    </row>
    <row r="11" spans="1:46">
      <c r="A11" s="405">
        <v>45026</v>
      </c>
      <c r="B11" s="406">
        <f>IF(YEAR(Table7[[#This Row],[Date]]) = 2023, WEEKNUM(Table7[[#This Row],[Date]])-13, WEEKNUM(Table7[[#This Row],[Date]])+40)</f>
        <v>2</v>
      </c>
      <c r="C11" s="1" t="s">
        <v>64</v>
      </c>
      <c r="D11" s="1" t="s">
        <v>94</v>
      </c>
      <c r="E11" s="1">
        <v>0</v>
      </c>
      <c r="F11" s="1">
        <v>0</v>
      </c>
      <c r="G11" s="64">
        <v>0</v>
      </c>
      <c r="H11" s="64">
        <v>0</v>
      </c>
      <c r="I11" s="1">
        <v>0</v>
      </c>
      <c r="J11" s="1">
        <v>0</v>
      </c>
      <c r="K11" s="1">
        <v>0</v>
      </c>
      <c r="L11" s="1">
        <v>0</v>
      </c>
      <c r="M11" s="18">
        <v>0</v>
      </c>
      <c r="N11" s="18">
        <v>0</v>
      </c>
      <c r="O11" s="18">
        <v>0</v>
      </c>
      <c r="P11" s="18">
        <v>0</v>
      </c>
      <c r="Q11" s="157"/>
      <c r="R11" s="301">
        <v>0</v>
      </c>
      <c r="S11" s="158">
        <v>0</v>
      </c>
      <c r="T11" s="1">
        <v>0</v>
      </c>
      <c r="U11" s="354" t="str">
        <f t="shared" si="0"/>
        <v>Normal</v>
      </c>
      <c r="V11" s="354" t="str">
        <f t="shared" si="1"/>
        <v>Normal</v>
      </c>
      <c r="W11" s="81">
        <f t="shared" si="2"/>
        <v>0</v>
      </c>
      <c r="X11" s="81">
        <f t="shared" si="3"/>
        <v>0</v>
      </c>
      <c r="Z11" s="1" t="s">
        <v>254</v>
      </c>
      <c r="AA11" s="17">
        <f>_xlfn.MODE.SNGL(G2:G123)</f>
        <v>0</v>
      </c>
      <c r="AD11" s="1" t="s">
        <v>254</v>
      </c>
      <c r="AE11" s="1">
        <f>_xlfn.MODE.SNGL(J2:J123)</f>
        <v>0</v>
      </c>
      <c r="AN11" s="21">
        <v>45055</v>
      </c>
      <c r="AO11" s="1">
        <v>5074</v>
      </c>
      <c r="AP11" s="1">
        <v>4385</v>
      </c>
    </row>
    <row r="12" spans="1:46">
      <c r="A12" s="405">
        <v>45027</v>
      </c>
      <c r="B12" s="406">
        <f>IF(YEAR(Table7[[#This Row],[Date]]) = 2023, WEEKNUM(Table7[[#This Row],[Date]])-13, WEEKNUM(Table7[[#This Row],[Date]])+40)</f>
        <v>2</v>
      </c>
      <c r="C12" s="1" t="s">
        <v>50</v>
      </c>
      <c r="D12" s="1" t="s">
        <v>94</v>
      </c>
      <c r="E12" s="1">
        <v>1095</v>
      </c>
      <c r="F12" s="1">
        <v>934</v>
      </c>
      <c r="G12" s="64">
        <v>0.25429553264604809</v>
      </c>
      <c r="H12" s="64">
        <v>9.8823529411764699E-2</v>
      </c>
      <c r="I12" s="1">
        <v>5914</v>
      </c>
      <c r="J12" s="1">
        <v>5450</v>
      </c>
      <c r="K12" s="1">
        <v>5914</v>
      </c>
      <c r="L12" s="1">
        <v>5450</v>
      </c>
      <c r="M12" s="18">
        <v>0.74</v>
      </c>
      <c r="N12" s="18">
        <v>0.15</v>
      </c>
      <c r="O12" s="18">
        <v>0.85</v>
      </c>
      <c r="P12" s="18">
        <v>0.7</v>
      </c>
      <c r="Q12" s="157"/>
      <c r="R12" s="301">
        <v>293</v>
      </c>
      <c r="S12" s="158">
        <v>7.9166666666666663E-2</v>
      </c>
      <c r="T12" s="1">
        <v>15</v>
      </c>
      <c r="U12" s="354" t="str">
        <f t="shared" si="0"/>
        <v>Outlier</v>
      </c>
      <c r="V12" s="354" t="str">
        <f t="shared" si="1"/>
        <v>Outlier</v>
      </c>
      <c r="W12" s="81">
        <f t="shared" si="2"/>
        <v>0.25429553264604809</v>
      </c>
      <c r="X12" s="81">
        <f t="shared" si="3"/>
        <v>9.8823529411764699E-2</v>
      </c>
      <c r="AN12" s="21">
        <v>45062</v>
      </c>
      <c r="AO12" s="1">
        <v>4844</v>
      </c>
      <c r="AP12" s="1">
        <v>4437</v>
      </c>
    </row>
    <row r="13" spans="1:46">
      <c r="A13" s="405">
        <v>45028</v>
      </c>
      <c r="B13" s="406">
        <f>IF(YEAR(Table7[[#This Row],[Date]]) = 2023, WEEKNUM(Table7[[#This Row],[Date]])-13, WEEKNUM(Table7[[#This Row],[Date]])+40)</f>
        <v>2</v>
      </c>
      <c r="C13" s="1" t="s">
        <v>51</v>
      </c>
      <c r="D13" s="1" t="s">
        <v>94</v>
      </c>
      <c r="E13" s="1">
        <v>953</v>
      </c>
      <c r="F13" s="1">
        <v>933</v>
      </c>
      <c r="G13" s="64">
        <v>0.11331775700934579</v>
      </c>
      <c r="H13" s="64">
        <v>0.179519595448799</v>
      </c>
      <c r="I13" s="1">
        <v>6867</v>
      </c>
      <c r="J13" s="1">
        <v>6383</v>
      </c>
      <c r="K13" s="1">
        <v>6867</v>
      </c>
      <c r="L13" s="1">
        <v>6383</v>
      </c>
      <c r="M13" s="18">
        <v>0.97</v>
      </c>
      <c r="N13" s="18">
        <v>0.02</v>
      </c>
      <c r="O13" s="18">
        <v>0.98</v>
      </c>
      <c r="P13" s="18">
        <v>0.73</v>
      </c>
      <c r="Q13" s="157"/>
      <c r="R13" s="301">
        <v>323</v>
      </c>
      <c r="S13" s="158">
        <v>4.8611111111111112E-3</v>
      </c>
      <c r="T13" s="1">
        <v>16</v>
      </c>
      <c r="U13" s="354" t="str">
        <f t="shared" si="0"/>
        <v>Outlier</v>
      </c>
      <c r="V13" s="354" t="str">
        <f t="shared" si="1"/>
        <v>Outlier</v>
      </c>
      <c r="W13" s="81">
        <f t="shared" si="2"/>
        <v>0.11331775700934579</v>
      </c>
      <c r="X13" s="81">
        <f t="shared" si="3"/>
        <v>0.179519595448799</v>
      </c>
      <c r="AN13" s="21">
        <v>45069</v>
      </c>
      <c r="AO13" s="1">
        <v>5245</v>
      </c>
      <c r="AP13" s="1">
        <v>3873</v>
      </c>
    </row>
    <row r="14" spans="1:46">
      <c r="A14" s="405">
        <v>45029</v>
      </c>
      <c r="B14" s="406">
        <f>IF(YEAR(Table7[[#This Row],[Date]]) = 2023, WEEKNUM(Table7[[#This Row],[Date]])-13, WEEKNUM(Table7[[#This Row],[Date]])+40)</f>
        <v>2</v>
      </c>
      <c r="C14" s="1" t="s">
        <v>52</v>
      </c>
      <c r="D14" s="1" t="s">
        <v>94</v>
      </c>
      <c r="E14" s="1">
        <v>875</v>
      </c>
      <c r="F14" s="1">
        <v>859</v>
      </c>
      <c r="G14" s="64">
        <v>4.9160671462829736E-2</v>
      </c>
      <c r="H14" s="64">
        <v>0.10838709677419354</v>
      </c>
      <c r="I14" s="1">
        <v>7742</v>
      </c>
      <c r="J14" s="1">
        <v>7242</v>
      </c>
      <c r="K14" s="1">
        <v>7742</v>
      </c>
      <c r="L14" s="1">
        <v>7242</v>
      </c>
      <c r="M14" s="18">
        <v>0.95</v>
      </c>
      <c r="N14" s="18">
        <v>0.02</v>
      </c>
      <c r="O14" s="18">
        <v>0.98</v>
      </c>
      <c r="P14" s="18">
        <v>0.45</v>
      </c>
      <c r="Q14" s="157"/>
      <c r="R14" s="301">
        <v>258</v>
      </c>
      <c r="S14" s="158">
        <v>5.5555555555555558E-3</v>
      </c>
      <c r="T14" s="1">
        <v>19</v>
      </c>
      <c r="U14" s="354" t="str">
        <f t="shared" si="0"/>
        <v>Outlier</v>
      </c>
      <c r="V14" s="354" t="str">
        <f t="shared" si="1"/>
        <v>Outlier</v>
      </c>
      <c r="W14" s="81">
        <f t="shared" si="2"/>
        <v>4.9160671462829736E-2</v>
      </c>
      <c r="X14" s="81">
        <f t="shared" si="3"/>
        <v>0.10838709677419354</v>
      </c>
      <c r="Z14" s="413" t="s">
        <v>256</v>
      </c>
      <c r="AA14" s="1" t="s">
        <v>259</v>
      </c>
      <c r="AB14" s="1" t="s">
        <v>258</v>
      </c>
      <c r="AC14" s="1" t="s">
        <v>260</v>
      </c>
      <c r="AD14" s="1" t="s">
        <v>261</v>
      </c>
      <c r="AN14" s="21">
        <v>45076</v>
      </c>
      <c r="AO14" s="1">
        <v>1895</v>
      </c>
      <c r="AP14" s="1">
        <v>1700</v>
      </c>
    </row>
    <row r="15" spans="1:46">
      <c r="A15" s="405">
        <v>45030</v>
      </c>
      <c r="B15" s="406">
        <f>IF(YEAR(Table7[[#This Row],[Date]]) = 2023, WEEKNUM(Table7[[#This Row],[Date]])-13, WEEKNUM(Table7[[#This Row],[Date]])+40)</f>
        <v>2</v>
      </c>
      <c r="C15" s="1" t="s">
        <v>53</v>
      </c>
      <c r="D15" s="1" t="s">
        <v>94</v>
      </c>
      <c r="E15" s="1">
        <v>904</v>
      </c>
      <c r="F15" s="1">
        <v>828</v>
      </c>
      <c r="G15" s="64">
        <v>0</v>
      </c>
      <c r="H15" s="64">
        <v>0</v>
      </c>
      <c r="I15" s="1">
        <v>8646</v>
      </c>
      <c r="J15" s="1">
        <v>8070</v>
      </c>
      <c r="K15" s="1">
        <v>8646</v>
      </c>
      <c r="L15" s="1">
        <v>8070</v>
      </c>
      <c r="M15" s="18">
        <v>0.72</v>
      </c>
      <c r="N15" s="18">
        <v>0.08</v>
      </c>
      <c r="O15" s="18">
        <v>0.92</v>
      </c>
      <c r="P15" s="18">
        <v>0.68</v>
      </c>
      <c r="Q15" s="157"/>
      <c r="R15" s="301">
        <v>299</v>
      </c>
      <c r="S15" s="158">
        <v>2.9166666666666664E-2</v>
      </c>
      <c r="T15" s="1">
        <v>14</v>
      </c>
      <c r="U15" s="354" t="str">
        <f t="shared" si="0"/>
        <v>Outlier</v>
      </c>
      <c r="V15" s="354" t="str">
        <f t="shared" si="1"/>
        <v>Outlier</v>
      </c>
      <c r="W15" s="81">
        <f t="shared" si="2"/>
        <v>0</v>
      </c>
      <c r="X15" s="81">
        <f t="shared" si="3"/>
        <v>0</v>
      </c>
      <c r="Z15" s="414">
        <v>0</v>
      </c>
      <c r="AA15" s="293">
        <v>684</v>
      </c>
      <c r="AB15" s="293">
        <v>603</v>
      </c>
      <c r="AC15" s="64">
        <v>0.35499999999999998</v>
      </c>
      <c r="AD15" s="64">
        <v>0.38</v>
      </c>
      <c r="AN15" s="21">
        <v>45083</v>
      </c>
      <c r="AO15" s="1">
        <v>0</v>
      </c>
      <c r="AP15" s="1">
        <v>0</v>
      </c>
    </row>
    <row r="16" spans="1:46">
      <c r="A16" s="405">
        <v>45031</v>
      </c>
      <c r="B16" s="406">
        <f>IF(YEAR(Table7[[#This Row],[Date]]) = 2023, WEEKNUM(Table7[[#This Row],[Date]])-13, WEEKNUM(Table7[[#This Row],[Date]])+40)</f>
        <v>2</v>
      </c>
      <c r="C16" s="1" t="s">
        <v>54</v>
      </c>
      <c r="D16" s="1" t="s">
        <v>94</v>
      </c>
      <c r="E16" s="1">
        <v>757</v>
      </c>
      <c r="F16" s="1">
        <v>680</v>
      </c>
      <c r="G16" s="64">
        <v>0.11323529411764706</v>
      </c>
      <c r="H16" s="64">
        <v>7.4249605055292253E-2</v>
      </c>
      <c r="I16" s="1">
        <v>9403</v>
      </c>
      <c r="J16" s="1">
        <v>8750</v>
      </c>
      <c r="K16" s="1">
        <v>9403</v>
      </c>
      <c r="L16" s="1">
        <v>8750</v>
      </c>
      <c r="M16" s="18">
        <v>0.87</v>
      </c>
      <c r="N16" s="18">
        <v>0.1</v>
      </c>
      <c r="O16" s="18">
        <v>0.9</v>
      </c>
      <c r="P16" s="18">
        <v>0.43</v>
      </c>
      <c r="Q16" s="157"/>
      <c r="R16" s="301">
        <v>260</v>
      </c>
      <c r="S16" s="158">
        <v>6.2499999999999995E-3</v>
      </c>
      <c r="T16" s="1">
        <v>16</v>
      </c>
      <c r="U16" s="354" t="str">
        <f t="shared" si="0"/>
        <v>Outlier</v>
      </c>
      <c r="V16" s="354" t="str">
        <f t="shared" si="1"/>
        <v>Outlier</v>
      </c>
      <c r="W16" s="81">
        <f t="shared" si="2"/>
        <v>0.11323529411764706</v>
      </c>
      <c r="X16" s="81">
        <f t="shared" si="3"/>
        <v>7.4249605055292253E-2</v>
      </c>
      <c r="Z16" s="414">
        <v>1</v>
      </c>
      <c r="AA16" s="293">
        <v>4135</v>
      </c>
      <c r="AB16" s="293">
        <v>3913</v>
      </c>
      <c r="AC16" s="64">
        <v>0.59285714285714275</v>
      </c>
      <c r="AD16" s="64">
        <v>0.44285714285714289</v>
      </c>
      <c r="AN16" s="21">
        <v>45090</v>
      </c>
      <c r="AO16" s="1">
        <v>0</v>
      </c>
      <c r="AP16" s="1">
        <v>0</v>
      </c>
    </row>
    <row r="17" spans="1:42">
      <c r="A17" s="405">
        <v>45032</v>
      </c>
      <c r="B17" s="406">
        <f>IF(YEAR(Table7[[#This Row],[Date]]) = 2023, WEEKNUM(Table7[[#This Row],[Date]])-13, WEEKNUM(Table7[[#This Row],[Date]])+40)</f>
        <v>3</v>
      </c>
      <c r="C17" s="1" t="s">
        <v>48</v>
      </c>
      <c r="D17" s="1" t="s">
        <v>94</v>
      </c>
      <c r="E17" s="1">
        <v>0</v>
      </c>
      <c r="F17" s="1">
        <v>0</v>
      </c>
      <c r="G17" s="64">
        <v>0</v>
      </c>
      <c r="H17" s="64">
        <v>0</v>
      </c>
      <c r="I17" s="1">
        <v>0</v>
      </c>
      <c r="J17" s="1">
        <v>0</v>
      </c>
      <c r="K17" s="1">
        <v>0</v>
      </c>
      <c r="L17" s="1">
        <v>0</v>
      </c>
      <c r="M17" s="18">
        <v>0</v>
      </c>
      <c r="N17" s="18">
        <v>0</v>
      </c>
      <c r="O17" s="18">
        <v>0</v>
      </c>
      <c r="P17" s="18">
        <v>0</v>
      </c>
      <c r="Q17" s="157"/>
      <c r="R17" s="301">
        <v>0</v>
      </c>
      <c r="S17" s="158">
        <v>0</v>
      </c>
      <c r="T17" s="1">
        <v>0</v>
      </c>
      <c r="U17" s="354" t="str">
        <f t="shared" si="0"/>
        <v>Normal</v>
      </c>
      <c r="V17" s="354" t="str">
        <f t="shared" si="1"/>
        <v>Normal</v>
      </c>
      <c r="W17" s="81">
        <f t="shared" si="2"/>
        <v>0</v>
      </c>
      <c r="X17" s="81">
        <f t="shared" si="3"/>
        <v>0</v>
      </c>
      <c r="Z17" s="414">
        <v>2</v>
      </c>
      <c r="AA17" s="293">
        <v>4584</v>
      </c>
      <c r="AB17" s="293">
        <v>4234</v>
      </c>
      <c r="AC17" s="64">
        <v>0.6071428571428571</v>
      </c>
      <c r="AD17" s="64">
        <v>0.42714285714285716</v>
      </c>
      <c r="AN17" s="21">
        <v>45097</v>
      </c>
      <c r="AO17" s="1">
        <v>0</v>
      </c>
      <c r="AP17" s="1">
        <v>0</v>
      </c>
    </row>
    <row r="18" spans="1:42">
      <c r="A18" s="405">
        <v>45033</v>
      </c>
      <c r="B18" s="406">
        <f>IF(YEAR(Table7[[#This Row],[Date]]) = 2023, WEEKNUM(Table7[[#This Row],[Date]])-13, WEEKNUM(Table7[[#This Row],[Date]])+40)</f>
        <v>3</v>
      </c>
      <c r="C18" s="1" t="s">
        <v>49</v>
      </c>
      <c r="D18" s="1" t="s">
        <v>94</v>
      </c>
      <c r="E18" s="1">
        <v>945</v>
      </c>
      <c r="F18" s="1">
        <v>895</v>
      </c>
      <c r="G18" s="64">
        <v>0</v>
      </c>
      <c r="H18" s="64">
        <v>0</v>
      </c>
      <c r="I18" s="1">
        <v>10348</v>
      </c>
      <c r="J18" s="1">
        <v>9645</v>
      </c>
      <c r="K18" s="1">
        <v>10348</v>
      </c>
      <c r="L18" s="1">
        <v>9645</v>
      </c>
      <c r="M18" s="18">
        <v>0.82</v>
      </c>
      <c r="N18" s="18">
        <v>0.05</v>
      </c>
      <c r="O18" s="18">
        <v>0.95</v>
      </c>
      <c r="P18" s="18">
        <v>0.61</v>
      </c>
      <c r="Q18" s="157"/>
      <c r="R18" s="302">
        <v>246</v>
      </c>
      <c r="S18" s="159">
        <v>1.8749999999999999E-2</v>
      </c>
      <c r="T18" s="1">
        <v>14</v>
      </c>
      <c r="U18" s="354" t="str">
        <f t="shared" si="0"/>
        <v>Outlier</v>
      </c>
      <c r="V18" s="354" t="str">
        <f t="shared" si="1"/>
        <v>Outlier</v>
      </c>
      <c r="W18" s="81">
        <f t="shared" si="2"/>
        <v>0</v>
      </c>
      <c r="X18" s="81">
        <f t="shared" si="3"/>
        <v>0</v>
      </c>
      <c r="Z18" s="414">
        <v>3</v>
      </c>
      <c r="AA18" s="293">
        <v>5019</v>
      </c>
      <c r="AB18" s="293">
        <v>4533</v>
      </c>
      <c r="AC18" s="64">
        <v>0.60428571428571431</v>
      </c>
      <c r="AD18" s="64">
        <v>0.64142857142857146</v>
      </c>
      <c r="AN18" s="21">
        <v>45104</v>
      </c>
      <c r="AO18" s="1">
        <v>0</v>
      </c>
      <c r="AP18" s="1">
        <v>0</v>
      </c>
    </row>
    <row r="19" spans="1:42">
      <c r="A19" s="405">
        <v>45034</v>
      </c>
      <c r="B19" s="406">
        <f>IF(YEAR(Table7[[#This Row],[Date]]) = 2023, WEEKNUM(Table7[[#This Row],[Date]])-13, WEEKNUM(Table7[[#This Row],[Date]])+40)</f>
        <v>3</v>
      </c>
      <c r="C19" s="1" t="s">
        <v>50</v>
      </c>
      <c r="D19" s="1" t="s">
        <v>94</v>
      </c>
      <c r="E19" s="1">
        <v>844</v>
      </c>
      <c r="F19" s="1">
        <v>741</v>
      </c>
      <c r="G19" s="64">
        <v>-0.22922374429223744</v>
      </c>
      <c r="H19" s="64">
        <v>-0.20663811563169165</v>
      </c>
      <c r="I19" s="1">
        <v>11192</v>
      </c>
      <c r="J19" s="1">
        <v>10386</v>
      </c>
      <c r="K19" s="1">
        <v>11192</v>
      </c>
      <c r="L19" s="1">
        <v>10386</v>
      </c>
      <c r="M19" s="18">
        <v>0.62</v>
      </c>
      <c r="N19" s="18">
        <v>0.12</v>
      </c>
      <c r="O19" s="18">
        <v>0.88</v>
      </c>
      <c r="P19" s="18">
        <v>0.91</v>
      </c>
      <c r="Q19" s="157"/>
      <c r="R19" s="302">
        <v>318</v>
      </c>
      <c r="S19" s="159">
        <v>4.0972222222222222E-2</v>
      </c>
      <c r="T19" s="1">
        <v>10</v>
      </c>
      <c r="U19" s="354" t="str">
        <f t="shared" si="0"/>
        <v>Outlier</v>
      </c>
      <c r="V19" s="354" t="str">
        <f t="shared" si="1"/>
        <v>Outlier</v>
      </c>
      <c r="W19" s="81">
        <f t="shared" si="2"/>
        <v>-0.22922374429223744</v>
      </c>
      <c r="X19" s="81">
        <f t="shared" si="3"/>
        <v>-0.20663811563169165</v>
      </c>
      <c r="Z19" s="414">
        <v>4</v>
      </c>
      <c r="AA19" s="293">
        <v>5750</v>
      </c>
      <c r="AB19" s="293">
        <v>5019</v>
      </c>
      <c r="AC19" s="64">
        <v>0.54</v>
      </c>
      <c r="AD19" s="64">
        <v>0.67428571428571427</v>
      </c>
      <c r="AN19" s="21">
        <v>45111</v>
      </c>
      <c r="AO19" s="1">
        <v>0</v>
      </c>
      <c r="AP19" s="1">
        <v>0</v>
      </c>
    </row>
    <row r="20" spans="1:42">
      <c r="A20" s="405">
        <v>45035</v>
      </c>
      <c r="B20" s="406">
        <f>IF(YEAR(Table7[[#This Row],[Date]]) = 2023, WEEKNUM(Table7[[#This Row],[Date]])-13, WEEKNUM(Table7[[#This Row],[Date]])+40)</f>
        <v>3</v>
      </c>
      <c r="C20" s="1" t="s">
        <v>51</v>
      </c>
      <c r="D20" s="1" t="s">
        <v>94</v>
      </c>
      <c r="E20" s="1">
        <v>825</v>
      </c>
      <c r="F20" s="1">
        <v>752</v>
      </c>
      <c r="G20" s="64">
        <v>-0.13431269674711438</v>
      </c>
      <c r="H20" s="64">
        <v>-0.19399785637727759</v>
      </c>
      <c r="I20" s="1">
        <v>12017</v>
      </c>
      <c r="J20" s="1">
        <v>11138</v>
      </c>
      <c r="K20" s="1">
        <v>12017</v>
      </c>
      <c r="L20" s="1">
        <v>11138</v>
      </c>
      <c r="M20" s="18">
        <v>0.73</v>
      </c>
      <c r="N20" s="18">
        <v>0.09</v>
      </c>
      <c r="O20" s="18">
        <v>0.91</v>
      </c>
      <c r="P20" s="18">
        <v>0.72</v>
      </c>
      <c r="Q20" s="157"/>
      <c r="R20" s="301">
        <v>249</v>
      </c>
      <c r="S20" s="158">
        <v>2.4999999999999998E-2</v>
      </c>
      <c r="T20" s="1">
        <v>10</v>
      </c>
      <c r="U20" s="354" t="str">
        <f t="shared" si="0"/>
        <v>Outlier</v>
      </c>
      <c r="V20" s="354" t="str">
        <f t="shared" si="1"/>
        <v>Outlier</v>
      </c>
      <c r="W20" s="81">
        <f t="shared" si="2"/>
        <v>-0.13431269674711438</v>
      </c>
      <c r="X20" s="81">
        <f t="shared" si="3"/>
        <v>-0.19399785637727759</v>
      </c>
      <c r="Z20" s="414">
        <v>5</v>
      </c>
      <c r="AA20" s="293">
        <v>5563</v>
      </c>
      <c r="AB20" s="293">
        <v>4974</v>
      </c>
      <c r="AC20" s="64">
        <v>0.59571428571428575</v>
      </c>
      <c r="AD20" s="64">
        <v>0.65142857142857147</v>
      </c>
      <c r="AN20" s="21">
        <v>45118</v>
      </c>
      <c r="AO20" s="1">
        <v>0</v>
      </c>
      <c r="AP20" s="1">
        <v>0</v>
      </c>
    </row>
    <row r="21" spans="1:42">
      <c r="A21" s="405">
        <v>45036</v>
      </c>
      <c r="B21" s="406">
        <f>IF(YEAR(Table7[[#This Row],[Date]]) = 2023, WEEKNUM(Table7[[#This Row],[Date]])-13, WEEKNUM(Table7[[#This Row],[Date]])+40)</f>
        <v>3</v>
      </c>
      <c r="C21" s="1" t="s">
        <v>52</v>
      </c>
      <c r="D21" s="1" t="s">
        <v>94</v>
      </c>
      <c r="E21" s="1">
        <v>809</v>
      </c>
      <c r="F21" s="1">
        <v>752</v>
      </c>
      <c r="G21" s="64">
        <v>-7.5428571428571428E-2</v>
      </c>
      <c r="H21" s="64">
        <v>-0.12456344586728754</v>
      </c>
      <c r="I21" s="1">
        <v>12826</v>
      </c>
      <c r="J21" s="1">
        <v>11890</v>
      </c>
      <c r="K21" s="1">
        <v>12826</v>
      </c>
      <c r="L21" s="1">
        <v>11890</v>
      </c>
      <c r="M21" s="18">
        <v>0.75</v>
      </c>
      <c r="N21" s="18">
        <v>7.0000000000000007E-2</v>
      </c>
      <c r="O21" s="18">
        <v>0.93</v>
      </c>
      <c r="P21" s="18">
        <v>0.74</v>
      </c>
      <c r="Q21" s="157"/>
      <c r="R21" s="301">
        <v>281</v>
      </c>
      <c r="S21" s="158">
        <v>3.2638888888888891E-2</v>
      </c>
      <c r="T21" s="1">
        <v>11</v>
      </c>
      <c r="U21" s="354" t="str">
        <f t="shared" si="0"/>
        <v>Outlier</v>
      </c>
      <c r="V21" s="354" t="str">
        <f t="shared" si="1"/>
        <v>Outlier</v>
      </c>
      <c r="W21" s="81">
        <f t="shared" si="2"/>
        <v>-7.5428571428571428E-2</v>
      </c>
      <c r="X21" s="81">
        <f t="shared" si="3"/>
        <v>-0.12456344586728754</v>
      </c>
      <c r="Z21" s="414">
        <v>6</v>
      </c>
      <c r="AA21" s="293">
        <v>5096</v>
      </c>
      <c r="AB21" s="293">
        <v>4358</v>
      </c>
      <c r="AC21" s="64">
        <v>0.5485714285714286</v>
      </c>
      <c r="AD21" s="64">
        <v>0.7757142857142858</v>
      </c>
      <c r="AN21" s="21">
        <v>45125</v>
      </c>
      <c r="AO21" s="1">
        <v>0</v>
      </c>
      <c r="AP21" s="1">
        <v>0</v>
      </c>
    </row>
    <row r="22" spans="1:42">
      <c r="A22" s="405">
        <v>45037</v>
      </c>
      <c r="B22" s="406">
        <f>IF(YEAR(Table7[[#This Row],[Date]]) = 2023, WEEKNUM(Table7[[#This Row],[Date]])-13, WEEKNUM(Table7[[#This Row],[Date]])+40)</f>
        <v>3</v>
      </c>
      <c r="C22" s="1" t="s">
        <v>53</v>
      </c>
      <c r="D22" s="1" t="s">
        <v>94</v>
      </c>
      <c r="E22" s="1">
        <v>887</v>
      </c>
      <c r="F22" s="1">
        <v>743</v>
      </c>
      <c r="G22" s="64">
        <v>-1.8805309734513276E-2</v>
      </c>
      <c r="H22" s="64">
        <v>-0.10265700483091787</v>
      </c>
      <c r="I22" s="1">
        <v>13713</v>
      </c>
      <c r="J22" s="1">
        <v>12633</v>
      </c>
      <c r="K22" s="1">
        <v>13713</v>
      </c>
      <c r="L22" s="1">
        <v>12633</v>
      </c>
      <c r="M22" s="18">
        <v>0.54</v>
      </c>
      <c r="N22" s="18">
        <v>0.16</v>
      </c>
      <c r="O22" s="18">
        <v>0.84</v>
      </c>
      <c r="P22" s="18">
        <v>0.96</v>
      </c>
      <c r="Q22" s="157"/>
      <c r="R22" s="301">
        <v>300</v>
      </c>
      <c r="S22" s="158">
        <v>4.3750000000000004E-2</v>
      </c>
      <c r="T22" s="1">
        <v>9</v>
      </c>
      <c r="U22" s="354" t="str">
        <f t="shared" si="0"/>
        <v>Outlier</v>
      </c>
      <c r="V22" s="354" t="str">
        <f t="shared" si="1"/>
        <v>Outlier</v>
      </c>
      <c r="W22" s="81">
        <f t="shared" si="2"/>
        <v>-1.8805309734513276E-2</v>
      </c>
      <c r="X22" s="81">
        <f t="shared" si="3"/>
        <v>-0.10265700483091787</v>
      </c>
      <c r="Z22" s="414">
        <v>7</v>
      </c>
      <c r="AA22" s="293">
        <v>4807</v>
      </c>
      <c r="AB22" s="293">
        <v>4451</v>
      </c>
      <c r="AC22" s="64">
        <v>0.6785714285714286</v>
      </c>
      <c r="AD22" s="64">
        <v>0.60285714285714298</v>
      </c>
      <c r="AN22" s="21">
        <v>45132</v>
      </c>
      <c r="AO22" s="1">
        <v>0</v>
      </c>
      <c r="AP22" s="1">
        <v>0</v>
      </c>
    </row>
    <row r="23" spans="1:42">
      <c r="A23" s="405">
        <v>45038</v>
      </c>
      <c r="B23" s="406">
        <f>IF(YEAR(Table7[[#This Row],[Date]]) = 2023, WEEKNUM(Table7[[#This Row],[Date]])-13, WEEKNUM(Table7[[#This Row],[Date]])+40)</f>
        <v>3</v>
      </c>
      <c r="C23" s="1" t="s">
        <v>54</v>
      </c>
      <c r="D23" s="1" t="s">
        <v>94</v>
      </c>
      <c r="E23" s="1">
        <v>709</v>
      </c>
      <c r="F23" s="1">
        <v>650</v>
      </c>
      <c r="G23" s="64">
        <v>-6.3408190224570671E-2</v>
      </c>
      <c r="H23" s="64">
        <v>-4.4117647058823532E-2</v>
      </c>
      <c r="I23" s="1">
        <v>14422</v>
      </c>
      <c r="J23" s="1">
        <v>13283</v>
      </c>
      <c r="K23" s="1">
        <v>14422</v>
      </c>
      <c r="L23" s="1">
        <v>13283</v>
      </c>
      <c r="M23" s="18">
        <v>0.77</v>
      </c>
      <c r="N23" s="18">
        <v>0.08</v>
      </c>
      <c r="O23" s="18">
        <v>0.92</v>
      </c>
      <c r="P23" s="18">
        <v>0.55000000000000004</v>
      </c>
      <c r="Q23" s="157"/>
      <c r="R23" s="301">
        <v>240</v>
      </c>
      <c r="S23" s="158">
        <v>2.5694444444444447E-2</v>
      </c>
      <c r="T23" s="1">
        <v>11</v>
      </c>
      <c r="U23" s="354" t="str">
        <f t="shared" si="0"/>
        <v>Outlier</v>
      </c>
      <c r="V23" s="354" t="str">
        <f t="shared" si="1"/>
        <v>Outlier</v>
      </c>
      <c r="W23" s="81">
        <f t="shared" si="2"/>
        <v>-6.3408190224570671E-2</v>
      </c>
      <c r="X23" s="81">
        <f t="shared" si="3"/>
        <v>-4.4117647058823532E-2</v>
      </c>
      <c r="Z23" s="414">
        <v>8</v>
      </c>
      <c r="AA23" s="293">
        <v>5098</v>
      </c>
      <c r="AB23" s="293">
        <v>3811</v>
      </c>
      <c r="AC23" s="64">
        <v>0.29142857142857143</v>
      </c>
      <c r="AD23" s="64">
        <v>0.70571428571428563</v>
      </c>
      <c r="AN23" s="21">
        <v>45139</v>
      </c>
      <c r="AO23" s="1">
        <v>0</v>
      </c>
      <c r="AP23" s="1">
        <v>0</v>
      </c>
    </row>
    <row r="24" spans="1:42">
      <c r="A24" s="405">
        <v>45039</v>
      </c>
      <c r="B24" s="406">
        <f>IF(YEAR(Table7[[#This Row],[Date]]) = 2023, WEEKNUM(Table7[[#This Row],[Date]])-13, WEEKNUM(Table7[[#This Row],[Date]])+40)</f>
        <v>4</v>
      </c>
      <c r="C24" s="1" t="s">
        <v>48</v>
      </c>
      <c r="D24" s="1" t="s">
        <v>94</v>
      </c>
      <c r="E24" s="1">
        <v>0</v>
      </c>
      <c r="F24" s="1">
        <v>0</v>
      </c>
      <c r="G24" s="64">
        <v>0</v>
      </c>
      <c r="H24" s="64">
        <v>0</v>
      </c>
      <c r="I24" s="1">
        <v>0</v>
      </c>
      <c r="J24" s="1">
        <v>0</v>
      </c>
      <c r="K24" s="1">
        <v>0</v>
      </c>
      <c r="L24" s="1">
        <v>0</v>
      </c>
      <c r="M24" s="18">
        <v>0</v>
      </c>
      <c r="N24" s="18">
        <v>0</v>
      </c>
      <c r="O24" s="18">
        <v>0</v>
      </c>
      <c r="P24" s="18">
        <v>0</v>
      </c>
      <c r="Q24" s="157"/>
      <c r="R24" s="301">
        <v>0</v>
      </c>
      <c r="S24" s="158">
        <v>0</v>
      </c>
      <c r="T24" s="1">
        <v>0</v>
      </c>
      <c r="U24" s="354" t="str">
        <f t="shared" si="0"/>
        <v>Normal</v>
      </c>
      <c r="V24" s="354" t="str">
        <f t="shared" si="1"/>
        <v>Normal</v>
      </c>
      <c r="W24" s="81">
        <f t="shared" si="2"/>
        <v>0</v>
      </c>
      <c r="X24" s="81">
        <f t="shared" si="3"/>
        <v>0</v>
      </c>
      <c r="Z24" s="414">
        <v>9</v>
      </c>
      <c r="AA24" s="293">
        <v>5235</v>
      </c>
      <c r="AB24" s="293">
        <v>4537</v>
      </c>
      <c r="AC24" s="64">
        <v>0.52571428571428569</v>
      </c>
      <c r="AD24" s="64">
        <v>0.82285714285714284</v>
      </c>
      <c r="AN24" s="21">
        <v>45146</v>
      </c>
      <c r="AO24" s="1">
        <v>0</v>
      </c>
      <c r="AP24" s="1">
        <v>0</v>
      </c>
    </row>
    <row r="25" spans="1:42">
      <c r="A25" s="405">
        <v>45040</v>
      </c>
      <c r="B25" s="406">
        <f>IF(YEAR(Table7[[#This Row],[Date]]) = 2023, WEEKNUM(Table7[[#This Row],[Date]])-13, WEEKNUM(Table7[[#This Row],[Date]])+40)</f>
        <v>4</v>
      </c>
      <c r="C25" s="1" t="s">
        <v>49</v>
      </c>
      <c r="D25" s="1" t="s">
        <v>94</v>
      </c>
      <c r="E25" s="1">
        <v>992</v>
      </c>
      <c r="F25" s="1">
        <v>942</v>
      </c>
      <c r="G25" s="64">
        <v>4.9735449735449737E-2</v>
      </c>
      <c r="H25" s="64">
        <v>5.2513966480446927E-2</v>
      </c>
      <c r="I25" s="1">
        <v>15414</v>
      </c>
      <c r="J25" s="1">
        <v>14225</v>
      </c>
      <c r="K25" s="1">
        <v>15414</v>
      </c>
      <c r="L25" s="1">
        <v>14225</v>
      </c>
      <c r="M25" s="18">
        <v>0.87</v>
      </c>
      <c r="N25" s="18">
        <v>0.05</v>
      </c>
      <c r="O25" s="18">
        <v>0.95</v>
      </c>
      <c r="P25" s="18">
        <v>0.73</v>
      </c>
      <c r="Q25" s="157"/>
      <c r="R25" s="302">
        <v>262</v>
      </c>
      <c r="S25" s="159">
        <v>2.5694444444444447E-2</v>
      </c>
      <c r="T25" s="1">
        <v>13</v>
      </c>
      <c r="U25" s="354" t="str">
        <f t="shared" si="0"/>
        <v>Outlier</v>
      </c>
      <c r="V25" s="354" t="str">
        <f t="shared" si="1"/>
        <v>Outlier</v>
      </c>
      <c r="W25" s="81">
        <f t="shared" si="2"/>
        <v>4.9735449735449737E-2</v>
      </c>
      <c r="X25" s="81">
        <f t="shared" si="3"/>
        <v>5.2513966480446927E-2</v>
      </c>
      <c r="Z25" s="414">
        <v>10</v>
      </c>
      <c r="AA25" s="293">
        <v>5235</v>
      </c>
      <c r="AB25" s="293">
        <v>4972</v>
      </c>
      <c r="AC25" s="64">
        <v>0.69571428571428584</v>
      </c>
      <c r="AD25" s="64">
        <v>0.59285714285714286</v>
      </c>
      <c r="AN25" s="21">
        <v>45153</v>
      </c>
      <c r="AO25" s="1">
        <v>0</v>
      </c>
      <c r="AP25" s="1">
        <v>0</v>
      </c>
    </row>
    <row r="26" spans="1:42">
      <c r="A26" s="405">
        <v>45041</v>
      </c>
      <c r="B26" s="406">
        <f>IF(YEAR(Table7[[#This Row],[Date]]) = 2023, WEEKNUM(Table7[[#This Row],[Date]])-13, WEEKNUM(Table7[[#This Row],[Date]])+40)</f>
        <v>4</v>
      </c>
      <c r="C26" s="1" t="s">
        <v>50</v>
      </c>
      <c r="D26" s="1" t="s">
        <v>94</v>
      </c>
      <c r="E26" s="1">
        <v>957</v>
      </c>
      <c r="F26" s="1">
        <v>894</v>
      </c>
      <c r="G26" s="64">
        <v>0.13388625592417061</v>
      </c>
      <c r="H26" s="64">
        <v>0.20647773279352227</v>
      </c>
      <c r="I26" s="1">
        <v>16371</v>
      </c>
      <c r="J26" s="1">
        <v>15119</v>
      </c>
      <c r="K26" s="1">
        <v>16371</v>
      </c>
      <c r="L26" s="1">
        <v>15119</v>
      </c>
      <c r="M26" s="18">
        <v>0.77</v>
      </c>
      <c r="N26" s="18">
        <v>7.0000000000000007E-2</v>
      </c>
      <c r="O26" s="18">
        <v>0.93</v>
      </c>
      <c r="P26" s="18">
        <v>0.75</v>
      </c>
      <c r="Q26" s="157"/>
      <c r="R26" s="301">
        <v>281</v>
      </c>
      <c r="S26" s="158">
        <v>2.1527777777777781E-2</v>
      </c>
      <c r="T26" s="1">
        <v>13</v>
      </c>
      <c r="U26" s="354" t="str">
        <f t="shared" si="0"/>
        <v>Outlier</v>
      </c>
      <c r="V26" s="354" t="str">
        <f t="shared" si="1"/>
        <v>Outlier</v>
      </c>
      <c r="W26" s="81">
        <f t="shared" si="2"/>
        <v>0.13388625592417061</v>
      </c>
      <c r="X26" s="81">
        <f t="shared" si="3"/>
        <v>0.20647773279352227</v>
      </c>
      <c r="Z26" s="414">
        <v>11</v>
      </c>
      <c r="AA26" s="293">
        <v>5794</v>
      </c>
      <c r="AB26" s="293">
        <v>5336</v>
      </c>
      <c r="AC26" s="64">
        <v>0.69000000000000006</v>
      </c>
      <c r="AD26" s="64">
        <v>0.66285714285714292</v>
      </c>
      <c r="AN26" s="21">
        <v>45160</v>
      </c>
      <c r="AO26" s="1">
        <v>0</v>
      </c>
      <c r="AP26" s="1">
        <v>0</v>
      </c>
    </row>
    <row r="27" spans="1:42">
      <c r="A27" s="405">
        <v>45042</v>
      </c>
      <c r="B27" s="406">
        <f>IF(YEAR(Table7[[#This Row],[Date]]) = 2023, WEEKNUM(Table7[[#This Row],[Date]])-13, WEEKNUM(Table7[[#This Row],[Date]])+40)</f>
        <v>4</v>
      </c>
      <c r="C27" s="1" t="s">
        <v>51</v>
      </c>
      <c r="D27" s="1" t="s">
        <v>94</v>
      </c>
      <c r="E27" s="1">
        <v>1101</v>
      </c>
      <c r="F27" s="1">
        <v>912</v>
      </c>
      <c r="G27" s="64">
        <v>0.33454545454545453</v>
      </c>
      <c r="H27" s="64">
        <v>0.21276595744680851</v>
      </c>
      <c r="I27" s="1">
        <v>17472</v>
      </c>
      <c r="J27" s="1">
        <v>16031</v>
      </c>
      <c r="K27" s="1">
        <v>17472</v>
      </c>
      <c r="L27" s="1">
        <v>16031</v>
      </c>
      <c r="M27" s="18">
        <v>0.47</v>
      </c>
      <c r="N27" s="18">
        <v>0.17</v>
      </c>
      <c r="O27" s="18">
        <v>0.83</v>
      </c>
      <c r="P27" s="18">
        <v>0.87</v>
      </c>
      <c r="Q27" s="157"/>
      <c r="R27" s="301">
        <v>322</v>
      </c>
      <c r="S27" s="158">
        <v>6.25E-2</v>
      </c>
      <c r="T27" s="1">
        <v>13</v>
      </c>
      <c r="U27" s="354" t="str">
        <f t="shared" si="0"/>
        <v>Outlier</v>
      </c>
      <c r="V27" s="354" t="str">
        <f t="shared" si="1"/>
        <v>Outlier</v>
      </c>
      <c r="W27" s="81">
        <f t="shared" si="2"/>
        <v>0.33454545454545453</v>
      </c>
      <c r="X27" s="81">
        <f t="shared" si="3"/>
        <v>0.21276595744680851</v>
      </c>
      <c r="Z27" s="414">
        <v>12</v>
      </c>
      <c r="AA27" s="293">
        <v>5721</v>
      </c>
      <c r="AB27" s="293">
        <v>5165</v>
      </c>
      <c r="AC27" s="64">
        <v>0.59428571428571431</v>
      </c>
      <c r="AD27" s="64">
        <v>0.64714285714285713</v>
      </c>
      <c r="AN27" s="21">
        <v>45167</v>
      </c>
      <c r="AO27" s="1">
        <v>0</v>
      </c>
      <c r="AP27" s="1">
        <v>0</v>
      </c>
    </row>
    <row r="28" spans="1:42">
      <c r="A28" s="405">
        <v>45043</v>
      </c>
      <c r="B28" s="406">
        <f>IF(YEAR(Table7[[#This Row],[Date]]) = 2023, WEEKNUM(Table7[[#This Row],[Date]])-13, WEEKNUM(Table7[[#This Row],[Date]])+40)</f>
        <v>4</v>
      </c>
      <c r="C28" s="1" t="s">
        <v>52</v>
      </c>
      <c r="D28" s="1" t="s">
        <v>94</v>
      </c>
      <c r="E28" s="1">
        <v>931</v>
      </c>
      <c r="F28" s="1">
        <v>850</v>
      </c>
      <c r="G28" s="64">
        <v>0.15080346106304079</v>
      </c>
      <c r="H28" s="64">
        <v>0.13031914893617022</v>
      </c>
      <c r="I28" s="1">
        <v>18403</v>
      </c>
      <c r="J28" s="1">
        <v>16881</v>
      </c>
      <c r="K28" s="1">
        <v>18403</v>
      </c>
      <c r="L28" s="1">
        <v>16881</v>
      </c>
      <c r="M28" s="18">
        <v>0.73</v>
      </c>
      <c r="N28" s="18">
        <v>0.09</v>
      </c>
      <c r="O28" s="18">
        <v>0.91</v>
      </c>
      <c r="P28" s="18">
        <v>0.84</v>
      </c>
      <c r="Q28" s="157"/>
      <c r="R28" s="301">
        <v>307</v>
      </c>
      <c r="S28" s="158">
        <v>2.6388888888888889E-2</v>
      </c>
      <c r="T28" s="1">
        <v>12</v>
      </c>
      <c r="U28" s="354" t="str">
        <f t="shared" si="0"/>
        <v>Outlier</v>
      </c>
      <c r="V28" s="354" t="str">
        <f t="shared" si="1"/>
        <v>Outlier</v>
      </c>
      <c r="W28" s="81">
        <f t="shared" si="2"/>
        <v>0.15080346106304079</v>
      </c>
      <c r="X28" s="81">
        <f t="shared" si="3"/>
        <v>0.13031914893617022</v>
      </c>
      <c r="Z28" s="414">
        <v>13</v>
      </c>
      <c r="AA28" s="293">
        <v>5532</v>
      </c>
      <c r="AB28" s="293">
        <v>5158</v>
      </c>
      <c r="AC28" s="64">
        <v>0.80999999999999994</v>
      </c>
      <c r="AD28" s="64">
        <v>0.58714285714285708</v>
      </c>
      <c r="AN28" s="21">
        <v>45174</v>
      </c>
      <c r="AO28" s="1">
        <v>0</v>
      </c>
      <c r="AP28" s="1">
        <v>0</v>
      </c>
    </row>
    <row r="29" spans="1:42">
      <c r="A29" s="405">
        <v>45044</v>
      </c>
      <c r="B29" s="406">
        <f>IF(YEAR(Table7[[#This Row],[Date]]) = 2023, WEEKNUM(Table7[[#This Row],[Date]])-13, WEEKNUM(Table7[[#This Row],[Date]])+40)</f>
        <v>4</v>
      </c>
      <c r="C29" s="1" t="s">
        <v>53</v>
      </c>
      <c r="D29" s="1" t="s">
        <v>94</v>
      </c>
      <c r="E29" s="1">
        <v>1002</v>
      </c>
      <c r="F29" s="1">
        <v>846</v>
      </c>
      <c r="G29" s="64">
        <v>0.12965050732807215</v>
      </c>
      <c r="H29" s="64">
        <v>0.1386271870794078</v>
      </c>
      <c r="I29" s="1">
        <v>19405</v>
      </c>
      <c r="J29" s="1">
        <v>17727</v>
      </c>
      <c r="K29" s="1">
        <v>19405</v>
      </c>
      <c r="L29" s="1">
        <v>17727</v>
      </c>
      <c r="M29" s="18">
        <v>0.54</v>
      </c>
      <c r="N29" s="18">
        <v>0.16</v>
      </c>
      <c r="O29" s="18">
        <v>0.84</v>
      </c>
      <c r="P29" s="18">
        <v>0.78</v>
      </c>
      <c r="Q29" s="157"/>
      <c r="R29" s="301">
        <v>288</v>
      </c>
      <c r="S29" s="158">
        <v>5.2777777777777778E-2</v>
      </c>
      <c r="T29" s="1">
        <v>12</v>
      </c>
      <c r="U29" s="354" t="str">
        <f t="shared" si="0"/>
        <v>Outlier</v>
      </c>
      <c r="V29" s="354" t="str">
        <f t="shared" si="1"/>
        <v>Outlier</v>
      </c>
      <c r="W29" s="81">
        <f t="shared" si="2"/>
        <v>0.12965050732807215</v>
      </c>
      <c r="X29" s="81">
        <f t="shared" si="3"/>
        <v>0.1386271870794078</v>
      </c>
      <c r="Z29" s="414">
        <v>14</v>
      </c>
      <c r="AA29" s="293">
        <v>5554</v>
      </c>
      <c r="AB29" s="293">
        <v>5083</v>
      </c>
      <c r="AC29" s="64">
        <v>0.65285714285714291</v>
      </c>
      <c r="AD29" s="64">
        <v>0.63285714285714278</v>
      </c>
      <c r="AN29" s="21">
        <v>45181</v>
      </c>
      <c r="AO29" s="1">
        <v>0</v>
      </c>
      <c r="AP29" s="1">
        <v>0</v>
      </c>
    </row>
    <row r="30" spans="1:42">
      <c r="A30" s="405">
        <v>45045</v>
      </c>
      <c r="B30" s="406">
        <f>IF(YEAR(Table7[[#This Row],[Date]]) = 2023, WEEKNUM(Table7[[#This Row],[Date]])-13, WEEKNUM(Table7[[#This Row],[Date]])+40)</f>
        <v>4</v>
      </c>
      <c r="C30" s="1" t="s">
        <v>54</v>
      </c>
      <c r="D30" s="1" t="s">
        <v>94</v>
      </c>
      <c r="E30" s="1">
        <v>767</v>
      </c>
      <c r="F30" s="1">
        <v>575</v>
      </c>
      <c r="G30" s="64">
        <v>8.1805359661495061E-2</v>
      </c>
      <c r="H30" s="64">
        <v>-0.11538461538461539</v>
      </c>
      <c r="I30" s="1">
        <v>20172</v>
      </c>
      <c r="J30" s="1">
        <v>18302</v>
      </c>
      <c r="K30" s="1">
        <v>20172</v>
      </c>
      <c r="L30" s="1">
        <v>18302</v>
      </c>
      <c r="M30" s="18">
        <v>0.4</v>
      </c>
      <c r="N30" s="18">
        <v>0.25</v>
      </c>
      <c r="O30" s="18">
        <v>0.75</v>
      </c>
      <c r="P30" s="18">
        <v>0.75</v>
      </c>
      <c r="Q30" s="157"/>
      <c r="R30" s="301">
        <v>304</v>
      </c>
      <c r="S30" s="158">
        <v>0.11875000000000001</v>
      </c>
      <c r="T30" s="1">
        <v>9</v>
      </c>
      <c r="U30" s="354" t="str">
        <f t="shared" si="0"/>
        <v>Outlier</v>
      </c>
      <c r="V30" s="354" t="str">
        <f t="shared" si="1"/>
        <v>Outlier</v>
      </c>
      <c r="W30" s="81">
        <f t="shared" si="2"/>
        <v>8.1805359661495061E-2</v>
      </c>
      <c r="X30" s="81">
        <f t="shared" si="3"/>
        <v>-0.11538461538461539</v>
      </c>
      <c r="Z30" s="414">
        <v>15</v>
      </c>
      <c r="AA30" s="293">
        <v>5795</v>
      </c>
      <c r="AB30" s="293">
        <v>5452</v>
      </c>
      <c r="AC30" s="64">
        <v>0.71571428571428564</v>
      </c>
      <c r="AD30" s="64">
        <v>0.62428571428571433</v>
      </c>
      <c r="AN30" s="21">
        <v>45188</v>
      </c>
      <c r="AO30" s="1">
        <v>0</v>
      </c>
      <c r="AP30" s="1">
        <v>0</v>
      </c>
    </row>
    <row r="31" spans="1:42">
      <c r="A31" s="405">
        <v>45046</v>
      </c>
      <c r="B31" s="406">
        <f>IF(YEAR(Table7[[#This Row],[Date]]) = 2023, WEEKNUM(Table7[[#This Row],[Date]])-13, WEEKNUM(Table7[[#This Row],[Date]])+40)</f>
        <v>5</v>
      </c>
      <c r="C31" s="1" t="s">
        <v>48</v>
      </c>
      <c r="D31" s="1" t="s">
        <v>94</v>
      </c>
      <c r="E31" s="1">
        <v>0</v>
      </c>
      <c r="F31" s="1">
        <v>0</v>
      </c>
      <c r="G31" s="64">
        <v>0</v>
      </c>
      <c r="H31" s="64">
        <v>0</v>
      </c>
      <c r="I31" s="68">
        <v>0</v>
      </c>
      <c r="J31" s="68">
        <v>0</v>
      </c>
      <c r="K31" s="68">
        <v>0</v>
      </c>
      <c r="L31" s="68">
        <v>0</v>
      </c>
      <c r="M31" s="18">
        <v>0</v>
      </c>
      <c r="N31" s="18">
        <v>0</v>
      </c>
      <c r="O31" s="18">
        <v>0</v>
      </c>
      <c r="P31" s="18">
        <v>0</v>
      </c>
      <c r="Q31" s="157"/>
      <c r="R31" s="301">
        <v>0</v>
      </c>
      <c r="S31" s="158">
        <v>0</v>
      </c>
      <c r="T31" s="1">
        <v>0</v>
      </c>
      <c r="U31" s="354" t="str">
        <f t="shared" si="0"/>
        <v>Normal</v>
      </c>
      <c r="V31" s="354" t="str">
        <f t="shared" si="1"/>
        <v>Normal</v>
      </c>
      <c r="W31" s="81">
        <f t="shared" si="2"/>
        <v>0</v>
      </c>
      <c r="X31" s="81">
        <f t="shared" si="3"/>
        <v>0</v>
      </c>
      <c r="Z31" s="414">
        <v>16</v>
      </c>
      <c r="AA31" s="293">
        <v>5019</v>
      </c>
      <c r="AB31" s="293">
        <v>4825</v>
      </c>
      <c r="AC31" s="64">
        <v>0.73142857142857132</v>
      </c>
      <c r="AD31" s="64">
        <v>0.50285714285714278</v>
      </c>
      <c r="AN31" s="21">
        <v>45195</v>
      </c>
      <c r="AO31" s="1">
        <v>1073</v>
      </c>
      <c r="AP31" s="1">
        <v>943</v>
      </c>
    </row>
    <row r="32" spans="1:42">
      <c r="A32" s="405">
        <v>45047</v>
      </c>
      <c r="B32" s="406">
        <f>IF(YEAR(Table7[[#This Row],[Date]]) = 2023, WEEKNUM(Table7[[#This Row],[Date]])-13, WEEKNUM(Table7[[#This Row],[Date]])+40)</f>
        <v>5</v>
      </c>
      <c r="C32" s="1" t="s">
        <v>49</v>
      </c>
      <c r="D32" s="1" t="s">
        <v>94</v>
      </c>
      <c r="E32" s="1">
        <v>1061</v>
      </c>
      <c r="F32" s="1">
        <v>908</v>
      </c>
      <c r="G32" s="64">
        <v>6.955645161290322E-2</v>
      </c>
      <c r="H32" s="64">
        <v>-3.6093418259023353E-2</v>
      </c>
      <c r="I32" s="1">
        <v>1061</v>
      </c>
      <c r="J32" s="1">
        <v>908</v>
      </c>
      <c r="K32" s="1">
        <v>21233</v>
      </c>
      <c r="L32" s="1">
        <v>19210</v>
      </c>
      <c r="M32" s="18">
        <v>0.56999999999999995</v>
      </c>
      <c r="N32" s="18">
        <v>0.14000000000000001</v>
      </c>
      <c r="O32" s="18">
        <v>0.86</v>
      </c>
      <c r="P32" s="18">
        <v>0.83</v>
      </c>
      <c r="Q32" s="157"/>
      <c r="R32" s="302">
        <v>309</v>
      </c>
      <c r="S32" s="159">
        <v>7.1527777777777787E-2</v>
      </c>
      <c r="T32" s="1">
        <v>13</v>
      </c>
      <c r="U32" s="354" t="str">
        <f t="shared" si="0"/>
        <v>Outlier</v>
      </c>
      <c r="V32" s="354" t="str">
        <f t="shared" si="1"/>
        <v>Outlier</v>
      </c>
      <c r="W32" s="81">
        <f t="shared" si="2"/>
        <v>6.955645161290322E-2</v>
      </c>
      <c r="X32" s="81">
        <f t="shared" si="3"/>
        <v>-3.6093418259023353E-2</v>
      </c>
      <c r="Z32" s="414">
        <v>17</v>
      </c>
      <c r="AA32" s="293">
        <v>5790</v>
      </c>
      <c r="AB32" s="293">
        <v>5284</v>
      </c>
      <c r="AC32" s="64">
        <v>0.60857142857142854</v>
      </c>
      <c r="AD32" s="64">
        <v>0.63571428571428579</v>
      </c>
      <c r="AN32" s="21">
        <v>45202</v>
      </c>
      <c r="AO32" s="1">
        <v>5545</v>
      </c>
      <c r="AP32" s="1">
        <v>4301</v>
      </c>
    </row>
    <row r="33" spans="1:42">
      <c r="A33" s="405">
        <v>45048</v>
      </c>
      <c r="B33" s="406">
        <f>IF(YEAR(Table7[[#This Row],[Date]]) = 2023, WEEKNUM(Table7[[#This Row],[Date]])-13, WEEKNUM(Table7[[#This Row],[Date]])+40)</f>
        <v>5</v>
      </c>
      <c r="C33" s="1" t="s">
        <v>50</v>
      </c>
      <c r="D33" s="1" t="s">
        <v>94</v>
      </c>
      <c r="E33" s="1">
        <v>1062</v>
      </c>
      <c r="F33" s="1">
        <v>1011</v>
      </c>
      <c r="G33" s="64">
        <v>0.109717868338558</v>
      </c>
      <c r="H33" s="64">
        <v>0.13087248322147652</v>
      </c>
      <c r="I33" s="1">
        <v>2123</v>
      </c>
      <c r="J33" s="1">
        <v>1919</v>
      </c>
      <c r="K33" s="1">
        <v>22295</v>
      </c>
      <c r="L33" s="1">
        <v>20221</v>
      </c>
      <c r="M33" s="18">
        <v>0.83</v>
      </c>
      <c r="N33" s="18">
        <v>0.05</v>
      </c>
      <c r="O33" s="18">
        <v>0.95</v>
      </c>
      <c r="P33" s="18">
        <v>0.75</v>
      </c>
      <c r="Q33" s="157"/>
      <c r="R33" s="301">
        <v>309</v>
      </c>
      <c r="S33" s="158">
        <v>7.1527777777777787E-2</v>
      </c>
      <c r="T33" s="1">
        <v>16</v>
      </c>
      <c r="U33" s="354" t="str">
        <f t="shared" si="0"/>
        <v>Outlier</v>
      </c>
      <c r="V33" s="354" t="str">
        <f t="shared" si="1"/>
        <v>Outlier</v>
      </c>
      <c r="W33" s="81">
        <f t="shared" si="2"/>
        <v>0.109717868338558</v>
      </c>
      <c r="X33" s="81">
        <f t="shared" si="3"/>
        <v>0.13087248322147652</v>
      </c>
      <c r="Z33" s="414">
        <v>18</v>
      </c>
      <c r="AA33" s="293">
        <v>4868</v>
      </c>
      <c r="AB33" s="293">
        <v>4270</v>
      </c>
      <c r="AC33" s="64">
        <v>0.42571428571428577</v>
      </c>
      <c r="AD33" s="64">
        <v>0.55428571428571427</v>
      </c>
      <c r="AN33" s="21">
        <v>45209</v>
      </c>
      <c r="AO33" s="1">
        <v>4497</v>
      </c>
      <c r="AP33" s="1">
        <v>3847</v>
      </c>
    </row>
    <row r="34" spans="1:42">
      <c r="A34" s="405">
        <v>45049</v>
      </c>
      <c r="B34" s="407">
        <f>IF(YEAR(Table7[[#This Row],[Date]]) = 2023, WEEKNUM(Table7[[#This Row],[Date]])-13, WEEKNUM(Table7[[#This Row],[Date]])+40)</f>
        <v>5</v>
      </c>
      <c r="C34" s="37" t="s">
        <v>51</v>
      </c>
      <c r="D34" s="1" t="s">
        <v>94</v>
      </c>
      <c r="E34" s="37">
        <v>879</v>
      </c>
      <c r="F34" s="37">
        <v>803</v>
      </c>
      <c r="G34" s="64">
        <v>-0.20163487738419619</v>
      </c>
      <c r="H34" s="64">
        <v>-0.11951754385964912</v>
      </c>
      <c r="I34" s="1">
        <v>3002</v>
      </c>
      <c r="J34" s="1">
        <v>2722</v>
      </c>
      <c r="K34" s="1">
        <v>23174</v>
      </c>
      <c r="L34" s="1">
        <v>21024</v>
      </c>
      <c r="M34" s="46">
        <v>0.77</v>
      </c>
      <c r="N34" s="46">
        <v>0.09</v>
      </c>
      <c r="O34" s="46">
        <v>0.91</v>
      </c>
      <c r="P34" s="46">
        <v>0.77</v>
      </c>
      <c r="Q34" s="157"/>
      <c r="R34" s="301">
        <v>300</v>
      </c>
      <c r="S34" s="158">
        <v>9.4444444444444442E-2</v>
      </c>
      <c r="T34" s="1">
        <v>12</v>
      </c>
      <c r="U34" s="354" t="str">
        <f t="shared" si="0"/>
        <v>Outlier</v>
      </c>
      <c r="V34" s="354" t="str">
        <f t="shared" si="1"/>
        <v>Outlier</v>
      </c>
      <c r="W34" s="81">
        <f t="shared" si="2"/>
        <v>-0.20163487738419619</v>
      </c>
      <c r="X34" s="81">
        <f t="shared" si="3"/>
        <v>-0.11951754385964912</v>
      </c>
      <c r="Z34" s="414">
        <v>19</v>
      </c>
      <c r="AA34" s="293">
        <v>4845</v>
      </c>
      <c r="AB34" s="293">
        <v>4489</v>
      </c>
      <c r="AC34" s="64">
        <v>0.52999999999999992</v>
      </c>
      <c r="AD34" s="64">
        <v>0.50285714285714289</v>
      </c>
      <c r="AN34" s="21">
        <v>45216</v>
      </c>
      <c r="AO34" s="1">
        <v>6510</v>
      </c>
      <c r="AP34" s="1">
        <v>5384</v>
      </c>
    </row>
    <row r="35" spans="1:42">
      <c r="A35" s="405">
        <v>45050</v>
      </c>
      <c r="B35" s="406">
        <f>IF(YEAR(Table7[[#This Row],[Date]]) = 2023, WEEKNUM(Table7[[#This Row],[Date]])-13, WEEKNUM(Table7[[#This Row],[Date]])+40)</f>
        <v>5</v>
      </c>
      <c r="C35" s="1" t="s">
        <v>52</v>
      </c>
      <c r="D35" s="1" t="s">
        <v>94</v>
      </c>
      <c r="E35" s="1">
        <v>946</v>
      </c>
      <c r="F35" s="1">
        <v>862</v>
      </c>
      <c r="G35" s="64">
        <v>1.611170784103115E-2</v>
      </c>
      <c r="H35" s="64">
        <v>1.411764705882353E-2</v>
      </c>
      <c r="I35" s="1">
        <v>3948</v>
      </c>
      <c r="J35" s="1">
        <v>3584</v>
      </c>
      <c r="K35" s="1">
        <v>24120</v>
      </c>
      <c r="L35" s="1">
        <v>21886</v>
      </c>
      <c r="M35" s="18">
        <v>0.73</v>
      </c>
      <c r="N35" s="18">
        <v>0.09</v>
      </c>
      <c r="O35" s="18">
        <v>0.91</v>
      </c>
      <c r="P35" s="18">
        <v>0.76</v>
      </c>
      <c r="Q35" s="157"/>
      <c r="R35" s="301">
        <v>299</v>
      </c>
      <c r="S35" s="158">
        <v>3.3333333333333333E-2</v>
      </c>
      <c r="T35" s="1">
        <v>13</v>
      </c>
      <c r="U35" s="354" t="str">
        <f t="shared" si="0"/>
        <v>Outlier</v>
      </c>
      <c r="V35" s="354" t="str">
        <f t="shared" si="1"/>
        <v>Outlier</v>
      </c>
      <c r="W35" s="81">
        <f t="shared" si="2"/>
        <v>1.611170784103115E-2</v>
      </c>
      <c r="X35" s="81">
        <f t="shared" si="3"/>
        <v>1.411764705882353E-2</v>
      </c>
      <c r="Z35" s="414">
        <v>20</v>
      </c>
      <c r="AA35" s="293">
        <v>5476</v>
      </c>
      <c r="AB35" s="293">
        <v>5224</v>
      </c>
      <c r="AC35" s="64">
        <v>0.75571428571428556</v>
      </c>
      <c r="AD35" s="64">
        <v>0.61857142857142855</v>
      </c>
      <c r="AN35" s="21">
        <v>45223</v>
      </c>
      <c r="AO35" s="1">
        <v>6068</v>
      </c>
      <c r="AP35" s="1">
        <v>5049</v>
      </c>
    </row>
    <row r="36" spans="1:42">
      <c r="A36" s="405">
        <v>45051</v>
      </c>
      <c r="B36" s="406">
        <f>IF(YEAR(Table7[[#This Row],[Date]]) = 2023, WEEKNUM(Table7[[#This Row],[Date]])-13, WEEKNUM(Table7[[#This Row],[Date]])+40)</f>
        <v>5</v>
      </c>
      <c r="C36" s="1" t="s">
        <v>53</v>
      </c>
      <c r="D36" s="1" t="s">
        <v>94</v>
      </c>
      <c r="E36" s="1">
        <v>923</v>
      </c>
      <c r="F36" s="1">
        <v>817</v>
      </c>
      <c r="G36" s="64">
        <v>-7.8842315369261479E-2</v>
      </c>
      <c r="H36" s="64">
        <v>-3.4278959810874705E-2</v>
      </c>
      <c r="I36" s="1">
        <v>4871</v>
      </c>
      <c r="J36" s="1">
        <v>4401</v>
      </c>
      <c r="K36" s="1">
        <v>25043</v>
      </c>
      <c r="L36" s="1">
        <v>22703</v>
      </c>
      <c r="M36" s="18">
        <v>0.68</v>
      </c>
      <c r="N36" s="18">
        <v>0.11</v>
      </c>
      <c r="O36" s="18">
        <v>0.89</v>
      </c>
      <c r="P36" s="18">
        <v>0.7</v>
      </c>
      <c r="Q36" s="157"/>
      <c r="R36" s="301">
        <v>312</v>
      </c>
      <c r="S36" s="158">
        <v>2.9861111111111113E-2</v>
      </c>
      <c r="T36" s="1">
        <v>14</v>
      </c>
      <c r="U36" s="354" t="str">
        <f t="shared" si="0"/>
        <v>Outlier</v>
      </c>
      <c r="V36" s="354" t="str">
        <f t="shared" si="1"/>
        <v>Outlier</v>
      </c>
      <c r="W36" s="81">
        <f t="shared" si="2"/>
        <v>-7.8842315369261479E-2</v>
      </c>
      <c r="X36" s="81">
        <f t="shared" si="3"/>
        <v>-3.4278959810874705E-2</v>
      </c>
      <c r="Z36" s="414">
        <v>21</v>
      </c>
      <c r="AA36" s="293">
        <v>6129</v>
      </c>
      <c r="AB36" s="293">
        <v>5502</v>
      </c>
      <c r="AC36" s="64">
        <v>0.63142857142857145</v>
      </c>
      <c r="AD36" s="64">
        <v>0.8571428571428571</v>
      </c>
      <c r="AN36" s="21">
        <v>45230</v>
      </c>
      <c r="AO36" s="1">
        <v>1386</v>
      </c>
      <c r="AP36" s="1">
        <v>505</v>
      </c>
    </row>
    <row r="37" spans="1:42">
      <c r="A37" s="405">
        <v>45052</v>
      </c>
      <c r="B37" s="406">
        <f>IF(YEAR(Table7[[#This Row],[Date]]) = 2023, WEEKNUM(Table7[[#This Row],[Date]])-13, WEEKNUM(Table7[[#This Row],[Date]])+40)</f>
        <v>5</v>
      </c>
      <c r="C37" s="1" t="s">
        <v>54</v>
      </c>
      <c r="D37" s="1" t="s">
        <v>94</v>
      </c>
      <c r="E37" s="1">
        <v>692</v>
      </c>
      <c r="F37" s="1">
        <v>573</v>
      </c>
      <c r="G37" s="64">
        <v>-9.7783572359843543E-2</v>
      </c>
      <c r="H37" s="64">
        <v>-3.4782608695652175E-3</v>
      </c>
      <c r="I37" s="1">
        <v>5563</v>
      </c>
      <c r="J37" s="1">
        <v>4974</v>
      </c>
      <c r="K37" s="1">
        <v>25735</v>
      </c>
      <c r="L37" s="1">
        <v>23276</v>
      </c>
      <c r="M37" s="18">
        <v>0.59</v>
      </c>
      <c r="N37" s="18">
        <v>0.17</v>
      </c>
      <c r="O37" s="18">
        <v>0.83</v>
      </c>
      <c r="P37" s="18">
        <v>0.75</v>
      </c>
      <c r="Q37" s="157"/>
      <c r="R37" s="301">
        <v>304</v>
      </c>
      <c r="S37" s="158">
        <v>4.4444444444444446E-2</v>
      </c>
      <c r="T37" s="1">
        <v>9</v>
      </c>
      <c r="U37" s="354" t="str">
        <f t="shared" si="0"/>
        <v>Outlier</v>
      </c>
      <c r="V37" s="354" t="str">
        <f t="shared" si="1"/>
        <v>Outlier</v>
      </c>
      <c r="W37" s="81">
        <f t="shared" si="2"/>
        <v>-9.7783572359843543E-2</v>
      </c>
      <c r="X37" s="81">
        <f t="shared" si="3"/>
        <v>-3.4782608695652175E-3</v>
      </c>
      <c r="Z37" s="414">
        <v>22</v>
      </c>
      <c r="AA37" s="293">
        <v>6244</v>
      </c>
      <c r="AB37" s="293">
        <v>5676</v>
      </c>
      <c r="AC37" s="64">
        <v>0.61571428571428566</v>
      </c>
      <c r="AD37" s="64">
        <v>0.58041666666666658</v>
      </c>
      <c r="AN37" s="21">
        <v>45237</v>
      </c>
      <c r="AO37" s="1">
        <v>0</v>
      </c>
      <c r="AP37" s="1">
        <v>0</v>
      </c>
    </row>
    <row r="38" spans="1:42">
      <c r="A38" s="405">
        <v>45053</v>
      </c>
      <c r="B38" s="406">
        <f>IF(YEAR(Table7[[#This Row],[Date]]) = 2023, WEEKNUM(Table7[[#This Row],[Date]])-13, WEEKNUM(Table7[[#This Row],[Date]])+40)</f>
        <v>6</v>
      </c>
      <c r="C38" s="1" t="s">
        <v>48</v>
      </c>
      <c r="D38" s="1" t="s">
        <v>94</v>
      </c>
      <c r="E38" s="1">
        <v>0</v>
      </c>
      <c r="F38" s="1">
        <v>0</v>
      </c>
      <c r="G38" s="64">
        <v>0</v>
      </c>
      <c r="H38" s="64">
        <v>0</v>
      </c>
      <c r="I38" s="1">
        <v>0</v>
      </c>
      <c r="J38" s="1">
        <v>0</v>
      </c>
      <c r="K38" s="1">
        <v>0</v>
      </c>
      <c r="L38" s="1">
        <v>0</v>
      </c>
      <c r="M38" s="18">
        <v>0</v>
      </c>
      <c r="N38" s="18">
        <v>0</v>
      </c>
      <c r="O38" s="18">
        <v>0</v>
      </c>
      <c r="P38" s="18">
        <v>0</v>
      </c>
      <c r="Q38" s="157"/>
      <c r="R38" s="301">
        <v>0</v>
      </c>
      <c r="S38" s="158">
        <v>0</v>
      </c>
      <c r="T38" s="1">
        <v>0</v>
      </c>
      <c r="U38" s="354" t="str">
        <f t="shared" si="0"/>
        <v>Normal</v>
      </c>
      <c r="V38" s="354" t="str">
        <f t="shared" si="1"/>
        <v>Normal</v>
      </c>
      <c r="W38" s="81">
        <f t="shared" si="2"/>
        <v>0</v>
      </c>
      <c r="X38" s="81">
        <f t="shared" si="3"/>
        <v>0</v>
      </c>
      <c r="Z38" s="414">
        <v>23</v>
      </c>
      <c r="AA38" s="293">
        <v>5514</v>
      </c>
      <c r="AB38" s="293">
        <v>5148</v>
      </c>
      <c r="AC38" s="64">
        <v>0.69285714285714284</v>
      </c>
      <c r="AD38" s="64">
        <v>0.56470962977783701</v>
      </c>
      <c r="AN38" s="21">
        <v>45244</v>
      </c>
      <c r="AO38" s="1">
        <v>0</v>
      </c>
      <c r="AP38" s="1">
        <v>0</v>
      </c>
    </row>
    <row r="39" spans="1:42">
      <c r="A39" s="405">
        <v>45054</v>
      </c>
      <c r="B39" s="406">
        <f>IF(YEAR(Table7[[#This Row],[Date]]) = 2023, WEEKNUM(Table7[[#This Row],[Date]])-13, WEEKNUM(Table7[[#This Row],[Date]])+40)</f>
        <v>6</v>
      </c>
      <c r="C39" s="1" t="s">
        <v>49</v>
      </c>
      <c r="D39" s="1" t="s">
        <v>94</v>
      </c>
      <c r="E39" s="1">
        <v>934</v>
      </c>
      <c r="F39" s="1">
        <v>851</v>
      </c>
      <c r="G39" s="64">
        <v>-0.11969839773798303</v>
      </c>
      <c r="H39" s="64">
        <v>-6.2775330396475773E-2</v>
      </c>
      <c r="I39" s="1">
        <v>6497</v>
      </c>
      <c r="J39" s="1">
        <v>5825</v>
      </c>
      <c r="K39" s="1">
        <v>26669</v>
      </c>
      <c r="L39" s="1">
        <v>24127</v>
      </c>
      <c r="M39" s="18">
        <v>0.74</v>
      </c>
      <c r="N39" s="18">
        <v>0.09</v>
      </c>
      <c r="O39" s="18">
        <v>0.91</v>
      </c>
      <c r="P39" s="18">
        <v>0.75</v>
      </c>
      <c r="Q39" s="157"/>
      <c r="R39" s="302">
        <v>320</v>
      </c>
      <c r="S39" s="159">
        <v>2.7083333333333334E-2</v>
      </c>
      <c r="T39" s="1">
        <v>14</v>
      </c>
      <c r="U39" s="354" t="str">
        <f t="shared" si="0"/>
        <v>Outlier</v>
      </c>
      <c r="V39" s="354" t="str">
        <f t="shared" si="1"/>
        <v>Outlier</v>
      </c>
      <c r="W39" s="81">
        <f t="shared" si="2"/>
        <v>-0.11969839773798303</v>
      </c>
      <c r="X39" s="81">
        <f t="shared" si="3"/>
        <v>-6.2775330396475773E-2</v>
      </c>
      <c r="Z39" s="414">
        <v>24</v>
      </c>
      <c r="AA39" s="293">
        <v>5330</v>
      </c>
      <c r="AB39" s="293">
        <v>4814</v>
      </c>
      <c r="AC39" s="64">
        <v>0.62</v>
      </c>
      <c r="AD39" s="64">
        <v>0.55851997182711477</v>
      </c>
      <c r="AN39" s="21">
        <v>45251</v>
      </c>
      <c r="AO39" s="1">
        <v>0</v>
      </c>
      <c r="AP39" s="1">
        <v>0</v>
      </c>
    </row>
    <row r="40" spans="1:42">
      <c r="A40" s="405">
        <v>45055</v>
      </c>
      <c r="B40" s="406">
        <f>IF(YEAR(Table7[[#This Row],[Date]]) = 2023, WEEKNUM(Table7[[#This Row],[Date]])-13, WEEKNUM(Table7[[#This Row],[Date]])+40)</f>
        <v>6</v>
      </c>
      <c r="C40" s="1" t="s">
        <v>50</v>
      </c>
      <c r="D40" s="1" t="s">
        <v>94</v>
      </c>
      <c r="E40" s="1">
        <v>864</v>
      </c>
      <c r="F40" s="1">
        <v>806</v>
      </c>
      <c r="G40" s="64">
        <v>-0.1864406779661017</v>
      </c>
      <c r="H40" s="64">
        <v>-0.20276953511374876</v>
      </c>
      <c r="I40" s="1">
        <v>7361</v>
      </c>
      <c r="J40" s="1">
        <v>6631</v>
      </c>
      <c r="K40" s="1">
        <v>27533</v>
      </c>
      <c r="L40" s="1">
        <v>24933</v>
      </c>
      <c r="M40" s="18">
        <v>0.84</v>
      </c>
      <c r="N40" s="18">
        <v>7.0000000000000007E-2</v>
      </c>
      <c r="O40" s="18">
        <v>0.93</v>
      </c>
      <c r="P40" s="18">
        <v>0.69</v>
      </c>
      <c r="Q40" s="157"/>
      <c r="R40" s="301">
        <v>309</v>
      </c>
      <c r="S40" s="158">
        <v>1.8055555555555557E-2</v>
      </c>
      <c r="T40" s="1">
        <v>14</v>
      </c>
      <c r="U40" s="354" t="str">
        <f t="shared" si="0"/>
        <v>Outlier</v>
      </c>
      <c r="V40" s="354" t="str">
        <f t="shared" si="1"/>
        <v>Outlier</v>
      </c>
      <c r="W40" s="81">
        <f t="shared" si="2"/>
        <v>-0.1864406779661017</v>
      </c>
      <c r="X40" s="81">
        <f t="shared" si="3"/>
        <v>-0.20276953511374876</v>
      </c>
      <c r="Z40" s="414">
        <v>25</v>
      </c>
      <c r="AA40" s="293">
        <v>5444</v>
      </c>
      <c r="AB40" s="293">
        <v>4504</v>
      </c>
      <c r="AC40" s="64">
        <v>0.4871428571428571</v>
      </c>
      <c r="AD40" s="64">
        <v>0.70279812779812778</v>
      </c>
      <c r="AN40" s="21">
        <v>45258</v>
      </c>
      <c r="AO40" s="1">
        <v>0</v>
      </c>
      <c r="AP40" s="1">
        <v>0</v>
      </c>
    </row>
    <row r="41" spans="1:42">
      <c r="A41" s="405">
        <v>45056</v>
      </c>
      <c r="B41" s="406">
        <f>IF(YEAR(Table7[[#This Row],[Date]]) = 2023, WEEKNUM(Table7[[#This Row],[Date]])-13, WEEKNUM(Table7[[#This Row],[Date]])+40)</f>
        <v>6</v>
      </c>
      <c r="C41" s="1" t="s">
        <v>51</v>
      </c>
      <c r="D41" s="1" t="s">
        <v>94</v>
      </c>
      <c r="E41" s="1">
        <v>812</v>
      </c>
      <c r="F41" s="1">
        <v>748</v>
      </c>
      <c r="G41" s="64">
        <v>-7.6222980659840733E-2</v>
      </c>
      <c r="H41" s="64">
        <v>-6.8493150684931503E-2</v>
      </c>
      <c r="I41" s="1">
        <v>8173</v>
      </c>
      <c r="J41" s="1">
        <v>7379</v>
      </c>
      <c r="K41" s="1">
        <v>28345</v>
      </c>
      <c r="L41" s="1">
        <v>25681</v>
      </c>
      <c r="M41" s="18">
        <v>0.71</v>
      </c>
      <c r="N41" s="18">
        <v>0.09</v>
      </c>
      <c r="O41" s="18">
        <v>0.91</v>
      </c>
      <c r="P41" s="18">
        <v>0.72</v>
      </c>
      <c r="Q41" s="157"/>
      <c r="R41" s="301">
        <v>300</v>
      </c>
      <c r="S41" s="158">
        <v>3.1944444444444449E-2</v>
      </c>
      <c r="T41" s="1">
        <v>12</v>
      </c>
      <c r="U41" s="354" t="str">
        <f t="shared" si="0"/>
        <v>Outlier</v>
      </c>
      <c r="V41" s="354" t="str">
        <f t="shared" si="1"/>
        <v>Outlier</v>
      </c>
      <c r="W41" s="81">
        <f t="shared" si="2"/>
        <v>-7.6222980659840733E-2</v>
      </c>
      <c r="X41" s="81">
        <f t="shared" si="3"/>
        <v>-6.8493150684931503E-2</v>
      </c>
      <c r="Z41" s="414">
        <v>26</v>
      </c>
      <c r="AA41" s="293">
        <v>5616</v>
      </c>
      <c r="AB41" s="293">
        <v>4658</v>
      </c>
      <c r="AC41" s="64">
        <v>0.43857142857142861</v>
      </c>
      <c r="AD41" s="64">
        <v>0.76971480011757798</v>
      </c>
      <c r="AN41" s="21">
        <v>45265</v>
      </c>
      <c r="AO41" s="1">
        <v>0</v>
      </c>
      <c r="AP41" s="1">
        <v>0</v>
      </c>
    </row>
    <row r="42" spans="1:42">
      <c r="A42" s="405">
        <v>45057</v>
      </c>
      <c r="B42" s="406">
        <f>IF(YEAR(Table7[[#This Row],[Date]]) = 2023, WEEKNUM(Table7[[#This Row],[Date]])-13, WEEKNUM(Table7[[#This Row],[Date]])+40)</f>
        <v>6</v>
      </c>
      <c r="C42" s="1" t="s">
        <v>52</v>
      </c>
      <c r="D42" s="1" t="s">
        <v>94</v>
      </c>
      <c r="E42" s="1">
        <v>782</v>
      </c>
      <c r="F42" s="1">
        <v>718</v>
      </c>
      <c r="G42" s="64">
        <v>-0.17336152219873149</v>
      </c>
      <c r="H42" s="64">
        <v>-0.16705336426914152</v>
      </c>
      <c r="I42" s="1">
        <v>8955</v>
      </c>
      <c r="J42" s="1">
        <v>8097</v>
      </c>
      <c r="K42" s="1">
        <v>29127</v>
      </c>
      <c r="L42" s="1">
        <v>26399</v>
      </c>
      <c r="M42" s="18">
        <v>0.77</v>
      </c>
      <c r="N42" s="18">
        <v>0.08</v>
      </c>
      <c r="O42" s="18">
        <v>0.92</v>
      </c>
      <c r="P42" s="18">
        <v>0.66</v>
      </c>
      <c r="Q42" s="157"/>
      <c r="R42" s="301">
        <v>287</v>
      </c>
      <c r="S42" s="158">
        <v>2.5694444444444447E-2</v>
      </c>
      <c r="T42" s="1">
        <v>12</v>
      </c>
      <c r="U42" s="354" t="str">
        <f t="shared" si="0"/>
        <v>Outlier</v>
      </c>
      <c r="V42" s="354" t="str">
        <f t="shared" si="1"/>
        <v>Outlier</v>
      </c>
      <c r="W42" s="81">
        <f t="shared" si="2"/>
        <v>-0.17336152219873149</v>
      </c>
      <c r="X42" s="81">
        <f t="shared" si="3"/>
        <v>-0.16705336426914152</v>
      </c>
      <c r="Z42" s="414">
        <v>27</v>
      </c>
      <c r="AA42" s="293">
        <v>5657</v>
      </c>
      <c r="AB42" s="293">
        <v>4468</v>
      </c>
      <c r="AC42" s="64">
        <v>0.38</v>
      </c>
      <c r="AD42" s="64">
        <v>0.72571428571428576</v>
      </c>
      <c r="AN42" s="21">
        <v>45272</v>
      </c>
      <c r="AO42" s="1">
        <v>0</v>
      </c>
      <c r="AP42" s="1">
        <v>0</v>
      </c>
    </row>
    <row r="43" spans="1:42">
      <c r="A43" s="405">
        <v>45058</v>
      </c>
      <c r="B43" s="406">
        <f>IF(YEAR(Table7[[#This Row],[Date]]) = 2023, WEEKNUM(Table7[[#This Row],[Date]])-13, WEEKNUM(Table7[[#This Row],[Date]])+40)</f>
        <v>6</v>
      </c>
      <c r="C43" s="1" t="s">
        <v>53</v>
      </c>
      <c r="D43" s="1" t="s">
        <v>94</v>
      </c>
      <c r="E43" s="1">
        <v>930</v>
      </c>
      <c r="F43" s="1">
        <v>792</v>
      </c>
      <c r="G43" s="64">
        <v>7.5839653304442039E-3</v>
      </c>
      <c r="H43" s="64">
        <v>-3.0599755201958383E-2</v>
      </c>
      <c r="I43" s="1">
        <v>9885</v>
      </c>
      <c r="J43" s="1">
        <v>8889</v>
      </c>
      <c r="K43" s="1">
        <v>30057</v>
      </c>
      <c r="L43" s="1">
        <v>27191</v>
      </c>
      <c r="M43" s="18">
        <v>0.61</v>
      </c>
      <c r="N43" s="18">
        <v>0.15</v>
      </c>
      <c r="O43" s="18">
        <v>0.85</v>
      </c>
      <c r="P43" s="18">
        <v>0.77</v>
      </c>
      <c r="Q43" s="157"/>
      <c r="R43" s="301">
        <v>302</v>
      </c>
      <c r="S43" s="158">
        <v>5.2083333333333336E-2</v>
      </c>
      <c r="T43" s="1">
        <v>12</v>
      </c>
      <c r="U43" s="354" t="str">
        <f t="shared" si="0"/>
        <v>Outlier</v>
      </c>
      <c r="V43" s="354" t="str">
        <f t="shared" si="1"/>
        <v>Outlier</v>
      </c>
      <c r="W43" s="81">
        <f t="shared" si="2"/>
        <v>7.5839653304442039E-3</v>
      </c>
      <c r="X43" s="81">
        <f t="shared" si="3"/>
        <v>-3.0599755201958383E-2</v>
      </c>
      <c r="Z43" s="414">
        <v>28</v>
      </c>
      <c r="AA43" s="293">
        <v>5458</v>
      </c>
      <c r="AB43" s="293">
        <v>4623</v>
      </c>
      <c r="AC43" s="64">
        <v>0.50142857142857145</v>
      </c>
      <c r="AD43" s="64">
        <v>0.73000000000000009</v>
      </c>
      <c r="AN43" s="21">
        <v>45279</v>
      </c>
      <c r="AO43" s="1">
        <v>0</v>
      </c>
      <c r="AP43" s="1">
        <v>0</v>
      </c>
    </row>
    <row r="44" spans="1:42">
      <c r="A44" s="405">
        <v>45059</v>
      </c>
      <c r="B44" s="406">
        <f>IF(YEAR(Table7[[#This Row],[Date]]) = 2023, WEEKNUM(Table7[[#This Row],[Date]])-13, WEEKNUM(Table7[[#This Row],[Date]])+40)</f>
        <v>6</v>
      </c>
      <c r="C44" s="1" t="s">
        <v>54</v>
      </c>
      <c r="D44" s="1" t="s">
        <v>94</v>
      </c>
      <c r="E44" s="1">
        <v>774</v>
      </c>
      <c r="F44" s="1">
        <v>443</v>
      </c>
      <c r="G44" s="64">
        <v>0.11849710982658959</v>
      </c>
      <c r="H44" s="64">
        <v>-0.2268760907504363</v>
      </c>
      <c r="I44" s="1">
        <v>10659</v>
      </c>
      <c r="J44" s="1">
        <v>9332</v>
      </c>
      <c r="K44" s="1">
        <v>30831</v>
      </c>
      <c r="L44" s="1">
        <v>27634</v>
      </c>
      <c r="M44" s="18">
        <v>0.17</v>
      </c>
      <c r="N44" s="18">
        <v>0.43</v>
      </c>
      <c r="O44" s="18">
        <v>0.56999999999999995</v>
      </c>
      <c r="P44" s="18">
        <v>1.84</v>
      </c>
      <c r="Q44" s="157"/>
      <c r="R44" s="301">
        <v>323</v>
      </c>
      <c r="S44" s="158">
        <v>0.17222222222222225</v>
      </c>
      <c r="T44" s="1">
        <v>3</v>
      </c>
      <c r="U44" s="354" t="str">
        <f t="shared" si="0"/>
        <v>Outlier</v>
      </c>
      <c r="V44" s="354" t="str">
        <f t="shared" si="1"/>
        <v>Outlier</v>
      </c>
      <c r="W44" s="81">
        <f t="shared" si="2"/>
        <v>0.11849710982658959</v>
      </c>
      <c r="X44" s="81">
        <f t="shared" si="3"/>
        <v>-0.2268760907504363</v>
      </c>
      <c r="Z44" s="414">
        <v>29</v>
      </c>
      <c r="AA44" s="293">
        <v>5400</v>
      </c>
      <c r="AB44" s="293">
        <v>4317</v>
      </c>
      <c r="AC44" s="64">
        <v>0.3828571428571429</v>
      </c>
      <c r="AD44" s="64">
        <v>0.6071428571428571</v>
      </c>
      <c r="AN44" s="21">
        <v>45286</v>
      </c>
      <c r="AO44" s="1">
        <v>0</v>
      </c>
      <c r="AP44" s="1">
        <v>0</v>
      </c>
    </row>
    <row r="45" spans="1:42">
      <c r="A45" s="405">
        <v>45060</v>
      </c>
      <c r="B45" s="406">
        <f>IF(YEAR(Table7[[#This Row],[Date]]) = 2023, WEEKNUM(Table7[[#This Row],[Date]])-13, WEEKNUM(Table7[[#This Row],[Date]])+40)</f>
        <v>7</v>
      </c>
      <c r="C45" s="1" t="s">
        <v>48</v>
      </c>
      <c r="D45" s="1" t="s">
        <v>94</v>
      </c>
      <c r="E45" s="1">
        <v>0</v>
      </c>
      <c r="F45" s="1">
        <v>0</v>
      </c>
      <c r="G45" s="64">
        <v>0</v>
      </c>
      <c r="H45" s="64">
        <v>0</v>
      </c>
      <c r="I45" s="1">
        <v>0</v>
      </c>
      <c r="J45" s="1">
        <v>0</v>
      </c>
      <c r="K45" s="1">
        <v>0</v>
      </c>
      <c r="L45" s="1">
        <v>0</v>
      </c>
      <c r="M45" s="18">
        <v>0</v>
      </c>
      <c r="N45" s="18">
        <v>0</v>
      </c>
      <c r="O45" s="18">
        <v>0</v>
      </c>
      <c r="P45" s="18">
        <v>0</v>
      </c>
      <c r="Q45" s="157"/>
      <c r="R45" s="301">
        <v>0</v>
      </c>
      <c r="S45" s="158">
        <v>0</v>
      </c>
      <c r="T45" s="1">
        <v>0</v>
      </c>
      <c r="U45" s="354" t="str">
        <f t="shared" si="0"/>
        <v>Normal</v>
      </c>
      <c r="V45" s="354" t="str">
        <f t="shared" si="1"/>
        <v>Normal</v>
      </c>
      <c r="W45" s="81">
        <f t="shared" si="2"/>
        <v>0</v>
      </c>
      <c r="X45" s="81">
        <f t="shared" si="3"/>
        <v>0</v>
      </c>
      <c r="Z45" s="414">
        <v>30</v>
      </c>
      <c r="AA45" s="293">
        <v>6541</v>
      </c>
      <c r="AB45" s="293">
        <v>5727</v>
      </c>
      <c r="AC45" s="64">
        <v>0.56857142857142862</v>
      </c>
      <c r="AD45" s="64">
        <v>0.50714285714285723</v>
      </c>
      <c r="AN45" s="21">
        <v>45293</v>
      </c>
      <c r="AO45" s="1">
        <v>0</v>
      </c>
      <c r="AP45" s="1">
        <v>0</v>
      </c>
    </row>
    <row r="46" spans="1:42">
      <c r="A46" s="405">
        <v>45061</v>
      </c>
      <c r="B46" s="406">
        <f>IF(YEAR(Table7[[#This Row],[Date]]) = 2023, WEEKNUM(Table7[[#This Row],[Date]])-13, WEEKNUM(Table7[[#This Row],[Date]])+40)</f>
        <v>7</v>
      </c>
      <c r="C46" s="1" t="s">
        <v>49</v>
      </c>
      <c r="D46" s="1" t="s">
        <v>94</v>
      </c>
      <c r="E46" s="1">
        <v>912</v>
      </c>
      <c r="F46" s="1">
        <v>878</v>
      </c>
      <c r="G46" s="64">
        <v>-2.3554603854389723E-2</v>
      </c>
      <c r="H46" s="64">
        <v>3.1727379553466509E-2</v>
      </c>
      <c r="I46" s="1">
        <v>11571</v>
      </c>
      <c r="J46" s="1">
        <v>10210</v>
      </c>
      <c r="K46" s="1">
        <v>31743</v>
      </c>
      <c r="L46" s="1">
        <v>28512</v>
      </c>
      <c r="M46" s="18">
        <v>0.88</v>
      </c>
      <c r="N46" s="18">
        <v>0.04</v>
      </c>
      <c r="O46" s="18">
        <v>0.96</v>
      </c>
      <c r="P46" s="18">
        <v>0.68</v>
      </c>
      <c r="Q46" s="157"/>
      <c r="R46" s="302">
        <v>280</v>
      </c>
      <c r="S46" s="159">
        <v>1.1111111111111112E-2</v>
      </c>
      <c r="T46" s="1">
        <v>14</v>
      </c>
      <c r="U46" s="354" t="str">
        <f t="shared" si="0"/>
        <v>Outlier</v>
      </c>
      <c r="V46" s="354" t="str">
        <f t="shared" si="1"/>
        <v>Outlier</v>
      </c>
      <c r="W46" s="81">
        <f t="shared" si="2"/>
        <v>-2.3554603854389723E-2</v>
      </c>
      <c r="X46" s="81">
        <f t="shared" si="3"/>
        <v>3.1727379553466509E-2</v>
      </c>
      <c r="Z46" s="414">
        <v>31</v>
      </c>
      <c r="AA46" s="293">
        <v>5769</v>
      </c>
      <c r="AB46" s="293">
        <v>4263</v>
      </c>
      <c r="AC46" s="64">
        <v>0.47142857142857142</v>
      </c>
      <c r="AD46" s="64">
        <v>0.55571428571428572</v>
      </c>
      <c r="AN46" s="21">
        <v>45300</v>
      </c>
      <c r="AO46" s="1">
        <v>0</v>
      </c>
      <c r="AP46" s="1">
        <v>0</v>
      </c>
    </row>
    <row r="47" spans="1:42">
      <c r="A47" s="405">
        <v>45062</v>
      </c>
      <c r="B47" s="406">
        <f>IF(YEAR(Table7[[#This Row],[Date]]) = 2023, WEEKNUM(Table7[[#This Row],[Date]])-13, WEEKNUM(Table7[[#This Row],[Date]])+40)</f>
        <v>7</v>
      </c>
      <c r="C47" s="1" t="s">
        <v>50</v>
      </c>
      <c r="D47" s="1" t="s">
        <v>94</v>
      </c>
      <c r="E47" s="1">
        <v>912</v>
      </c>
      <c r="F47" s="1">
        <v>769</v>
      </c>
      <c r="G47" s="64">
        <v>5.5555555555555552E-2</v>
      </c>
      <c r="H47" s="64">
        <v>-4.590570719602978E-2</v>
      </c>
      <c r="I47" s="1">
        <v>12483</v>
      </c>
      <c r="J47" s="1">
        <v>10979</v>
      </c>
      <c r="K47" s="1">
        <v>32655</v>
      </c>
      <c r="L47" s="1">
        <v>29281</v>
      </c>
      <c r="M47" s="18">
        <v>0.45</v>
      </c>
      <c r="N47" s="18">
        <v>0.16</v>
      </c>
      <c r="O47" s="18">
        <v>0.84</v>
      </c>
      <c r="P47" s="18">
        <v>0.78</v>
      </c>
      <c r="Q47" s="157"/>
      <c r="R47" s="301">
        <v>316</v>
      </c>
      <c r="S47" s="158">
        <v>5.9027777777777783E-2</v>
      </c>
      <c r="T47" s="1">
        <v>12</v>
      </c>
      <c r="U47" s="354" t="str">
        <f t="shared" si="0"/>
        <v>Outlier</v>
      </c>
      <c r="V47" s="354" t="str">
        <f t="shared" si="1"/>
        <v>Outlier</v>
      </c>
      <c r="W47" s="81">
        <f t="shared" si="2"/>
        <v>5.5555555555555552E-2</v>
      </c>
      <c r="X47" s="81">
        <f t="shared" si="3"/>
        <v>-4.590570719602978E-2</v>
      </c>
      <c r="Z47" s="414">
        <v>32</v>
      </c>
      <c r="AA47" s="293">
        <v>6214</v>
      </c>
      <c r="AB47" s="293">
        <v>5146</v>
      </c>
      <c r="AC47" s="64">
        <v>0.48428571428571426</v>
      </c>
      <c r="AD47" s="64">
        <v>0.69285714285714295</v>
      </c>
      <c r="AN47" s="21">
        <v>45307</v>
      </c>
      <c r="AO47" s="1">
        <v>0</v>
      </c>
      <c r="AP47" s="1">
        <v>0</v>
      </c>
    </row>
    <row r="48" spans="1:42">
      <c r="A48" s="405">
        <v>45063</v>
      </c>
      <c r="B48" s="406">
        <f>IF(YEAR(Table7[[#This Row],[Date]]) = 2023, WEEKNUM(Table7[[#This Row],[Date]])-13, WEEKNUM(Table7[[#This Row],[Date]])+40)</f>
        <v>7</v>
      </c>
      <c r="C48" s="1" t="s">
        <v>51</v>
      </c>
      <c r="D48" s="1" t="s">
        <v>94</v>
      </c>
      <c r="E48" s="1">
        <v>829</v>
      </c>
      <c r="F48" s="1">
        <v>782</v>
      </c>
      <c r="G48" s="64">
        <v>2.0935960591133004E-2</v>
      </c>
      <c r="H48" s="64">
        <v>4.5454545454545456E-2</v>
      </c>
      <c r="I48" s="1">
        <v>13312</v>
      </c>
      <c r="J48" s="1">
        <v>11761</v>
      </c>
      <c r="K48" s="1">
        <v>33484</v>
      </c>
      <c r="L48" s="1">
        <v>30063</v>
      </c>
      <c r="M48" s="18">
        <v>0.9</v>
      </c>
      <c r="N48" s="18">
        <v>0.06</v>
      </c>
      <c r="O48" s="18">
        <v>0.94</v>
      </c>
      <c r="P48" s="18">
        <v>0.7</v>
      </c>
      <c r="Q48" s="157"/>
      <c r="R48" s="301">
        <v>303</v>
      </c>
      <c r="S48" s="158">
        <v>1.0416666666666666E-2</v>
      </c>
      <c r="T48" s="1">
        <v>13</v>
      </c>
      <c r="U48" s="354" t="str">
        <f t="shared" si="0"/>
        <v>Outlier</v>
      </c>
      <c r="V48" s="354" t="str">
        <f t="shared" si="1"/>
        <v>Outlier</v>
      </c>
      <c r="W48" s="81">
        <f t="shared" si="2"/>
        <v>2.0935960591133004E-2</v>
      </c>
      <c r="X48" s="81">
        <f t="shared" si="3"/>
        <v>4.5454545454545456E-2</v>
      </c>
      <c r="Z48" s="414">
        <v>33</v>
      </c>
      <c r="AA48" s="293">
        <v>5300</v>
      </c>
      <c r="AB48" s="293">
        <v>4492</v>
      </c>
      <c r="AC48" s="64">
        <v>0.53571428571428581</v>
      </c>
      <c r="AD48" s="64">
        <v>0.62142857142857155</v>
      </c>
      <c r="AN48" s="21">
        <v>45314</v>
      </c>
      <c r="AO48" s="1">
        <v>0</v>
      </c>
      <c r="AP48" s="1">
        <v>0</v>
      </c>
    </row>
    <row r="49" spans="1:42">
      <c r="A49" s="405">
        <v>45064</v>
      </c>
      <c r="B49" s="406">
        <f>IF(YEAR(Table7[[#This Row],[Date]]) = 2023, WEEKNUM(Table7[[#This Row],[Date]])-13, WEEKNUM(Table7[[#This Row],[Date]])+40)</f>
        <v>7</v>
      </c>
      <c r="C49" s="1" t="s">
        <v>52</v>
      </c>
      <c r="D49" s="1" t="s">
        <v>94</v>
      </c>
      <c r="E49" s="1">
        <v>805</v>
      </c>
      <c r="F49" s="1">
        <v>747</v>
      </c>
      <c r="G49" s="64">
        <v>2.9411764705882353E-2</v>
      </c>
      <c r="H49" s="64">
        <v>4.0389972144846797E-2</v>
      </c>
      <c r="I49" s="1">
        <v>14117</v>
      </c>
      <c r="J49" s="1">
        <v>12508</v>
      </c>
      <c r="K49" s="1">
        <v>34289</v>
      </c>
      <c r="L49" s="1">
        <v>30810</v>
      </c>
      <c r="M49" s="18">
        <v>0.75</v>
      </c>
      <c r="N49" s="18">
        <v>7.0000000000000007E-2</v>
      </c>
      <c r="O49" s="18">
        <v>0.93</v>
      </c>
      <c r="P49" s="18">
        <v>0.87</v>
      </c>
      <c r="Q49" s="157"/>
      <c r="R49" s="301">
        <v>303</v>
      </c>
      <c r="S49" s="158">
        <v>2.4999999999999998E-2</v>
      </c>
      <c r="T49" s="1">
        <v>10</v>
      </c>
      <c r="U49" s="354" t="str">
        <f t="shared" si="0"/>
        <v>Outlier</v>
      </c>
      <c r="V49" s="354" t="str">
        <f t="shared" si="1"/>
        <v>Outlier</v>
      </c>
      <c r="W49" s="81">
        <f t="shared" si="2"/>
        <v>2.9411764705882353E-2</v>
      </c>
      <c r="X49" s="81">
        <f t="shared" si="3"/>
        <v>4.0389972144846797E-2</v>
      </c>
      <c r="Z49" s="414">
        <v>34</v>
      </c>
      <c r="AA49" s="293">
        <v>7069</v>
      </c>
      <c r="AB49" s="293">
        <v>5531</v>
      </c>
      <c r="AC49" s="64">
        <v>0.33285714285714285</v>
      </c>
      <c r="AD49" s="64">
        <v>0.71714285714285708</v>
      </c>
      <c r="AN49" s="21">
        <v>45321</v>
      </c>
      <c r="AO49" s="1">
        <v>0</v>
      </c>
      <c r="AP49" s="1">
        <v>0</v>
      </c>
    </row>
    <row r="50" spans="1:42">
      <c r="A50" s="405">
        <v>45065</v>
      </c>
      <c r="B50" s="406">
        <f>IF(YEAR(Table7[[#This Row],[Date]]) = 2023, WEEKNUM(Table7[[#This Row],[Date]])-13, WEEKNUM(Table7[[#This Row],[Date]])+40)</f>
        <v>7</v>
      </c>
      <c r="C50" s="1" t="s">
        <v>53</v>
      </c>
      <c r="D50" s="1" t="s">
        <v>94</v>
      </c>
      <c r="E50" s="1">
        <v>748</v>
      </c>
      <c r="F50" s="1">
        <v>694</v>
      </c>
      <c r="G50" s="64">
        <v>-0.19569892473118281</v>
      </c>
      <c r="H50" s="64">
        <v>-0.12373737373737374</v>
      </c>
      <c r="I50" s="1">
        <v>14865</v>
      </c>
      <c r="J50" s="1">
        <v>13202</v>
      </c>
      <c r="K50" s="1">
        <v>35037</v>
      </c>
      <c r="L50" s="1">
        <v>31504</v>
      </c>
      <c r="M50" s="18">
        <v>0.82</v>
      </c>
      <c r="N50" s="18">
        <v>7.0000000000000007E-2</v>
      </c>
      <c r="O50" s="18">
        <v>0.93</v>
      </c>
      <c r="P50" s="18">
        <v>0.68</v>
      </c>
      <c r="Q50" s="157"/>
      <c r="R50" s="301">
        <v>305</v>
      </c>
      <c r="S50" s="158">
        <v>2.0833333333333332E-2</v>
      </c>
      <c r="T50" s="1">
        <v>12</v>
      </c>
      <c r="U50" s="354" t="str">
        <f t="shared" si="0"/>
        <v>Outlier</v>
      </c>
      <c r="V50" s="354" t="str">
        <f t="shared" si="1"/>
        <v>Outlier</v>
      </c>
      <c r="W50" s="81">
        <f t="shared" si="2"/>
        <v>-0.19569892473118281</v>
      </c>
      <c r="X50" s="81">
        <f t="shared" si="3"/>
        <v>-0.12373737373737374</v>
      </c>
      <c r="Z50" s="414">
        <v>35</v>
      </c>
      <c r="AA50" s="293">
        <v>9943</v>
      </c>
      <c r="AB50" s="293">
        <v>5352</v>
      </c>
      <c r="AC50" s="64">
        <v>6.8571428571428575E-2</v>
      </c>
      <c r="AD50" s="64">
        <v>0.80142857142857149</v>
      </c>
      <c r="AN50" s="21">
        <v>45328</v>
      </c>
      <c r="AO50" s="1">
        <v>0</v>
      </c>
      <c r="AP50" s="1">
        <v>0</v>
      </c>
    </row>
    <row r="51" spans="1:42">
      <c r="A51" s="405">
        <v>45066</v>
      </c>
      <c r="B51" s="406">
        <f>IF(YEAR(Table7[[#This Row],[Date]]) = 2023, WEEKNUM(Table7[[#This Row],[Date]])-13, WEEKNUM(Table7[[#This Row],[Date]])+40)</f>
        <v>7</v>
      </c>
      <c r="C51" s="1" t="s">
        <v>54</v>
      </c>
      <c r="D51" s="1" t="s">
        <v>94</v>
      </c>
      <c r="E51" s="1">
        <v>601</v>
      </c>
      <c r="F51" s="1">
        <v>581</v>
      </c>
      <c r="G51" s="64">
        <v>-0.22351421188630491</v>
      </c>
      <c r="H51" s="64">
        <v>0.31151241534988711</v>
      </c>
      <c r="I51" s="1">
        <v>15466</v>
      </c>
      <c r="J51" s="1">
        <v>13783</v>
      </c>
      <c r="K51" s="1">
        <v>35638</v>
      </c>
      <c r="L51" s="1">
        <v>32085</v>
      </c>
      <c r="M51" s="18">
        <v>0.95</v>
      </c>
      <c r="N51" s="18">
        <v>0.03</v>
      </c>
      <c r="O51" s="18">
        <v>0.97</v>
      </c>
      <c r="P51" s="18">
        <v>0.51</v>
      </c>
      <c r="Q51" s="157"/>
      <c r="R51" s="301">
        <v>274</v>
      </c>
      <c r="S51" s="158">
        <v>3.7499999999999999E-2</v>
      </c>
      <c r="T51" s="1">
        <v>12</v>
      </c>
      <c r="U51" s="354" t="str">
        <f t="shared" si="0"/>
        <v>Outlier</v>
      </c>
      <c r="V51" s="354" t="str">
        <f t="shared" si="1"/>
        <v>Outlier</v>
      </c>
      <c r="W51" s="81">
        <f t="shared" si="2"/>
        <v>-0.22351421188630491</v>
      </c>
      <c r="X51" s="81">
        <f t="shared" si="3"/>
        <v>0.31151241534988711</v>
      </c>
      <c r="Z51" s="414">
        <v>36</v>
      </c>
      <c r="AA51" s="293">
        <v>7779</v>
      </c>
      <c r="AB51" s="293">
        <v>5996</v>
      </c>
      <c r="AC51" s="64">
        <v>0.3785714285714285</v>
      </c>
      <c r="AD51" s="64">
        <v>0.80428571428571427</v>
      </c>
      <c r="AN51" s="21">
        <v>45335</v>
      </c>
      <c r="AO51" s="1">
        <v>0</v>
      </c>
      <c r="AP51" s="1">
        <v>0</v>
      </c>
    </row>
    <row r="52" spans="1:42">
      <c r="A52" s="405">
        <v>45067</v>
      </c>
      <c r="B52" s="406">
        <f>IF(YEAR(Table7[[#This Row],[Date]]) = 2023, WEEKNUM(Table7[[#This Row],[Date]])-13, WEEKNUM(Table7[[#This Row],[Date]])+40)</f>
        <v>8</v>
      </c>
      <c r="C52" s="1" t="s">
        <v>48</v>
      </c>
      <c r="D52" s="1" t="s">
        <v>94</v>
      </c>
      <c r="E52" s="1">
        <v>0</v>
      </c>
      <c r="F52" s="1">
        <v>0</v>
      </c>
      <c r="G52" s="64">
        <v>0</v>
      </c>
      <c r="H52" s="64">
        <v>0</v>
      </c>
      <c r="I52" s="1">
        <v>0</v>
      </c>
      <c r="J52" s="1">
        <v>0</v>
      </c>
      <c r="K52" s="1">
        <v>0</v>
      </c>
      <c r="L52" s="1">
        <v>0</v>
      </c>
      <c r="M52" s="18">
        <v>0</v>
      </c>
      <c r="N52" s="18">
        <v>0</v>
      </c>
      <c r="O52" s="18">
        <v>0</v>
      </c>
      <c r="P52" s="18">
        <v>0</v>
      </c>
      <c r="Q52" s="157"/>
      <c r="R52" s="301">
        <v>0</v>
      </c>
      <c r="S52" s="158">
        <v>0</v>
      </c>
      <c r="T52" s="1">
        <v>0</v>
      </c>
      <c r="U52" s="354" t="str">
        <f t="shared" si="0"/>
        <v>Normal</v>
      </c>
      <c r="V52" s="354" t="str">
        <f t="shared" si="1"/>
        <v>Normal</v>
      </c>
      <c r="W52" s="81">
        <f t="shared" si="2"/>
        <v>0</v>
      </c>
      <c r="X52" s="81">
        <f t="shared" si="3"/>
        <v>0</v>
      </c>
      <c r="Z52" s="414">
        <v>37</v>
      </c>
      <c r="AA52" s="293">
        <v>7385</v>
      </c>
      <c r="AB52" s="293">
        <v>5711</v>
      </c>
      <c r="AC52" s="64">
        <v>0.42000000000000004</v>
      </c>
      <c r="AD52" s="64">
        <v>0.75571428571428567</v>
      </c>
      <c r="AN52" s="21">
        <v>45342</v>
      </c>
      <c r="AO52" s="1">
        <v>0</v>
      </c>
      <c r="AP52" s="1">
        <v>0</v>
      </c>
    </row>
    <row r="53" spans="1:42">
      <c r="A53" s="405">
        <v>45068</v>
      </c>
      <c r="B53" s="406">
        <f>IF(YEAR(Table7[[#This Row],[Date]]) = 2023, WEEKNUM(Table7[[#This Row],[Date]])-13, WEEKNUM(Table7[[#This Row],[Date]])+40)</f>
        <v>8</v>
      </c>
      <c r="C53" s="1" t="s">
        <v>49</v>
      </c>
      <c r="D53" s="1" t="s">
        <v>94</v>
      </c>
      <c r="E53" s="1">
        <v>949</v>
      </c>
      <c r="F53" s="1">
        <v>864</v>
      </c>
      <c r="G53" s="64">
        <v>4.0570175438596492E-2</v>
      </c>
      <c r="H53" s="64">
        <v>-1.5945330296127564E-2</v>
      </c>
      <c r="I53" s="1">
        <v>16415</v>
      </c>
      <c r="J53" s="1">
        <v>14647</v>
      </c>
      <c r="K53" s="1">
        <v>36587</v>
      </c>
      <c r="L53" s="1">
        <v>32949</v>
      </c>
      <c r="M53" s="18">
        <v>0.68</v>
      </c>
      <c r="N53" s="18">
        <v>0.09</v>
      </c>
      <c r="O53" s="18">
        <v>0.91</v>
      </c>
      <c r="P53" s="18">
        <v>0.81</v>
      </c>
      <c r="Q53" s="157"/>
      <c r="R53" s="302">
        <v>292</v>
      </c>
      <c r="S53" s="159">
        <v>6.2499999999999995E-3</v>
      </c>
      <c r="T53" s="1">
        <v>12</v>
      </c>
      <c r="U53" s="354" t="str">
        <f t="shared" si="0"/>
        <v>Outlier</v>
      </c>
      <c r="V53" s="354" t="str">
        <f t="shared" si="1"/>
        <v>Outlier</v>
      </c>
      <c r="W53" s="81">
        <f t="shared" si="2"/>
        <v>4.0570175438596492E-2</v>
      </c>
      <c r="X53" s="81">
        <f t="shared" si="3"/>
        <v>-1.5945330296127564E-2</v>
      </c>
      <c r="Z53" s="414">
        <v>38</v>
      </c>
      <c r="AA53" s="293">
        <v>7852</v>
      </c>
      <c r="AB53" s="293">
        <v>5927</v>
      </c>
      <c r="AC53" s="64">
        <v>0.41142857142857153</v>
      </c>
      <c r="AD53" s="64">
        <v>0.76142857142857134</v>
      </c>
      <c r="AN53" s="21">
        <v>45349</v>
      </c>
      <c r="AO53" s="1">
        <v>0</v>
      </c>
      <c r="AP53" s="1">
        <v>0</v>
      </c>
    </row>
    <row r="54" spans="1:42">
      <c r="A54" s="405">
        <v>45069</v>
      </c>
      <c r="B54" s="406">
        <f>IF(YEAR(Table7[[#This Row],[Date]]) = 2023, WEEKNUM(Table7[[#This Row],[Date]])-13, WEEKNUM(Table7[[#This Row],[Date]])+40)</f>
        <v>8</v>
      </c>
      <c r="C54" s="1" t="s">
        <v>64</v>
      </c>
      <c r="D54" s="1" t="s">
        <v>94</v>
      </c>
      <c r="E54" s="116">
        <v>0</v>
      </c>
      <c r="F54" s="116">
        <v>0</v>
      </c>
      <c r="G54" s="64">
        <v>0</v>
      </c>
      <c r="H54" s="64">
        <v>0</v>
      </c>
      <c r="I54" s="1">
        <v>0</v>
      </c>
      <c r="J54" s="1">
        <v>0</v>
      </c>
      <c r="K54" s="1">
        <v>0</v>
      </c>
      <c r="L54" s="1">
        <v>0</v>
      </c>
      <c r="M54" s="60">
        <v>0</v>
      </c>
      <c r="N54" s="60">
        <v>0</v>
      </c>
      <c r="O54" s="60">
        <v>0</v>
      </c>
      <c r="P54" s="60">
        <v>0</v>
      </c>
      <c r="Q54" s="157"/>
      <c r="R54" s="303">
        <v>0</v>
      </c>
      <c r="S54" s="182">
        <v>0</v>
      </c>
      <c r="T54" s="1">
        <v>0</v>
      </c>
      <c r="U54" s="354" t="str">
        <f t="shared" si="0"/>
        <v>Normal</v>
      </c>
      <c r="V54" s="354" t="str">
        <f t="shared" si="1"/>
        <v>Normal</v>
      </c>
      <c r="W54" s="81">
        <f t="shared" si="2"/>
        <v>0</v>
      </c>
      <c r="X54" s="81">
        <f t="shared" si="3"/>
        <v>0</v>
      </c>
      <c r="Z54" s="414">
        <v>39</v>
      </c>
      <c r="AA54" s="293">
        <v>4885</v>
      </c>
      <c r="AB54" s="293">
        <v>3670</v>
      </c>
      <c r="AC54" s="64">
        <v>0.25285714285714284</v>
      </c>
      <c r="AD54" s="64">
        <v>0.54921456418824832</v>
      </c>
      <c r="AN54" s="21">
        <v>45356</v>
      </c>
      <c r="AO54" s="1">
        <v>0</v>
      </c>
      <c r="AP54" s="1">
        <v>0</v>
      </c>
    </row>
    <row r="55" spans="1:42">
      <c r="A55" s="405">
        <v>45070</v>
      </c>
      <c r="B55" s="406">
        <f>IF(YEAR(Table7[[#This Row],[Date]]) = 2023, WEEKNUM(Table7[[#This Row],[Date]])-13, WEEKNUM(Table7[[#This Row],[Date]])+40)</f>
        <v>8</v>
      </c>
      <c r="C55" s="1" t="s">
        <v>51</v>
      </c>
      <c r="D55" s="1" t="s">
        <v>94</v>
      </c>
      <c r="E55" s="1">
        <v>1201</v>
      </c>
      <c r="F55" s="1">
        <v>735</v>
      </c>
      <c r="G55" s="64">
        <v>0.44873341375150783</v>
      </c>
      <c r="H55" s="64">
        <v>-6.010230179028133E-2</v>
      </c>
      <c r="I55" s="1">
        <v>17616</v>
      </c>
      <c r="J55" s="1">
        <v>15382</v>
      </c>
      <c r="K55" s="1">
        <v>37788</v>
      </c>
      <c r="L55" s="1">
        <v>33684</v>
      </c>
      <c r="M55" s="18">
        <v>0.14000000000000001</v>
      </c>
      <c r="N55" s="18">
        <v>0.39</v>
      </c>
      <c r="O55" s="18">
        <v>0.61</v>
      </c>
      <c r="P55" s="18">
        <v>1.04</v>
      </c>
      <c r="Q55" s="157"/>
      <c r="R55" s="301">
        <v>292</v>
      </c>
      <c r="S55" s="158">
        <v>6.2499999999999995E-3</v>
      </c>
      <c r="T55" s="1">
        <v>8</v>
      </c>
      <c r="U55" s="354" t="str">
        <f t="shared" si="0"/>
        <v>Outlier</v>
      </c>
      <c r="V55" s="354" t="str">
        <f t="shared" si="1"/>
        <v>Outlier</v>
      </c>
      <c r="W55" s="81">
        <f t="shared" si="2"/>
        <v>0.44873341375150783</v>
      </c>
      <c r="X55" s="81">
        <f t="shared" si="3"/>
        <v>-6.010230179028133E-2</v>
      </c>
      <c r="Z55" s="414">
        <v>40</v>
      </c>
      <c r="AA55" s="293">
        <v>0</v>
      </c>
      <c r="AB55" s="293">
        <v>0</v>
      </c>
      <c r="AC55" s="64">
        <v>0</v>
      </c>
      <c r="AD55" s="64">
        <v>0</v>
      </c>
      <c r="AN55" s="21">
        <v>45363</v>
      </c>
      <c r="AO55" s="1">
        <v>0</v>
      </c>
      <c r="AP55" s="1">
        <v>0</v>
      </c>
    </row>
    <row r="56" spans="1:42">
      <c r="A56" s="405">
        <v>45071</v>
      </c>
      <c r="B56" s="406">
        <f>IF(YEAR(Table7[[#This Row],[Date]]) = 2023, WEEKNUM(Table7[[#This Row],[Date]])-13, WEEKNUM(Table7[[#This Row],[Date]])+40)</f>
        <v>8</v>
      </c>
      <c r="C56" s="1" t="s">
        <v>52</v>
      </c>
      <c r="D56" s="1" t="s">
        <v>94</v>
      </c>
      <c r="E56" s="1">
        <v>916</v>
      </c>
      <c r="F56" s="1">
        <v>827</v>
      </c>
      <c r="G56" s="64">
        <v>0.13788819875776398</v>
      </c>
      <c r="H56" s="64">
        <v>0.107095046854083</v>
      </c>
      <c r="I56" s="1">
        <v>18532</v>
      </c>
      <c r="J56" s="1">
        <v>16209</v>
      </c>
      <c r="K56" s="1">
        <v>38704</v>
      </c>
      <c r="L56" s="1">
        <v>34511</v>
      </c>
      <c r="M56" s="18">
        <v>0.64</v>
      </c>
      <c r="N56" s="18">
        <v>0.09</v>
      </c>
      <c r="O56" s="18">
        <v>0.91</v>
      </c>
      <c r="P56" s="18">
        <v>0.92</v>
      </c>
      <c r="Q56" s="157"/>
      <c r="R56" s="301">
        <v>317</v>
      </c>
      <c r="S56" s="158">
        <v>3.6805555555555557E-2</v>
      </c>
      <c r="T56" s="1">
        <v>11</v>
      </c>
      <c r="U56" s="354" t="str">
        <f t="shared" si="0"/>
        <v>Outlier</v>
      </c>
      <c r="V56" s="354" t="str">
        <f t="shared" si="1"/>
        <v>Outlier</v>
      </c>
      <c r="W56" s="81">
        <f t="shared" si="2"/>
        <v>0.13788819875776398</v>
      </c>
      <c r="X56" s="81">
        <f t="shared" si="3"/>
        <v>0.107095046854083</v>
      </c>
      <c r="Z56" s="414">
        <v>41</v>
      </c>
      <c r="AA56" s="293">
        <v>4978</v>
      </c>
      <c r="AB56" s="293">
        <v>4698</v>
      </c>
      <c r="AC56" s="64">
        <v>0.68500000000000005</v>
      </c>
      <c r="AD56" s="64">
        <v>0.59</v>
      </c>
      <c r="AN56" s="21">
        <v>45370</v>
      </c>
      <c r="AO56" s="1">
        <v>0</v>
      </c>
      <c r="AP56" s="1">
        <v>0</v>
      </c>
    </row>
    <row r="57" spans="1:42">
      <c r="A57" s="405">
        <v>45072</v>
      </c>
      <c r="B57" s="406">
        <f>IF(YEAR(Table7[[#This Row],[Date]]) = 2023, WEEKNUM(Table7[[#This Row],[Date]])-13, WEEKNUM(Table7[[#This Row],[Date]])+40)</f>
        <v>8</v>
      </c>
      <c r="C57" s="1" t="s">
        <v>53</v>
      </c>
      <c r="D57" s="1" t="s">
        <v>94</v>
      </c>
      <c r="E57" s="1">
        <v>1046</v>
      </c>
      <c r="F57" s="1">
        <v>827</v>
      </c>
      <c r="G57" s="64">
        <v>0.39839572192513367</v>
      </c>
      <c r="H57" s="64">
        <v>0.19164265129682997</v>
      </c>
      <c r="I57" s="1">
        <v>19578</v>
      </c>
      <c r="J57" s="1">
        <v>17036</v>
      </c>
      <c r="K57" s="1">
        <v>39750</v>
      </c>
      <c r="L57" s="1">
        <v>35338</v>
      </c>
      <c r="M57" s="18">
        <v>0.44</v>
      </c>
      <c r="N57" s="18">
        <v>0.21</v>
      </c>
      <c r="O57" s="18">
        <v>0.79</v>
      </c>
      <c r="P57" s="18">
        <v>1.2</v>
      </c>
      <c r="Q57" s="157"/>
      <c r="R57" s="301">
        <v>338</v>
      </c>
      <c r="S57" s="158">
        <v>8.6111111111111124E-2</v>
      </c>
      <c r="T57" s="1">
        <v>9</v>
      </c>
      <c r="U57" s="354" t="str">
        <f t="shared" si="0"/>
        <v>Outlier</v>
      </c>
      <c r="V57" s="354" t="str">
        <f t="shared" si="1"/>
        <v>Outlier</v>
      </c>
      <c r="W57" s="81">
        <f t="shared" si="2"/>
        <v>0.39839572192513367</v>
      </c>
      <c r="X57" s="81">
        <f t="shared" si="3"/>
        <v>0.19164265129682997</v>
      </c>
      <c r="Z57" s="414">
        <v>42</v>
      </c>
      <c r="AA57" s="293">
        <v>5986</v>
      </c>
      <c r="AB57" s="293">
        <v>5614</v>
      </c>
      <c r="AC57" s="64">
        <v>0.73142857142857143</v>
      </c>
      <c r="AD57" s="64">
        <v>0.61571428571428577</v>
      </c>
      <c r="AN57" s="21">
        <v>45377</v>
      </c>
      <c r="AO57" s="1">
        <v>0</v>
      </c>
      <c r="AP57" s="1">
        <v>0</v>
      </c>
    </row>
    <row r="58" spans="1:42">
      <c r="A58" s="405">
        <v>45073</v>
      </c>
      <c r="B58" s="406">
        <f>IF(YEAR(Table7[[#This Row],[Date]]) = 2023, WEEKNUM(Table7[[#This Row],[Date]])-13, WEEKNUM(Table7[[#This Row],[Date]])+40)</f>
        <v>8</v>
      </c>
      <c r="C58" s="1" t="s">
        <v>54</v>
      </c>
      <c r="D58" s="1" t="s">
        <v>94</v>
      </c>
      <c r="E58" s="1">
        <v>986</v>
      </c>
      <c r="F58" s="1">
        <v>558</v>
      </c>
      <c r="G58" s="64">
        <v>0.6405990016638935</v>
      </c>
      <c r="H58" s="64">
        <v>-3.9586919104991396E-2</v>
      </c>
      <c r="I58" s="1">
        <v>20564</v>
      </c>
      <c r="J58" s="1">
        <v>17594</v>
      </c>
      <c r="K58" s="1">
        <v>40736</v>
      </c>
      <c r="L58" s="1">
        <v>35896</v>
      </c>
      <c r="M58" s="18">
        <v>0.14000000000000001</v>
      </c>
      <c r="N58" s="18">
        <v>0.43</v>
      </c>
      <c r="O58" s="18">
        <v>0.56999999999999995</v>
      </c>
      <c r="P58" s="18">
        <v>0.97</v>
      </c>
      <c r="Q58" s="157"/>
      <c r="R58" s="301">
        <v>314</v>
      </c>
      <c r="S58" s="158">
        <v>0.16597222222222222</v>
      </c>
      <c r="T58" s="1">
        <v>7</v>
      </c>
      <c r="U58" s="354" t="str">
        <f t="shared" si="0"/>
        <v>Outlier</v>
      </c>
      <c r="V58" s="354" t="str">
        <f t="shared" si="1"/>
        <v>Outlier</v>
      </c>
      <c r="W58" s="81">
        <f t="shared" si="2"/>
        <v>0.6405990016638935</v>
      </c>
      <c r="X58" s="81">
        <f t="shared" si="3"/>
        <v>-3.9586919104991396E-2</v>
      </c>
      <c r="Z58" s="414">
        <v>43</v>
      </c>
      <c r="AA58" s="293">
        <v>6219</v>
      </c>
      <c r="AB58" s="293">
        <v>5756</v>
      </c>
      <c r="AC58" s="64">
        <v>0.72</v>
      </c>
      <c r="AD58" s="64">
        <v>0.49142857142857144</v>
      </c>
    </row>
    <row r="59" spans="1:42">
      <c r="A59" s="405">
        <v>45074</v>
      </c>
      <c r="B59" s="406">
        <f>IF(YEAR(Table7[[#This Row],[Date]]) = 2023, WEEKNUM(Table7[[#This Row],[Date]])-13, WEEKNUM(Table7[[#This Row],[Date]])+40)</f>
        <v>9</v>
      </c>
      <c r="C59" s="1" t="s">
        <v>48</v>
      </c>
      <c r="D59" s="1" t="s">
        <v>94</v>
      </c>
      <c r="E59" s="1">
        <v>0</v>
      </c>
      <c r="F59" s="1">
        <v>0</v>
      </c>
      <c r="G59" s="64">
        <v>0</v>
      </c>
      <c r="H59" s="64">
        <v>0</v>
      </c>
      <c r="I59" s="1">
        <v>0</v>
      </c>
      <c r="J59" s="1">
        <v>0</v>
      </c>
      <c r="K59" s="1">
        <v>0</v>
      </c>
      <c r="L59" s="1">
        <v>0</v>
      </c>
      <c r="M59" s="18">
        <v>0</v>
      </c>
      <c r="N59" s="18">
        <v>0</v>
      </c>
      <c r="O59" s="18">
        <v>0</v>
      </c>
      <c r="P59" s="18">
        <v>0</v>
      </c>
      <c r="Q59" s="157"/>
      <c r="R59" s="301">
        <v>0</v>
      </c>
      <c r="S59" s="158">
        <v>0</v>
      </c>
      <c r="T59" s="1">
        <v>0</v>
      </c>
      <c r="U59" s="354" t="str">
        <f t="shared" si="0"/>
        <v>Normal</v>
      </c>
      <c r="V59" s="354" t="str">
        <f t="shared" si="1"/>
        <v>Normal</v>
      </c>
      <c r="W59" s="81">
        <f t="shared" si="2"/>
        <v>0</v>
      </c>
      <c r="X59" s="81">
        <f t="shared" si="3"/>
        <v>0</v>
      </c>
      <c r="Z59" s="414">
        <v>44</v>
      </c>
      <c r="AA59" s="293">
        <v>6399</v>
      </c>
      <c r="AB59" s="293">
        <v>5183</v>
      </c>
      <c r="AC59" s="64">
        <v>0.47142857142857147</v>
      </c>
      <c r="AD59" s="64">
        <v>0.59142857142857141</v>
      </c>
    </row>
    <row r="60" spans="1:42">
      <c r="A60" s="405">
        <v>45075</v>
      </c>
      <c r="B60" s="406">
        <f>IF(YEAR(Table7[[#This Row],[Date]]) = 2023, WEEKNUM(Table7[[#This Row],[Date]])-13, WEEKNUM(Table7[[#This Row],[Date]])+40)</f>
        <v>9</v>
      </c>
      <c r="C60" s="1" t="s">
        <v>49</v>
      </c>
      <c r="D60" s="1" t="s">
        <v>94</v>
      </c>
      <c r="E60" s="1">
        <v>1096</v>
      </c>
      <c r="F60" s="1">
        <v>926</v>
      </c>
      <c r="G60" s="64">
        <v>0.15489989462592202</v>
      </c>
      <c r="H60" s="64">
        <v>7.1759259259259259E-2</v>
      </c>
      <c r="I60" s="1">
        <v>21660</v>
      </c>
      <c r="J60" s="1">
        <v>18520</v>
      </c>
      <c r="K60" s="1">
        <v>41832</v>
      </c>
      <c r="L60" s="1">
        <v>36822</v>
      </c>
      <c r="M60" s="18">
        <v>0.44</v>
      </c>
      <c r="N60" s="18">
        <v>0.16</v>
      </c>
      <c r="O60" s="18">
        <v>0.84</v>
      </c>
      <c r="P60" s="18">
        <v>1.1399999999999999</v>
      </c>
      <c r="Q60" s="157"/>
      <c r="R60" s="302">
        <v>318</v>
      </c>
      <c r="S60" s="159">
        <v>7.4999999999999997E-2</v>
      </c>
      <c r="T60" s="1">
        <v>10</v>
      </c>
      <c r="U60" s="354" t="str">
        <f t="shared" si="0"/>
        <v>Outlier</v>
      </c>
      <c r="V60" s="354" t="str">
        <f t="shared" si="1"/>
        <v>Outlier</v>
      </c>
      <c r="W60" s="81">
        <f t="shared" si="2"/>
        <v>0.15489989462592202</v>
      </c>
      <c r="X60" s="81">
        <f t="shared" si="3"/>
        <v>7.1759259259259259E-2</v>
      </c>
      <c r="Z60" s="414">
        <v>45</v>
      </c>
      <c r="AA60" s="293">
        <v>6194</v>
      </c>
      <c r="AB60" s="293">
        <v>5630</v>
      </c>
      <c r="AC60" s="64">
        <v>0.64428571428571424</v>
      </c>
      <c r="AD60" s="64">
        <v>0.57285714285714284</v>
      </c>
    </row>
    <row r="61" spans="1:42">
      <c r="A61" s="405">
        <v>45076</v>
      </c>
      <c r="B61" s="406">
        <f>IF(YEAR(Table7[[#This Row],[Date]]) = 2023, WEEKNUM(Table7[[#This Row],[Date]])-13, WEEKNUM(Table7[[#This Row],[Date]])+40)</f>
        <v>9</v>
      </c>
      <c r="C61" s="1" t="s">
        <v>50</v>
      </c>
      <c r="D61" s="1" t="s">
        <v>94</v>
      </c>
      <c r="E61" s="1">
        <v>956</v>
      </c>
      <c r="F61" s="1">
        <v>836</v>
      </c>
      <c r="G61" s="64">
        <v>0</v>
      </c>
      <c r="H61" s="64">
        <v>0</v>
      </c>
      <c r="I61" s="1">
        <v>22616</v>
      </c>
      <c r="J61" s="1">
        <v>19356</v>
      </c>
      <c r="K61" s="1">
        <v>42788</v>
      </c>
      <c r="L61" s="1">
        <v>37658</v>
      </c>
      <c r="M61" s="18">
        <v>0.64</v>
      </c>
      <c r="N61" s="18">
        <v>0.13</v>
      </c>
      <c r="O61" s="18">
        <v>0.87</v>
      </c>
      <c r="P61" s="18">
        <v>0.8</v>
      </c>
      <c r="Q61" s="157"/>
      <c r="R61" s="301">
        <v>272</v>
      </c>
      <c r="S61" s="158">
        <v>4.6527777777777779E-2</v>
      </c>
      <c r="T61" s="1">
        <v>11</v>
      </c>
      <c r="U61" s="354" t="str">
        <f t="shared" si="0"/>
        <v>Outlier</v>
      </c>
      <c r="V61" s="354" t="str">
        <f t="shared" si="1"/>
        <v>Outlier</v>
      </c>
      <c r="W61" s="81">
        <f t="shared" si="2"/>
        <v>0</v>
      </c>
      <c r="X61" s="81">
        <f t="shared" si="3"/>
        <v>0</v>
      </c>
      <c r="Z61" s="414">
        <v>46</v>
      </c>
      <c r="AA61" s="293">
        <v>5488</v>
      </c>
      <c r="AB61" s="293">
        <v>5037</v>
      </c>
      <c r="AC61" s="64">
        <v>0.67999999999999994</v>
      </c>
      <c r="AD61" s="64">
        <v>0.55000000000000004</v>
      </c>
      <c r="AN61">
        <v>0.83846153846153848</v>
      </c>
    </row>
    <row r="62" spans="1:42">
      <c r="A62" s="405">
        <v>45077</v>
      </c>
      <c r="B62" s="406">
        <f>IF(YEAR(Table7[[#This Row],[Date]]) = 2023, WEEKNUM(Table7[[#This Row],[Date]])-13, WEEKNUM(Table7[[#This Row],[Date]])+40)</f>
        <v>9</v>
      </c>
      <c r="C62" s="1" t="s">
        <v>51</v>
      </c>
      <c r="D62" s="1" t="s">
        <v>94</v>
      </c>
      <c r="E62" s="1">
        <v>939</v>
      </c>
      <c r="F62" s="1">
        <v>864</v>
      </c>
      <c r="G62" s="64">
        <v>-0.21815154038301415</v>
      </c>
      <c r="H62" s="64">
        <v>0.17551020408163265</v>
      </c>
      <c r="I62" s="1">
        <v>23555</v>
      </c>
      <c r="J62" s="1">
        <v>20220</v>
      </c>
      <c r="K62" s="1">
        <v>43727</v>
      </c>
      <c r="L62" s="1">
        <v>38522</v>
      </c>
      <c r="M62" s="18">
        <v>0.77</v>
      </c>
      <c r="N62" s="18">
        <v>0.08</v>
      </c>
      <c r="O62" s="18">
        <v>0.92</v>
      </c>
      <c r="P62" s="18">
        <v>0.71</v>
      </c>
      <c r="Q62" s="75"/>
      <c r="R62" s="301">
        <v>320</v>
      </c>
      <c r="S62" s="158">
        <v>4.1666666666666664E-2</v>
      </c>
      <c r="T62" s="1">
        <v>15</v>
      </c>
      <c r="U62" s="354" t="str">
        <f t="shared" si="0"/>
        <v>Outlier</v>
      </c>
      <c r="V62" s="354" t="str">
        <f t="shared" si="1"/>
        <v>Outlier</v>
      </c>
      <c r="W62" s="81">
        <f t="shared" si="2"/>
        <v>-0.21815154038301415</v>
      </c>
      <c r="X62" s="81">
        <f t="shared" si="3"/>
        <v>0.17551020408163265</v>
      </c>
      <c r="Z62" s="414">
        <v>47</v>
      </c>
      <c r="AA62" s="293">
        <v>3912</v>
      </c>
      <c r="AB62" s="293">
        <v>3725</v>
      </c>
      <c r="AC62" s="64">
        <v>0.59166666666666667</v>
      </c>
      <c r="AD62" s="64">
        <v>0.38833333333333336</v>
      </c>
    </row>
    <row r="63" spans="1:42">
      <c r="A63" s="405">
        <v>45078</v>
      </c>
      <c r="B63" s="407">
        <f>IF(YEAR(Table7[[#This Row],[Date]]) = 2023, WEEKNUM(Table7[[#This Row],[Date]])-13, WEEKNUM(Table7[[#This Row],[Date]])+40)</f>
        <v>9</v>
      </c>
      <c r="C63" s="37" t="s">
        <v>52</v>
      </c>
      <c r="D63" s="1" t="s">
        <v>94</v>
      </c>
      <c r="E63" s="37">
        <v>763</v>
      </c>
      <c r="F63" s="37">
        <v>744</v>
      </c>
      <c r="G63" s="80">
        <f>IFERROR((E63-E56)/E56,0%)</f>
        <v>-0.16703056768558952</v>
      </c>
      <c r="H63" s="80">
        <f>IFERROR((F63-F56)/F56,0%)</f>
        <v>-0.10036275695284159</v>
      </c>
      <c r="I63" s="37"/>
      <c r="J63" s="37"/>
      <c r="K63" s="37"/>
      <c r="L63" s="37"/>
      <c r="M63" s="46">
        <v>0.92</v>
      </c>
      <c r="N63" s="46">
        <v>0.02</v>
      </c>
      <c r="O63" s="46">
        <v>0.98</v>
      </c>
      <c r="P63" s="46">
        <v>0.82</v>
      </c>
      <c r="Q63" s="157"/>
      <c r="R63" s="301">
        <v>298</v>
      </c>
      <c r="S63" s="160">
        <v>6.9444444444444441E-3</v>
      </c>
      <c r="T63" s="1">
        <v>10</v>
      </c>
      <c r="U63" s="354" t="str">
        <f t="shared" si="0"/>
        <v>Normal</v>
      </c>
      <c r="V63" s="354" t="str">
        <f t="shared" si="1"/>
        <v>Normal</v>
      </c>
      <c r="W63" s="81">
        <f t="shared" si="2"/>
        <v>-0.16703056768558952</v>
      </c>
      <c r="X63" s="81">
        <f t="shared" si="3"/>
        <v>-0.10036275695284159</v>
      </c>
      <c r="Z63" s="414">
        <v>48</v>
      </c>
      <c r="AA63" s="293">
        <v>4557</v>
      </c>
      <c r="AB63" s="293">
        <v>4268</v>
      </c>
      <c r="AC63" s="64">
        <v>0.70500000000000007</v>
      </c>
      <c r="AD63" s="64">
        <v>0.46833333333333332</v>
      </c>
    </row>
    <row r="64" spans="1:42">
      <c r="A64" s="405">
        <v>45079</v>
      </c>
      <c r="B64" s="406">
        <f>IF(YEAR(Table7[[#This Row],[Date]]) = 2023, WEEKNUM(Table7[[#This Row],[Date]])-13, WEEKNUM(Table7[[#This Row],[Date]])+40)</f>
        <v>9</v>
      </c>
      <c r="C64" s="1" t="s">
        <v>53</v>
      </c>
      <c r="D64" s="1" t="s">
        <v>94</v>
      </c>
      <c r="E64" s="1">
        <v>668</v>
      </c>
      <c r="F64" s="1">
        <v>591</v>
      </c>
      <c r="G64" s="80">
        <f t="shared" ref="G64:H64" si="4">IFERROR((E64-E57)/E57,0%)</f>
        <v>-0.36137667304015297</v>
      </c>
      <c r="H64" s="80">
        <f t="shared" si="4"/>
        <v>-0.28536880290205563</v>
      </c>
      <c r="I64" s="37"/>
      <c r="J64" s="37"/>
      <c r="K64" s="37"/>
      <c r="L64" s="37"/>
      <c r="M64" s="18">
        <v>0.7</v>
      </c>
      <c r="N64" s="18">
        <v>0.12</v>
      </c>
      <c r="O64" s="18">
        <v>0.88</v>
      </c>
      <c r="P64" s="18">
        <v>0.83</v>
      </c>
      <c r="Q64" s="157"/>
      <c r="R64" s="301">
        <v>304</v>
      </c>
      <c r="S64" s="159">
        <v>2.361111111111111E-2</v>
      </c>
      <c r="T64" s="1">
        <v>8</v>
      </c>
      <c r="U64" s="354" t="str">
        <f t="shared" si="0"/>
        <v>Normal</v>
      </c>
      <c r="V64" s="354" t="str">
        <f t="shared" si="1"/>
        <v>Normal</v>
      </c>
      <c r="W64" s="81">
        <f t="shared" si="2"/>
        <v>-0.36137667304015297</v>
      </c>
      <c r="X64" s="81">
        <f t="shared" si="3"/>
        <v>-0.28536880290205563</v>
      </c>
      <c r="Z64" s="414">
        <v>49</v>
      </c>
      <c r="AA64" s="293">
        <v>5898</v>
      </c>
      <c r="AB64" s="293">
        <v>5310</v>
      </c>
      <c r="AC64" s="64">
        <v>0.61857142857142855</v>
      </c>
      <c r="AD64" s="64">
        <v>0.57428571428571418</v>
      </c>
    </row>
    <row r="65" spans="1:30">
      <c r="A65" s="405">
        <v>45080</v>
      </c>
      <c r="B65" s="406">
        <f>IF(YEAR(Table7[[#This Row],[Date]]) = 2023, WEEKNUM(Table7[[#This Row],[Date]])-13, WEEKNUM(Table7[[#This Row],[Date]])+40)</f>
        <v>9</v>
      </c>
      <c r="C65" s="1" t="s">
        <v>54</v>
      </c>
      <c r="D65" s="1" t="s">
        <v>94</v>
      </c>
      <c r="E65" s="1">
        <v>813</v>
      </c>
      <c r="F65" s="1">
        <v>576</v>
      </c>
      <c r="G65" s="80">
        <f t="shared" ref="G65:H65" si="5">IFERROR((E65-E58)/E58,0%)</f>
        <v>-0.17545638945233266</v>
      </c>
      <c r="H65" s="80">
        <f t="shared" si="5"/>
        <v>3.2258064516129031E-2</v>
      </c>
      <c r="I65" s="37"/>
      <c r="J65" s="37"/>
      <c r="K65" s="37"/>
      <c r="L65" s="37"/>
      <c r="M65" s="18">
        <v>0.21</v>
      </c>
      <c r="N65" s="18">
        <v>0.28999999999999998</v>
      </c>
      <c r="O65" s="18">
        <v>0.71</v>
      </c>
      <c r="P65" s="18">
        <v>1.46</v>
      </c>
      <c r="Q65" s="157"/>
      <c r="R65" s="301">
        <v>343</v>
      </c>
      <c r="S65" s="159">
        <v>0.11597222222222221</v>
      </c>
      <c r="T65" s="1">
        <v>5</v>
      </c>
      <c r="U65" s="354" t="str">
        <f t="shared" si="0"/>
        <v>Normal</v>
      </c>
      <c r="V65" s="354" t="str">
        <f t="shared" si="1"/>
        <v>Normal</v>
      </c>
      <c r="W65" s="81">
        <f t="shared" si="2"/>
        <v>-0.17545638945233266</v>
      </c>
      <c r="X65" s="81">
        <f t="shared" si="3"/>
        <v>3.2258064516129031E-2</v>
      </c>
      <c r="Z65" s="414">
        <v>50</v>
      </c>
      <c r="AA65" s="293">
        <v>5634</v>
      </c>
      <c r="AB65" s="293">
        <v>5274</v>
      </c>
      <c r="AC65" s="64">
        <v>0.72571428571428576</v>
      </c>
      <c r="AD65" s="64">
        <v>0.55000000000000004</v>
      </c>
    </row>
    <row r="66" spans="1:30">
      <c r="A66" s="405">
        <v>45081</v>
      </c>
      <c r="B66" s="406">
        <f>IF(YEAR(Table7[[#This Row],[Date]]) = 2023, WEEKNUM(Table7[[#This Row],[Date]])-13, WEEKNUM(Table7[[#This Row],[Date]])+40)</f>
        <v>10</v>
      </c>
      <c r="C66" s="1" t="s">
        <v>48</v>
      </c>
      <c r="D66" s="1" t="s">
        <v>94</v>
      </c>
      <c r="E66" s="1">
        <v>0</v>
      </c>
      <c r="F66" s="1">
        <v>0</v>
      </c>
      <c r="G66" s="80">
        <f t="shared" ref="G66:H66" si="6">IFERROR((E66-E59)/E59,0%)</f>
        <v>0</v>
      </c>
      <c r="H66" s="80">
        <f t="shared" si="6"/>
        <v>0</v>
      </c>
      <c r="I66" s="37">
        <v>0</v>
      </c>
      <c r="J66" s="37">
        <v>0</v>
      </c>
      <c r="K66" s="37">
        <v>0</v>
      </c>
      <c r="L66" s="37">
        <v>0</v>
      </c>
      <c r="M66" s="18">
        <v>0</v>
      </c>
      <c r="N66" s="18">
        <v>0</v>
      </c>
      <c r="O66" s="18">
        <v>0</v>
      </c>
      <c r="P66" s="18">
        <v>0</v>
      </c>
      <c r="Q66" s="157"/>
      <c r="R66" s="301">
        <v>0</v>
      </c>
      <c r="S66" s="159">
        <v>0</v>
      </c>
      <c r="T66" s="1">
        <v>0</v>
      </c>
      <c r="U66" s="354" t="str">
        <f t="shared" si="0"/>
        <v>Normal</v>
      </c>
      <c r="V66" s="354" t="str">
        <f t="shared" si="1"/>
        <v>Normal</v>
      </c>
      <c r="W66" s="81">
        <f t="shared" si="2"/>
        <v>0</v>
      </c>
      <c r="X66" s="81">
        <f t="shared" si="3"/>
        <v>0</v>
      </c>
      <c r="Z66" s="414">
        <v>51</v>
      </c>
      <c r="AA66" s="293">
        <v>5470</v>
      </c>
      <c r="AB66" s="293">
        <v>5159</v>
      </c>
      <c r="AC66" s="64">
        <v>0.72</v>
      </c>
      <c r="AD66" s="64">
        <v>0.68714285714285706</v>
      </c>
    </row>
    <row r="67" spans="1:30">
      <c r="A67" s="405">
        <v>45082</v>
      </c>
      <c r="B67" s="406">
        <f>IF(YEAR(Table7[[#This Row],[Date]]) = 2023, WEEKNUM(Table7[[#This Row],[Date]])-13, WEEKNUM(Table7[[#This Row],[Date]])+40)</f>
        <v>10</v>
      </c>
      <c r="C67" s="1" t="s">
        <v>49</v>
      </c>
      <c r="D67" s="1" t="s">
        <v>94</v>
      </c>
      <c r="E67" s="1">
        <v>1097</v>
      </c>
      <c r="F67" s="1">
        <v>1047</v>
      </c>
      <c r="G67" s="80">
        <f t="shared" ref="G67:H67" si="7">IFERROR((E67-E60)/E60,0%)</f>
        <v>9.1240875912408756E-4</v>
      </c>
      <c r="H67" s="80">
        <f t="shared" si="7"/>
        <v>0.13066954643628509</v>
      </c>
      <c r="I67" s="1"/>
      <c r="J67" s="1"/>
      <c r="K67" s="1"/>
      <c r="L67" s="1"/>
      <c r="M67" s="18">
        <v>0.87</v>
      </c>
      <c r="N67" s="18">
        <v>0.05</v>
      </c>
      <c r="O67" s="18">
        <v>0.95</v>
      </c>
      <c r="P67" s="18">
        <v>0.8</v>
      </c>
      <c r="Q67" s="157"/>
      <c r="R67" s="301">
        <v>247</v>
      </c>
      <c r="S67" s="159">
        <v>1.1805555555555555E-2</v>
      </c>
      <c r="T67" s="1">
        <v>12</v>
      </c>
      <c r="U67" s="354" t="str">
        <f t="shared" ref="U67:U130" si="8">IF(OR(J67&lt;$AA$5,J67&gt;$AB$5), "Outlier", "Normal")</f>
        <v>Normal</v>
      </c>
      <c r="V67" s="354" t="str">
        <f t="shared" ref="V67:V130" si="9">IF(OR(K67&lt;$AA$6,K67&gt;$AB$6), "Outlier", "Normal")</f>
        <v>Normal</v>
      </c>
      <c r="W67" s="81">
        <f t="shared" ref="W67:W130" si="10">IF(U67="Normal",$G67,IF($G67&lt;150%, $G67, $AA$9))</f>
        <v>9.1240875912408756E-4</v>
      </c>
      <c r="X67" s="81">
        <f t="shared" ref="X67:X130" si="11">IF(V67="Normal",$H67,IF($H67&lt;150%, $H67, $AE$9))</f>
        <v>0.13066954643628509</v>
      </c>
      <c r="Z67" s="414">
        <v>52</v>
      </c>
      <c r="AA67" s="293">
        <v>5883</v>
      </c>
      <c r="AB67" s="293">
        <v>5279</v>
      </c>
      <c r="AC67" s="64">
        <v>0.64142857142857135</v>
      </c>
      <c r="AD67" s="64">
        <v>0.61428571428571443</v>
      </c>
    </row>
    <row r="68" spans="1:30">
      <c r="A68" s="405">
        <v>45083</v>
      </c>
      <c r="B68" s="406">
        <f>IF(YEAR(Table7[[#This Row],[Date]]) = 2023, WEEKNUM(Table7[[#This Row],[Date]])-13, WEEKNUM(Table7[[#This Row],[Date]])+40)</f>
        <v>10</v>
      </c>
      <c r="C68" s="1" t="s">
        <v>50</v>
      </c>
      <c r="D68" s="1" t="s">
        <v>94</v>
      </c>
      <c r="E68" s="1">
        <v>966</v>
      </c>
      <c r="F68" s="1">
        <v>949</v>
      </c>
      <c r="G68" s="80">
        <f t="shared" ref="G68:H68" si="12">IFERROR((E68-E61)/E61,0%)</f>
        <v>1.0460251046025104E-2</v>
      </c>
      <c r="H68" s="80">
        <f t="shared" si="12"/>
        <v>0.13516746411483255</v>
      </c>
      <c r="I68" s="37"/>
      <c r="J68" s="37"/>
      <c r="K68" s="37"/>
      <c r="L68" s="37"/>
      <c r="M68" s="18">
        <v>0.77</v>
      </c>
      <c r="N68" s="18">
        <v>0.02</v>
      </c>
      <c r="O68" s="18">
        <v>0.98</v>
      </c>
      <c r="P68" s="18">
        <v>0.84</v>
      </c>
      <c r="Q68" s="157"/>
      <c r="R68" s="301">
        <v>334</v>
      </c>
      <c r="S68" s="159">
        <v>2.1527777777777781E-2</v>
      </c>
      <c r="T68" s="1">
        <v>14</v>
      </c>
      <c r="U68" s="354" t="str">
        <f t="shared" si="8"/>
        <v>Normal</v>
      </c>
      <c r="V68" s="354" t="str">
        <f t="shared" si="9"/>
        <v>Normal</v>
      </c>
      <c r="W68" s="81">
        <f t="shared" si="10"/>
        <v>1.0460251046025104E-2</v>
      </c>
      <c r="X68" s="81">
        <f t="shared" si="11"/>
        <v>0.13516746411483255</v>
      </c>
      <c r="Z68" s="414">
        <v>53</v>
      </c>
      <c r="AA68" s="293">
        <v>5688</v>
      </c>
      <c r="AB68" s="293">
        <v>4150</v>
      </c>
      <c r="AC68" s="64">
        <v>0.23285714285714285</v>
      </c>
      <c r="AD68" s="64">
        <v>0.44142857142857139</v>
      </c>
    </row>
    <row r="69" spans="1:30">
      <c r="A69" s="405">
        <v>45084</v>
      </c>
      <c r="B69" s="406">
        <f>IF(YEAR(Table7[[#This Row],[Date]]) = 2023, WEEKNUM(Table7[[#This Row],[Date]])-13, WEEKNUM(Table7[[#This Row],[Date]])+40)</f>
        <v>10</v>
      </c>
      <c r="C69" s="1" t="s">
        <v>51</v>
      </c>
      <c r="D69" s="1" t="s">
        <v>94</v>
      </c>
      <c r="E69" s="1">
        <v>898</v>
      </c>
      <c r="F69" s="1">
        <v>857</v>
      </c>
      <c r="G69" s="80">
        <f t="shared" ref="G69:H69" si="13">IFERROR((E69-E62)/E62,0%)</f>
        <v>-4.3663471778487756E-2</v>
      </c>
      <c r="H69" s="80">
        <f t="shared" si="13"/>
        <v>-8.1018518518518514E-3</v>
      </c>
      <c r="I69" s="37"/>
      <c r="J69" s="37"/>
      <c r="K69" s="37"/>
      <c r="L69" s="37"/>
      <c r="M69" s="18">
        <v>0.87</v>
      </c>
      <c r="N69" s="18">
        <v>0.05</v>
      </c>
      <c r="O69" s="18">
        <v>0.95</v>
      </c>
      <c r="P69" s="18">
        <v>0.68</v>
      </c>
      <c r="Q69" s="157"/>
      <c r="R69" s="301">
        <v>300</v>
      </c>
      <c r="S69" s="159">
        <v>1.3888888888888888E-2</v>
      </c>
      <c r="T69" s="1">
        <v>14</v>
      </c>
      <c r="U69" s="354" t="str">
        <f t="shared" si="8"/>
        <v>Normal</v>
      </c>
      <c r="V69" s="354" t="str">
        <f t="shared" si="9"/>
        <v>Normal</v>
      </c>
      <c r="W69" s="81">
        <f t="shared" si="10"/>
        <v>-4.3663471778487756E-2</v>
      </c>
      <c r="X69" s="81">
        <f t="shared" si="11"/>
        <v>-8.1018518518518514E-3</v>
      </c>
      <c r="Z69" s="414" t="s">
        <v>257</v>
      </c>
      <c r="AA69" s="293">
        <v>297435</v>
      </c>
      <c r="AB69" s="293">
        <v>256299</v>
      </c>
      <c r="AC69" s="64">
        <v>0.55489010989010967</v>
      </c>
      <c r="AD69" s="64">
        <v>0.61933411077645339</v>
      </c>
    </row>
    <row r="70" spans="1:30">
      <c r="A70" s="405">
        <v>45085</v>
      </c>
      <c r="B70" s="406">
        <f>IF(YEAR(Table7[[#This Row],[Date]]) = 2023, WEEKNUM(Table7[[#This Row],[Date]])-13, WEEKNUM(Table7[[#This Row],[Date]])+40)</f>
        <v>10</v>
      </c>
      <c r="C70" s="1" t="s">
        <v>52</v>
      </c>
      <c r="D70" s="1" t="s">
        <v>94</v>
      </c>
      <c r="E70" s="1">
        <v>808</v>
      </c>
      <c r="F70" s="1">
        <v>712</v>
      </c>
      <c r="G70" s="80">
        <f t="shared" ref="G70:H70" si="14">IFERROR((E70-E63)/E63,0%)</f>
        <v>5.8977719528178242E-2</v>
      </c>
      <c r="H70" s="80">
        <f t="shared" si="14"/>
        <v>-4.3010752688172046E-2</v>
      </c>
      <c r="I70" s="37"/>
      <c r="J70" s="37"/>
      <c r="K70" s="37"/>
      <c r="L70" s="37"/>
      <c r="M70" s="18">
        <v>0.63</v>
      </c>
      <c r="N70" s="18">
        <v>0.12</v>
      </c>
      <c r="O70" s="18">
        <v>0.88</v>
      </c>
      <c r="P70" s="18">
        <v>0.67</v>
      </c>
      <c r="Q70" s="157"/>
      <c r="R70" s="301">
        <v>329</v>
      </c>
      <c r="S70" s="159">
        <v>4.9305555555555554E-2</v>
      </c>
      <c r="T70" s="1">
        <v>13</v>
      </c>
      <c r="U70" s="354" t="str">
        <f t="shared" si="8"/>
        <v>Normal</v>
      </c>
      <c r="V70" s="354" t="str">
        <f t="shared" si="9"/>
        <v>Normal</v>
      </c>
      <c r="W70" s="81">
        <f t="shared" si="10"/>
        <v>5.8977719528178242E-2</v>
      </c>
      <c r="X70" s="81">
        <f t="shared" si="11"/>
        <v>-4.3010752688172046E-2</v>
      </c>
    </row>
    <row r="71" spans="1:30">
      <c r="A71" s="405">
        <v>45086</v>
      </c>
      <c r="B71" s="406">
        <f>IF(YEAR(Table7[[#This Row],[Date]]) = 2023, WEEKNUM(Table7[[#This Row],[Date]])-13, WEEKNUM(Table7[[#This Row],[Date]])+40)</f>
        <v>10</v>
      </c>
      <c r="C71" s="1" t="s">
        <v>53</v>
      </c>
      <c r="D71" s="1" t="s">
        <v>94</v>
      </c>
      <c r="E71" s="1">
        <v>768</v>
      </c>
      <c r="F71" s="1">
        <v>751</v>
      </c>
      <c r="G71" s="80">
        <f t="shared" ref="G71:H71" si="15">IFERROR((E71-E64)/E64,0%)</f>
        <v>0.1497005988023952</v>
      </c>
      <c r="H71" s="80">
        <f t="shared" si="15"/>
        <v>0.27072758037225042</v>
      </c>
      <c r="I71" s="37"/>
      <c r="J71" s="37"/>
      <c r="K71" s="37"/>
      <c r="L71" s="37"/>
      <c r="M71" s="18">
        <v>0.92</v>
      </c>
      <c r="N71" s="18">
        <v>0.02</v>
      </c>
      <c r="O71" s="18">
        <v>0.98</v>
      </c>
      <c r="P71" s="18">
        <v>0.55000000000000004</v>
      </c>
      <c r="Q71" s="157"/>
      <c r="R71" s="301">
        <v>295</v>
      </c>
      <c r="S71" s="159">
        <v>9.7222222222222224E-3</v>
      </c>
      <c r="T71" s="1">
        <v>15</v>
      </c>
      <c r="U71" s="354" t="str">
        <f t="shared" si="8"/>
        <v>Normal</v>
      </c>
      <c r="V71" s="354" t="str">
        <f t="shared" si="9"/>
        <v>Normal</v>
      </c>
      <c r="W71" s="81">
        <f t="shared" si="10"/>
        <v>0.1497005988023952</v>
      </c>
      <c r="X71" s="81">
        <f t="shared" si="11"/>
        <v>0.27072758037225042</v>
      </c>
    </row>
    <row r="72" spans="1:30">
      <c r="A72" s="405">
        <v>45087</v>
      </c>
      <c r="B72" s="406">
        <f>IF(YEAR(Table7[[#This Row],[Date]]) = 2023, WEEKNUM(Table7[[#This Row],[Date]])-13, WEEKNUM(Table7[[#This Row],[Date]])+40)</f>
        <v>10</v>
      </c>
      <c r="C72" s="1" t="s">
        <v>54</v>
      </c>
      <c r="D72" s="1" t="s">
        <v>94</v>
      </c>
      <c r="E72" s="1">
        <v>698</v>
      </c>
      <c r="F72" s="1">
        <v>656</v>
      </c>
      <c r="G72" s="80">
        <f t="shared" ref="G72:H72" si="16">IFERROR((E72-E65)/E65,0%)</f>
        <v>-0.14145141451414514</v>
      </c>
      <c r="H72" s="80">
        <f t="shared" si="16"/>
        <v>0.1388888888888889</v>
      </c>
      <c r="I72" s="37"/>
      <c r="J72" s="37"/>
      <c r="K72" s="37"/>
      <c r="L72" s="37"/>
      <c r="M72" s="18">
        <v>0.81</v>
      </c>
      <c r="N72" s="18">
        <v>0.06</v>
      </c>
      <c r="O72" s="18">
        <v>0.94</v>
      </c>
      <c r="P72" s="18">
        <v>0.61</v>
      </c>
      <c r="Q72" s="157"/>
      <c r="R72" s="301">
        <v>300</v>
      </c>
      <c r="S72" s="159">
        <v>2.2916666666666669E-2</v>
      </c>
      <c r="T72" s="1">
        <v>12</v>
      </c>
      <c r="U72" s="354" t="str">
        <f t="shared" si="8"/>
        <v>Normal</v>
      </c>
      <c r="V72" s="354" t="str">
        <f t="shared" si="9"/>
        <v>Normal</v>
      </c>
      <c r="W72" s="81">
        <f t="shared" si="10"/>
        <v>-0.14145141451414514</v>
      </c>
      <c r="X72" s="81">
        <f t="shared" si="11"/>
        <v>0.1388888888888889</v>
      </c>
    </row>
    <row r="73" spans="1:30">
      <c r="A73" s="405">
        <v>45088</v>
      </c>
      <c r="B73" s="406">
        <f>IF(YEAR(Table7[[#This Row],[Date]]) = 2023, WEEKNUM(Table7[[#This Row],[Date]])-13, WEEKNUM(Table7[[#This Row],[Date]])+40)</f>
        <v>11</v>
      </c>
      <c r="C73" s="1" t="s">
        <v>48</v>
      </c>
      <c r="D73" s="1" t="s">
        <v>94</v>
      </c>
      <c r="E73" s="1">
        <v>0</v>
      </c>
      <c r="F73" s="1">
        <v>0</v>
      </c>
      <c r="G73" s="80">
        <f t="shared" ref="G73:H73" si="17">IFERROR((E73-E66)/E66,0%)</f>
        <v>0</v>
      </c>
      <c r="H73" s="80">
        <f t="shared" si="17"/>
        <v>0</v>
      </c>
      <c r="I73" s="1">
        <v>0</v>
      </c>
      <c r="J73" s="1">
        <v>0</v>
      </c>
      <c r="K73" s="1">
        <v>0</v>
      </c>
      <c r="L73" s="1">
        <v>0</v>
      </c>
      <c r="M73" s="18">
        <v>0</v>
      </c>
      <c r="N73" s="18">
        <v>0</v>
      </c>
      <c r="O73" s="18">
        <v>0</v>
      </c>
      <c r="P73" s="18">
        <v>0</v>
      </c>
      <c r="Q73" s="157"/>
      <c r="R73" s="301">
        <v>0</v>
      </c>
      <c r="S73" s="159">
        <v>0</v>
      </c>
      <c r="T73" s="1">
        <v>0</v>
      </c>
      <c r="U73" s="354" t="str">
        <f t="shared" si="8"/>
        <v>Normal</v>
      </c>
      <c r="V73" s="354" t="str">
        <f t="shared" si="9"/>
        <v>Normal</v>
      </c>
      <c r="W73" s="81">
        <f t="shared" si="10"/>
        <v>0</v>
      </c>
      <c r="X73" s="81">
        <f t="shared" si="11"/>
        <v>0</v>
      </c>
    </row>
    <row r="74" spans="1:30">
      <c r="A74" s="405">
        <v>45089</v>
      </c>
      <c r="B74" s="406">
        <f>IF(YEAR(Table7[[#This Row],[Date]]) = 2023, WEEKNUM(Table7[[#This Row],[Date]])-13, WEEKNUM(Table7[[#This Row],[Date]])+40)</f>
        <v>11</v>
      </c>
      <c r="C74" s="1" t="s">
        <v>49</v>
      </c>
      <c r="D74" s="1" t="s">
        <v>94</v>
      </c>
      <c r="E74" s="1">
        <v>1001</v>
      </c>
      <c r="F74" s="1">
        <v>921</v>
      </c>
      <c r="G74" s="80">
        <f t="shared" ref="G74:H74" si="18">IFERROR((E74-E67)/E67,0%)</f>
        <v>-8.7511394712853241E-2</v>
      </c>
      <c r="H74" s="80">
        <f t="shared" si="18"/>
        <v>-0.12034383954154727</v>
      </c>
      <c r="I74" s="1"/>
      <c r="J74" s="1"/>
      <c r="K74" s="1"/>
      <c r="L74" s="1"/>
      <c r="M74" s="18">
        <v>0.76</v>
      </c>
      <c r="N74" s="18">
        <v>0.08</v>
      </c>
      <c r="O74" s="18">
        <v>0.92</v>
      </c>
      <c r="P74" s="18">
        <v>0.84</v>
      </c>
      <c r="Q74" s="157"/>
      <c r="R74" s="301">
        <v>322</v>
      </c>
      <c r="S74" s="159">
        <v>2.361111111111111E-2</v>
      </c>
      <c r="T74" s="1">
        <v>13</v>
      </c>
      <c r="U74" s="354" t="str">
        <f t="shared" si="8"/>
        <v>Normal</v>
      </c>
      <c r="V74" s="354" t="str">
        <f t="shared" si="9"/>
        <v>Normal</v>
      </c>
      <c r="W74" s="81">
        <f t="shared" si="10"/>
        <v>-8.7511394712853241E-2</v>
      </c>
      <c r="X74" s="81">
        <f t="shared" si="11"/>
        <v>-0.12034383954154727</v>
      </c>
    </row>
    <row r="75" spans="1:30">
      <c r="A75" s="405">
        <v>45090</v>
      </c>
      <c r="B75" s="406">
        <f>IF(YEAR(Table7[[#This Row],[Date]]) = 2023, WEEKNUM(Table7[[#This Row],[Date]])-13, WEEKNUM(Table7[[#This Row],[Date]])+40)</f>
        <v>11</v>
      </c>
      <c r="C75" s="1" t="s">
        <v>50</v>
      </c>
      <c r="D75" s="1" t="s">
        <v>94</v>
      </c>
      <c r="E75" s="1">
        <v>1038</v>
      </c>
      <c r="F75" s="1">
        <v>994</v>
      </c>
      <c r="G75" s="80">
        <f t="shared" ref="G75:H75" si="19">IFERROR((E75-E68)/E68,0%)</f>
        <v>7.4534161490683232E-2</v>
      </c>
      <c r="H75" s="80">
        <f t="shared" si="19"/>
        <v>4.7418335089567963E-2</v>
      </c>
      <c r="I75" s="1"/>
      <c r="J75" s="1"/>
      <c r="K75" s="1"/>
      <c r="L75" s="1"/>
      <c r="M75" s="18">
        <v>0.92</v>
      </c>
      <c r="N75" s="18">
        <v>0.04</v>
      </c>
      <c r="O75" s="18">
        <v>0.96</v>
      </c>
      <c r="P75" s="18">
        <v>0.71</v>
      </c>
      <c r="Q75" s="157"/>
      <c r="R75" s="301">
        <v>269</v>
      </c>
      <c r="S75" s="159">
        <v>6.2499999999999995E-3</v>
      </c>
      <c r="T75" s="1">
        <v>14</v>
      </c>
      <c r="U75" s="354" t="str">
        <f t="shared" si="8"/>
        <v>Normal</v>
      </c>
      <c r="V75" s="354" t="str">
        <f t="shared" si="9"/>
        <v>Normal</v>
      </c>
      <c r="W75" s="81">
        <f t="shared" si="10"/>
        <v>7.4534161490683232E-2</v>
      </c>
      <c r="X75" s="81">
        <f t="shared" si="11"/>
        <v>4.7418335089567963E-2</v>
      </c>
    </row>
    <row r="76" spans="1:30">
      <c r="A76" s="405">
        <v>45091</v>
      </c>
      <c r="B76" s="406">
        <f>IF(YEAR(Table7[[#This Row],[Date]]) = 2023, WEEKNUM(Table7[[#This Row],[Date]])-13, WEEKNUM(Table7[[#This Row],[Date]])+40)</f>
        <v>11</v>
      </c>
      <c r="C76" s="1" t="s">
        <v>51</v>
      </c>
      <c r="D76" s="1" t="s">
        <v>94</v>
      </c>
      <c r="E76" s="1">
        <v>1281</v>
      </c>
      <c r="F76" s="1">
        <v>1030</v>
      </c>
      <c r="G76" s="80">
        <f t="shared" ref="G76:H76" si="20">IFERROR((E76-E69)/E69,0%)</f>
        <v>0.42650334075723828</v>
      </c>
      <c r="H76" s="80">
        <f t="shared" si="20"/>
        <v>0.20186697782963828</v>
      </c>
      <c r="I76" s="1"/>
      <c r="J76" s="1"/>
      <c r="K76" s="1"/>
      <c r="L76" s="1"/>
      <c r="M76" s="18">
        <v>0.48</v>
      </c>
      <c r="N76" s="18">
        <v>0.2</v>
      </c>
      <c r="O76" s="18">
        <v>0.8</v>
      </c>
      <c r="P76" s="18">
        <v>0.99</v>
      </c>
      <c r="Q76" s="157"/>
      <c r="R76" s="301">
        <v>338</v>
      </c>
      <c r="S76" s="159">
        <v>8.7500000000000008E-2</v>
      </c>
      <c r="T76" s="1">
        <v>13</v>
      </c>
      <c r="U76" s="354" t="str">
        <f t="shared" si="8"/>
        <v>Normal</v>
      </c>
      <c r="V76" s="354" t="str">
        <f t="shared" si="9"/>
        <v>Normal</v>
      </c>
      <c r="W76" s="81">
        <f t="shared" si="10"/>
        <v>0.42650334075723828</v>
      </c>
      <c r="X76" s="81">
        <f t="shared" si="11"/>
        <v>0.20186697782963828</v>
      </c>
    </row>
    <row r="77" spans="1:30">
      <c r="A77" s="405">
        <v>45092</v>
      </c>
      <c r="B77" s="406">
        <f>IF(YEAR(Table7[[#This Row],[Date]]) = 2023, WEEKNUM(Table7[[#This Row],[Date]])-13, WEEKNUM(Table7[[#This Row],[Date]])+40)</f>
        <v>11</v>
      </c>
      <c r="C77" s="1" t="s">
        <v>52</v>
      </c>
      <c r="D77" s="1" t="s">
        <v>94</v>
      </c>
      <c r="E77" s="1">
        <v>857</v>
      </c>
      <c r="F77" s="1">
        <v>828</v>
      </c>
      <c r="G77" s="80">
        <f t="shared" ref="G77:H77" si="21">IFERROR((E77-E70)/E70,0%)</f>
        <v>6.0643564356435642E-2</v>
      </c>
      <c r="H77" s="80">
        <f t="shared" si="21"/>
        <v>0.16292134831460675</v>
      </c>
      <c r="I77" s="1"/>
      <c r="J77" s="1"/>
      <c r="K77" s="1"/>
      <c r="L77" s="1"/>
      <c r="M77" s="18">
        <v>0.88</v>
      </c>
      <c r="N77" s="18">
        <v>0.03</v>
      </c>
      <c r="O77" s="18">
        <v>0.97</v>
      </c>
      <c r="P77" s="18">
        <v>0.75</v>
      </c>
      <c r="Q77" s="157"/>
      <c r="R77" s="301">
        <v>319</v>
      </c>
      <c r="S77" s="159">
        <v>1.1111111111111112E-2</v>
      </c>
      <c r="T77" s="1">
        <v>13</v>
      </c>
      <c r="U77" s="354" t="str">
        <f t="shared" si="8"/>
        <v>Normal</v>
      </c>
      <c r="V77" s="354" t="str">
        <f t="shared" si="9"/>
        <v>Normal</v>
      </c>
      <c r="W77" s="81">
        <f t="shared" si="10"/>
        <v>6.0643564356435642E-2</v>
      </c>
      <c r="X77" s="81">
        <f t="shared" si="11"/>
        <v>0.16292134831460675</v>
      </c>
    </row>
    <row r="78" spans="1:30">
      <c r="A78" s="405">
        <v>45093</v>
      </c>
      <c r="B78" s="406">
        <f>IF(YEAR(Table7[[#This Row],[Date]]) = 2023, WEEKNUM(Table7[[#This Row],[Date]])-13, WEEKNUM(Table7[[#This Row],[Date]])+40)</f>
        <v>11</v>
      </c>
      <c r="C78" s="1" t="s">
        <v>53</v>
      </c>
      <c r="D78" s="1" t="s">
        <v>94</v>
      </c>
      <c r="E78" s="1">
        <v>882</v>
      </c>
      <c r="F78" s="1">
        <v>861</v>
      </c>
      <c r="G78" s="80">
        <f t="shared" ref="G78:H78" si="22">IFERROR((E78-E71)/E71,0%)</f>
        <v>0.1484375</v>
      </c>
      <c r="H78" s="80">
        <f t="shared" si="22"/>
        <v>0.14647137150466044</v>
      </c>
      <c r="I78" s="1"/>
      <c r="J78" s="1"/>
      <c r="K78" s="1"/>
      <c r="L78" s="1"/>
      <c r="M78" s="18">
        <v>0.94</v>
      </c>
      <c r="N78" s="18">
        <v>0.02</v>
      </c>
      <c r="O78" s="18">
        <v>0.98</v>
      </c>
      <c r="P78" s="18">
        <v>0.64</v>
      </c>
      <c r="Q78" s="157"/>
      <c r="R78" s="301">
        <v>299</v>
      </c>
      <c r="S78" s="159">
        <v>6.9444444444444441E-3</v>
      </c>
      <c r="T78" s="1">
        <v>15</v>
      </c>
      <c r="U78" s="354" t="str">
        <f t="shared" si="8"/>
        <v>Normal</v>
      </c>
      <c r="V78" s="354" t="str">
        <f t="shared" si="9"/>
        <v>Normal</v>
      </c>
      <c r="W78" s="81">
        <f t="shared" si="10"/>
        <v>0.1484375</v>
      </c>
      <c r="X78" s="81">
        <f t="shared" si="11"/>
        <v>0.14647137150466044</v>
      </c>
    </row>
    <row r="79" spans="1:30">
      <c r="A79" s="405">
        <v>45094</v>
      </c>
      <c r="B79" s="406">
        <f>IF(YEAR(Table7[[#This Row],[Date]]) = 2023, WEEKNUM(Table7[[#This Row],[Date]])-13, WEEKNUM(Table7[[#This Row],[Date]])+40)</f>
        <v>11</v>
      </c>
      <c r="C79" s="1" t="s">
        <v>54</v>
      </c>
      <c r="D79" s="1" t="s">
        <v>94</v>
      </c>
      <c r="E79" s="1">
        <v>735</v>
      </c>
      <c r="F79" s="1">
        <v>702</v>
      </c>
      <c r="G79" s="80">
        <f t="shared" ref="G79:H79" si="23">IFERROR((E79-E72)/E72,0%)</f>
        <v>5.300859598853868E-2</v>
      </c>
      <c r="H79" s="80">
        <f t="shared" si="23"/>
        <v>7.0121951219512202E-2</v>
      </c>
      <c r="I79" s="1"/>
      <c r="J79" s="1"/>
      <c r="K79" s="1"/>
      <c r="L79" s="1"/>
      <c r="M79" s="18">
        <v>0.85</v>
      </c>
      <c r="N79" s="18">
        <v>0.04</v>
      </c>
      <c r="O79" s="18">
        <v>0.96</v>
      </c>
      <c r="P79" s="18">
        <v>0.71</v>
      </c>
      <c r="Q79" s="157"/>
      <c r="R79" s="301">
        <v>300</v>
      </c>
      <c r="S79" s="159">
        <v>1.2499999999999999E-2</v>
      </c>
      <c r="T79" s="1">
        <v>11</v>
      </c>
      <c r="U79" s="354" t="str">
        <f t="shared" si="8"/>
        <v>Normal</v>
      </c>
      <c r="V79" s="354" t="str">
        <f t="shared" si="9"/>
        <v>Normal</v>
      </c>
      <c r="W79" s="81">
        <f t="shared" si="10"/>
        <v>5.300859598853868E-2</v>
      </c>
      <c r="X79" s="81">
        <f t="shared" si="11"/>
        <v>7.0121951219512202E-2</v>
      </c>
    </row>
    <row r="80" spans="1:30">
      <c r="A80" s="405">
        <v>45095</v>
      </c>
      <c r="B80" s="406">
        <f>IF(YEAR(Table7[[#This Row],[Date]]) = 2023, WEEKNUM(Table7[[#This Row],[Date]])-13, WEEKNUM(Table7[[#This Row],[Date]])+40)</f>
        <v>12</v>
      </c>
      <c r="C80" s="1" t="s">
        <v>48</v>
      </c>
      <c r="D80" s="1" t="s">
        <v>94</v>
      </c>
      <c r="E80" s="1">
        <v>0</v>
      </c>
      <c r="F80" s="1">
        <v>0</v>
      </c>
      <c r="G80" s="80">
        <f t="shared" ref="G80:H80" si="24">IFERROR((E80-E73)/E73,0%)</f>
        <v>0</v>
      </c>
      <c r="H80" s="80">
        <f t="shared" si="24"/>
        <v>0</v>
      </c>
      <c r="I80" s="1">
        <v>0</v>
      </c>
      <c r="J80" s="1">
        <v>0</v>
      </c>
      <c r="K80" s="1">
        <v>0</v>
      </c>
      <c r="L80" s="1">
        <v>0</v>
      </c>
      <c r="M80" s="18">
        <v>0</v>
      </c>
      <c r="N80" s="18">
        <v>0</v>
      </c>
      <c r="O80" s="18">
        <v>0</v>
      </c>
      <c r="P80" s="18">
        <v>0</v>
      </c>
      <c r="Q80" s="157"/>
      <c r="R80" s="301">
        <v>0</v>
      </c>
      <c r="S80" s="159">
        <v>0</v>
      </c>
      <c r="T80" s="1">
        <v>0</v>
      </c>
      <c r="U80" s="354" t="str">
        <f t="shared" si="8"/>
        <v>Normal</v>
      </c>
      <c r="V80" s="354" t="str">
        <f t="shared" si="9"/>
        <v>Normal</v>
      </c>
      <c r="W80" s="81">
        <f t="shared" si="10"/>
        <v>0</v>
      </c>
      <c r="X80" s="81">
        <f t="shared" si="11"/>
        <v>0</v>
      </c>
    </row>
    <row r="81" spans="1:24">
      <c r="A81" s="405">
        <v>45096</v>
      </c>
      <c r="B81" s="406">
        <f>IF(YEAR(Table7[[#This Row],[Date]]) = 2023, WEEKNUM(Table7[[#This Row],[Date]])-13, WEEKNUM(Table7[[#This Row],[Date]])+40)</f>
        <v>12</v>
      </c>
      <c r="C81" s="1" t="s">
        <v>49</v>
      </c>
      <c r="D81" s="1" t="s">
        <v>94</v>
      </c>
      <c r="E81" s="1">
        <v>1010</v>
      </c>
      <c r="F81" s="1">
        <v>958</v>
      </c>
      <c r="G81" s="80">
        <f t="shared" ref="G81:H81" si="25">IFERROR((E81-E74)/E74,0%)</f>
        <v>8.9910089910089919E-3</v>
      </c>
      <c r="H81" s="80">
        <f t="shared" si="25"/>
        <v>4.0173724212812158E-2</v>
      </c>
      <c r="I81" s="1"/>
      <c r="J81" s="1"/>
      <c r="K81" s="1"/>
      <c r="L81" s="1"/>
      <c r="M81" s="18">
        <v>0.74</v>
      </c>
      <c r="N81" s="18">
        <v>0.05</v>
      </c>
      <c r="O81" s="18">
        <v>0.95</v>
      </c>
      <c r="P81" s="18">
        <v>0.86</v>
      </c>
      <c r="Q81" s="157"/>
      <c r="R81" s="301">
        <v>315</v>
      </c>
      <c r="S81" s="159">
        <v>2.5694444444444447E-2</v>
      </c>
      <c r="T81" s="1">
        <v>13</v>
      </c>
      <c r="U81" s="354" t="str">
        <f t="shared" si="8"/>
        <v>Normal</v>
      </c>
      <c r="V81" s="354" t="str">
        <f t="shared" si="9"/>
        <v>Normal</v>
      </c>
      <c r="W81" s="81">
        <f t="shared" si="10"/>
        <v>8.9910089910089919E-3</v>
      </c>
      <c r="X81" s="81">
        <f t="shared" si="11"/>
        <v>4.0173724212812158E-2</v>
      </c>
    </row>
    <row r="82" spans="1:24">
      <c r="A82" s="405">
        <v>45097</v>
      </c>
      <c r="B82" s="406">
        <f>IF(YEAR(Table7[[#This Row],[Date]]) = 2023, WEEKNUM(Table7[[#This Row],[Date]])-13, WEEKNUM(Table7[[#This Row],[Date]])+40)</f>
        <v>12</v>
      </c>
      <c r="C82" s="1" t="s">
        <v>50</v>
      </c>
      <c r="D82" s="1" t="s">
        <v>94</v>
      </c>
      <c r="E82" s="1">
        <v>863</v>
      </c>
      <c r="F82" s="1">
        <v>848</v>
      </c>
      <c r="G82" s="80">
        <f t="shared" ref="G82:H82" si="26">IFERROR((E82-E75)/E75,0%)</f>
        <v>-0.16859344894026976</v>
      </c>
      <c r="H82" s="80">
        <f t="shared" si="26"/>
        <v>-0.14688128772635814</v>
      </c>
      <c r="I82" s="1"/>
      <c r="J82" s="1"/>
      <c r="K82" s="1"/>
      <c r="L82" s="1"/>
      <c r="M82" s="18">
        <v>0.96</v>
      </c>
      <c r="N82" s="18">
        <v>0.02</v>
      </c>
      <c r="O82" s="18">
        <v>0.98</v>
      </c>
      <c r="P82" s="18">
        <v>0.63</v>
      </c>
      <c r="Q82" s="157"/>
      <c r="R82" s="301">
        <v>301</v>
      </c>
      <c r="S82" s="159">
        <v>4.1666666666666666E-3</v>
      </c>
      <c r="T82" s="1">
        <v>15</v>
      </c>
      <c r="U82" s="354" t="str">
        <f t="shared" si="8"/>
        <v>Normal</v>
      </c>
      <c r="V82" s="354" t="str">
        <f t="shared" si="9"/>
        <v>Normal</v>
      </c>
      <c r="W82" s="81">
        <f t="shared" si="10"/>
        <v>-0.16859344894026976</v>
      </c>
      <c r="X82" s="81">
        <f t="shared" si="11"/>
        <v>-0.14688128772635814</v>
      </c>
    </row>
    <row r="83" spans="1:24">
      <c r="A83" s="405">
        <v>45098</v>
      </c>
      <c r="B83" s="406">
        <f>IF(YEAR(Table7[[#This Row],[Date]]) = 2023, WEEKNUM(Table7[[#This Row],[Date]])-13, WEEKNUM(Table7[[#This Row],[Date]])+40)</f>
        <v>12</v>
      </c>
      <c r="C83" s="1" t="s">
        <v>51</v>
      </c>
      <c r="D83" s="1" t="s">
        <v>94</v>
      </c>
      <c r="E83" s="1">
        <v>975</v>
      </c>
      <c r="F83" s="1">
        <v>927</v>
      </c>
      <c r="G83" s="80">
        <f t="shared" ref="G83:H83" si="27">IFERROR((E83-E76)/E76,0%)</f>
        <v>-0.2388758782201405</v>
      </c>
      <c r="H83" s="80">
        <f t="shared" si="27"/>
        <v>-0.1</v>
      </c>
      <c r="I83" s="1"/>
      <c r="J83" s="1"/>
      <c r="K83" s="1"/>
      <c r="L83" s="1"/>
      <c r="M83" s="18">
        <v>0.87</v>
      </c>
      <c r="N83" s="18">
        <v>0.05</v>
      </c>
      <c r="O83" s="18">
        <v>0.95</v>
      </c>
      <c r="P83" s="18">
        <v>0.74</v>
      </c>
      <c r="Q83" s="157"/>
      <c r="R83" s="301">
        <v>302</v>
      </c>
      <c r="S83" s="159">
        <v>1.4583333333333332E-2</v>
      </c>
      <c r="T83" s="1">
        <v>14</v>
      </c>
      <c r="U83" s="354" t="str">
        <f t="shared" si="8"/>
        <v>Normal</v>
      </c>
      <c r="V83" s="354" t="str">
        <f t="shared" si="9"/>
        <v>Normal</v>
      </c>
      <c r="W83" s="81">
        <f t="shared" si="10"/>
        <v>-0.2388758782201405</v>
      </c>
      <c r="X83" s="81">
        <f t="shared" si="11"/>
        <v>-0.1</v>
      </c>
    </row>
    <row r="84" spans="1:24">
      <c r="A84" s="405">
        <v>45099</v>
      </c>
      <c r="B84" s="406">
        <f>IF(YEAR(Table7[[#This Row],[Date]]) = 2023, WEEKNUM(Table7[[#This Row],[Date]])-13, WEEKNUM(Table7[[#This Row],[Date]])+40)</f>
        <v>12</v>
      </c>
      <c r="C84" s="1" t="s">
        <v>52</v>
      </c>
      <c r="D84" s="1" t="s">
        <v>94</v>
      </c>
      <c r="E84" s="1">
        <v>1006</v>
      </c>
      <c r="F84" s="1">
        <v>944</v>
      </c>
      <c r="G84" s="80">
        <f t="shared" ref="G84:H84" si="28">IFERROR((E84-E77)/E77,0%)</f>
        <v>0.17386231038506417</v>
      </c>
      <c r="H84" s="80">
        <f t="shared" si="28"/>
        <v>0.14009661835748793</v>
      </c>
      <c r="I84" s="1"/>
      <c r="J84" s="1"/>
      <c r="K84" s="1"/>
      <c r="L84" s="1"/>
      <c r="M84" s="18">
        <v>0.79</v>
      </c>
      <c r="N84" s="18">
        <v>0.06</v>
      </c>
      <c r="O84" s="18">
        <v>0.94</v>
      </c>
      <c r="P84" s="18">
        <v>0.65</v>
      </c>
      <c r="Q84" s="157"/>
      <c r="R84" s="301">
        <v>281</v>
      </c>
      <c r="S84" s="159">
        <v>2.2222222222222223E-2</v>
      </c>
      <c r="T84" s="1">
        <v>15</v>
      </c>
      <c r="U84" s="354" t="str">
        <f t="shared" si="8"/>
        <v>Normal</v>
      </c>
      <c r="V84" s="354" t="str">
        <f t="shared" si="9"/>
        <v>Normal</v>
      </c>
      <c r="W84" s="81">
        <f t="shared" si="10"/>
        <v>0.17386231038506417</v>
      </c>
      <c r="X84" s="81">
        <f t="shared" si="11"/>
        <v>0.14009661835748793</v>
      </c>
    </row>
    <row r="85" spans="1:24">
      <c r="A85" s="405">
        <v>45100</v>
      </c>
      <c r="B85" s="406">
        <f>IF(YEAR(Table7[[#This Row],[Date]]) = 2023, WEEKNUM(Table7[[#This Row],[Date]])-13, WEEKNUM(Table7[[#This Row],[Date]])+40)</f>
        <v>12</v>
      </c>
      <c r="C85" s="1" t="s">
        <v>53</v>
      </c>
      <c r="D85" s="1" t="s">
        <v>94</v>
      </c>
      <c r="E85" s="1">
        <v>1083</v>
      </c>
      <c r="F85" s="1">
        <v>903</v>
      </c>
      <c r="G85" s="80">
        <f t="shared" ref="G85:H85" si="29">IFERROR((E85-E78)/E78,0%)</f>
        <v>0.22789115646258504</v>
      </c>
      <c r="H85" s="80">
        <f t="shared" si="29"/>
        <v>4.878048780487805E-2</v>
      </c>
      <c r="I85" s="1"/>
      <c r="J85" s="1"/>
      <c r="K85" s="1"/>
      <c r="L85" s="1"/>
      <c r="M85" s="18">
        <v>0.48</v>
      </c>
      <c r="N85" s="18">
        <v>0.17</v>
      </c>
      <c r="O85" s="18">
        <v>0.83</v>
      </c>
      <c r="P85" s="18">
        <v>0.75</v>
      </c>
      <c r="Q85" s="157"/>
      <c r="R85" s="301">
        <v>292</v>
      </c>
      <c r="S85" s="159">
        <v>5.1388888888888894E-2</v>
      </c>
      <c r="T85" s="1">
        <v>13</v>
      </c>
      <c r="U85" s="354" t="str">
        <f t="shared" si="8"/>
        <v>Normal</v>
      </c>
      <c r="V85" s="354" t="str">
        <f t="shared" si="9"/>
        <v>Normal</v>
      </c>
      <c r="W85" s="81">
        <f t="shared" si="10"/>
        <v>0.22789115646258504</v>
      </c>
      <c r="X85" s="81">
        <f t="shared" si="11"/>
        <v>4.878048780487805E-2</v>
      </c>
    </row>
    <row r="86" spans="1:24">
      <c r="A86" s="405">
        <v>45101</v>
      </c>
      <c r="B86" s="406">
        <f>IF(YEAR(Table7[[#This Row],[Date]]) = 2023, WEEKNUM(Table7[[#This Row],[Date]])-13, WEEKNUM(Table7[[#This Row],[Date]])+40)</f>
        <v>12</v>
      </c>
      <c r="C86" s="1" t="s">
        <v>54</v>
      </c>
      <c r="D86" s="1" t="s">
        <v>94</v>
      </c>
      <c r="E86" s="1">
        <v>784</v>
      </c>
      <c r="F86" s="1">
        <v>585</v>
      </c>
      <c r="G86" s="80">
        <f t="shared" ref="G86:H86" si="30">IFERROR((E86-E79)/E79,0%)</f>
        <v>6.6666666666666666E-2</v>
      </c>
      <c r="H86" s="80">
        <f t="shared" si="30"/>
        <v>-0.16666666666666666</v>
      </c>
      <c r="I86" s="1"/>
      <c r="J86" s="1"/>
      <c r="K86" s="1"/>
      <c r="L86" s="1"/>
      <c r="M86" s="18">
        <v>0.32</v>
      </c>
      <c r="N86" s="18">
        <v>0.25</v>
      </c>
      <c r="O86" s="18">
        <v>0.75</v>
      </c>
      <c r="P86" s="18">
        <v>0.9</v>
      </c>
      <c r="Q86" s="157"/>
      <c r="R86" s="301">
        <v>292</v>
      </c>
      <c r="S86" s="159">
        <v>5.1388888888888894E-2</v>
      </c>
      <c r="T86" s="1">
        <v>7</v>
      </c>
      <c r="U86" s="354" t="str">
        <f t="shared" si="8"/>
        <v>Normal</v>
      </c>
      <c r="V86" s="354" t="str">
        <f t="shared" si="9"/>
        <v>Normal</v>
      </c>
      <c r="W86" s="81">
        <f t="shared" si="10"/>
        <v>6.6666666666666666E-2</v>
      </c>
      <c r="X86" s="81">
        <f t="shared" si="11"/>
        <v>-0.16666666666666666</v>
      </c>
    </row>
    <row r="87" spans="1:24">
      <c r="A87" s="405">
        <v>45102</v>
      </c>
      <c r="B87" s="406">
        <f>IF(YEAR(Table7[[#This Row],[Date]]) = 2023, WEEKNUM(Table7[[#This Row],[Date]])-13, WEEKNUM(Table7[[#This Row],[Date]])+40)</f>
        <v>13</v>
      </c>
      <c r="C87" s="1" t="s">
        <v>48</v>
      </c>
      <c r="D87" s="1" t="s">
        <v>94</v>
      </c>
      <c r="E87" s="1">
        <v>39</v>
      </c>
      <c r="F87" s="1">
        <v>39</v>
      </c>
      <c r="G87" s="80">
        <f t="shared" ref="G87:H87" si="31">IFERROR((E87-E80)/E80,0%)</f>
        <v>0</v>
      </c>
      <c r="H87" s="80">
        <f t="shared" si="31"/>
        <v>0</v>
      </c>
      <c r="I87" s="1"/>
      <c r="J87" s="1"/>
      <c r="K87" s="1"/>
      <c r="L87" s="1"/>
      <c r="M87" s="18">
        <v>0.99</v>
      </c>
      <c r="N87" s="18">
        <v>0</v>
      </c>
      <c r="O87" s="18">
        <v>1</v>
      </c>
      <c r="P87" s="18">
        <v>0.1</v>
      </c>
      <c r="Q87" s="157"/>
      <c r="R87" s="301">
        <v>200</v>
      </c>
      <c r="S87" s="159">
        <v>3.472222222222222E-3</v>
      </c>
      <c r="T87" s="1">
        <v>3</v>
      </c>
      <c r="U87" s="354" t="str">
        <f t="shared" si="8"/>
        <v>Normal</v>
      </c>
      <c r="V87" s="354" t="str">
        <f t="shared" si="9"/>
        <v>Normal</v>
      </c>
      <c r="W87" s="81">
        <f t="shared" si="10"/>
        <v>0</v>
      </c>
      <c r="X87" s="81">
        <f t="shared" si="11"/>
        <v>0</v>
      </c>
    </row>
    <row r="88" spans="1:24">
      <c r="A88" s="405">
        <v>45103</v>
      </c>
      <c r="B88" s="406">
        <f>IF(YEAR(Table7[[#This Row],[Date]]) = 2023, WEEKNUM(Table7[[#This Row],[Date]])-13, WEEKNUM(Table7[[#This Row],[Date]])+40)</f>
        <v>13</v>
      </c>
      <c r="C88" s="1" t="s">
        <v>49</v>
      </c>
      <c r="D88" s="1" t="s">
        <v>94</v>
      </c>
      <c r="E88" s="1">
        <v>1075</v>
      </c>
      <c r="F88" s="1">
        <v>1037</v>
      </c>
      <c r="G88" s="80">
        <f t="shared" ref="G88:H88" si="32">IFERROR((E88-E81)/E81,0%)</f>
        <v>6.4356435643564358E-2</v>
      </c>
      <c r="H88" s="80">
        <f t="shared" si="32"/>
        <v>8.2463465553235901E-2</v>
      </c>
      <c r="I88" s="1"/>
      <c r="J88" s="1"/>
      <c r="K88" s="1"/>
      <c r="L88" s="1"/>
      <c r="M88" s="18">
        <v>0.89</v>
      </c>
      <c r="N88" s="18">
        <v>0.04</v>
      </c>
      <c r="O88" s="18">
        <v>0.96</v>
      </c>
      <c r="P88" s="18">
        <v>0.51</v>
      </c>
      <c r="Q88" s="157"/>
      <c r="R88" s="301">
        <v>200</v>
      </c>
      <c r="S88" s="159">
        <v>3.472222222222222E-3</v>
      </c>
      <c r="T88" s="1">
        <v>15</v>
      </c>
      <c r="U88" s="354" t="str">
        <f t="shared" si="8"/>
        <v>Normal</v>
      </c>
      <c r="V88" s="354" t="str">
        <f t="shared" si="9"/>
        <v>Normal</v>
      </c>
      <c r="W88" s="81">
        <f t="shared" si="10"/>
        <v>6.4356435643564358E-2</v>
      </c>
      <c r="X88" s="81">
        <f t="shared" si="11"/>
        <v>8.2463465553235901E-2</v>
      </c>
    </row>
    <row r="89" spans="1:24">
      <c r="A89" s="405">
        <v>45104</v>
      </c>
      <c r="B89" s="406">
        <f>IF(YEAR(Table7[[#This Row],[Date]]) = 2023, WEEKNUM(Table7[[#This Row],[Date]])-13, WEEKNUM(Table7[[#This Row],[Date]])+40)</f>
        <v>13</v>
      </c>
      <c r="C89" s="1" t="s">
        <v>50</v>
      </c>
      <c r="D89" s="1" t="s">
        <v>94</v>
      </c>
      <c r="E89" s="1">
        <v>979</v>
      </c>
      <c r="F89" s="1">
        <v>925</v>
      </c>
      <c r="G89" s="80">
        <f t="shared" ref="G89:H89" si="33">IFERROR((E89-E82)/E82,0%)</f>
        <v>0.13441483198146004</v>
      </c>
      <c r="H89" s="80">
        <f t="shared" si="33"/>
        <v>9.0801886792452824E-2</v>
      </c>
      <c r="I89" s="1"/>
      <c r="J89" s="1"/>
      <c r="K89" s="1"/>
      <c r="L89" s="1"/>
      <c r="M89" s="18">
        <v>0.85</v>
      </c>
      <c r="N89" s="18">
        <v>0.06</v>
      </c>
      <c r="O89" s="18">
        <v>0.94</v>
      </c>
      <c r="P89" s="18">
        <v>0.69</v>
      </c>
      <c r="Q89" s="157"/>
      <c r="R89" s="301">
        <v>303</v>
      </c>
      <c r="S89" s="159">
        <v>1.7361111111111112E-2</v>
      </c>
      <c r="T89" s="1">
        <v>15</v>
      </c>
      <c r="U89" s="354" t="str">
        <f t="shared" si="8"/>
        <v>Normal</v>
      </c>
      <c r="V89" s="354" t="str">
        <f t="shared" si="9"/>
        <v>Normal</v>
      </c>
      <c r="W89" s="81">
        <f t="shared" si="10"/>
        <v>0.13441483198146004</v>
      </c>
      <c r="X89" s="81">
        <f t="shared" si="11"/>
        <v>9.0801886792452824E-2</v>
      </c>
    </row>
    <row r="90" spans="1:24">
      <c r="A90" s="405">
        <v>45105</v>
      </c>
      <c r="B90" s="406">
        <f>IF(YEAR(Table7[[#This Row],[Date]]) = 2023, WEEKNUM(Table7[[#This Row],[Date]])-13, WEEKNUM(Table7[[#This Row],[Date]])+40)</f>
        <v>13</v>
      </c>
      <c r="C90" s="1" t="s">
        <v>51</v>
      </c>
      <c r="D90" s="1" t="s">
        <v>94</v>
      </c>
      <c r="E90" s="1">
        <v>1046</v>
      </c>
      <c r="F90" s="1">
        <v>919</v>
      </c>
      <c r="G90" s="80">
        <f t="shared" ref="G90:H90" si="34">IFERROR((E90-E83)/E83,0%)</f>
        <v>7.2820512820512814E-2</v>
      </c>
      <c r="H90" s="80">
        <f t="shared" si="34"/>
        <v>-8.6299892125134836E-3</v>
      </c>
      <c r="I90" s="1"/>
      <c r="J90" s="1"/>
      <c r="K90" s="1"/>
      <c r="L90" s="1"/>
      <c r="M90" s="18">
        <v>0.57999999999999996</v>
      </c>
      <c r="N90" s="18">
        <v>0.12</v>
      </c>
      <c r="O90" s="18">
        <v>0.88</v>
      </c>
      <c r="P90" s="18">
        <v>0.92</v>
      </c>
      <c r="Q90" s="157"/>
      <c r="R90" s="301">
        <v>324</v>
      </c>
      <c r="S90" s="159">
        <v>5.5555555555555552E-2</v>
      </c>
      <c r="T90" s="1">
        <v>12</v>
      </c>
      <c r="U90" s="354" t="str">
        <f t="shared" si="8"/>
        <v>Normal</v>
      </c>
      <c r="V90" s="354" t="str">
        <f t="shared" si="9"/>
        <v>Normal</v>
      </c>
      <c r="W90" s="81">
        <f t="shared" si="10"/>
        <v>7.2820512820512814E-2</v>
      </c>
      <c r="X90" s="81">
        <f t="shared" si="11"/>
        <v>-8.6299892125134836E-3</v>
      </c>
    </row>
    <row r="91" spans="1:24">
      <c r="A91" s="405">
        <v>45106</v>
      </c>
      <c r="B91" s="406">
        <f>IF(YEAR(Table7[[#This Row],[Date]]) = 2023, WEEKNUM(Table7[[#This Row],[Date]])-13, WEEKNUM(Table7[[#This Row],[Date]])+40)</f>
        <v>13</v>
      </c>
      <c r="C91" s="1" t="s">
        <v>52</v>
      </c>
      <c r="D91" s="1" t="s">
        <v>94</v>
      </c>
      <c r="E91" s="1">
        <v>825</v>
      </c>
      <c r="F91" s="1">
        <v>796</v>
      </c>
      <c r="G91" s="80">
        <f t="shared" ref="G91:H91" si="35">IFERROR((E91-E84)/E84,0%)</f>
        <v>-0.17992047713717693</v>
      </c>
      <c r="H91" s="80">
        <f t="shared" si="35"/>
        <v>-0.15677966101694915</v>
      </c>
      <c r="I91" s="1"/>
      <c r="J91" s="1"/>
      <c r="K91" s="1"/>
      <c r="L91" s="1"/>
      <c r="M91" s="18">
        <v>0.89</v>
      </c>
      <c r="N91" s="18">
        <v>0.04</v>
      </c>
      <c r="O91" s="18">
        <v>0.96</v>
      </c>
      <c r="P91" s="18">
        <v>0.67</v>
      </c>
      <c r="Q91" s="157"/>
      <c r="R91" s="301">
        <v>317</v>
      </c>
      <c r="S91" s="159">
        <v>1.3194444444444444E-2</v>
      </c>
      <c r="T91" s="1">
        <v>14</v>
      </c>
      <c r="U91" s="354" t="str">
        <f t="shared" si="8"/>
        <v>Normal</v>
      </c>
      <c r="V91" s="354" t="str">
        <f t="shared" si="9"/>
        <v>Normal</v>
      </c>
      <c r="W91" s="81">
        <f t="shared" si="10"/>
        <v>-0.17992047713717693</v>
      </c>
      <c r="X91" s="81">
        <f t="shared" si="11"/>
        <v>-0.15677966101694915</v>
      </c>
    </row>
    <row r="92" spans="1:24">
      <c r="A92" s="405">
        <v>45107</v>
      </c>
      <c r="B92" s="406">
        <f>IF(YEAR(Table7[[#This Row],[Date]]) = 2023, WEEKNUM(Table7[[#This Row],[Date]])-13, WEEKNUM(Table7[[#This Row],[Date]])+40)</f>
        <v>13</v>
      </c>
      <c r="C92" s="65" t="s">
        <v>53</v>
      </c>
      <c r="D92" s="65" t="s">
        <v>94</v>
      </c>
      <c r="E92" s="65">
        <v>894</v>
      </c>
      <c r="F92" s="65">
        <v>856</v>
      </c>
      <c r="G92" s="80">
        <f t="shared" ref="G92:H92" si="36">IFERROR((E92-E85)/E85,0%)</f>
        <v>-0.17451523545706371</v>
      </c>
      <c r="H92" s="80">
        <f t="shared" si="36"/>
        <v>-5.2048726467331122E-2</v>
      </c>
      <c r="I92" s="65"/>
      <c r="J92" s="65"/>
      <c r="K92" s="65"/>
      <c r="L92" s="65"/>
      <c r="M92" s="2">
        <v>0.89</v>
      </c>
      <c r="N92" s="2">
        <v>0.04</v>
      </c>
      <c r="O92" s="2">
        <v>0.96</v>
      </c>
      <c r="P92" s="2">
        <v>0.64</v>
      </c>
      <c r="Q92" s="157"/>
      <c r="R92" s="301">
        <v>303</v>
      </c>
      <c r="S92" s="161">
        <v>1.0416666666666666E-2</v>
      </c>
      <c r="T92" s="1">
        <v>15</v>
      </c>
      <c r="U92" s="354" t="str">
        <f t="shared" si="8"/>
        <v>Normal</v>
      </c>
      <c r="V92" s="354" t="str">
        <f t="shared" si="9"/>
        <v>Normal</v>
      </c>
      <c r="W92" s="81">
        <f t="shared" si="10"/>
        <v>-0.17451523545706371</v>
      </c>
      <c r="X92" s="81">
        <f t="shared" si="11"/>
        <v>-5.2048726467331122E-2</v>
      </c>
    </row>
    <row r="93" spans="1:24">
      <c r="A93" s="405">
        <v>45108</v>
      </c>
      <c r="B93" s="406">
        <f>IF(YEAR(Table7[[#This Row],[Date]]) = 2023, WEEKNUM(Table7[[#This Row],[Date]])-13, WEEKNUM(Table7[[#This Row],[Date]])+40)</f>
        <v>13</v>
      </c>
      <c r="C93" s="1" t="s">
        <v>54</v>
      </c>
      <c r="D93" s="1" t="s">
        <v>94</v>
      </c>
      <c r="E93" s="1">
        <v>674</v>
      </c>
      <c r="F93" s="1">
        <v>586</v>
      </c>
      <c r="G93" s="80">
        <f t="shared" ref="G93:H93" si="37">IFERROR((E93-E86)/E86,0%)</f>
        <v>-0.14030612244897958</v>
      </c>
      <c r="H93" s="80">
        <f t="shared" si="37"/>
        <v>1.7094017094017094E-3</v>
      </c>
      <c r="I93" s="1"/>
      <c r="J93" s="1"/>
      <c r="K93" s="1"/>
      <c r="L93" s="1"/>
      <c r="M93" s="18">
        <v>0.57999999999999996</v>
      </c>
      <c r="N93" s="18">
        <v>0.13</v>
      </c>
      <c r="O93" s="18">
        <v>0.87</v>
      </c>
      <c r="P93" s="18">
        <v>0.57999999999999996</v>
      </c>
      <c r="Q93" s="157"/>
      <c r="R93" s="301">
        <v>319</v>
      </c>
      <c r="S93" s="159">
        <v>6.9444444444444441E-3</v>
      </c>
      <c r="T93" s="1">
        <v>12</v>
      </c>
      <c r="U93" s="280" t="str">
        <f t="shared" si="8"/>
        <v>Normal</v>
      </c>
      <c r="V93" s="280" t="str">
        <f t="shared" si="9"/>
        <v>Normal</v>
      </c>
      <c r="W93" s="361">
        <f t="shared" si="10"/>
        <v>-0.14030612244897958</v>
      </c>
      <c r="X93" s="361">
        <f t="shared" si="11"/>
        <v>1.7094017094017094E-3</v>
      </c>
    </row>
    <row r="94" spans="1:24">
      <c r="A94" s="405">
        <v>45109</v>
      </c>
      <c r="B94" s="406">
        <f>IF(YEAR(Table7[[#This Row],[Date]]) = 2023, WEEKNUM(Table7[[#This Row],[Date]])-13, WEEKNUM(Table7[[#This Row],[Date]])+40)</f>
        <v>14</v>
      </c>
      <c r="C94" s="1" t="s">
        <v>48</v>
      </c>
      <c r="D94" s="1" t="s">
        <v>94</v>
      </c>
      <c r="E94" s="1">
        <v>0</v>
      </c>
      <c r="F94" s="1">
        <v>0</v>
      </c>
      <c r="G94" s="80">
        <v>0</v>
      </c>
      <c r="H94" s="80">
        <v>0</v>
      </c>
      <c r="I94" s="1">
        <v>0</v>
      </c>
      <c r="J94" s="1">
        <v>0</v>
      </c>
      <c r="K94" s="1">
        <v>0</v>
      </c>
      <c r="L94" s="1">
        <v>0</v>
      </c>
      <c r="M94" s="18">
        <v>0</v>
      </c>
      <c r="N94" s="18">
        <v>0</v>
      </c>
      <c r="O94" s="18">
        <v>0</v>
      </c>
      <c r="P94" s="18">
        <v>0</v>
      </c>
      <c r="Q94" s="157"/>
      <c r="R94" s="301">
        <v>0</v>
      </c>
      <c r="S94" s="159">
        <v>0</v>
      </c>
      <c r="T94" s="1">
        <v>0</v>
      </c>
      <c r="U94" s="280" t="str">
        <f t="shared" si="8"/>
        <v>Normal</v>
      </c>
      <c r="V94" s="280" t="str">
        <f t="shared" si="9"/>
        <v>Normal</v>
      </c>
      <c r="W94" s="361">
        <f t="shared" si="10"/>
        <v>0</v>
      </c>
      <c r="X94" s="361">
        <f t="shared" si="11"/>
        <v>0</v>
      </c>
    </row>
    <row r="95" spans="1:24">
      <c r="A95" s="405">
        <v>45110</v>
      </c>
      <c r="B95" s="406">
        <f>IF(YEAR(Table7[[#This Row],[Date]]) = 2023, WEEKNUM(Table7[[#This Row],[Date]])-13, WEEKNUM(Table7[[#This Row],[Date]])+40)</f>
        <v>14</v>
      </c>
      <c r="C95" s="1" t="s">
        <v>49</v>
      </c>
      <c r="D95" s="1" t="s">
        <v>94</v>
      </c>
      <c r="E95" s="1">
        <v>1000</v>
      </c>
      <c r="F95" s="1">
        <v>897</v>
      </c>
      <c r="G95" s="80">
        <f t="shared" ref="G95:H95" si="38">IFERROR((E95-E88)/E88,0%)</f>
        <v>-6.9767441860465115E-2</v>
      </c>
      <c r="H95" s="80">
        <f t="shared" si="38"/>
        <v>-0.13500482160077146</v>
      </c>
      <c r="I95" s="1"/>
      <c r="J95" s="1"/>
      <c r="K95" s="1"/>
      <c r="L95" s="1"/>
      <c r="M95" s="18">
        <v>0.76</v>
      </c>
      <c r="N95" s="18">
        <v>0.1</v>
      </c>
      <c r="O95" s="18">
        <v>0.9</v>
      </c>
      <c r="P95" s="18">
        <v>0.62</v>
      </c>
      <c r="Q95" s="157"/>
      <c r="R95" s="301">
        <v>299</v>
      </c>
      <c r="S95" s="159">
        <v>5.6250000000000001E-2</v>
      </c>
      <c r="T95" s="1">
        <v>16</v>
      </c>
      <c r="U95" s="280" t="str">
        <f t="shared" si="8"/>
        <v>Normal</v>
      </c>
      <c r="V95" s="280" t="str">
        <f t="shared" si="9"/>
        <v>Normal</v>
      </c>
      <c r="W95" s="361">
        <f t="shared" si="10"/>
        <v>-6.9767441860465115E-2</v>
      </c>
      <c r="X95" s="361">
        <f t="shared" si="11"/>
        <v>-0.13500482160077146</v>
      </c>
    </row>
    <row r="96" spans="1:24">
      <c r="A96" s="405">
        <v>45111</v>
      </c>
      <c r="B96" s="406">
        <f>IF(YEAR(Table7[[#This Row],[Date]]) = 2023, WEEKNUM(Table7[[#This Row],[Date]])-13, WEEKNUM(Table7[[#This Row],[Date]])+40)</f>
        <v>14</v>
      </c>
      <c r="C96" s="1" t="s">
        <v>50</v>
      </c>
      <c r="D96" s="1" t="s">
        <v>94</v>
      </c>
      <c r="E96" s="1">
        <v>928</v>
      </c>
      <c r="F96" s="1">
        <v>895</v>
      </c>
      <c r="G96" s="80">
        <f t="shared" ref="G96:H96" si="39">IFERROR((E96-E89)/E89,0%)</f>
        <v>-5.2093973442288048E-2</v>
      </c>
      <c r="H96" s="80">
        <f t="shared" si="39"/>
        <v>-3.2432432432432434E-2</v>
      </c>
      <c r="I96" s="1"/>
      <c r="J96" s="1"/>
      <c r="K96" s="1"/>
      <c r="L96" s="1"/>
      <c r="M96" s="18">
        <v>0.93</v>
      </c>
      <c r="N96" s="18">
        <v>0.04</v>
      </c>
      <c r="O96" s="18">
        <v>0.96</v>
      </c>
      <c r="P96" s="18">
        <v>0.7</v>
      </c>
      <c r="Q96" s="157"/>
      <c r="R96" s="301">
        <v>339</v>
      </c>
      <c r="S96" s="159">
        <v>6.9444444444444441E-3</v>
      </c>
      <c r="T96" s="1">
        <v>16</v>
      </c>
      <c r="U96" s="280" t="str">
        <f t="shared" si="8"/>
        <v>Normal</v>
      </c>
      <c r="V96" s="280" t="str">
        <f t="shared" si="9"/>
        <v>Normal</v>
      </c>
      <c r="W96" s="361">
        <f t="shared" si="10"/>
        <v>-5.2093973442288048E-2</v>
      </c>
      <c r="X96" s="361">
        <f t="shared" si="11"/>
        <v>-3.2432432432432434E-2</v>
      </c>
    </row>
    <row r="97" spans="1:42">
      <c r="A97" s="405">
        <v>45112</v>
      </c>
      <c r="B97" s="406">
        <f>IF(YEAR(Table7[[#This Row],[Date]]) = 2023, WEEKNUM(Table7[[#This Row],[Date]])-13, WEEKNUM(Table7[[#This Row],[Date]])+40)</f>
        <v>14</v>
      </c>
      <c r="C97" s="1" t="s">
        <v>51</v>
      </c>
      <c r="D97" s="1" t="s">
        <v>94</v>
      </c>
      <c r="E97" s="1">
        <v>1042</v>
      </c>
      <c r="F97" s="1">
        <v>978</v>
      </c>
      <c r="G97" s="80">
        <f t="shared" ref="G97:H97" si="40">IFERROR((E97-E90)/E90,0%)</f>
        <v>-3.8240917782026767E-3</v>
      </c>
      <c r="H97" s="80">
        <f t="shared" si="40"/>
        <v>6.4200217627856368E-2</v>
      </c>
      <c r="I97" s="1"/>
      <c r="J97" s="1"/>
      <c r="K97" s="1"/>
      <c r="L97" s="1"/>
      <c r="M97" s="18">
        <v>0.81</v>
      </c>
      <c r="N97" s="18">
        <v>0.06</v>
      </c>
      <c r="O97" s="18">
        <v>0.94</v>
      </c>
      <c r="P97" s="18">
        <v>0.75</v>
      </c>
      <c r="Q97" s="157"/>
      <c r="R97" s="301">
        <v>311</v>
      </c>
      <c r="S97" s="159">
        <v>2.0833333333333332E-2</v>
      </c>
      <c r="T97" s="1">
        <v>15</v>
      </c>
      <c r="U97" s="280" t="str">
        <f t="shared" si="8"/>
        <v>Normal</v>
      </c>
      <c r="V97" s="280" t="str">
        <f t="shared" si="9"/>
        <v>Normal</v>
      </c>
      <c r="W97" s="361">
        <f t="shared" si="10"/>
        <v>-3.8240917782026767E-3</v>
      </c>
      <c r="X97" s="361">
        <f t="shared" si="11"/>
        <v>6.4200217627856368E-2</v>
      </c>
    </row>
    <row r="98" spans="1:42">
      <c r="A98" s="405">
        <v>45113</v>
      </c>
      <c r="B98" s="406">
        <f>IF(YEAR(Table7[[#This Row],[Date]]) = 2023, WEEKNUM(Table7[[#This Row],[Date]])-13, WEEKNUM(Table7[[#This Row],[Date]])+40)</f>
        <v>14</v>
      </c>
      <c r="C98" s="1" t="s">
        <v>52</v>
      </c>
      <c r="D98" s="1" t="s">
        <v>94</v>
      </c>
      <c r="E98" s="1">
        <v>948</v>
      </c>
      <c r="F98" s="1">
        <v>855</v>
      </c>
      <c r="G98" s="80">
        <f t="shared" ref="G98:H98" si="41">IFERROR((E98-E91)/E91,0%)</f>
        <v>0.14909090909090908</v>
      </c>
      <c r="H98" s="80">
        <f t="shared" si="41"/>
        <v>7.4120603015075379E-2</v>
      </c>
      <c r="I98" s="1"/>
      <c r="J98" s="1"/>
      <c r="K98" s="1"/>
      <c r="L98" s="1"/>
      <c r="M98" s="18">
        <v>0.68</v>
      </c>
      <c r="N98" s="18">
        <v>0.1</v>
      </c>
      <c r="O98" s="18">
        <v>0.9</v>
      </c>
      <c r="P98" s="18">
        <v>0.91</v>
      </c>
      <c r="Q98" s="157"/>
      <c r="R98" s="301">
        <v>343</v>
      </c>
      <c r="S98" s="159">
        <v>3.5416666666666666E-2</v>
      </c>
      <c r="T98" s="1">
        <v>12</v>
      </c>
      <c r="U98" s="280" t="str">
        <f t="shared" si="8"/>
        <v>Normal</v>
      </c>
      <c r="V98" s="280" t="str">
        <f t="shared" si="9"/>
        <v>Normal</v>
      </c>
      <c r="W98" s="361">
        <f t="shared" si="10"/>
        <v>0.14909090909090908</v>
      </c>
      <c r="X98" s="361">
        <f t="shared" si="11"/>
        <v>7.4120603015075379E-2</v>
      </c>
    </row>
    <row r="99" spans="1:42">
      <c r="A99" s="405">
        <v>45114</v>
      </c>
      <c r="B99" s="406">
        <f>IF(YEAR(Table7[[#This Row],[Date]]) = 2023, WEEKNUM(Table7[[#This Row],[Date]])-13, WEEKNUM(Table7[[#This Row],[Date]])+40)</f>
        <v>14</v>
      </c>
      <c r="C99" s="1" t="s">
        <v>53</v>
      </c>
      <c r="D99" s="1" t="s">
        <v>94</v>
      </c>
      <c r="E99" s="1">
        <v>962</v>
      </c>
      <c r="F99" s="1">
        <v>836</v>
      </c>
      <c r="G99" s="80">
        <f t="shared" ref="G99:H99" si="42">IFERROR((E99-E92)/E92,0%)</f>
        <v>7.6062639821029079E-2</v>
      </c>
      <c r="H99" s="80">
        <f t="shared" si="42"/>
        <v>-2.336448598130841E-2</v>
      </c>
      <c r="I99" s="1"/>
      <c r="J99" s="1"/>
      <c r="K99" s="1"/>
      <c r="L99" s="1"/>
      <c r="M99" s="18">
        <v>0.63</v>
      </c>
      <c r="N99" s="18">
        <v>0.13</v>
      </c>
      <c r="O99" s="18">
        <v>0.87</v>
      </c>
      <c r="P99" s="18">
        <v>0.76</v>
      </c>
      <c r="Q99" s="157"/>
      <c r="R99" s="301">
        <v>319</v>
      </c>
      <c r="S99" s="159">
        <v>5.8333333333333327E-2</v>
      </c>
      <c r="T99" s="1">
        <v>13</v>
      </c>
      <c r="U99" s="280" t="str">
        <f t="shared" si="8"/>
        <v>Normal</v>
      </c>
      <c r="V99" s="280" t="str">
        <f t="shared" si="9"/>
        <v>Normal</v>
      </c>
      <c r="W99" s="361">
        <f t="shared" si="10"/>
        <v>7.6062639821029079E-2</v>
      </c>
      <c r="X99" s="361">
        <f t="shared" si="11"/>
        <v>-2.336448598130841E-2</v>
      </c>
    </row>
    <row r="100" spans="1:42">
      <c r="A100" s="405">
        <v>45115</v>
      </c>
      <c r="B100" s="406">
        <f>IF(YEAR(Table7[[#This Row],[Date]]) = 2023, WEEKNUM(Table7[[#This Row],[Date]])-13, WEEKNUM(Table7[[#This Row],[Date]])+40)</f>
        <v>14</v>
      </c>
      <c r="C100" s="1" t="s">
        <v>54</v>
      </c>
      <c r="D100" s="1" t="s">
        <v>94</v>
      </c>
      <c r="E100" s="1">
        <v>674</v>
      </c>
      <c r="F100" s="1">
        <v>622</v>
      </c>
      <c r="G100" s="80">
        <f t="shared" ref="G100:H100" si="43">IFERROR((E100-E93)/E93,0%)</f>
        <v>0</v>
      </c>
      <c r="H100" s="80">
        <f t="shared" si="43"/>
        <v>6.1433447098976107E-2</v>
      </c>
      <c r="I100" s="1"/>
      <c r="J100" s="1"/>
      <c r="K100" s="1"/>
      <c r="L100" s="1"/>
      <c r="M100" s="18">
        <v>0.76</v>
      </c>
      <c r="N100" s="18">
        <v>0.08</v>
      </c>
      <c r="O100" s="18">
        <v>0.92</v>
      </c>
      <c r="P100" s="18">
        <v>0.69</v>
      </c>
      <c r="Q100" s="157"/>
      <c r="R100" s="301">
        <v>269</v>
      </c>
      <c r="S100" s="159">
        <v>2.6388888888888889E-2</v>
      </c>
      <c r="T100" s="1">
        <v>9</v>
      </c>
      <c r="U100" s="280" t="str">
        <f t="shared" si="8"/>
        <v>Normal</v>
      </c>
      <c r="V100" s="280" t="str">
        <f t="shared" si="9"/>
        <v>Normal</v>
      </c>
      <c r="W100" s="361">
        <f t="shared" si="10"/>
        <v>0</v>
      </c>
      <c r="X100" s="361">
        <f t="shared" si="11"/>
        <v>6.1433447098976107E-2</v>
      </c>
    </row>
    <row r="101" spans="1:42">
      <c r="A101" s="405">
        <v>45116</v>
      </c>
      <c r="B101" s="406">
        <f>IF(YEAR(Table7[[#This Row],[Date]]) = 2023, WEEKNUM(Table7[[#This Row],[Date]])-13, WEEKNUM(Table7[[#This Row],[Date]])+40)</f>
        <v>15</v>
      </c>
      <c r="C101" s="1" t="s">
        <v>48</v>
      </c>
      <c r="D101" s="1" t="s">
        <v>94</v>
      </c>
      <c r="E101" s="1">
        <v>0</v>
      </c>
      <c r="F101" s="1">
        <v>0</v>
      </c>
      <c r="G101" s="80">
        <f t="shared" ref="G101:H101" si="44">IFERROR((E101-E94)/E94,0%)</f>
        <v>0</v>
      </c>
      <c r="H101" s="80">
        <f t="shared" si="44"/>
        <v>0</v>
      </c>
      <c r="I101" s="1">
        <v>0</v>
      </c>
      <c r="J101" s="1">
        <v>0</v>
      </c>
      <c r="K101" s="1">
        <v>0</v>
      </c>
      <c r="L101" s="1">
        <v>0</v>
      </c>
      <c r="M101" s="18">
        <v>0</v>
      </c>
      <c r="N101" s="18">
        <v>0</v>
      </c>
      <c r="O101" s="18">
        <v>0</v>
      </c>
      <c r="P101" s="18">
        <v>0</v>
      </c>
      <c r="Q101" s="157"/>
      <c r="R101" s="301">
        <v>0</v>
      </c>
      <c r="S101" s="159">
        <v>0</v>
      </c>
      <c r="T101" s="1">
        <v>0</v>
      </c>
      <c r="U101" s="280" t="str">
        <f t="shared" si="8"/>
        <v>Normal</v>
      </c>
      <c r="V101" s="280" t="str">
        <f t="shared" si="9"/>
        <v>Normal</v>
      </c>
      <c r="W101" s="361">
        <f t="shared" si="10"/>
        <v>0</v>
      </c>
      <c r="X101" s="361">
        <f t="shared" si="11"/>
        <v>0</v>
      </c>
    </row>
    <row r="102" spans="1:42">
      <c r="A102" s="405">
        <v>45117</v>
      </c>
      <c r="B102" s="406">
        <f>IF(YEAR(Table7[[#This Row],[Date]]) = 2023, WEEKNUM(Table7[[#This Row],[Date]])-13, WEEKNUM(Table7[[#This Row],[Date]])+40)</f>
        <v>15</v>
      </c>
      <c r="C102" s="1" t="s">
        <v>49</v>
      </c>
      <c r="D102" s="1" t="s">
        <v>94</v>
      </c>
      <c r="E102" s="1">
        <v>1117</v>
      </c>
      <c r="F102" s="1">
        <v>1026</v>
      </c>
      <c r="G102" s="80">
        <f t="shared" ref="G102:H102" si="45">IFERROR((E102-E95)/E95,0%)</f>
        <v>0.11700000000000001</v>
      </c>
      <c r="H102" s="80">
        <f t="shared" si="45"/>
        <v>0.14381270903010032</v>
      </c>
      <c r="I102" s="1"/>
      <c r="J102" s="1"/>
      <c r="K102" s="1"/>
      <c r="L102" s="1"/>
      <c r="M102" s="18">
        <v>0.72</v>
      </c>
      <c r="N102" s="18">
        <v>0.08</v>
      </c>
      <c r="O102" s="18">
        <v>0.92</v>
      </c>
      <c r="P102" s="18">
        <v>0.85</v>
      </c>
      <c r="Q102" s="157"/>
      <c r="R102" s="301">
        <v>336</v>
      </c>
      <c r="S102" s="159">
        <v>3.6111111111111115E-2</v>
      </c>
      <c r="T102" s="1">
        <v>15</v>
      </c>
      <c r="U102" s="280" t="str">
        <f t="shared" si="8"/>
        <v>Normal</v>
      </c>
      <c r="V102" s="280" t="str">
        <f t="shared" si="9"/>
        <v>Normal</v>
      </c>
      <c r="W102" s="361">
        <f t="shared" si="10"/>
        <v>0.11700000000000001</v>
      </c>
      <c r="X102" s="361">
        <f t="shared" si="11"/>
        <v>0.14381270903010032</v>
      </c>
    </row>
    <row r="103" spans="1:42">
      <c r="A103" s="405">
        <v>45118</v>
      </c>
      <c r="B103" s="406">
        <f>IF(YEAR(Table7[[#This Row],[Date]]) = 2023, WEEKNUM(Table7[[#This Row],[Date]])-13, WEEKNUM(Table7[[#This Row],[Date]])+40)</f>
        <v>15</v>
      </c>
      <c r="C103" s="1" t="s">
        <v>50</v>
      </c>
      <c r="D103" s="1" t="s">
        <v>94</v>
      </c>
      <c r="E103" s="1">
        <v>1014</v>
      </c>
      <c r="F103" s="1">
        <v>977</v>
      </c>
      <c r="G103" s="80">
        <f t="shared" ref="G103:H103" si="46">IFERROR((E103-E96)/E96,0%)</f>
        <v>9.2672413793103453E-2</v>
      </c>
      <c r="H103" s="80">
        <f t="shared" si="46"/>
        <v>9.1620111731843576E-2</v>
      </c>
      <c r="I103" s="1"/>
      <c r="J103" s="1"/>
      <c r="K103" s="1"/>
      <c r="L103" s="1"/>
      <c r="M103" s="18">
        <v>0.93</v>
      </c>
      <c r="N103" s="18">
        <v>0.04</v>
      </c>
      <c r="O103" s="18">
        <v>0.96</v>
      </c>
      <c r="P103" s="18">
        <v>0.71</v>
      </c>
      <c r="Q103" s="157"/>
      <c r="R103" s="301">
        <v>335</v>
      </c>
      <c r="S103" s="159">
        <v>8.3333333333333332E-3</v>
      </c>
      <c r="T103" s="1">
        <v>17</v>
      </c>
      <c r="U103" s="280" t="str">
        <f t="shared" si="8"/>
        <v>Normal</v>
      </c>
      <c r="V103" s="280" t="str">
        <f t="shared" si="9"/>
        <v>Normal</v>
      </c>
      <c r="W103" s="361">
        <f t="shared" si="10"/>
        <v>9.2672413793103453E-2</v>
      </c>
      <c r="X103" s="361">
        <f t="shared" si="11"/>
        <v>9.1620111731843576E-2</v>
      </c>
    </row>
    <row r="104" spans="1:42">
      <c r="A104" s="405">
        <v>45119</v>
      </c>
      <c r="B104" s="406">
        <f>IF(YEAR(Table7[[#This Row],[Date]]) = 2023, WEEKNUM(Table7[[#This Row],[Date]])-13, WEEKNUM(Table7[[#This Row],[Date]])+40)</f>
        <v>15</v>
      </c>
      <c r="C104" s="1" t="s">
        <v>51</v>
      </c>
      <c r="D104" s="1" t="s">
        <v>94</v>
      </c>
      <c r="E104" s="1">
        <v>1035</v>
      </c>
      <c r="F104" s="1">
        <v>956</v>
      </c>
      <c r="G104" s="80">
        <f t="shared" ref="G104:H104" si="47">IFERROR((E104-E97)/E97,0%)</f>
        <v>-6.7178502879078695E-3</v>
      </c>
      <c r="H104" s="80">
        <f t="shared" si="47"/>
        <v>-2.2494887525562373E-2</v>
      </c>
      <c r="I104" s="1"/>
      <c r="J104" s="1"/>
      <c r="K104" s="1"/>
      <c r="L104" s="1"/>
      <c r="M104" s="18">
        <v>0.81</v>
      </c>
      <c r="N104" s="18">
        <v>0.08</v>
      </c>
      <c r="O104" s="18">
        <v>0.92</v>
      </c>
      <c r="P104" s="18">
        <v>0.67</v>
      </c>
      <c r="Q104" s="157"/>
      <c r="R104" s="301">
        <v>301</v>
      </c>
      <c r="S104" s="159">
        <v>1.8749999999999999E-2</v>
      </c>
      <c r="T104" s="1">
        <v>16</v>
      </c>
      <c r="U104" s="280" t="str">
        <f t="shared" si="8"/>
        <v>Normal</v>
      </c>
      <c r="V104" s="280" t="str">
        <f t="shared" si="9"/>
        <v>Normal</v>
      </c>
      <c r="W104" s="361">
        <f t="shared" si="10"/>
        <v>-6.7178502879078695E-3</v>
      </c>
      <c r="X104" s="361">
        <f t="shared" si="11"/>
        <v>-2.2494887525562373E-2</v>
      </c>
    </row>
    <row r="105" spans="1:42">
      <c r="A105" s="405">
        <v>45120</v>
      </c>
      <c r="B105" s="406">
        <f>IF(YEAR(Table7[[#This Row],[Date]]) = 2023, WEEKNUM(Table7[[#This Row],[Date]])-13, WEEKNUM(Table7[[#This Row],[Date]])+40)</f>
        <v>15</v>
      </c>
      <c r="C105" s="1" t="s">
        <v>52</v>
      </c>
      <c r="D105" s="1" t="s">
        <v>94</v>
      </c>
      <c r="E105" s="1">
        <v>905</v>
      </c>
      <c r="F105" s="1">
        <v>882</v>
      </c>
      <c r="G105" s="80">
        <f t="shared" ref="G105:H105" si="48">IFERROR((E105-E98)/E98,0%)</f>
        <v>-4.5358649789029537E-2</v>
      </c>
      <c r="H105" s="80">
        <f t="shared" si="48"/>
        <v>3.1578947368421054E-2</v>
      </c>
      <c r="I105" s="1"/>
      <c r="J105" s="1"/>
      <c r="K105" s="1"/>
      <c r="L105" s="1"/>
      <c r="M105" s="18">
        <v>0.9</v>
      </c>
      <c r="N105" s="18">
        <v>0.03</v>
      </c>
      <c r="O105" s="18">
        <v>0.97</v>
      </c>
      <c r="P105" s="18">
        <v>0.59</v>
      </c>
      <c r="Q105" s="157"/>
      <c r="R105" s="301">
        <v>287</v>
      </c>
      <c r="S105" s="159">
        <v>9.7222222222222224E-3</v>
      </c>
      <c r="T105" s="1">
        <v>16</v>
      </c>
      <c r="U105" s="280" t="str">
        <f t="shared" si="8"/>
        <v>Normal</v>
      </c>
      <c r="V105" s="280" t="str">
        <f t="shared" si="9"/>
        <v>Normal</v>
      </c>
      <c r="W105" s="361">
        <f t="shared" si="10"/>
        <v>-4.5358649789029537E-2</v>
      </c>
      <c r="X105" s="361">
        <f t="shared" si="11"/>
        <v>3.1578947368421054E-2</v>
      </c>
    </row>
    <row r="106" spans="1:42">
      <c r="A106" s="405">
        <v>45121</v>
      </c>
      <c r="B106" s="406">
        <f>IF(YEAR(Table7[[#This Row],[Date]]) = 2023, WEEKNUM(Table7[[#This Row],[Date]])-13, WEEKNUM(Table7[[#This Row],[Date]])+40)</f>
        <v>15</v>
      </c>
      <c r="C106" s="1" t="s">
        <v>53</v>
      </c>
      <c r="D106" s="1" t="s">
        <v>94</v>
      </c>
      <c r="E106" s="1">
        <v>951</v>
      </c>
      <c r="F106" s="1">
        <v>886</v>
      </c>
      <c r="G106" s="80">
        <f t="shared" ref="G106:H106" si="49">IFERROR((E106-E99)/E99,0%)</f>
        <v>-1.1434511434511435E-2</v>
      </c>
      <c r="H106" s="80">
        <f t="shared" si="49"/>
        <v>5.9808612440191387E-2</v>
      </c>
      <c r="I106" s="1"/>
      <c r="J106" s="1"/>
      <c r="K106" s="1"/>
      <c r="L106" s="1"/>
      <c r="M106" s="18">
        <v>0.82</v>
      </c>
      <c r="N106" s="18">
        <v>7.0000000000000007E-2</v>
      </c>
      <c r="O106" s="18">
        <v>0.93</v>
      </c>
      <c r="P106" s="18">
        <v>0.72</v>
      </c>
      <c r="Q106" s="157"/>
      <c r="R106" s="301">
        <v>328</v>
      </c>
      <c r="S106" s="159" t="s">
        <v>138</v>
      </c>
      <c r="T106" s="1">
        <v>15</v>
      </c>
      <c r="U106" s="280" t="str">
        <f t="shared" si="8"/>
        <v>Normal</v>
      </c>
      <c r="V106" s="280" t="str">
        <f t="shared" si="9"/>
        <v>Normal</v>
      </c>
      <c r="W106" s="361">
        <f t="shared" si="10"/>
        <v>-1.1434511434511435E-2</v>
      </c>
      <c r="X106" s="361">
        <f t="shared" si="11"/>
        <v>5.9808612440191387E-2</v>
      </c>
    </row>
    <row r="107" spans="1:42">
      <c r="A107" s="405">
        <v>45122</v>
      </c>
      <c r="B107" s="406">
        <f>IF(YEAR(Table7[[#This Row],[Date]]) = 2023, WEEKNUM(Table7[[#This Row],[Date]])-13, WEEKNUM(Table7[[#This Row],[Date]])+40)</f>
        <v>15</v>
      </c>
      <c r="C107" s="1" t="s">
        <v>54</v>
      </c>
      <c r="D107" s="1" t="s">
        <v>94</v>
      </c>
      <c r="E107" s="1">
        <v>773</v>
      </c>
      <c r="F107" s="1">
        <v>725</v>
      </c>
      <c r="G107" s="80">
        <f t="shared" ref="G107:H107" si="50">IFERROR((E107-E100)/E100,0%)</f>
        <v>0.14688427299703263</v>
      </c>
      <c r="H107" s="80">
        <f t="shared" si="50"/>
        <v>0.16559485530546625</v>
      </c>
      <c r="I107" s="1"/>
      <c r="J107" s="1"/>
      <c r="K107" s="1"/>
      <c r="L107" s="1"/>
      <c r="M107" s="18">
        <v>0.83</v>
      </c>
      <c r="N107" s="18">
        <v>0.06</v>
      </c>
      <c r="O107" s="18">
        <v>0.94</v>
      </c>
      <c r="P107" s="18">
        <v>0.83</v>
      </c>
      <c r="Q107" s="157"/>
      <c r="R107" s="301">
        <v>339</v>
      </c>
      <c r="S107" s="159">
        <v>1.8749999999999999E-2</v>
      </c>
      <c r="T107" s="1">
        <v>11</v>
      </c>
      <c r="U107" s="280" t="str">
        <f t="shared" si="8"/>
        <v>Normal</v>
      </c>
      <c r="V107" s="280" t="str">
        <f t="shared" si="9"/>
        <v>Normal</v>
      </c>
      <c r="W107" s="361">
        <f t="shared" si="10"/>
        <v>0.14688427299703263</v>
      </c>
      <c r="X107" s="361">
        <f t="shared" si="11"/>
        <v>0.16559485530546625</v>
      </c>
      <c r="AN107" t="s">
        <v>62</v>
      </c>
      <c r="AO107" s="16">
        <v>44652</v>
      </c>
    </row>
    <row r="108" spans="1:42">
      <c r="A108" s="405">
        <v>45123</v>
      </c>
      <c r="B108" s="406">
        <f>IF(YEAR(Table7[[#This Row],[Date]]) = 2023, WEEKNUM(Table7[[#This Row],[Date]])-13, WEEKNUM(Table7[[#This Row],[Date]])+40)</f>
        <v>16</v>
      </c>
      <c r="C108" s="1" t="s">
        <v>48</v>
      </c>
      <c r="D108" s="1" t="s">
        <v>94</v>
      </c>
      <c r="E108" s="1">
        <v>0</v>
      </c>
      <c r="F108" s="1">
        <v>0</v>
      </c>
      <c r="G108" s="80">
        <f t="shared" ref="G108:H108" si="51">IFERROR((E108-E101)/E101,0%)</f>
        <v>0</v>
      </c>
      <c r="H108" s="80">
        <f t="shared" si="51"/>
        <v>0</v>
      </c>
      <c r="I108" s="1">
        <v>0</v>
      </c>
      <c r="J108" s="1">
        <v>0</v>
      </c>
      <c r="K108" s="1">
        <v>0</v>
      </c>
      <c r="L108" s="1">
        <v>0</v>
      </c>
      <c r="M108" s="18">
        <v>0</v>
      </c>
      <c r="N108" s="18">
        <v>0</v>
      </c>
      <c r="O108" s="18">
        <v>0</v>
      </c>
      <c r="P108" s="18">
        <v>0</v>
      </c>
      <c r="Q108" s="157"/>
      <c r="R108" s="301">
        <v>0</v>
      </c>
      <c r="S108" s="159">
        <v>0</v>
      </c>
      <c r="T108" s="1">
        <v>0</v>
      </c>
      <c r="U108" s="280" t="str">
        <f t="shared" si="8"/>
        <v>Normal</v>
      </c>
      <c r="V108" s="280" t="str">
        <f t="shared" si="9"/>
        <v>Normal</v>
      </c>
      <c r="W108" s="361">
        <f t="shared" si="10"/>
        <v>0</v>
      </c>
      <c r="X108" s="361">
        <f t="shared" si="11"/>
        <v>0</v>
      </c>
      <c r="AN108" t="s">
        <v>63</v>
      </c>
      <c r="AO108" s="16">
        <v>44704</v>
      </c>
    </row>
    <row r="109" spans="1:42">
      <c r="A109" s="405">
        <v>45124</v>
      </c>
      <c r="B109" s="406">
        <f>IF(YEAR(Table7[[#This Row],[Date]]) = 2023, WEEKNUM(Table7[[#This Row],[Date]])-13, WEEKNUM(Table7[[#This Row],[Date]])+40)</f>
        <v>16</v>
      </c>
      <c r="C109" s="1" t="s">
        <v>49</v>
      </c>
      <c r="D109" s="1" t="s">
        <v>94</v>
      </c>
      <c r="E109" s="1">
        <v>1009</v>
      </c>
      <c r="F109" s="1">
        <v>953</v>
      </c>
      <c r="G109" s="80">
        <f t="shared" ref="G109:H109" si="52">IFERROR((E109-E102)/E102,0%)</f>
        <v>-9.6687555953446733E-2</v>
      </c>
      <c r="H109" s="80">
        <f t="shared" si="52"/>
        <v>-7.1150097465886936E-2</v>
      </c>
      <c r="I109" s="1"/>
      <c r="J109" s="1"/>
      <c r="K109" s="1"/>
      <c r="L109" s="1"/>
      <c r="M109" s="18">
        <v>0.8</v>
      </c>
      <c r="N109" s="18">
        <v>0.06</v>
      </c>
      <c r="O109" s="18">
        <v>0.94</v>
      </c>
      <c r="P109" s="18">
        <v>0.65</v>
      </c>
      <c r="Q109" s="157"/>
      <c r="R109" s="301">
        <v>293</v>
      </c>
      <c r="S109" s="159">
        <v>2.361111111111111E-2</v>
      </c>
      <c r="T109" s="1">
        <v>16</v>
      </c>
      <c r="U109" s="280" t="str">
        <f t="shared" si="8"/>
        <v>Normal</v>
      </c>
      <c r="V109" s="280" t="str">
        <f t="shared" si="9"/>
        <v>Normal</v>
      </c>
      <c r="W109" s="361">
        <f t="shared" si="10"/>
        <v>-9.6687555953446733E-2</v>
      </c>
      <c r="X109" s="361">
        <f t="shared" si="11"/>
        <v>-7.1150097465886936E-2</v>
      </c>
    </row>
    <row r="110" spans="1:42" s="47" customFormat="1">
      <c r="A110" s="405">
        <v>45125</v>
      </c>
      <c r="B110" s="406">
        <f>IF(YEAR(Table7[[#This Row],[Date]]) = 2023, WEEKNUM(Table7[[#This Row],[Date]])-13, WEEKNUM(Table7[[#This Row],[Date]])+40)</f>
        <v>16</v>
      </c>
      <c r="C110" s="1" t="s">
        <v>50</v>
      </c>
      <c r="D110" s="1" t="s">
        <v>94</v>
      </c>
      <c r="E110" s="1">
        <v>825</v>
      </c>
      <c r="F110" s="1">
        <v>812</v>
      </c>
      <c r="G110" s="80">
        <f t="shared" ref="G110:H110" si="53">IFERROR((E110-E103)/E103,0%)</f>
        <v>-0.18639053254437871</v>
      </c>
      <c r="H110" s="80">
        <f t="shared" si="53"/>
        <v>-0.16888433981576254</v>
      </c>
      <c r="I110" s="1"/>
      <c r="J110" s="1"/>
      <c r="K110" s="1"/>
      <c r="L110" s="1"/>
      <c r="M110" s="18">
        <v>0.98</v>
      </c>
      <c r="N110" s="18">
        <v>0.02</v>
      </c>
      <c r="O110" s="18">
        <v>0.98</v>
      </c>
      <c r="P110" s="18">
        <v>0.41</v>
      </c>
      <c r="Q110" s="157"/>
      <c r="R110" s="301">
        <v>248</v>
      </c>
      <c r="S110" s="159">
        <v>6.2499999999999995E-3</v>
      </c>
      <c r="T110" s="1">
        <v>18</v>
      </c>
      <c r="U110" s="280" t="str">
        <f t="shared" si="8"/>
        <v>Normal</v>
      </c>
      <c r="V110" s="280" t="str">
        <f t="shared" si="9"/>
        <v>Normal</v>
      </c>
      <c r="W110" s="361">
        <f t="shared" si="10"/>
        <v>-0.18639053254437871</v>
      </c>
      <c r="X110" s="361">
        <f t="shared" si="11"/>
        <v>-0.16888433981576254</v>
      </c>
      <c r="AN110"/>
      <c r="AO110"/>
      <c r="AP110"/>
    </row>
    <row r="111" spans="1:42">
      <c r="A111" s="405">
        <v>45126</v>
      </c>
      <c r="B111" s="406">
        <f>IF(YEAR(Table7[[#This Row],[Date]]) = 2023, WEEKNUM(Table7[[#This Row],[Date]])-13, WEEKNUM(Table7[[#This Row],[Date]])+40)</f>
        <v>16</v>
      </c>
      <c r="C111" s="1" t="s">
        <v>51</v>
      </c>
      <c r="D111" s="1" t="s">
        <v>94</v>
      </c>
      <c r="E111" s="1">
        <v>829</v>
      </c>
      <c r="F111" s="1">
        <v>793</v>
      </c>
      <c r="G111" s="80">
        <f t="shared" ref="G111:H111" si="54">IFERROR((E111-E104)/E104,0%)</f>
        <v>-0.19903381642512077</v>
      </c>
      <c r="H111" s="80">
        <f t="shared" si="54"/>
        <v>-0.17050209205020919</v>
      </c>
      <c r="I111" s="1"/>
      <c r="J111" s="1"/>
      <c r="K111" s="1"/>
      <c r="L111" s="1"/>
      <c r="M111" s="18">
        <v>0.77</v>
      </c>
      <c r="N111" s="18">
        <v>0.04</v>
      </c>
      <c r="O111" s="18">
        <v>0.96</v>
      </c>
      <c r="P111" s="18">
        <v>0.65</v>
      </c>
      <c r="Q111" s="157"/>
      <c r="R111" s="301">
        <v>288</v>
      </c>
      <c r="S111" s="159">
        <v>2.1527777777777781E-2</v>
      </c>
      <c r="T111" s="1">
        <v>13</v>
      </c>
      <c r="U111" s="280" t="str">
        <f t="shared" si="8"/>
        <v>Normal</v>
      </c>
      <c r="V111" s="280" t="str">
        <f t="shared" si="9"/>
        <v>Normal</v>
      </c>
      <c r="W111" s="361">
        <f t="shared" si="10"/>
        <v>-0.19903381642512077</v>
      </c>
      <c r="X111" s="361">
        <f t="shared" si="11"/>
        <v>-0.17050209205020919</v>
      </c>
    </row>
    <row r="112" spans="1:42">
      <c r="A112" s="405">
        <v>45127</v>
      </c>
      <c r="B112" s="406">
        <f>IF(YEAR(Table7[[#This Row],[Date]]) = 2023, WEEKNUM(Table7[[#This Row],[Date]])-13, WEEKNUM(Table7[[#This Row],[Date]])+40)</f>
        <v>16</v>
      </c>
      <c r="C112" s="1" t="s">
        <v>52</v>
      </c>
      <c r="D112" s="1" t="s">
        <v>94</v>
      </c>
      <c r="E112" s="1">
        <v>914</v>
      </c>
      <c r="F112" s="1">
        <v>890</v>
      </c>
      <c r="G112" s="80">
        <f t="shared" ref="G112:H112" si="55">IFERROR((E112-E105)/E105,0%)</f>
        <v>9.9447513812154689E-3</v>
      </c>
      <c r="H112" s="80">
        <f t="shared" si="55"/>
        <v>9.0702947845804991E-3</v>
      </c>
      <c r="I112" s="1"/>
      <c r="J112" s="1"/>
      <c r="K112" s="1"/>
      <c r="L112" s="1"/>
      <c r="M112" s="18">
        <v>0.85</v>
      </c>
      <c r="N112" s="18">
        <v>0.03</v>
      </c>
      <c r="O112" s="18">
        <v>0.97</v>
      </c>
      <c r="P112" s="18">
        <v>0.67</v>
      </c>
      <c r="Q112" s="157"/>
      <c r="R112" s="301">
        <v>303</v>
      </c>
      <c r="S112" s="159">
        <v>1.4583333333333332E-2</v>
      </c>
      <c r="T112" s="1">
        <v>15</v>
      </c>
      <c r="U112" s="280" t="str">
        <f t="shared" si="8"/>
        <v>Normal</v>
      </c>
      <c r="V112" s="280" t="str">
        <f t="shared" si="9"/>
        <v>Normal</v>
      </c>
      <c r="W112" s="361">
        <f t="shared" si="10"/>
        <v>9.9447513812154689E-3</v>
      </c>
      <c r="X112" s="361">
        <f t="shared" si="11"/>
        <v>9.0702947845804991E-3</v>
      </c>
    </row>
    <row r="113" spans="1:24">
      <c r="A113" s="405">
        <v>45128</v>
      </c>
      <c r="B113" s="406">
        <f>IF(YEAR(Table7[[#This Row],[Date]]) = 2023, WEEKNUM(Table7[[#This Row],[Date]])-13, WEEKNUM(Table7[[#This Row],[Date]])+40)</f>
        <v>16</v>
      </c>
      <c r="C113" s="1" t="s">
        <v>53</v>
      </c>
      <c r="D113" s="1" t="s">
        <v>94</v>
      </c>
      <c r="E113" s="1">
        <v>837</v>
      </c>
      <c r="F113" s="1">
        <v>805</v>
      </c>
      <c r="G113" s="80">
        <f t="shared" ref="G113:H113" si="56">IFERROR((E113-E106)/E106,0%)</f>
        <v>-0.11987381703470032</v>
      </c>
      <c r="H113" s="80">
        <f t="shared" si="56"/>
        <v>-9.1422121896162528E-2</v>
      </c>
      <c r="I113" s="1"/>
      <c r="J113" s="1"/>
      <c r="K113" s="1"/>
      <c r="L113" s="1"/>
      <c r="M113" s="18">
        <v>0.87</v>
      </c>
      <c r="N113" s="18">
        <v>0.04</v>
      </c>
      <c r="O113" s="18">
        <v>0.96</v>
      </c>
      <c r="P113" s="18">
        <v>0.59</v>
      </c>
      <c r="Q113" s="157"/>
      <c r="R113" s="301">
        <v>319</v>
      </c>
      <c r="S113" s="159">
        <v>1.4583333333333332E-2</v>
      </c>
      <c r="T113" s="1">
        <v>16</v>
      </c>
      <c r="U113" s="280" t="str">
        <f t="shared" si="8"/>
        <v>Normal</v>
      </c>
      <c r="V113" s="280" t="str">
        <f t="shared" si="9"/>
        <v>Normal</v>
      </c>
      <c r="W113" s="361">
        <f t="shared" si="10"/>
        <v>-0.11987381703470032</v>
      </c>
      <c r="X113" s="361">
        <f t="shared" si="11"/>
        <v>-9.1422121896162528E-2</v>
      </c>
    </row>
    <row r="114" spans="1:24">
      <c r="A114" s="405">
        <v>45129</v>
      </c>
      <c r="B114" s="406">
        <f>IF(YEAR(Table7[[#This Row],[Date]]) = 2023, WEEKNUM(Table7[[#This Row],[Date]])-13, WEEKNUM(Table7[[#This Row],[Date]])+40)</f>
        <v>16</v>
      </c>
      <c r="C114" s="1" t="s">
        <v>54</v>
      </c>
      <c r="D114" s="1" t="s">
        <v>94</v>
      </c>
      <c r="E114" s="1">
        <v>605</v>
      </c>
      <c r="F114" s="1">
        <v>572</v>
      </c>
      <c r="G114" s="80">
        <f t="shared" ref="G114:H114" si="57">IFERROR((E114-E107)/E107,0%)</f>
        <v>-0.21733505821474774</v>
      </c>
      <c r="H114" s="80">
        <f t="shared" si="57"/>
        <v>-0.21103448275862069</v>
      </c>
      <c r="I114" s="1"/>
      <c r="J114" s="1"/>
      <c r="K114" s="1"/>
      <c r="L114" s="1"/>
      <c r="M114" s="18">
        <v>0.85</v>
      </c>
      <c r="N114" s="18">
        <v>0.05</v>
      </c>
      <c r="O114" s="18">
        <v>0.95</v>
      </c>
      <c r="P114" s="18">
        <v>0.55000000000000004</v>
      </c>
      <c r="Q114" s="157"/>
      <c r="R114" s="301">
        <v>335</v>
      </c>
      <c r="S114" s="159">
        <v>1.4583333333333332E-2</v>
      </c>
      <c r="T114" s="1">
        <v>13</v>
      </c>
      <c r="U114" s="280" t="str">
        <f t="shared" si="8"/>
        <v>Normal</v>
      </c>
      <c r="V114" s="280" t="str">
        <f t="shared" si="9"/>
        <v>Normal</v>
      </c>
      <c r="W114" s="361">
        <f t="shared" si="10"/>
        <v>-0.21733505821474774</v>
      </c>
      <c r="X114" s="361">
        <f t="shared" si="11"/>
        <v>-0.21103448275862069</v>
      </c>
    </row>
    <row r="115" spans="1:24">
      <c r="A115" s="405">
        <v>45130</v>
      </c>
      <c r="B115" s="406">
        <f>IF(YEAR(Table7[[#This Row],[Date]]) = 2023, WEEKNUM(Table7[[#This Row],[Date]])-13, WEEKNUM(Table7[[#This Row],[Date]])+40)</f>
        <v>17</v>
      </c>
      <c r="C115" s="1" t="s">
        <v>48</v>
      </c>
      <c r="D115" s="1" t="s">
        <v>94</v>
      </c>
      <c r="E115" s="1">
        <v>0</v>
      </c>
      <c r="F115" s="1">
        <v>0</v>
      </c>
      <c r="G115" s="80">
        <f t="shared" ref="G115:H115" si="58">IFERROR((E115-E108)/E108,0%)</f>
        <v>0</v>
      </c>
      <c r="H115" s="80">
        <f t="shared" si="58"/>
        <v>0</v>
      </c>
      <c r="I115" s="1">
        <v>0</v>
      </c>
      <c r="J115" s="1">
        <v>0</v>
      </c>
      <c r="K115" s="1">
        <v>0</v>
      </c>
      <c r="L115" s="1">
        <v>0</v>
      </c>
      <c r="M115" s="18">
        <v>0</v>
      </c>
      <c r="N115" s="18">
        <v>0</v>
      </c>
      <c r="O115" s="18">
        <v>0</v>
      </c>
      <c r="P115" s="18">
        <v>0</v>
      </c>
      <c r="Q115" s="157"/>
      <c r="R115" s="301">
        <v>0</v>
      </c>
      <c r="S115" s="159">
        <v>0</v>
      </c>
      <c r="T115" s="1">
        <v>0</v>
      </c>
      <c r="U115" s="280" t="str">
        <f t="shared" si="8"/>
        <v>Normal</v>
      </c>
      <c r="V115" s="280" t="str">
        <f t="shared" si="9"/>
        <v>Normal</v>
      </c>
      <c r="W115" s="361">
        <f t="shared" si="10"/>
        <v>0</v>
      </c>
      <c r="X115" s="361">
        <f t="shared" si="11"/>
        <v>0</v>
      </c>
    </row>
    <row r="116" spans="1:24">
      <c r="A116" s="405">
        <v>45131</v>
      </c>
      <c r="B116" s="406">
        <f>IF(YEAR(Table7[[#This Row],[Date]]) = 2023, WEEKNUM(Table7[[#This Row],[Date]])-13, WEEKNUM(Table7[[#This Row],[Date]])+40)</f>
        <v>17</v>
      </c>
      <c r="C116" s="1" t="s">
        <v>49</v>
      </c>
      <c r="D116" s="1" t="s">
        <v>94</v>
      </c>
      <c r="E116" s="1">
        <v>984</v>
      </c>
      <c r="F116" s="1">
        <v>937</v>
      </c>
      <c r="G116" s="80">
        <f t="shared" ref="G116:H116" si="59">IFERROR((E116-E109)/E109,0%)</f>
        <v>-2.4777006937561942E-2</v>
      </c>
      <c r="H116" s="80">
        <f t="shared" si="59"/>
        <v>-1.6789087093389297E-2</v>
      </c>
      <c r="I116" s="1"/>
      <c r="J116" s="1"/>
      <c r="K116" s="1"/>
      <c r="L116" s="1"/>
      <c r="M116" s="18">
        <v>0.8</v>
      </c>
      <c r="N116" s="18">
        <v>0.05</v>
      </c>
      <c r="O116" s="18">
        <v>0.95</v>
      </c>
      <c r="P116" s="18">
        <v>0.65</v>
      </c>
      <c r="Q116" s="157"/>
      <c r="R116" s="301">
        <v>316</v>
      </c>
      <c r="S116" s="159">
        <v>1.9444444444444445E-2</v>
      </c>
      <c r="T116" s="1">
        <v>17</v>
      </c>
      <c r="U116" s="280" t="str">
        <f t="shared" si="8"/>
        <v>Normal</v>
      </c>
      <c r="V116" s="280" t="str">
        <f t="shared" si="9"/>
        <v>Normal</v>
      </c>
      <c r="W116" s="361">
        <f t="shared" si="10"/>
        <v>-2.4777006937561942E-2</v>
      </c>
      <c r="X116" s="361">
        <f t="shared" si="11"/>
        <v>-1.6789087093389297E-2</v>
      </c>
    </row>
    <row r="117" spans="1:24">
      <c r="A117" s="405">
        <v>45132</v>
      </c>
      <c r="B117" s="406">
        <f>IF(YEAR(Table7[[#This Row],[Date]]) = 2023, WEEKNUM(Table7[[#This Row],[Date]])-13, WEEKNUM(Table7[[#This Row],[Date]])+40)</f>
        <v>17</v>
      </c>
      <c r="C117" s="1" t="s">
        <v>50</v>
      </c>
      <c r="D117" s="1" t="s">
        <v>94</v>
      </c>
      <c r="E117" s="1">
        <v>1126</v>
      </c>
      <c r="F117" s="1">
        <v>1026</v>
      </c>
      <c r="G117" s="80">
        <f t="shared" ref="G117:H117" si="60">IFERROR((E117-E110)/E110,0%)</f>
        <v>0.36484848484848487</v>
      </c>
      <c r="H117" s="80">
        <f t="shared" si="60"/>
        <v>0.26354679802955666</v>
      </c>
      <c r="I117" s="1"/>
      <c r="J117" s="1"/>
      <c r="K117" s="1"/>
      <c r="L117" s="1"/>
      <c r="M117" s="18">
        <v>0.67</v>
      </c>
      <c r="N117" s="18">
        <v>0.09</v>
      </c>
      <c r="O117" s="18">
        <v>0.91</v>
      </c>
      <c r="P117" s="18">
        <v>0.76</v>
      </c>
      <c r="Q117" s="157"/>
      <c r="R117" s="301">
        <v>360</v>
      </c>
      <c r="S117" s="159">
        <v>3.125E-2</v>
      </c>
      <c r="T117" s="1">
        <v>18</v>
      </c>
      <c r="U117" s="280" t="str">
        <f t="shared" si="8"/>
        <v>Normal</v>
      </c>
      <c r="V117" s="280" t="str">
        <f t="shared" si="9"/>
        <v>Normal</v>
      </c>
      <c r="W117" s="361">
        <f t="shared" si="10"/>
        <v>0.36484848484848487</v>
      </c>
      <c r="X117" s="361">
        <f t="shared" si="11"/>
        <v>0.26354679802955666</v>
      </c>
    </row>
    <row r="118" spans="1:24">
      <c r="A118" s="405">
        <v>45133</v>
      </c>
      <c r="B118" s="406">
        <f>IF(YEAR(Table7[[#This Row],[Date]]) = 2023, WEEKNUM(Table7[[#This Row],[Date]])-13, WEEKNUM(Table7[[#This Row],[Date]])+40)</f>
        <v>17</v>
      </c>
      <c r="C118" s="1" t="s">
        <v>51</v>
      </c>
      <c r="D118" s="1" t="s">
        <v>94</v>
      </c>
      <c r="E118" s="1">
        <v>1105</v>
      </c>
      <c r="F118" s="1">
        <v>935</v>
      </c>
      <c r="G118" s="80">
        <f t="shared" ref="G118:H118" si="61">IFERROR((E118-E111)/E111,0%)</f>
        <v>0.33293124246079614</v>
      </c>
      <c r="H118" s="80">
        <f t="shared" si="61"/>
        <v>0.17906683480453972</v>
      </c>
      <c r="I118" s="1"/>
      <c r="J118" s="1"/>
      <c r="K118" s="1"/>
      <c r="L118" s="1"/>
      <c r="M118" s="18">
        <v>0.51</v>
      </c>
      <c r="N118" s="18">
        <v>0.15</v>
      </c>
      <c r="O118" s="18">
        <v>0.85</v>
      </c>
      <c r="P118" s="18">
        <v>0.77</v>
      </c>
      <c r="Q118" s="157"/>
      <c r="R118" s="301">
        <v>334</v>
      </c>
      <c r="S118" s="159">
        <v>5.6944444444444443E-2</v>
      </c>
      <c r="T118" s="1">
        <v>15</v>
      </c>
      <c r="U118" s="280" t="str">
        <f t="shared" si="8"/>
        <v>Normal</v>
      </c>
      <c r="V118" s="280" t="str">
        <f t="shared" si="9"/>
        <v>Normal</v>
      </c>
      <c r="W118" s="361">
        <f t="shared" si="10"/>
        <v>0.33293124246079614</v>
      </c>
      <c r="X118" s="361">
        <f t="shared" si="11"/>
        <v>0.17906683480453972</v>
      </c>
    </row>
    <row r="119" spans="1:24">
      <c r="A119" s="405">
        <v>45134</v>
      </c>
      <c r="B119" s="406">
        <f>IF(YEAR(Table7[[#This Row],[Date]]) = 2023, WEEKNUM(Table7[[#This Row],[Date]])-13, WEEKNUM(Table7[[#This Row],[Date]])+40)</f>
        <v>17</v>
      </c>
      <c r="C119" s="1" t="s">
        <v>52</v>
      </c>
      <c r="D119" s="1" t="s">
        <v>94</v>
      </c>
      <c r="E119" s="1">
        <v>890</v>
      </c>
      <c r="F119" s="1">
        <v>819</v>
      </c>
      <c r="G119" s="80">
        <f t="shared" ref="G119:H119" si="62">IFERROR((E119-E112)/E112,0%)</f>
        <v>-2.6258205689277898E-2</v>
      </c>
      <c r="H119" s="80">
        <f t="shared" si="62"/>
        <v>-7.9775280898876408E-2</v>
      </c>
      <c r="I119" s="1"/>
      <c r="J119" s="1"/>
      <c r="K119" s="1"/>
      <c r="L119" s="1"/>
      <c r="M119" s="18">
        <v>0.72</v>
      </c>
      <c r="N119" s="18">
        <v>0.08</v>
      </c>
      <c r="O119" s="18">
        <v>0.92</v>
      </c>
      <c r="P119" s="18">
        <v>0.79</v>
      </c>
      <c r="Q119" s="157"/>
      <c r="R119" s="301">
        <v>363</v>
      </c>
      <c r="S119" s="159">
        <v>2.5694444444444447E-2</v>
      </c>
      <c r="T119" s="1">
        <v>14</v>
      </c>
      <c r="U119" s="280" t="str">
        <f t="shared" si="8"/>
        <v>Normal</v>
      </c>
      <c r="V119" s="280" t="str">
        <f t="shared" si="9"/>
        <v>Normal</v>
      </c>
      <c r="W119" s="361">
        <f t="shared" si="10"/>
        <v>-2.6258205689277898E-2</v>
      </c>
      <c r="X119" s="361">
        <f t="shared" si="11"/>
        <v>-7.9775280898876408E-2</v>
      </c>
    </row>
    <row r="120" spans="1:24">
      <c r="A120" s="405">
        <v>45135</v>
      </c>
      <c r="B120" s="406">
        <f>IF(YEAR(Table7[[#This Row],[Date]]) = 2023, WEEKNUM(Table7[[#This Row],[Date]])-13, WEEKNUM(Table7[[#This Row],[Date]])+40)</f>
        <v>17</v>
      </c>
      <c r="C120" s="1" t="s">
        <v>53</v>
      </c>
      <c r="D120" s="1" t="s">
        <v>94</v>
      </c>
      <c r="E120" s="1">
        <v>966</v>
      </c>
      <c r="F120" s="1">
        <v>894</v>
      </c>
      <c r="G120" s="80">
        <f t="shared" ref="G120:H120" si="63">IFERROR((E120-E113)/E113,0%)</f>
        <v>0.15412186379928317</v>
      </c>
      <c r="H120" s="80">
        <f t="shared" si="63"/>
        <v>0.11055900621118013</v>
      </c>
      <c r="I120" s="1"/>
      <c r="J120" s="1"/>
      <c r="K120" s="1"/>
      <c r="L120" s="1"/>
      <c r="M120" s="18">
        <v>0.77</v>
      </c>
      <c r="N120" s="18">
        <v>7.0000000000000007E-2</v>
      </c>
      <c r="O120" s="18">
        <v>0.93</v>
      </c>
      <c r="P120" s="18">
        <v>0.76</v>
      </c>
      <c r="Q120" s="157"/>
      <c r="R120" s="301">
        <v>323</v>
      </c>
      <c r="S120" s="158">
        <v>2.9166666666666664E-2</v>
      </c>
      <c r="T120" s="1">
        <v>14</v>
      </c>
      <c r="U120" s="280" t="str">
        <f t="shared" si="8"/>
        <v>Normal</v>
      </c>
      <c r="V120" s="280" t="str">
        <f t="shared" si="9"/>
        <v>Normal</v>
      </c>
      <c r="W120" s="361">
        <f t="shared" si="10"/>
        <v>0.15412186379928317</v>
      </c>
      <c r="X120" s="361">
        <f t="shared" si="11"/>
        <v>0.11055900621118013</v>
      </c>
    </row>
    <row r="121" spans="1:24">
      <c r="A121" s="405">
        <v>45136</v>
      </c>
      <c r="B121" s="406">
        <f>IF(YEAR(Table7[[#This Row],[Date]]) = 2023, WEEKNUM(Table7[[#This Row],[Date]])-13, WEEKNUM(Table7[[#This Row],[Date]])+40)</f>
        <v>17</v>
      </c>
      <c r="C121" s="1" t="s">
        <v>54</v>
      </c>
      <c r="D121" s="1" t="s">
        <v>94</v>
      </c>
      <c r="E121" s="1">
        <v>719</v>
      </c>
      <c r="F121" s="1">
        <v>673</v>
      </c>
      <c r="G121" s="80">
        <f t="shared" ref="G121:H121" si="64">IFERROR((E121-E114)/E114,0%)</f>
        <v>0.1884297520661157</v>
      </c>
      <c r="H121" s="80">
        <f t="shared" si="64"/>
        <v>0.17657342657342656</v>
      </c>
      <c r="I121" s="1"/>
      <c r="J121" s="1"/>
      <c r="K121" s="1"/>
      <c r="L121" s="1"/>
      <c r="M121" s="18">
        <v>0.79</v>
      </c>
      <c r="N121" s="18">
        <v>0.06</v>
      </c>
      <c r="O121" s="18">
        <v>0.94</v>
      </c>
      <c r="P121" s="18">
        <v>0.72</v>
      </c>
      <c r="Q121" s="157"/>
      <c r="R121" s="301">
        <v>347</v>
      </c>
      <c r="S121" s="158">
        <v>2.013888888888889E-2</v>
      </c>
      <c r="T121" s="1">
        <v>12</v>
      </c>
      <c r="U121" s="280" t="str">
        <f t="shared" si="8"/>
        <v>Normal</v>
      </c>
      <c r="V121" s="280" t="str">
        <f t="shared" si="9"/>
        <v>Normal</v>
      </c>
      <c r="W121" s="361">
        <f t="shared" si="10"/>
        <v>0.1884297520661157</v>
      </c>
      <c r="X121" s="361">
        <f t="shared" si="11"/>
        <v>0.17657342657342656</v>
      </c>
    </row>
    <row r="122" spans="1:24">
      <c r="A122" s="405">
        <v>45137</v>
      </c>
      <c r="B122" s="406">
        <f>IF(YEAR(Table7[[#This Row],[Date]]) = 2023, WEEKNUM(Table7[[#This Row],[Date]])-13, WEEKNUM(Table7[[#This Row],[Date]])+40)</f>
        <v>18</v>
      </c>
      <c r="C122" s="1" t="s">
        <v>48</v>
      </c>
      <c r="D122" s="1" t="s">
        <v>94</v>
      </c>
      <c r="E122" s="1">
        <v>0</v>
      </c>
      <c r="F122" s="1">
        <v>0</v>
      </c>
      <c r="G122" s="80">
        <f t="shared" ref="G122:H122" si="65">IFERROR((E122-E115)/E115,0%)</f>
        <v>0</v>
      </c>
      <c r="H122" s="80">
        <f t="shared" si="65"/>
        <v>0</v>
      </c>
      <c r="I122" s="1">
        <v>0</v>
      </c>
      <c r="J122" s="1">
        <v>0</v>
      </c>
      <c r="K122" s="1">
        <v>0</v>
      </c>
      <c r="L122" s="1">
        <v>0</v>
      </c>
      <c r="M122" s="18">
        <v>0</v>
      </c>
      <c r="N122" s="18">
        <v>0</v>
      </c>
      <c r="O122" s="18">
        <v>0</v>
      </c>
      <c r="P122" s="18">
        <v>0</v>
      </c>
      <c r="Q122" s="157"/>
      <c r="R122" s="301">
        <v>0</v>
      </c>
      <c r="S122" s="158">
        <v>0</v>
      </c>
      <c r="T122" s="1">
        <v>0</v>
      </c>
      <c r="U122" s="280" t="str">
        <f t="shared" si="8"/>
        <v>Normal</v>
      </c>
      <c r="V122" s="280" t="str">
        <f t="shared" si="9"/>
        <v>Normal</v>
      </c>
      <c r="W122" s="361">
        <f t="shared" si="10"/>
        <v>0</v>
      </c>
      <c r="X122" s="361">
        <f t="shared" si="11"/>
        <v>0</v>
      </c>
    </row>
    <row r="123" spans="1:24">
      <c r="A123" s="405">
        <v>45138</v>
      </c>
      <c r="B123" s="406">
        <f>IF(YEAR(Table7[[#This Row],[Date]]) = 2023, WEEKNUM(Table7[[#This Row],[Date]])-13, WEEKNUM(Table7[[#This Row],[Date]])+40)</f>
        <v>18</v>
      </c>
      <c r="C123" s="1" t="s">
        <v>49</v>
      </c>
      <c r="D123" s="1" t="s">
        <v>94</v>
      </c>
      <c r="E123" s="1">
        <v>1134</v>
      </c>
      <c r="F123" s="1">
        <v>1016</v>
      </c>
      <c r="G123" s="80">
        <f t="shared" ref="G123:H123" si="66">IFERROR((E123-E116)/E116,0%)</f>
        <v>0.1524390243902439</v>
      </c>
      <c r="H123" s="80">
        <f t="shared" si="66"/>
        <v>8.4311632870864461E-2</v>
      </c>
      <c r="I123" s="1"/>
      <c r="J123" s="1"/>
      <c r="K123" s="1"/>
      <c r="L123" s="1"/>
      <c r="M123" s="18">
        <v>0.61</v>
      </c>
      <c r="N123" s="18">
        <v>0.1</v>
      </c>
      <c r="O123" s="18">
        <v>0.9</v>
      </c>
      <c r="P123" s="18">
        <v>0.74</v>
      </c>
      <c r="Q123" s="157"/>
      <c r="R123" s="301">
        <v>314</v>
      </c>
      <c r="S123" s="159">
        <v>6.0416666666666667E-2</v>
      </c>
      <c r="T123" s="1">
        <v>16</v>
      </c>
      <c r="U123" s="280" t="str">
        <f t="shared" si="8"/>
        <v>Normal</v>
      </c>
      <c r="V123" s="280" t="str">
        <f t="shared" si="9"/>
        <v>Normal</v>
      </c>
      <c r="W123" s="361">
        <f t="shared" si="10"/>
        <v>0.1524390243902439</v>
      </c>
      <c r="X123" s="361">
        <f t="shared" si="11"/>
        <v>8.4311632870864461E-2</v>
      </c>
    </row>
    <row r="124" spans="1:24">
      <c r="A124" s="405">
        <v>45139</v>
      </c>
      <c r="B124" s="406">
        <f>IF(YEAR(Table7[[#This Row],[Date]]) = 2023, WEEKNUM(Table7[[#This Row],[Date]])-13, WEEKNUM(Table7[[#This Row],[Date]])+40)</f>
        <v>18</v>
      </c>
      <c r="C124" s="50" t="s">
        <v>64</v>
      </c>
      <c r="D124" s="1" t="s">
        <v>94</v>
      </c>
      <c r="E124" s="50">
        <v>0</v>
      </c>
      <c r="F124" s="50">
        <v>0</v>
      </c>
      <c r="G124" s="80">
        <v>0</v>
      </c>
      <c r="H124" s="80">
        <v>0</v>
      </c>
      <c r="I124" s="50">
        <v>0</v>
      </c>
      <c r="J124" s="50">
        <v>0</v>
      </c>
      <c r="K124" s="50">
        <v>0</v>
      </c>
      <c r="L124" s="50">
        <v>0</v>
      </c>
      <c r="M124" s="51">
        <v>0</v>
      </c>
      <c r="N124" s="51">
        <v>0</v>
      </c>
      <c r="O124" s="51">
        <v>0</v>
      </c>
      <c r="P124" s="51">
        <v>0</v>
      </c>
      <c r="Q124" s="157"/>
      <c r="R124" s="301">
        <v>0</v>
      </c>
      <c r="S124" s="162">
        <v>0</v>
      </c>
      <c r="T124" s="1">
        <v>0</v>
      </c>
      <c r="U124" s="280" t="str">
        <f t="shared" si="8"/>
        <v>Normal</v>
      </c>
      <c r="V124" s="280" t="str">
        <f t="shared" si="9"/>
        <v>Normal</v>
      </c>
      <c r="W124" s="361">
        <f t="shared" si="10"/>
        <v>0</v>
      </c>
      <c r="X124" s="361">
        <f t="shared" si="11"/>
        <v>0</v>
      </c>
    </row>
    <row r="125" spans="1:24">
      <c r="A125" s="405">
        <v>45140</v>
      </c>
      <c r="B125" s="406">
        <f>IF(YEAR(Table7[[#This Row],[Date]]) = 2023, WEEKNUM(Table7[[#This Row],[Date]])-13, WEEKNUM(Table7[[#This Row],[Date]])+40)</f>
        <v>18</v>
      </c>
      <c r="C125" s="1" t="s">
        <v>51</v>
      </c>
      <c r="D125" s="1" t="s">
        <v>94</v>
      </c>
      <c r="E125" s="1">
        <v>1114</v>
      </c>
      <c r="F125" s="1">
        <v>962</v>
      </c>
      <c r="G125" s="80">
        <f t="shared" ref="G125:H125" si="67">IFERROR((E125-E118)/E118,0%)</f>
        <v>8.1447963800904983E-3</v>
      </c>
      <c r="H125" s="80">
        <f t="shared" si="67"/>
        <v>2.8877005347593583E-2</v>
      </c>
      <c r="I125" s="1"/>
      <c r="J125" s="1"/>
      <c r="K125" s="1"/>
      <c r="L125" s="1"/>
      <c r="M125" s="18">
        <v>0.56000000000000005</v>
      </c>
      <c r="N125" s="18">
        <v>0.14000000000000001</v>
      </c>
      <c r="O125" s="18">
        <v>0.86</v>
      </c>
      <c r="P125" s="18">
        <v>0.78</v>
      </c>
      <c r="Q125" s="157"/>
      <c r="R125" s="301">
        <v>372</v>
      </c>
      <c r="S125" s="159">
        <v>4.9305555555555554E-2</v>
      </c>
      <c r="T125" s="1">
        <v>17</v>
      </c>
      <c r="U125" s="280" t="str">
        <f t="shared" si="8"/>
        <v>Normal</v>
      </c>
      <c r="V125" s="280" t="str">
        <f t="shared" si="9"/>
        <v>Normal</v>
      </c>
      <c r="W125" s="361">
        <f t="shared" si="10"/>
        <v>8.1447963800904983E-3</v>
      </c>
      <c r="X125" s="361">
        <f t="shared" si="11"/>
        <v>2.8877005347593583E-2</v>
      </c>
    </row>
    <row r="126" spans="1:24">
      <c r="A126" s="405">
        <v>45141</v>
      </c>
      <c r="B126" s="406">
        <f>IF(YEAR(Table7[[#This Row],[Date]]) = 2023, WEEKNUM(Table7[[#This Row],[Date]])-13, WEEKNUM(Table7[[#This Row],[Date]])+40)</f>
        <v>18</v>
      </c>
      <c r="C126" s="1" t="s">
        <v>52</v>
      </c>
      <c r="D126" s="1" t="s">
        <v>94</v>
      </c>
      <c r="E126" s="1">
        <v>1021</v>
      </c>
      <c r="F126" s="1">
        <v>867</v>
      </c>
      <c r="G126" s="80">
        <f t="shared" ref="G126:H126" si="68">IFERROR((E126-E119)/E119,0%)</f>
        <v>0.14719101123595504</v>
      </c>
      <c r="H126" s="80">
        <f t="shared" si="68"/>
        <v>5.8608058608058608E-2</v>
      </c>
      <c r="I126" s="1"/>
      <c r="J126" s="1"/>
      <c r="K126" s="1"/>
      <c r="L126" s="1"/>
      <c r="M126" s="18">
        <v>0.56000000000000005</v>
      </c>
      <c r="N126" s="18">
        <v>0.15</v>
      </c>
      <c r="O126" s="18">
        <v>0.85</v>
      </c>
      <c r="P126" s="18">
        <v>0.83</v>
      </c>
      <c r="Q126" s="157"/>
      <c r="R126" s="301">
        <v>361</v>
      </c>
      <c r="S126" s="159">
        <v>5.1388888888888894E-2</v>
      </c>
      <c r="T126" s="1">
        <v>14</v>
      </c>
      <c r="U126" s="280" t="str">
        <f t="shared" si="8"/>
        <v>Normal</v>
      </c>
      <c r="V126" s="280" t="str">
        <f t="shared" si="9"/>
        <v>Normal</v>
      </c>
      <c r="W126" s="361">
        <f t="shared" si="10"/>
        <v>0.14719101123595504</v>
      </c>
      <c r="X126" s="361">
        <f t="shared" si="11"/>
        <v>5.8608058608058608E-2</v>
      </c>
    </row>
    <row r="127" spans="1:24">
      <c r="A127" s="405">
        <v>45142</v>
      </c>
      <c r="B127" s="406">
        <f>IF(YEAR(Table7[[#This Row],[Date]]) = 2023, WEEKNUM(Table7[[#This Row],[Date]])-13, WEEKNUM(Table7[[#This Row],[Date]])+40)</f>
        <v>18</v>
      </c>
      <c r="C127" s="1" t="s">
        <v>53</v>
      </c>
      <c r="D127" s="1" t="s">
        <v>94</v>
      </c>
      <c r="E127" s="1">
        <v>899</v>
      </c>
      <c r="F127" s="1">
        <v>817</v>
      </c>
      <c r="G127" s="80">
        <f t="shared" ref="G127:H127" si="69">IFERROR((E127-E120)/E120,0%)</f>
        <v>-6.9358178053830224E-2</v>
      </c>
      <c r="H127" s="80">
        <f t="shared" si="69"/>
        <v>-8.612975391498881E-2</v>
      </c>
      <c r="I127" s="1"/>
      <c r="J127" s="1"/>
      <c r="K127" s="1"/>
      <c r="L127" s="1"/>
      <c r="M127" s="18">
        <v>0.72</v>
      </c>
      <c r="N127" s="18">
        <v>0.09</v>
      </c>
      <c r="O127" s="18">
        <v>0.91</v>
      </c>
      <c r="P127" s="18">
        <v>0.77</v>
      </c>
      <c r="Q127" s="157"/>
      <c r="R127" s="301">
        <v>307</v>
      </c>
      <c r="S127" s="159">
        <v>2.2916666666666669E-2</v>
      </c>
      <c r="T127" s="1">
        <v>12</v>
      </c>
      <c r="U127" s="280" t="str">
        <f t="shared" si="8"/>
        <v>Normal</v>
      </c>
      <c r="V127" s="280" t="str">
        <f t="shared" si="9"/>
        <v>Normal</v>
      </c>
      <c r="W127" s="361">
        <f t="shared" si="10"/>
        <v>-6.9358178053830224E-2</v>
      </c>
      <c r="X127" s="361">
        <f t="shared" si="11"/>
        <v>-8.612975391498881E-2</v>
      </c>
    </row>
    <row r="128" spans="1:24">
      <c r="A128" s="405">
        <v>45143</v>
      </c>
      <c r="B128" s="406">
        <f>IF(YEAR(Table7[[#This Row],[Date]]) = 2023, WEEKNUM(Table7[[#This Row],[Date]])-13, WEEKNUM(Table7[[#This Row],[Date]])+40)</f>
        <v>18</v>
      </c>
      <c r="C128" s="1" t="s">
        <v>54</v>
      </c>
      <c r="D128" s="1" t="s">
        <v>94</v>
      </c>
      <c r="E128" s="1">
        <v>700</v>
      </c>
      <c r="F128" s="1">
        <v>608</v>
      </c>
      <c r="G128" s="80">
        <f t="shared" ref="G128:H128" si="70">IFERROR((E128-E121)/E121,0%)</f>
        <v>-2.6425591098748261E-2</v>
      </c>
      <c r="H128" s="80">
        <f t="shared" si="70"/>
        <v>-9.658246656760773E-2</v>
      </c>
      <c r="I128" s="1"/>
      <c r="J128" s="1"/>
      <c r="K128" s="1"/>
      <c r="L128" s="1"/>
      <c r="M128" s="18">
        <v>0.53</v>
      </c>
      <c r="N128" s="18">
        <v>0.13</v>
      </c>
      <c r="O128" s="18">
        <v>0.87</v>
      </c>
      <c r="P128" s="18">
        <v>0.76</v>
      </c>
      <c r="Q128" s="157"/>
      <c r="R128" s="301">
        <v>369</v>
      </c>
      <c r="S128" s="159">
        <v>5.5555555555555552E-2</v>
      </c>
      <c r="T128" s="1">
        <v>11</v>
      </c>
      <c r="U128" s="280" t="str">
        <f t="shared" si="8"/>
        <v>Normal</v>
      </c>
      <c r="V128" s="280" t="str">
        <f t="shared" si="9"/>
        <v>Normal</v>
      </c>
      <c r="W128" s="361">
        <f t="shared" si="10"/>
        <v>-2.6425591098748261E-2</v>
      </c>
      <c r="X128" s="361">
        <f t="shared" si="11"/>
        <v>-9.658246656760773E-2</v>
      </c>
    </row>
    <row r="129" spans="1:40">
      <c r="A129" s="405">
        <v>45144</v>
      </c>
      <c r="B129" s="406">
        <f>IF(YEAR(Table7[[#This Row],[Date]]) = 2023, WEEKNUM(Table7[[#This Row],[Date]])-13, WEEKNUM(Table7[[#This Row],[Date]])+40)</f>
        <v>19</v>
      </c>
      <c r="C129" s="1" t="s">
        <v>48</v>
      </c>
      <c r="D129" s="1" t="s">
        <v>94</v>
      </c>
      <c r="E129" s="1">
        <v>0</v>
      </c>
      <c r="F129" s="1">
        <v>0</v>
      </c>
      <c r="G129" s="80">
        <f t="shared" ref="G129:H129" si="71">IFERROR((E129-E122)/E122,0%)</f>
        <v>0</v>
      </c>
      <c r="H129" s="80">
        <f t="shared" si="71"/>
        <v>0</v>
      </c>
      <c r="I129" s="1">
        <v>0</v>
      </c>
      <c r="J129" s="1">
        <v>0</v>
      </c>
      <c r="K129" s="1">
        <v>0</v>
      </c>
      <c r="L129" s="1">
        <v>0</v>
      </c>
      <c r="M129" s="18">
        <v>0</v>
      </c>
      <c r="N129" s="18">
        <v>0</v>
      </c>
      <c r="O129" s="18">
        <v>0</v>
      </c>
      <c r="P129" s="18">
        <v>0</v>
      </c>
      <c r="Q129" s="157"/>
      <c r="R129" s="301">
        <v>0</v>
      </c>
      <c r="S129" s="159">
        <v>0</v>
      </c>
      <c r="T129" s="1">
        <v>0</v>
      </c>
      <c r="U129" s="280" t="str">
        <f t="shared" si="8"/>
        <v>Normal</v>
      </c>
      <c r="V129" s="280" t="str">
        <f t="shared" si="9"/>
        <v>Normal</v>
      </c>
      <c r="W129" s="361">
        <f t="shared" si="10"/>
        <v>0</v>
      </c>
      <c r="X129" s="361">
        <f t="shared" si="11"/>
        <v>0</v>
      </c>
    </row>
    <row r="130" spans="1:40">
      <c r="A130" s="405">
        <v>45145</v>
      </c>
      <c r="B130" s="406">
        <f>IF(YEAR(Table7[[#This Row],[Date]]) = 2023, WEEKNUM(Table7[[#This Row],[Date]])-13, WEEKNUM(Table7[[#This Row],[Date]])+40)</f>
        <v>19</v>
      </c>
      <c r="C130" s="1" t="s">
        <v>64</v>
      </c>
      <c r="D130" s="1" t="s">
        <v>94</v>
      </c>
      <c r="E130" s="1">
        <v>0</v>
      </c>
      <c r="F130" s="1">
        <v>0</v>
      </c>
      <c r="G130" s="80">
        <v>0</v>
      </c>
      <c r="H130" s="80">
        <v>0</v>
      </c>
      <c r="I130" s="1">
        <v>0</v>
      </c>
      <c r="J130" s="1">
        <v>0</v>
      </c>
      <c r="K130" s="1">
        <v>0</v>
      </c>
      <c r="L130" s="1">
        <v>0</v>
      </c>
      <c r="M130" s="18">
        <v>0</v>
      </c>
      <c r="N130" s="18">
        <v>0</v>
      </c>
      <c r="O130" s="18">
        <v>0</v>
      </c>
      <c r="P130" s="18">
        <v>0</v>
      </c>
      <c r="Q130" s="157"/>
      <c r="R130" s="301">
        <v>0</v>
      </c>
      <c r="S130" s="159">
        <v>0</v>
      </c>
      <c r="T130" s="1">
        <v>0</v>
      </c>
      <c r="U130" s="280" t="str">
        <f t="shared" si="8"/>
        <v>Normal</v>
      </c>
      <c r="V130" s="280" t="str">
        <f t="shared" si="9"/>
        <v>Normal</v>
      </c>
      <c r="W130" s="361">
        <f t="shared" si="10"/>
        <v>0</v>
      </c>
      <c r="X130" s="361">
        <f t="shared" si="11"/>
        <v>0</v>
      </c>
    </row>
    <row r="131" spans="1:40">
      <c r="A131" s="405">
        <v>45146</v>
      </c>
      <c r="B131" s="406">
        <f>IF(YEAR(Table7[[#This Row],[Date]]) = 2023, WEEKNUM(Table7[[#This Row],[Date]])-13, WEEKNUM(Table7[[#This Row],[Date]])+40)</f>
        <v>19</v>
      </c>
      <c r="C131" s="1" t="s">
        <v>50</v>
      </c>
      <c r="D131" s="1" t="s">
        <v>94</v>
      </c>
      <c r="E131" s="1">
        <v>1101</v>
      </c>
      <c r="F131" s="1">
        <v>976</v>
      </c>
      <c r="G131" s="80">
        <f t="shared" ref="G131:H131" si="72">IFERROR((E131-E124)/E124,0%)</f>
        <v>0</v>
      </c>
      <c r="H131" s="80">
        <f t="shared" si="72"/>
        <v>0</v>
      </c>
      <c r="I131" s="1"/>
      <c r="J131" s="1"/>
      <c r="K131" s="1"/>
      <c r="L131" s="1"/>
      <c r="M131" s="18">
        <v>0.62</v>
      </c>
      <c r="N131" s="18">
        <v>0.11</v>
      </c>
      <c r="O131" s="18">
        <v>0.89</v>
      </c>
      <c r="P131" s="18">
        <v>0.99</v>
      </c>
      <c r="Q131" s="157"/>
      <c r="R131" s="301">
        <v>329</v>
      </c>
      <c r="S131" s="159">
        <v>5.6944444444444443E-2</v>
      </c>
      <c r="T131" s="1">
        <v>12</v>
      </c>
      <c r="U131" s="280" t="str">
        <f t="shared" ref="U131:U194" si="73">IF(OR(J131&lt;$AA$5,J131&gt;$AB$5), "Outlier", "Normal")</f>
        <v>Normal</v>
      </c>
      <c r="V131" s="280" t="str">
        <f t="shared" ref="V131:V194" si="74">IF(OR(K131&lt;$AA$6,K131&gt;$AB$6), "Outlier", "Normal")</f>
        <v>Normal</v>
      </c>
      <c r="W131" s="361">
        <f t="shared" ref="W131:W194" si="75">IF(U131="Normal",$G131,IF($G131&lt;150%, $G131, $AA$9))</f>
        <v>0</v>
      </c>
      <c r="X131" s="361">
        <f t="shared" ref="X131:X194" si="76">IF(V131="Normal",$H131,IF($H131&lt;150%, $H131, $AE$9))</f>
        <v>0</v>
      </c>
    </row>
    <row r="132" spans="1:40">
      <c r="A132" s="405">
        <v>45147</v>
      </c>
      <c r="B132" s="406">
        <f>IF(YEAR(Table7[[#This Row],[Date]]) = 2023, WEEKNUM(Table7[[#This Row],[Date]])-13, WEEKNUM(Table7[[#This Row],[Date]])+40)</f>
        <v>19</v>
      </c>
      <c r="C132" s="1" t="s">
        <v>51</v>
      </c>
      <c r="D132" s="1" t="s">
        <v>94</v>
      </c>
      <c r="E132" s="1">
        <v>1107</v>
      </c>
      <c r="F132" s="1">
        <v>1034</v>
      </c>
      <c r="G132" s="80">
        <f t="shared" ref="G132:H132" si="77">IFERROR((E132-E125)/E125,0%)</f>
        <v>-6.2836624775583485E-3</v>
      </c>
      <c r="H132" s="80">
        <f t="shared" si="77"/>
        <v>7.4844074844074848E-2</v>
      </c>
      <c r="I132" s="1"/>
      <c r="J132" s="1"/>
      <c r="K132" s="1"/>
      <c r="L132" s="1"/>
      <c r="M132" s="18">
        <v>0.76</v>
      </c>
      <c r="N132" s="18">
        <v>7.0000000000000007E-2</v>
      </c>
      <c r="O132" s="18">
        <v>0.93</v>
      </c>
      <c r="P132" s="18">
        <v>0.67</v>
      </c>
      <c r="Q132" s="157"/>
      <c r="R132" s="301">
        <v>280</v>
      </c>
      <c r="S132" s="159">
        <v>2.2222222222222223E-2</v>
      </c>
      <c r="T132" s="1">
        <v>16</v>
      </c>
      <c r="U132" s="280" t="str">
        <f t="shared" si="73"/>
        <v>Normal</v>
      </c>
      <c r="V132" s="280" t="str">
        <f t="shared" si="74"/>
        <v>Normal</v>
      </c>
      <c r="W132" s="361">
        <f t="shared" si="75"/>
        <v>-6.2836624775583485E-3</v>
      </c>
      <c r="X132" s="361">
        <f t="shared" si="76"/>
        <v>7.4844074844074848E-2</v>
      </c>
    </row>
    <row r="133" spans="1:40">
      <c r="A133" s="405">
        <v>45148</v>
      </c>
      <c r="B133" s="406">
        <f>IF(YEAR(Table7[[#This Row],[Date]]) = 2023, WEEKNUM(Table7[[#This Row],[Date]])-13, WEEKNUM(Table7[[#This Row],[Date]])+40)</f>
        <v>19</v>
      </c>
      <c r="C133" s="1" t="s">
        <v>52</v>
      </c>
      <c r="D133" s="1" t="s">
        <v>94</v>
      </c>
      <c r="E133" s="1">
        <v>962</v>
      </c>
      <c r="F133" s="1">
        <v>907</v>
      </c>
      <c r="G133" s="80">
        <f t="shared" ref="G133:H133" si="78">IFERROR((E133-E126)/E126,0%)</f>
        <v>-5.7786483839373161E-2</v>
      </c>
      <c r="H133" s="80">
        <f t="shared" si="78"/>
        <v>4.61361014994233E-2</v>
      </c>
      <c r="I133" s="1"/>
      <c r="J133" s="1"/>
      <c r="K133" s="1"/>
      <c r="L133" s="1"/>
      <c r="M133" s="18">
        <v>0.8</v>
      </c>
      <c r="N133" s="18">
        <v>0.06</v>
      </c>
      <c r="O133" s="18">
        <v>0.94</v>
      </c>
      <c r="P133" s="18">
        <v>0.57999999999999996</v>
      </c>
      <c r="Q133" s="157"/>
      <c r="R133" s="301">
        <v>277</v>
      </c>
      <c r="S133" s="159">
        <v>2.013888888888889E-2</v>
      </c>
      <c r="T133" s="1">
        <v>16</v>
      </c>
      <c r="U133" s="280" t="str">
        <f t="shared" si="73"/>
        <v>Normal</v>
      </c>
      <c r="V133" s="280" t="str">
        <f t="shared" si="74"/>
        <v>Normal</v>
      </c>
      <c r="W133" s="361">
        <f t="shared" si="75"/>
        <v>-5.7786483839373161E-2</v>
      </c>
      <c r="X133" s="361">
        <f t="shared" si="76"/>
        <v>4.61361014994233E-2</v>
      </c>
      <c r="AN133">
        <v>0.71399999999999997</v>
      </c>
    </row>
    <row r="134" spans="1:40">
      <c r="A134" s="405">
        <v>45149</v>
      </c>
      <c r="B134" s="406">
        <f>IF(YEAR(Table7[[#This Row],[Date]]) = 2023, WEEKNUM(Table7[[#This Row],[Date]])-13, WEEKNUM(Table7[[#This Row],[Date]])+40)</f>
        <v>19</v>
      </c>
      <c r="C134" s="1" t="s">
        <v>53</v>
      </c>
      <c r="D134" s="1" t="s">
        <v>94</v>
      </c>
      <c r="E134" s="1">
        <v>894</v>
      </c>
      <c r="F134" s="1">
        <v>862</v>
      </c>
      <c r="G134" s="80">
        <f t="shared" ref="G134:H134" si="79">IFERROR((E134-E127)/E127,0%)</f>
        <v>-5.5617352614015575E-3</v>
      </c>
      <c r="H134" s="80">
        <f t="shared" si="79"/>
        <v>5.5079559363525092E-2</v>
      </c>
      <c r="I134" s="1"/>
      <c r="J134" s="1"/>
      <c r="K134" s="1"/>
      <c r="L134" s="1"/>
      <c r="M134" s="18">
        <v>0.9</v>
      </c>
      <c r="N134" s="18">
        <v>0.04</v>
      </c>
      <c r="O134" s="18">
        <v>0.96</v>
      </c>
      <c r="P134" s="18">
        <v>0.62</v>
      </c>
      <c r="Q134" s="157"/>
      <c r="R134" s="301">
        <v>291</v>
      </c>
      <c r="S134" s="159">
        <v>1.2499999999999999E-2</v>
      </c>
      <c r="T134" s="1">
        <v>15</v>
      </c>
      <c r="U134" s="280" t="str">
        <f t="shared" si="73"/>
        <v>Normal</v>
      </c>
      <c r="V134" s="280" t="str">
        <f t="shared" si="74"/>
        <v>Normal</v>
      </c>
      <c r="W134" s="361">
        <f t="shared" si="75"/>
        <v>-5.5617352614015575E-3</v>
      </c>
      <c r="X134" s="361">
        <f t="shared" si="76"/>
        <v>5.5079559363525092E-2</v>
      </c>
    </row>
    <row r="135" spans="1:40">
      <c r="A135" s="405">
        <v>45150</v>
      </c>
      <c r="B135" s="406">
        <f>IF(YEAR(Table7[[#This Row],[Date]]) = 2023, WEEKNUM(Table7[[#This Row],[Date]])-13, WEEKNUM(Table7[[#This Row],[Date]])+40)</f>
        <v>19</v>
      </c>
      <c r="C135" s="1" t="s">
        <v>54</v>
      </c>
      <c r="D135" s="1" t="s">
        <v>94</v>
      </c>
      <c r="E135" s="1">
        <v>781</v>
      </c>
      <c r="F135" s="1">
        <v>710</v>
      </c>
      <c r="G135" s="80">
        <f t="shared" ref="G135:H135" si="80">IFERROR((E135-E128)/E128,0%)</f>
        <v>0.11571428571428571</v>
      </c>
      <c r="H135" s="80">
        <f t="shared" si="80"/>
        <v>0.16776315789473684</v>
      </c>
      <c r="I135" s="1"/>
      <c r="J135" s="1"/>
      <c r="K135" s="1"/>
      <c r="L135" s="1"/>
      <c r="M135" s="18">
        <v>0.63</v>
      </c>
      <c r="N135" s="18">
        <v>0.09</v>
      </c>
      <c r="O135" s="18">
        <v>0.91</v>
      </c>
      <c r="P135" s="18">
        <v>0.66</v>
      </c>
      <c r="Q135" s="157"/>
      <c r="R135" s="301">
        <v>278</v>
      </c>
      <c r="S135" s="159">
        <v>4.1666666666666664E-2</v>
      </c>
      <c r="T135" s="1">
        <v>11</v>
      </c>
      <c r="U135" s="280" t="str">
        <f t="shared" si="73"/>
        <v>Normal</v>
      </c>
      <c r="V135" s="280" t="str">
        <f t="shared" si="74"/>
        <v>Normal</v>
      </c>
      <c r="W135" s="361">
        <f t="shared" si="75"/>
        <v>0.11571428571428571</v>
      </c>
      <c r="X135" s="361">
        <f t="shared" si="76"/>
        <v>0.16776315789473684</v>
      </c>
    </row>
    <row r="136" spans="1:40">
      <c r="A136" s="405">
        <v>45151</v>
      </c>
      <c r="B136" s="406">
        <f>IF(YEAR(Table7[[#This Row],[Date]]) = 2023, WEEKNUM(Table7[[#This Row],[Date]])-13, WEEKNUM(Table7[[#This Row],[Date]])+40)</f>
        <v>20</v>
      </c>
      <c r="C136" s="1" t="s">
        <v>48</v>
      </c>
      <c r="D136" s="1" t="s">
        <v>94</v>
      </c>
      <c r="E136" s="1">
        <v>0</v>
      </c>
      <c r="F136" s="1">
        <v>0</v>
      </c>
      <c r="G136" s="80">
        <f t="shared" ref="G136:H136" si="81">IFERROR((E136-E129)/E129,0%)</f>
        <v>0</v>
      </c>
      <c r="H136" s="80">
        <f t="shared" si="81"/>
        <v>0</v>
      </c>
      <c r="I136" s="1">
        <v>0</v>
      </c>
      <c r="J136" s="1">
        <v>0</v>
      </c>
      <c r="K136" s="1">
        <v>0</v>
      </c>
      <c r="L136" s="1">
        <v>0</v>
      </c>
      <c r="M136" s="18">
        <v>0</v>
      </c>
      <c r="N136" s="18">
        <v>0</v>
      </c>
      <c r="O136" s="18">
        <v>0</v>
      </c>
      <c r="P136" s="18">
        <v>0</v>
      </c>
      <c r="Q136" s="157"/>
      <c r="R136" s="301">
        <v>0</v>
      </c>
      <c r="S136" s="159">
        <v>0</v>
      </c>
      <c r="T136" s="1">
        <v>0</v>
      </c>
      <c r="U136" s="280" t="str">
        <f t="shared" si="73"/>
        <v>Normal</v>
      </c>
      <c r="V136" s="280" t="str">
        <f t="shared" si="74"/>
        <v>Normal</v>
      </c>
      <c r="W136" s="361">
        <f t="shared" si="75"/>
        <v>0</v>
      </c>
      <c r="X136" s="361">
        <f t="shared" si="76"/>
        <v>0</v>
      </c>
    </row>
    <row r="137" spans="1:40">
      <c r="A137" s="405">
        <v>45152</v>
      </c>
      <c r="B137" s="406">
        <f>IF(YEAR(Table7[[#This Row],[Date]]) = 2023, WEEKNUM(Table7[[#This Row],[Date]])-13, WEEKNUM(Table7[[#This Row],[Date]])+40)</f>
        <v>20</v>
      </c>
      <c r="C137" s="1" t="s">
        <v>49</v>
      </c>
      <c r="D137" s="1" t="s">
        <v>94</v>
      </c>
      <c r="E137" s="1">
        <v>999</v>
      </c>
      <c r="F137" s="1">
        <v>982</v>
      </c>
      <c r="G137" s="80">
        <f t="shared" ref="G137:H137" si="82">IFERROR((E137-E130)/E130,0%)</f>
        <v>0</v>
      </c>
      <c r="H137" s="80">
        <f t="shared" si="82"/>
        <v>0</v>
      </c>
      <c r="I137" s="1"/>
      <c r="J137" s="1"/>
      <c r="K137" s="1"/>
      <c r="L137" s="1"/>
      <c r="M137" s="18">
        <v>0.97</v>
      </c>
      <c r="N137" s="18">
        <v>0.02</v>
      </c>
      <c r="O137" s="18">
        <v>0.98</v>
      </c>
      <c r="P137" s="18">
        <v>0.78</v>
      </c>
      <c r="Q137" s="157"/>
      <c r="R137" s="301">
        <v>256</v>
      </c>
      <c r="S137" s="159">
        <v>6.2499999999999995E-3</v>
      </c>
      <c r="T137" s="209">
        <v>12</v>
      </c>
      <c r="U137" s="280" t="str">
        <f t="shared" si="73"/>
        <v>Normal</v>
      </c>
      <c r="V137" s="280" t="str">
        <f t="shared" si="74"/>
        <v>Normal</v>
      </c>
      <c r="W137" s="361">
        <f t="shared" si="75"/>
        <v>0</v>
      </c>
      <c r="X137" s="361">
        <f t="shared" si="76"/>
        <v>0</v>
      </c>
    </row>
    <row r="138" spans="1:40">
      <c r="A138" s="405">
        <v>45153</v>
      </c>
      <c r="B138" s="406">
        <f>IF(YEAR(Table7[[#This Row],[Date]]) = 2023, WEEKNUM(Table7[[#This Row],[Date]])-13, WEEKNUM(Table7[[#This Row],[Date]])+40)</f>
        <v>20</v>
      </c>
      <c r="C138" s="1" t="s">
        <v>50</v>
      </c>
      <c r="D138" s="1" t="s">
        <v>94</v>
      </c>
      <c r="E138" s="1">
        <v>964</v>
      </c>
      <c r="F138" s="1">
        <v>929</v>
      </c>
      <c r="G138" s="80">
        <f t="shared" ref="G138:H138" si="83">IFERROR((E138-E131)/E131,0%)</f>
        <v>-0.12443233424159855</v>
      </c>
      <c r="H138" s="80">
        <f t="shared" si="83"/>
        <v>-4.8155737704918031E-2</v>
      </c>
      <c r="I138" s="1"/>
      <c r="J138" s="1"/>
      <c r="K138" s="1"/>
      <c r="L138" s="1"/>
      <c r="M138" s="18">
        <v>0.87</v>
      </c>
      <c r="N138" s="18">
        <v>0.04</v>
      </c>
      <c r="O138" s="18">
        <v>0.96</v>
      </c>
      <c r="P138" s="18">
        <v>0.6</v>
      </c>
      <c r="Q138" s="157"/>
      <c r="R138" s="301">
        <v>262</v>
      </c>
      <c r="S138" s="163">
        <v>1.4583333333333332E-2</v>
      </c>
      <c r="T138" s="37">
        <v>15</v>
      </c>
      <c r="U138" s="280" t="str">
        <f t="shared" si="73"/>
        <v>Normal</v>
      </c>
      <c r="V138" s="280" t="str">
        <f t="shared" si="74"/>
        <v>Normal</v>
      </c>
      <c r="W138" s="361">
        <f t="shared" si="75"/>
        <v>-0.12443233424159855</v>
      </c>
      <c r="X138" s="361">
        <f t="shared" si="76"/>
        <v>-4.8155737704918031E-2</v>
      </c>
    </row>
    <row r="139" spans="1:40">
      <c r="A139" s="405">
        <v>45154</v>
      </c>
      <c r="B139" s="406">
        <f>IF(YEAR(Table7[[#This Row],[Date]]) = 2023, WEEKNUM(Table7[[#This Row],[Date]])-13, WEEKNUM(Table7[[#This Row],[Date]])+40)</f>
        <v>20</v>
      </c>
      <c r="C139" s="1" t="s">
        <v>51</v>
      </c>
      <c r="D139" s="1" t="s">
        <v>94</v>
      </c>
      <c r="E139" s="1">
        <v>908</v>
      </c>
      <c r="F139" s="1">
        <v>854</v>
      </c>
      <c r="G139" s="80">
        <f t="shared" ref="G139:H139" si="84">IFERROR((E139-E132)/E132,0%)</f>
        <v>-0.17976513098464317</v>
      </c>
      <c r="H139" s="80">
        <f t="shared" si="84"/>
        <v>-0.17408123791102514</v>
      </c>
      <c r="I139" s="1"/>
      <c r="J139" s="1"/>
      <c r="K139" s="1"/>
      <c r="L139" s="1"/>
      <c r="M139" s="18">
        <v>0.86</v>
      </c>
      <c r="N139" s="18">
        <v>0.06</v>
      </c>
      <c r="O139" s="18">
        <v>0.94</v>
      </c>
      <c r="P139" s="18">
        <v>0.73</v>
      </c>
      <c r="Q139" s="157"/>
      <c r="R139" s="301">
        <v>276</v>
      </c>
      <c r="S139" s="159">
        <v>2.013888888888889E-2</v>
      </c>
      <c r="T139" s="1">
        <v>12</v>
      </c>
      <c r="U139" s="280" t="str">
        <f t="shared" si="73"/>
        <v>Normal</v>
      </c>
      <c r="V139" s="280" t="str">
        <f t="shared" si="74"/>
        <v>Normal</v>
      </c>
      <c r="W139" s="361">
        <f t="shared" si="75"/>
        <v>-0.17976513098464317</v>
      </c>
      <c r="X139" s="361">
        <f t="shared" si="76"/>
        <v>-0.17408123791102514</v>
      </c>
    </row>
    <row r="140" spans="1:40">
      <c r="A140" s="405">
        <v>45155</v>
      </c>
      <c r="B140" s="406">
        <f>IF(YEAR(Table7[[#This Row],[Date]]) = 2023, WEEKNUM(Table7[[#This Row],[Date]])-13, WEEKNUM(Table7[[#This Row],[Date]])+40)</f>
        <v>20</v>
      </c>
      <c r="C140" s="1" t="s">
        <v>52</v>
      </c>
      <c r="D140" s="1" t="s">
        <v>94</v>
      </c>
      <c r="E140" s="1">
        <v>981</v>
      </c>
      <c r="F140" s="1">
        <v>913</v>
      </c>
      <c r="G140" s="80">
        <f t="shared" ref="G140:H140" si="85">IFERROR((E140-E133)/E133,0%)</f>
        <v>1.9750519750519752E-2</v>
      </c>
      <c r="H140" s="80">
        <f t="shared" si="85"/>
        <v>6.615214994487321E-3</v>
      </c>
      <c r="I140" s="1"/>
      <c r="J140" s="1"/>
      <c r="K140" s="1"/>
      <c r="L140" s="1"/>
      <c r="M140" s="18">
        <v>0.85</v>
      </c>
      <c r="N140" s="18">
        <v>7.0000000000000007E-2</v>
      </c>
      <c r="O140" s="18">
        <v>0.93</v>
      </c>
      <c r="P140" s="18">
        <v>0.67</v>
      </c>
      <c r="Q140" s="157"/>
      <c r="R140" s="301">
        <v>257</v>
      </c>
      <c r="S140" s="159">
        <v>1.6666666666666666E-2</v>
      </c>
      <c r="T140" s="1">
        <v>13</v>
      </c>
      <c r="U140" s="280" t="str">
        <f t="shared" si="73"/>
        <v>Normal</v>
      </c>
      <c r="V140" s="280" t="str">
        <f t="shared" si="74"/>
        <v>Normal</v>
      </c>
      <c r="W140" s="361">
        <f t="shared" si="75"/>
        <v>1.9750519750519752E-2</v>
      </c>
      <c r="X140" s="361">
        <f t="shared" si="76"/>
        <v>6.615214994487321E-3</v>
      </c>
    </row>
    <row r="141" spans="1:40">
      <c r="A141" s="405">
        <v>45156</v>
      </c>
      <c r="B141" s="406">
        <f>IF(YEAR(Table7[[#This Row],[Date]]) = 2023, WEEKNUM(Table7[[#This Row],[Date]])-13, WEEKNUM(Table7[[#This Row],[Date]])+40)</f>
        <v>20</v>
      </c>
      <c r="C141" s="1" t="s">
        <v>53</v>
      </c>
      <c r="D141" s="1" t="s">
        <v>94</v>
      </c>
      <c r="E141" s="1">
        <v>924</v>
      </c>
      <c r="F141" s="1">
        <v>889</v>
      </c>
      <c r="G141" s="80">
        <f t="shared" ref="G141:H141" si="86">IFERROR((E141-E134)/E134,0%)</f>
        <v>3.3557046979865772E-2</v>
      </c>
      <c r="H141" s="80">
        <f t="shared" si="86"/>
        <v>3.1322505800464036E-2</v>
      </c>
      <c r="I141" s="1"/>
      <c r="J141" s="1"/>
      <c r="K141" s="1"/>
      <c r="L141" s="1"/>
      <c r="M141" s="18">
        <v>0.89</v>
      </c>
      <c r="N141" s="18">
        <v>0.04</v>
      </c>
      <c r="O141" s="18">
        <v>0.96</v>
      </c>
      <c r="P141" s="18">
        <v>0.84</v>
      </c>
      <c r="Q141" s="157"/>
      <c r="R141" s="301">
        <v>254</v>
      </c>
      <c r="S141" s="159">
        <v>1.0416666666666666E-2</v>
      </c>
      <c r="T141" s="1">
        <v>10</v>
      </c>
      <c r="U141" s="280" t="str">
        <f t="shared" si="73"/>
        <v>Normal</v>
      </c>
      <c r="V141" s="280" t="str">
        <f t="shared" si="74"/>
        <v>Normal</v>
      </c>
      <c r="W141" s="361">
        <f t="shared" si="75"/>
        <v>3.3557046979865772E-2</v>
      </c>
      <c r="X141" s="361">
        <f t="shared" si="76"/>
        <v>3.1322505800464036E-2</v>
      </c>
    </row>
    <row r="142" spans="1:40">
      <c r="A142" s="405">
        <v>45157</v>
      </c>
      <c r="B142" s="406">
        <f>IF(YEAR(Table7[[#This Row],[Date]]) = 2023, WEEKNUM(Table7[[#This Row],[Date]])-13, WEEKNUM(Table7[[#This Row],[Date]])+40)</f>
        <v>20</v>
      </c>
      <c r="C142" s="1" t="s">
        <v>54</v>
      </c>
      <c r="D142" s="1" t="s">
        <v>94</v>
      </c>
      <c r="E142" s="1">
        <v>700</v>
      </c>
      <c r="F142" s="1">
        <v>657</v>
      </c>
      <c r="G142" s="80">
        <f t="shared" ref="G142:H142" si="87">IFERROR((E142-E135)/E135,0%)</f>
        <v>-0.10371318822023047</v>
      </c>
      <c r="H142" s="80">
        <f t="shared" si="87"/>
        <v>-7.464788732394366E-2</v>
      </c>
      <c r="I142" s="1"/>
      <c r="J142" s="1"/>
      <c r="K142" s="1"/>
      <c r="L142" s="1"/>
      <c r="M142" s="18">
        <v>0.85</v>
      </c>
      <c r="N142" s="18">
        <v>0.06</v>
      </c>
      <c r="O142" s="18">
        <v>0.94</v>
      </c>
      <c r="P142" s="18">
        <v>0.71</v>
      </c>
      <c r="Q142" s="157"/>
      <c r="R142" s="301">
        <v>263</v>
      </c>
      <c r="S142" s="159">
        <v>1.6666666666666666E-2</v>
      </c>
      <c r="T142" s="1">
        <v>9</v>
      </c>
      <c r="U142" s="280" t="str">
        <f t="shared" si="73"/>
        <v>Normal</v>
      </c>
      <c r="V142" s="280" t="str">
        <f t="shared" si="74"/>
        <v>Normal</v>
      </c>
      <c r="W142" s="361">
        <f t="shared" si="75"/>
        <v>-0.10371318822023047</v>
      </c>
      <c r="X142" s="361">
        <f t="shared" si="76"/>
        <v>-7.464788732394366E-2</v>
      </c>
    </row>
    <row r="143" spans="1:40">
      <c r="A143" s="405">
        <v>45158</v>
      </c>
      <c r="B143" s="406">
        <f>IF(YEAR(Table7[[#This Row],[Date]]) = 2023, WEEKNUM(Table7[[#This Row],[Date]])-13, WEEKNUM(Table7[[#This Row],[Date]])+40)</f>
        <v>21</v>
      </c>
      <c r="C143" s="1" t="s">
        <v>48</v>
      </c>
      <c r="D143" s="1" t="s">
        <v>94</v>
      </c>
      <c r="E143" s="1">
        <v>0</v>
      </c>
      <c r="F143" s="1">
        <v>0</v>
      </c>
      <c r="G143" s="80">
        <f t="shared" ref="G143:H143" si="88">IFERROR((E143-E136)/E136,0%)</f>
        <v>0</v>
      </c>
      <c r="H143" s="80">
        <f t="shared" si="88"/>
        <v>0</v>
      </c>
      <c r="I143" s="1">
        <v>0</v>
      </c>
      <c r="J143" s="1">
        <v>0</v>
      </c>
      <c r="K143" s="1">
        <v>0</v>
      </c>
      <c r="L143" s="1">
        <v>0</v>
      </c>
      <c r="M143" s="18">
        <v>0</v>
      </c>
      <c r="N143" s="18">
        <v>0</v>
      </c>
      <c r="O143" s="18">
        <v>0</v>
      </c>
      <c r="P143" s="18">
        <v>0</v>
      </c>
      <c r="Q143" s="157"/>
      <c r="R143" s="301">
        <v>0</v>
      </c>
      <c r="S143" s="159">
        <v>0</v>
      </c>
      <c r="T143" s="1">
        <v>0</v>
      </c>
      <c r="U143" s="280" t="str">
        <f t="shared" si="73"/>
        <v>Normal</v>
      </c>
      <c r="V143" s="280" t="str">
        <f t="shared" si="74"/>
        <v>Normal</v>
      </c>
      <c r="W143" s="361">
        <f t="shared" si="75"/>
        <v>0</v>
      </c>
      <c r="X143" s="361">
        <f t="shared" si="76"/>
        <v>0</v>
      </c>
    </row>
    <row r="144" spans="1:40">
      <c r="A144" s="405">
        <v>45159</v>
      </c>
      <c r="B144" s="406">
        <f>IF(YEAR(Table7[[#This Row],[Date]]) = 2023, WEEKNUM(Table7[[#This Row],[Date]])-13, WEEKNUM(Table7[[#This Row],[Date]])+40)</f>
        <v>21</v>
      </c>
      <c r="C144" s="1" t="s">
        <v>49</v>
      </c>
      <c r="D144" s="1" t="s">
        <v>94</v>
      </c>
      <c r="E144" s="1">
        <v>958</v>
      </c>
      <c r="F144" s="1">
        <v>911</v>
      </c>
      <c r="G144" s="80">
        <f t="shared" ref="G144:H144" si="89">IFERROR((E144-E137)/E137,0%)</f>
        <v>-4.1041041041041039E-2</v>
      </c>
      <c r="H144" s="80">
        <f t="shared" si="89"/>
        <v>-7.2301425661914456E-2</v>
      </c>
      <c r="I144" s="1"/>
      <c r="J144" s="1"/>
      <c r="K144" s="1"/>
      <c r="L144" s="1"/>
      <c r="M144" s="18">
        <v>0.9</v>
      </c>
      <c r="N144" s="18">
        <v>0.05</v>
      </c>
      <c r="O144" s="18">
        <v>0.95</v>
      </c>
      <c r="P144" s="18">
        <v>0.93</v>
      </c>
      <c r="Q144" s="157"/>
      <c r="R144" s="301">
        <v>275</v>
      </c>
      <c r="S144" s="159">
        <v>1.1111111111111112E-2</v>
      </c>
      <c r="T144" s="209">
        <v>10</v>
      </c>
      <c r="U144" s="280" t="str">
        <f t="shared" si="73"/>
        <v>Normal</v>
      </c>
      <c r="V144" s="280" t="str">
        <f t="shared" si="74"/>
        <v>Normal</v>
      </c>
      <c r="W144" s="361">
        <f t="shared" si="75"/>
        <v>-4.1041041041041039E-2</v>
      </c>
      <c r="X144" s="361">
        <f t="shared" si="76"/>
        <v>-7.2301425661914456E-2</v>
      </c>
    </row>
    <row r="145" spans="1:42">
      <c r="A145" s="405">
        <v>45160</v>
      </c>
      <c r="B145" s="406">
        <f>IF(YEAR(Table7[[#This Row],[Date]]) = 2023, WEEKNUM(Table7[[#This Row],[Date]])-13, WEEKNUM(Table7[[#This Row],[Date]])+40)</f>
        <v>21</v>
      </c>
      <c r="C145" s="1" t="s">
        <v>50</v>
      </c>
      <c r="D145" s="1" t="s">
        <v>94</v>
      </c>
      <c r="E145" s="1">
        <v>929</v>
      </c>
      <c r="F145" s="1">
        <v>858</v>
      </c>
      <c r="G145" s="80">
        <f t="shared" ref="G145:H145" si="90">IFERROR((E145-E138)/E138,0%)</f>
        <v>-3.6307053941908717E-2</v>
      </c>
      <c r="H145" s="80">
        <f t="shared" si="90"/>
        <v>-7.6426264800861135E-2</v>
      </c>
      <c r="I145" s="1"/>
      <c r="J145" s="1"/>
      <c r="K145" s="1"/>
      <c r="L145" s="1"/>
      <c r="M145" s="18">
        <v>0.71</v>
      </c>
      <c r="N145" s="18">
        <v>0.08</v>
      </c>
      <c r="O145" s="18">
        <v>0.92</v>
      </c>
      <c r="P145" s="18">
        <v>1.24</v>
      </c>
      <c r="Q145" s="157"/>
      <c r="R145" s="301">
        <v>274</v>
      </c>
      <c r="S145" s="159">
        <v>2.7083333333333334E-2</v>
      </c>
      <c r="T145" s="1">
        <v>7</v>
      </c>
      <c r="U145" s="280" t="str">
        <f t="shared" si="73"/>
        <v>Normal</v>
      </c>
      <c r="V145" s="280" t="str">
        <f t="shared" si="74"/>
        <v>Normal</v>
      </c>
      <c r="W145" s="361">
        <f t="shared" si="75"/>
        <v>-3.6307053941908717E-2</v>
      </c>
      <c r="X145" s="361">
        <f t="shared" si="76"/>
        <v>-7.6426264800861135E-2</v>
      </c>
      <c r="AN145" s="47"/>
      <c r="AO145" s="47"/>
      <c r="AP145" s="47"/>
    </row>
    <row r="146" spans="1:42">
      <c r="A146" s="405">
        <v>45161</v>
      </c>
      <c r="B146" s="406">
        <f>IF(YEAR(Table7[[#This Row],[Date]]) = 2023, WEEKNUM(Table7[[#This Row],[Date]])-13, WEEKNUM(Table7[[#This Row],[Date]])+40)</f>
        <v>21</v>
      </c>
      <c r="C146" s="1" t="s">
        <v>51</v>
      </c>
      <c r="D146" s="1" t="s">
        <v>94</v>
      </c>
      <c r="E146" s="1">
        <v>978</v>
      </c>
      <c r="F146" s="1">
        <v>913</v>
      </c>
      <c r="G146" s="80">
        <f t="shared" ref="G146:H146" si="91">IFERROR((E146-E139)/E139,0%)</f>
        <v>7.7092511013215861E-2</v>
      </c>
      <c r="H146" s="80">
        <f t="shared" si="91"/>
        <v>6.9086651053864162E-2</v>
      </c>
      <c r="I146" s="1"/>
      <c r="J146" s="1"/>
      <c r="K146" s="1"/>
      <c r="L146" s="1"/>
      <c r="M146" s="18">
        <v>0.81</v>
      </c>
      <c r="N146" s="18">
        <v>7.0000000000000007E-2</v>
      </c>
      <c r="O146" s="18">
        <v>0.93</v>
      </c>
      <c r="P146" s="18">
        <v>0.98</v>
      </c>
      <c r="Q146" s="157"/>
      <c r="R146" s="301">
        <v>260</v>
      </c>
      <c r="S146" s="159">
        <v>2.1527777777777781E-2</v>
      </c>
      <c r="T146" s="1">
        <v>9</v>
      </c>
      <c r="U146" s="280" t="str">
        <f t="shared" si="73"/>
        <v>Normal</v>
      </c>
      <c r="V146" s="280" t="str">
        <f t="shared" si="74"/>
        <v>Normal</v>
      </c>
      <c r="W146" s="361">
        <f t="shared" si="75"/>
        <v>7.7092511013215861E-2</v>
      </c>
      <c r="X146" s="361">
        <f t="shared" si="76"/>
        <v>6.9086651053864162E-2</v>
      </c>
    </row>
    <row r="147" spans="1:42">
      <c r="A147" s="405">
        <v>45162</v>
      </c>
      <c r="B147" s="406">
        <f>IF(YEAR(Table7[[#This Row],[Date]]) = 2023, WEEKNUM(Table7[[#This Row],[Date]])-13, WEEKNUM(Table7[[#This Row],[Date]])+40)</f>
        <v>21</v>
      </c>
      <c r="C147" s="1" t="s">
        <v>52</v>
      </c>
      <c r="D147" s="1" t="s">
        <v>94</v>
      </c>
      <c r="E147" s="1">
        <v>1417</v>
      </c>
      <c r="F147" s="1">
        <v>1058</v>
      </c>
      <c r="G147" s="80">
        <f t="shared" ref="G147:H147" si="92">IFERROR((E147-E140)/E140,0%)</f>
        <v>0.44444444444444442</v>
      </c>
      <c r="H147" s="80">
        <f t="shared" si="92"/>
        <v>0.15881708652792989</v>
      </c>
      <c r="I147" s="1"/>
      <c r="J147" s="1"/>
      <c r="K147" s="1"/>
      <c r="L147" s="1"/>
      <c r="M147" s="18">
        <v>0.27</v>
      </c>
      <c r="N147" s="18">
        <v>0.25</v>
      </c>
      <c r="O147" s="18">
        <v>0.75</v>
      </c>
      <c r="P147" s="18">
        <v>1.1299999999999999</v>
      </c>
      <c r="Q147" s="157"/>
      <c r="R147" s="301">
        <v>260</v>
      </c>
      <c r="S147" s="159">
        <v>8.3333333333333329E-2</v>
      </c>
      <c r="T147" s="1">
        <v>9</v>
      </c>
      <c r="U147" s="280" t="str">
        <f t="shared" si="73"/>
        <v>Normal</v>
      </c>
      <c r="V147" s="280" t="str">
        <f t="shared" si="74"/>
        <v>Normal</v>
      </c>
      <c r="W147" s="361">
        <f t="shared" si="75"/>
        <v>0.44444444444444442</v>
      </c>
      <c r="X147" s="361">
        <f t="shared" si="76"/>
        <v>0.15881708652792989</v>
      </c>
    </row>
    <row r="148" spans="1:42">
      <c r="A148" s="405">
        <v>45163</v>
      </c>
      <c r="B148" s="406">
        <f>IF(YEAR(Table7[[#This Row],[Date]]) = 2023, WEEKNUM(Table7[[#This Row],[Date]])-13, WEEKNUM(Table7[[#This Row],[Date]])+40)</f>
        <v>21</v>
      </c>
      <c r="C148" s="1" t="s">
        <v>53</v>
      </c>
      <c r="D148" s="1" t="s">
        <v>94</v>
      </c>
      <c r="E148" s="1">
        <v>1094</v>
      </c>
      <c r="F148" s="1">
        <v>1043</v>
      </c>
      <c r="G148" s="80">
        <f t="shared" ref="G148:H148" si="93">IFERROR((E148-E141)/E141,0%)</f>
        <v>0.18398268398268397</v>
      </c>
      <c r="H148" s="80">
        <f t="shared" si="93"/>
        <v>0.17322834645669291</v>
      </c>
      <c r="I148" s="1"/>
      <c r="J148" s="1"/>
      <c r="K148" s="1"/>
      <c r="L148" s="1"/>
      <c r="M148" s="18">
        <v>0.87</v>
      </c>
      <c r="N148" s="18">
        <v>0.05</v>
      </c>
      <c r="O148" s="18">
        <v>0.95</v>
      </c>
      <c r="P148" s="18">
        <v>1.03</v>
      </c>
      <c r="Q148" s="157"/>
      <c r="R148" s="301">
        <v>321</v>
      </c>
      <c r="S148" s="159">
        <v>1.5277777777777777E-2</v>
      </c>
      <c r="T148" s="1">
        <v>12</v>
      </c>
      <c r="U148" s="280" t="str">
        <f t="shared" si="73"/>
        <v>Normal</v>
      </c>
      <c r="V148" s="280" t="str">
        <f t="shared" si="74"/>
        <v>Normal</v>
      </c>
      <c r="W148" s="361">
        <f t="shared" si="75"/>
        <v>0.18398268398268397</v>
      </c>
      <c r="X148" s="361">
        <f t="shared" si="76"/>
        <v>0.17322834645669291</v>
      </c>
    </row>
    <row r="149" spans="1:42">
      <c r="A149" s="405">
        <v>45164</v>
      </c>
      <c r="B149" s="406">
        <f>IF(YEAR(Table7[[#This Row],[Date]]) = 2023, WEEKNUM(Table7[[#This Row],[Date]])-13, WEEKNUM(Table7[[#This Row],[Date]])+40)</f>
        <v>21</v>
      </c>
      <c r="C149" s="1" t="s">
        <v>54</v>
      </c>
      <c r="D149" s="1" t="s">
        <v>94</v>
      </c>
      <c r="E149" s="1">
        <v>753</v>
      </c>
      <c r="F149" s="1">
        <v>719</v>
      </c>
      <c r="G149" s="80">
        <f t="shared" ref="G149:H149" si="94">IFERROR((E149-E142)/E142,0%)</f>
        <v>7.571428571428572E-2</v>
      </c>
      <c r="H149" s="80">
        <f t="shared" si="94"/>
        <v>9.4368340943683404E-2</v>
      </c>
      <c r="I149" s="1"/>
      <c r="J149" s="1"/>
      <c r="K149" s="1"/>
      <c r="L149" s="1"/>
      <c r="M149" s="18">
        <v>0.86</v>
      </c>
      <c r="N149" s="18">
        <v>0.05</v>
      </c>
      <c r="O149" s="18">
        <v>0.95</v>
      </c>
      <c r="P149" s="18">
        <v>0.69</v>
      </c>
      <c r="Q149" s="157"/>
      <c r="R149" s="301">
        <v>283</v>
      </c>
      <c r="S149" s="159">
        <v>1.4583333333333332E-2</v>
      </c>
      <c r="T149" s="1">
        <v>11</v>
      </c>
      <c r="U149" s="280" t="str">
        <f t="shared" si="73"/>
        <v>Normal</v>
      </c>
      <c r="V149" s="280" t="str">
        <f t="shared" si="74"/>
        <v>Normal</v>
      </c>
      <c r="W149" s="361">
        <f t="shared" si="75"/>
        <v>7.571428571428572E-2</v>
      </c>
      <c r="X149" s="361">
        <f t="shared" si="76"/>
        <v>9.4368340943683404E-2</v>
      </c>
    </row>
    <row r="150" spans="1:42">
      <c r="A150" s="405">
        <v>45165</v>
      </c>
      <c r="B150" s="406">
        <f>IF(YEAR(Table7[[#This Row],[Date]]) = 2023, WEEKNUM(Table7[[#This Row],[Date]])-13, WEEKNUM(Table7[[#This Row],[Date]])+40)</f>
        <v>22</v>
      </c>
      <c r="C150" s="1" t="s">
        <v>48</v>
      </c>
      <c r="D150" s="1" t="s">
        <v>94</v>
      </c>
      <c r="E150" s="1">
        <v>0</v>
      </c>
      <c r="F150" s="1">
        <v>0</v>
      </c>
      <c r="G150" s="80">
        <f t="shared" ref="G150:H150" si="95">IFERROR((E150-E143)/E143,0%)</f>
        <v>0</v>
      </c>
      <c r="H150" s="80">
        <f t="shared" si="95"/>
        <v>0</v>
      </c>
      <c r="I150" s="1">
        <v>0</v>
      </c>
      <c r="J150" s="1">
        <v>0</v>
      </c>
      <c r="K150" s="1">
        <v>0</v>
      </c>
      <c r="L150" s="1">
        <v>0</v>
      </c>
      <c r="M150" s="18">
        <v>0</v>
      </c>
      <c r="N150" s="18">
        <v>0</v>
      </c>
      <c r="O150" s="18">
        <v>0</v>
      </c>
      <c r="P150" s="18">
        <v>0</v>
      </c>
      <c r="Q150" s="157"/>
      <c r="R150" s="301">
        <v>0</v>
      </c>
      <c r="S150" s="159">
        <v>0</v>
      </c>
      <c r="T150" s="1">
        <v>0</v>
      </c>
      <c r="U150" s="280" t="str">
        <f t="shared" si="73"/>
        <v>Normal</v>
      </c>
      <c r="V150" s="280" t="str">
        <f t="shared" si="74"/>
        <v>Normal</v>
      </c>
      <c r="W150" s="361">
        <f t="shared" si="75"/>
        <v>0</v>
      </c>
      <c r="X150" s="361">
        <f t="shared" si="76"/>
        <v>0</v>
      </c>
      <c r="AN150" s="147" t="e">
        <v>#DIV/0!</v>
      </c>
    </row>
    <row r="151" spans="1:42">
      <c r="A151" s="405">
        <v>45166</v>
      </c>
      <c r="B151" s="406">
        <f>IF(YEAR(Table7[[#This Row],[Date]]) = 2023, WEEKNUM(Table7[[#This Row],[Date]])-13, WEEKNUM(Table7[[#This Row],[Date]])+40)</f>
        <v>22</v>
      </c>
      <c r="C151" s="1" t="s">
        <v>49</v>
      </c>
      <c r="D151" s="1" t="s">
        <v>94</v>
      </c>
      <c r="E151" s="1">
        <v>1197</v>
      </c>
      <c r="F151" s="1">
        <v>1068</v>
      </c>
      <c r="G151" s="80">
        <f t="shared" ref="G151:H151" si="96">IFERROR((E151-E144)/E144,0%)</f>
        <v>0.24947807933194155</v>
      </c>
      <c r="H151" s="80">
        <f t="shared" si="96"/>
        <v>0.17233809001097694</v>
      </c>
      <c r="I151" s="1"/>
      <c r="J151" s="1"/>
      <c r="K151" s="1"/>
      <c r="L151" s="1"/>
      <c r="M151" s="18">
        <v>0.57999999999999996</v>
      </c>
      <c r="N151" s="18">
        <v>0.11</v>
      </c>
      <c r="O151" s="18">
        <v>0.89</v>
      </c>
      <c r="P151" s="18">
        <v>0.67</v>
      </c>
      <c r="Q151" s="157"/>
      <c r="R151" s="301">
        <v>269</v>
      </c>
      <c r="S151" s="159">
        <v>4.1666666666666664E-2</v>
      </c>
      <c r="T151" s="209">
        <v>16</v>
      </c>
      <c r="U151" s="280" t="str">
        <f t="shared" si="73"/>
        <v>Normal</v>
      </c>
      <c r="V151" s="280" t="str">
        <f t="shared" si="74"/>
        <v>Normal</v>
      </c>
      <c r="W151" s="361">
        <f t="shared" si="75"/>
        <v>0.24947807933194155</v>
      </c>
      <c r="X151" s="361">
        <f t="shared" si="76"/>
        <v>0.17233809001097694</v>
      </c>
    </row>
    <row r="152" spans="1:42">
      <c r="A152" s="405">
        <v>45167</v>
      </c>
      <c r="B152" s="406">
        <f>IF(YEAR(Table7[[#This Row],[Date]]) = 2023, WEEKNUM(Table7[[#This Row],[Date]])-13, WEEKNUM(Table7[[#This Row],[Date]])+40)</f>
        <v>22</v>
      </c>
      <c r="C152" s="1" t="s">
        <v>50</v>
      </c>
      <c r="D152" s="1" t="s">
        <v>94</v>
      </c>
      <c r="E152" s="1">
        <v>1146</v>
      </c>
      <c r="F152" s="1">
        <v>1065</v>
      </c>
      <c r="G152" s="80">
        <f t="shared" ref="G152:H152" si="97">IFERROR((E152-E145)/E145,0%)</f>
        <v>0.23358449946178686</v>
      </c>
      <c r="H152" s="80">
        <f t="shared" si="97"/>
        <v>0.24125874125874125</v>
      </c>
      <c r="I152" s="1"/>
      <c r="J152" s="1"/>
      <c r="K152" s="1"/>
      <c r="L152" s="1"/>
      <c r="M152" s="18">
        <v>0.82</v>
      </c>
      <c r="N152" s="18">
        <v>7.0000000000000007E-2</v>
      </c>
      <c r="O152" s="18">
        <v>0.93</v>
      </c>
      <c r="P152" s="18">
        <v>0.61</v>
      </c>
      <c r="Q152" s="157"/>
      <c r="R152" s="301">
        <v>263</v>
      </c>
      <c r="S152" s="159">
        <v>3.125E-2</v>
      </c>
      <c r="T152" s="1">
        <v>17</v>
      </c>
      <c r="U152" s="280" t="str">
        <f t="shared" si="73"/>
        <v>Normal</v>
      </c>
      <c r="V152" s="280" t="str">
        <f t="shared" si="74"/>
        <v>Normal</v>
      </c>
      <c r="W152" s="361">
        <f t="shared" si="75"/>
        <v>0.23358449946178686</v>
      </c>
      <c r="X152" s="361">
        <f t="shared" si="76"/>
        <v>0.24125874125874125</v>
      </c>
    </row>
    <row r="153" spans="1:42">
      <c r="A153" s="405">
        <v>45168</v>
      </c>
      <c r="B153" s="406">
        <f>IF(YEAR(Table7[[#This Row],[Date]]) = 2023, WEEKNUM(Table7[[#This Row],[Date]])-13, WEEKNUM(Table7[[#This Row],[Date]])+40)</f>
        <v>22</v>
      </c>
      <c r="C153" s="1" t="s">
        <v>51</v>
      </c>
      <c r="D153" s="1" t="s">
        <v>94</v>
      </c>
      <c r="E153" s="1">
        <v>1235</v>
      </c>
      <c r="F153" s="1">
        <v>1097</v>
      </c>
      <c r="G153" s="80">
        <f t="shared" ref="G153:H153" si="98">IFERROR((E153-E146)/E146,0%)</f>
        <v>0.26278118609406953</v>
      </c>
      <c r="H153" s="80">
        <f t="shared" si="98"/>
        <v>0.20153340635268346</v>
      </c>
      <c r="I153" s="1"/>
      <c r="J153" s="1"/>
      <c r="K153" s="1"/>
      <c r="L153" s="1"/>
      <c r="M153" s="18">
        <v>0.67</v>
      </c>
      <c r="N153" s="18">
        <v>0.11</v>
      </c>
      <c r="O153" s="18">
        <v>0.89</v>
      </c>
      <c r="P153" s="18">
        <v>0.71</v>
      </c>
      <c r="Q153" s="157"/>
      <c r="R153" s="301">
        <v>263</v>
      </c>
      <c r="S153" s="159">
        <v>3.125E-2</v>
      </c>
      <c r="T153" s="1">
        <v>15</v>
      </c>
      <c r="U153" s="280" t="str">
        <f t="shared" si="73"/>
        <v>Normal</v>
      </c>
      <c r="V153" s="280" t="str">
        <f t="shared" si="74"/>
        <v>Normal</v>
      </c>
      <c r="W153" s="361">
        <f t="shared" si="75"/>
        <v>0.26278118609406953</v>
      </c>
      <c r="X153" s="361">
        <f t="shared" si="76"/>
        <v>0.20153340635268346</v>
      </c>
    </row>
    <row r="154" spans="1:42">
      <c r="A154" s="405">
        <v>45169</v>
      </c>
      <c r="B154" s="406">
        <f>IF(YEAR(Table7[[#This Row],[Date]]) = 2023, WEEKNUM(Table7[[#This Row],[Date]])-13, WEEKNUM(Table7[[#This Row],[Date]])+40)</f>
        <v>22</v>
      </c>
      <c r="C154" s="1" t="s">
        <v>52</v>
      </c>
      <c r="D154" s="1" t="s">
        <v>94</v>
      </c>
      <c r="E154" s="1">
        <v>1056</v>
      </c>
      <c r="F154" s="1">
        <v>921</v>
      </c>
      <c r="G154" s="80">
        <f t="shared" ref="G154:H154" si="99">IFERROR((E154-E147)/E147,0%)</f>
        <v>-0.25476358503881441</v>
      </c>
      <c r="H154" s="80">
        <f t="shared" si="99"/>
        <v>-0.12948960302457466</v>
      </c>
      <c r="I154" s="1"/>
      <c r="J154" s="1"/>
      <c r="K154" s="1"/>
      <c r="L154" s="1"/>
      <c r="M154" s="18">
        <v>0.54</v>
      </c>
      <c r="N154" s="18">
        <v>0.13</v>
      </c>
      <c r="O154" s="18">
        <v>0.87</v>
      </c>
      <c r="P154" s="18">
        <v>0.85</v>
      </c>
      <c r="Q154" s="157"/>
      <c r="R154" s="301">
        <v>300</v>
      </c>
      <c r="S154" s="159">
        <v>4.3055555555555562E-2</v>
      </c>
      <c r="T154" s="1">
        <v>12</v>
      </c>
      <c r="U154" s="280" t="str">
        <f t="shared" si="73"/>
        <v>Normal</v>
      </c>
      <c r="V154" s="280" t="str">
        <f t="shared" si="74"/>
        <v>Normal</v>
      </c>
      <c r="W154" s="361">
        <f t="shared" si="75"/>
        <v>-0.25476358503881441</v>
      </c>
      <c r="X154" s="361">
        <f t="shared" si="76"/>
        <v>-0.12948960302457466</v>
      </c>
    </row>
    <row r="155" spans="1:42">
      <c r="A155" s="405">
        <v>45170</v>
      </c>
      <c r="B155" s="406">
        <f>IF(YEAR(Table7[[#This Row],[Date]]) = 2023, WEEKNUM(Table7[[#This Row],[Date]])-13, WEEKNUM(Table7[[#This Row],[Date]])+40)</f>
        <v>22</v>
      </c>
      <c r="C155" s="1" t="s">
        <v>53</v>
      </c>
      <c r="D155" s="1" t="s">
        <v>94</v>
      </c>
      <c r="E155" s="1">
        <v>861</v>
      </c>
      <c r="F155" s="1">
        <v>817</v>
      </c>
      <c r="G155" s="80">
        <f t="shared" ref="G155:H155" si="100">IFERROR((E155-E148)/E148,0%)</f>
        <v>-0.2129798903107861</v>
      </c>
      <c r="H155" s="80">
        <f t="shared" si="100"/>
        <v>-0.21668264621284755</v>
      </c>
      <c r="I155" s="1"/>
      <c r="J155" s="1"/>
      <c r="K155" s="1"/>
      <c r="L155" s="1"/>
      <c r="M155" s="18">
        <v>0.85</v>
      </c>
      <c r="N155" s="18">
        <v>5.1103368176538912E-2</v>
      </c>
      <c r="O155" s="18">
        <v>0.95</v>
      </c>
      <c r="P155" s="18">
        <v>0.56736111111111109</v>
      </c>
      <c r="Q155" s="157"/>
      <c r="R155" s="301">
        <v>300</v>
      </c>
      <c r="S155" s="159">
        <v>1.4583333333333332E-2</v>
      </c>
      <c r="T155" s="1">
        <v>16</v>
      </c>
      <c r="U155" s="280" t="str">
        <f t="shared" si="73"/>
        <v>Normal</v>
      </c>
      <c r="V155" s="280" t="str">
        <f t="shared" si="74"/>
        <v>Normal</v>
      </c>
      <c r="W155" s="361">
        <f t="shared" si="75"/>
        <v>-0.2129798903107861</v>
      </c>
      <c r="X155" s="361">
        <f t="shared" si="76"/>
        <v>-0.21668264621284755</v>
      </c>
    </row>
    <row r="156" spans="1:42">
      <c r="A156" s="405">
        <v>45171</v>
      </c>
      <c r="B156" s="406">
        <f>IF(YEAR(Table7[[#This Row],[Date]]) = 2023, WEEKNUM(Table7[[#This Row],[Date]])-13, WEEKNUM(Table7[[#This Row],[Date]])+40)</f>
        <v>22</v>
      </c>
      <c r="C156" s="1" t="s">
        <v>54</v>
      </c>
      <c r="D156" s="1" t="s">
        <v>94</v>
      </c>
      <c r="E156" s="1">
        <v>749</v>
      </c>
      <c r="F156" s="1">
        <v>708</v>
      </c>
      <c r="G156" s="80">
        <f t="shared" ref="G156:H156" si="101">IFERROR((E156-E149)/E149,0%)</f>
        <v>-5.3120849933598934E-3</v>
      </c>
      <c r="H156" s="80">
        <f t="shared" si="101"/>
        <v>-1.5299026425591099E-2</v>
      </c>
      <c r="I156" s="1"/>
      <c r="J156" s="1"/>
      <c r="K156" s="1"/>
      <c r="L156" s="1"/>
      <c r="M156" s="18">
        <v>0.85</v>
      </c>
      <c r="N156" s="18">
        <v>5.4739652870493989E-2</v>
      </c>
      <c r="O156" s="18">
        <v>0.95</v>
      </c>
      <c r="P156" s="18">
        <v>0.65555555555555556</v>
      </c>
      <c r="Q156" s="157"/>
      <c r="R156" s="301">
        <v>300</v>
      </c>
      <c r="S156" s="159">
        <v>1.8055555555555557E-2</v>
      </c>
      <c r="T156" s="1">
        <v>12</v>
      </c>
      <c r="U156" s="280" t="str">
        <f t="shared" si="73"/>
        <v>Normal</v>
      </c>
      <c r="V156" s="280" t="str">
        <f t="shared" si="74"/>
        <v>Normal</v>
      </c>
      <c r="W156" s="361">
        <f t="shared" si="75"/>
        <v>-5.3120849933598934E-3</v>
      </c>
      <c r="X156" s="361">
        <f t="shared" si="76"/>
        <v>-1.5299026425591099E-2</v>
      </c>
    </row>
    <row r="157" spans="1:42">
      <c r="A157" s="405">
        <v>45172</v>
      </c>
      <c r="B157" s="406">
        <f>IF(YEAR(Table7[[#This Row],[Date]]) = 2023, WEEKNUM(Table7[[#This Row],[Date]])-13, WEEKNUM(Table7[[#This Row],[Date]])+40)</f>
        <v>23</v>
      </c>
      <c r="C157" s="1" t="s">
        <v>48</v>
      </c>
      <c r="D157" s="1" t="s">
        <v>94</v>
      </c>
      <c r="E157" s="1">
        <v>0</v>
      </c>
      <c r="F157" s="1">
        <v>0</v>
      </c>
      <c r="G157" s="80">
        <f t="shared" ref="G157:H157" si="102">IFERROR((E157-E150)/E150,0%)</f>
        <v>0</v>
      </c>
      <c r="H157" s="80">
        <f t="shared" si="102"/>
        <v>0</v>
      </c>
      <c r="I157" s="1">
        <v>0</v>
      </c>
      <c r="J157" s="1">
        <v>0</v>
      </c>
      <c r="K157" s="1">
        <v>0</v>
      </c>
      <c r="L157" s="1">
        <v>0</v>
      </c>
      <c r="M157" s="18">
        <v>0</v>
      </c>
      <c r="N157" s="18">
        <v>0</v>
      </c>
      <c r="O157" s="18">
        <v>0</v>
      </c>
      <c r="P157" s="18">
        <v>0</v>
      </c>
      <c r="Q157" s="157"/>
      <c r="R157" s="301">
        <v>0</v>
      </c>
      <c r="S157" s="159">
        <v>0</v>
      </c>
      <c r="T157" s="1">
        <v>0</v>
      </c>
      <c r="U157" s="280" t="str">
        <f t="shared" si="73"/>
        <v>Normal</v>
      </c>
      <c r="V157" s="280" t="str">
        <f t="shared" si="74"/>
        <v>Normal</v>
      </c>
      <c r="W157" s="361">
        <f t="shared" si="75"/>
        <v>0</v>
      </c>
      <c r="X157" s="361">
        <f t="shared" si="76"/>
        <v>0</v>
      </c>
    </row>
    <row r="158" spans="1:42">
      <c r="A158" s="405">
        <v>45173</v>
      </c>
      <c r="B158" s="406">
        <f>IF(YEAR(Table7[[#This Row],[Date]]) = 2023, WEEKNUM(Table7[[#This Row],[Date]])-13, WEEKNUM(Table7[[#This Row],[Date]])+40)</f>
        <v>23</v>
      </c>
      <c r="C158" s="1" t="s">
        <v>49</v>
      </c>
      <c r="D158" s="1" t="s">
        <v>94</v>
      </c>
      <c r="E158" s="1">
        <v>1014</v>
      </c>
      <c r="F158" s="1">
        <v>865</v>
      </c>
      <c r="G158" s="80">
        <f t="shared" ref="G158:H158" si="103">IFERROR((E158-E151)/E151,0%)</f>
        <v>-0.15288220551378445</v>
      </c>
      <c r="H158" s="80">
        <f t="shared" si="103"/>
        <v>-0.19007490636704119</v>
      </c>
      <c r="I158" s="1"/>
      <c r="J158" s="1"/>
      <c r="K158" s="1"/>
      <c r="L158" s="1"/>
      <c r="M158" s="18">
        <v>0.53</v>
      </c>
      <c r="N158" s="18">
        <v>0.14694280078895464</v>
      </c>
      <c r="O158" s="18">
        <v>0.85</v>
      </c>
      <c r="P158" s="18">
        <v>0.72312169312169305</v>
      </c>
      <c r="Q158" s="157"/>
      <c r="R158" s="301">
        <v>316</v>
      </c>
      <c r="S158" s="159">
        <v>5.347222222222222E-2</v>
      </c>
      <c r="T158" s="1">
        <v>14</v>
      </c>
      <c r="U158" s="280" t="str">
        <f t="shared" si="73"/>
        <v>Normal</v>
      </c>
      <c r="V158" s="280" t="str">
        <f t="shared" si="74"/>
        <v>Normal</v>
      </c>
      <c r="W158" s="361">
        <f t="shared" si="75"/>
        <v>-0.15288220551378445</v>
      </c>
      <c r="X158" s="361">
        <f t="shared" si="76"/>
        <v>-0.19007490636704119</v>
      </c>
    </row>
    <row r="159" spans="1:42">
      <c r="A159" s="405">
        <v>45174</v>
      </c>
      <c r="B159" s="406">
        <f>IF(YEAR(Table7[[#This Row],[Date]]) = 2023, WEEKNUM(Table7[[#This Row],[Date]])-13, WEEKNUM(Table7[[#This Row],[Date]])+40)</f>
        <v>23</v>
      </c>
      <c r="C159" s="1" t="s">
        <v>50</v>
      </c>
      <c r="D159" s="1" t="s">
        <v>94</v>
      </c>
      <c r="E159" s="1">
        <v>958</v>
      </c>
      <c r="F159" s="1">
        <v>929</v>
      </c>
      <c r="G159" s="80">
        <f t="shared" ref="G159:H159" si="104">IFERROR((E159-E152)/E152,0%)</f>
        <v>-0.16404886561954624</v>
      </c>
      <c r="H159" s="80">
        <f t="shared" si="104"/>
        <v>-0.12769953051643193</v>
      </c>
      <c r="I159" s="1"/>
      <c r="J159" s="1"/>
      <c r="K159" s="1"/>
      <c r="L159" s="1"/>
      <c r="M159" s="18">
        <v>0.94</v>
      </c>
      <c r="N159" s="18">
        <v>3.0271398747390398E-2</v>
      </c>
      <c r="O159" s="18">
        <v>0.97</v>
      </c>
      <c r="P159" s="18">
        <v>0.60718954248366019</v>
      </c>
      <c r="Q159" s="157"/>
      <c r="R159" s="301">
        <v>300</v>
      </c>
      <c r="S159" s="159">
        <v>6.9444444444444441E-3</v>
      </c>
      <c r="T159" s="1">
        <v>17</v>
      </c>
      <c r="U159" s="280" t="str">
        <f t="shared" si="73"/>
        <v>Normal</v>
      </c>
      <c r="V159" s="280" t="str">
        <f t="shared" si="74"/>
        <v>Normal</v>
      </c>
      <c r="W159" s="361">
        <f t="shared" si="75"/>
        <v>-0.16404886561954624</v>
      </c>
      <c r="X159" s="361">
        <f t="shared" si="76"/>
        <v>-0.12769953051643193</v>
      </c>
    </row>
    <row r="160" spans="1:42">
      <c r="A160" s="405">
        <v>45175</v>
      </c>
      <c r="B160" s="406">
        <f>IF(YEAR(Table7[[#This Row],[Date]]) = 2023, WEEKNUM(Table7[[#This Row],[Date]])-13, WEEKNUM(Table7[[#This Row],[Date]])+40)</f>
        <v>23</v>
      </c>
      <c r="C160" s="1" t="s">
        <v>51</v>
      </c>
      <c r="D160" s="1" t="s">
        <v>94</v>
      </c>
      <c r="E160" s="1">
        <v>967</v>
      </c>
      <c r="F160" s="1">
        <v>913</v>
      </c>
      <c r="G160" s="80">
        <f t="shared" ref="G160:H160" si="105">IFERROR((E160-E153)/E153,0%)</f>
        <v>-0.21700404858299596</v>
      </c>
      <c r="H160" s="80">
        <f t="shared" si="105"/>
        <v>-0.16773017319963537</v>
      </c>
      <c r="I160" s="1"/>
      <c r="J160" s="1"/>
      <c r="K160" s="1"/>
      <c r="L160" s="1"/>
      <c r="M160" s="18">
        <v>0.79</v>
      </c>
      <c r="N160" s="18">
        <v>5.5842812823164424E-2</v>
      </c>
      <c r="O160" s="18">
        <v>0.94</v>
      </c>
      <c r="P160" s="18">
        <v>0.67629629629629628</v>
      </c>
      <c r="Q160" s="157"/>
      <c r="R160" s="301">
        <v>300</v>
      </c>
      <c r="S160" s="159">
        <v>2.8472222222222222E-2</v>
      </c>
      <c r="T160" s="1">
        <v>15</v>
      </c>
      <c r="U160" s="280" t="str">
        <f t="shared" si="73"/>
        <v>Normal</v>
      </c>
      <c r="V160" s="280" t="str">
        <f t="shared" si="74"/>
        <v>Normal</v>
      </c>
      <c r="W160" s="361">
        <f t="shared" si="75"/>
        <v>-0.21700404858299596</v>
      </c>
      <c r="X160" s="361">
        <f t="shared" si="76"/>
        <v>-0.16773017319963537</v>
      </c>
    </row>
    <row r="161" spans="1:42">
      <c r="A161" s="405">
        <v>45176</v>
      </c>
      <c r="B161" s="406">
        <f>IF(YEAR(Table7[[#This Row],[Date]]) = 2023, WEEKNUM(Table7[[#This Row],[Date]])-13, WEEKNUM(Table7[[#This Row],[Date]])+40)</f>
        <v>23</v>
      </c>
      <c r="C161" s="1" t="s">
        <v>52</v>
      </c>
      <c r="D161" s="1" t="s">
        <v>94</v>
      </c>
      <c r="E161" s="1">
        <v>943</v>
      </c>
      <c r="F161" s="1">
        <v>929</v>
      </c>
      <c r="G161" s="80">
        <f t="shared" ref="G161:H161" si="106">IFERROR((E161-E154)/E154,0%)</f>
        <v>-0.10700757575757576</v>
      </c>
      <c r="H161" s="80">
        <f t="shared" si="106"/>
        <v>8.6862106406080351E-3</v>
      </c>
      <c r="I161" s="1"/>
      <c r="J161" s="1"/>
      <c r="K161" s="1"/>
      <c r="L161" s="1"/>
      <c r="M161" s="18">
        <v>0.99</v>
      </c>
      <c r="N161" s="18">
        <v>1.4846235418875928E-2</v>
      </c>
      <c r="O161" s="18">
        <v>0.99</v>
      </c>
      <c r="P161" s="18">
        <v>0.57345679012345674</v>
      </c>
      <c r="Q161" s="157"/>
      <c r="R161" s="301">
        <v>300</v>
      </c>
      <c r="S161" s="159">
        <v>2.8472222222222222E-2</v>
      </c>
      <c r="T161" s="1">
        <v>18</v>
      </c>
      <c r="U161" s="280" t="str">
        <f t="shared" si="73"/>
        <v>Normal</v>
      </c>
      <c r="V161" s="280" t="str">
        <f t="shared" si="74"/>
        <v>Normal</v>
      </c>
      <c r="W161" s="361">
        <f t="shared" si="75"/>
        <v>-0.10700757575757576</v>
      </c>
      <c r="X161" s="361">
        <f t="shared" si="76"/>
        <v>8.6862106406080351E-3</v>
      </c>
    </row>
    <row r="162" spans="1:42">
      <c r="A162" s="405">
        <v>45177</v>
      </c>
      <c r="B162" s="406">
        <f>IF(YEAR(Table7[[#This Row],[Date]]) = 2023, WEEKNUM(Table7[[#This Row],[Date]])-13, WEEKNUM(Table7[[#This Row],[Date]])+40)</f>
        <v>23</v>
      </c>
      <c r="C162" s="1" t="s">
        <v>53</v>
      </c>
      <c r="D162" s="1" t="s">
        <v>94</v>
      </c>
      <c r="E162" s="1">
        <v>922</v>
      </c>
      <c r="F162" s="1">
        <v>835</v>
      </c>
      <c r="G162" s="80">
        <f t="shared" ref="G162:H162" si="107">IFERROR((E162-E155)/E155,0%)</f>
        <v>7.0847851335656215E-2</v>
      </c>
      <c r="H162" s="80">
        <f t="shared" si="107"/>
        <v>2.2031823745410038E-2</v>
      </c>
      <c r="I162" s="1"/>
      <c r="J162" s="1"/>
      <c r="K162" s="1"/>
      <c r="L162" s="1"/>
      <c r="M162" s="18">
        <v>0.73</v>
      </c>
      <c r="N162" s="18">
        <v>9.4360086767895882E-2</v>
      </c>
      <c r="O162" s="18">
        <v>0.91</v>
      </c>
      <c r="P162" s="18">
        <v>0.69841049382716036</v>
      </c>
      <c r="Q162" s="157"/>
      <c r="R162" s="301">
        <v>300</v>
      </c>
      <c r="S162" s="159">
        <v>2.8472222222222222E-2</v>
      </c>
      <c r="T162" s="1">
        <v>18</v>
      </c>
      <c r="U162" s="280" t="str">
        <f t="shared" si="73"/>
        <v>Normal</v>
      </c>
      <c r="V162" s="280" t="str">
        <f t="shared" si="74"/>
        <v>Normal</v>
      </c>
      <c r="W162" s="361">
        <f t="shared" si="75"/>
        <v>7.0847851335656215E-2</v>
      </c>
      <c r="X162" s="361">
        <f t="shared" si="76"/>
        <v>2.2031823745410038E-2</v>
      </c>
    </row>
    <row r="163" spans="1:42">
      <c r="A163" s="405">
        <v>45178</v>
      </c>
      <c r="B163" s="406">
        <f>IF(YEAR(Table7[[#This Row],[Date]]) = 2023, WEEKNUM(Table7[[#This Row],[Date]])-13, WEEKNUM(Table7[[#This Row],[Date]])+40)</f>
        <v>23</v>
      </c>
      <c r="C163" s="1" t="s">
        <v>54</v>
      </c>
      <c r="D163" s="1" t="s">
        <v>94</v>
      </c>
      <c r="E163" s="1">
        <v>710</v>
      </c>
      <c r="F163" s="1">
        <v>677</v>
      </c>
      <c r="G163" s="80">
        <f t="shared" ref="G163:H163" si="108">IFERROR((E163-E156)/E156,0%)</f>
        <v>-5.2069425901201602E-2</v>
      </c>
      <c r="H163" s="80">
        <f t="shared" si="108"/>
        <v>-4.3785310734463276E-2</v>
      </c>
      <c r="I163" s="1"/>
      <c r="J163" s="1"/>
      <c r="K163" s="1"/>
      <c r="L163" s="1"/>
      <c r="M163" s="18">
        <v>0.87</v>
      </c>
      <c r="N163" s="18">
        <v>4.647887323943662E-2</v>
      </c>
      <c r="O163" s="18">
        <v>0.95</v>
      </c>
      <c r="P163" s="18">
        <v>0.67449259259259264</v>
      </c>
      <c r="Q163" s="157"/>
      <c r="R163" s="301">
        <v>271</v>
      </c>
      <c r="S163" s="159">
        <v>2.0833333333333332E-2</v>
      </c>
      <c r="T163" s="1">
        <v>12</v>
      </c>
      <c r="U163" s="280" t="str">
        <f t="shared" si="73"/>
        <v>Normal</v>
      </c>
      <c r="V163" s="280" t="str">
        <f t="shared" si="74"/>
        <v>Normal</v>
      </c>
      <c r="W163" s="361">
        <f t="shared" si="75"/>
        <v>-5.2069425901201602E-2</v>
      </c>
      <c r="X163" s="361">
        <f t="shared" si="76"/>
        <v>-4.3785310734463276E-2</v>
      </c>
    </row>
    <row r="164" spans="1:42">
      <c r="A164" s="405">
        <v>45179</v>
      </c>
      <c r="B164" s="406">
        <f>IF(YEAR(Table7[[#This Row],[Date]]) = 2023, WEEKNUM(Table7[[#This Row],[Date]])-13, WEEKNUM(Table7[[#This Row],[Date]])+40)</f>
        <v>24</v>
      </c>
      <c r="C164" s="1" t="s">
        <v>48</v>
      </c>
      <c r="D164" s="1" t="s">
        <v>94</v>
      </c>
      <c r="E164" s="1">
        <v>0</v>
      </c>
      <c r="F164" s="1">
        <v>0</v>
      </c>
      <c r="G164" s="80">
        <f t="shared" ref="G164:H164" si="109">IFERROR((E164-E157)/E157,0%)</f>
        <v>0</v>
      </c>
      <c r="H164" s="80">
        <f t="shared" si="109"/>
        <v>0</v>
      </c>
      <c r="I164" s="1">
        <v>0</v>
      </c>
      <c r="J164" s="1">
        <v>0</v>
      </c>
      <c r="K164" s="1">
        <v>0</v>
      </c>
      <c r="L164" s="1">
        <v>0</v>
      </c>
      <c r="M164" s="18">
        <v>0</v>
      </c>
      <c r="N164" s="18">
        <v>0</v>
      </c>
      <c r="O164" s="18">
        <v>0</v>
      </c>
      <c r="P164" s="18">
        <v>0</v>
      </c>
      <c r="Q164" s="157"/>
      <c r="R164" s="301">
        <v>0</v>
      </c>
      <c r="S164" s="159">
        <v>0</v>
      </c>
      <c r="T164" s="1">
        <v>0</v>
      </c>
      <c r="U164" s="280" t="str">
        <f t="shared" si="73"/>
        <v>Normal</v>
      </c>
      <c r="V164" s="280" t="str">
        <f t="shared" si="74"/>
        <v>Normal</v>
      </c>
      <c r="W164" s="361">
        <f t="shared" si="75"/>
        <v>0</v>
      </c>
      <c r="X164" s="361">
        <f t="shared" si="76"/>
        <v>0</v>
      </c>
    </row>
    <row r="165" spans="1:42">
      <c r="A165" s="405">
        <v>45180</v>
      </c>
      <c r="B165" s="406">
        <f>IF(YEAR(Table7[[#This Row],[Date]]) = 2023, WEEKNUM(Table7[[#This Row],[Date]])-13, WEEKNUM(Table7[[#This Row],[Date]])+40)</f>
        <v>24</v>
      </c>
      <c r="C165" s="1" t="s">
        <v>49</v>
      </c>
      <c r="D165" s="1" t="s">
        <v>94</v>
      </c>
      <c r="E165" s="1">
        <v>958</v>
      </c>
      <c r="F165" s="1">
        <v>894</v>
      </c>
      <c r="G165" s="80">
        <f t="shared" ref="G165:H165" si="110">IFERROR((E165-E158)/E158,0%)</f>
        <v>-5.5226824457593686E-2</v>
      </c>
      <c r="H165" s="80">
        <f t="shared" si="110"/>
        <v>3.3526011560693639E-2</v>
      </c>
      <c r="I165" s="1"/>
      <c r="J165" s="1"/>
      <c r="K165" s="1"/>
      <c r="L165" s="1"/>
      <c r="M165" s="18">
        <v>0.8</v>
      </c>
      <c r="N165" s="18">
        <v>6.6805845511482248E-2</v>
      </c>
      <c r="O165" s="18">
        <v>0.93</v>
      </c>
      <c r="P165" s="18">
        <v>0.82115555555555564</v>
      </c>
      <c r="Q165" s="157"/>
      <c r="R165" s="301">
        <v>248</v>
      </c>
      <c r="S165" s="159">
        <v>2.1527777777777781E-2</v>
      </c>
      <c r="T165" s="17">
        <v>10</v>
      </c>
      <c r="U165" s="280" t="str">
        <f t="shared" si="73"/>
        <v>Normal</v>
      </c>
      <c r="V165" s="280" t="str">
        <f t="shared" si="74"/>
        <v>Normal</v>
      </c>
      <c r="W165" s="361">
        <f t="shared" si="75"/>
        <v>-5.5226824457593686E-2</v>
      </c>
      <c r="X165" s="361">
        <f t="shared" si="76"/>
        <v>3.3526011560693639E-2</v>
      </c>
    </row>
    <row r="166" spans="1:42">
      <c r="A166" s="405">
        <v>45181</v>
      </c>
      <c r="B166" s="406">
        <f>IF(YEAR(Table7[[#This Row],[Date]]) = 2023, WEEKNUM(Table7[[#This Row],[Date]])-13, WEEKNUM(Table7[[#This Row],[Date]])+40)</f>
        <v>24</v>
      </c>
      <c r="C166" s="1" t="s">
        <v>50</v>
      </c>
      <c r="D166" s="1" t="s">
        <v>94</v>
      </c>
      <c r="E166" s="1">
        <v>1000</v>
      </c>
      <c r="F166" s="1">
        <v>951</v>
      </c>
      <c r="G166" s="80">
        <f t="shared" ref="G166:H166" si="111">IFERROR((E166-E159)/E159,0%)</f>
        <v>4.3841336116910233E-2</v>
      </c>
      <c r="H166" s="80">
        <f t="shared" si="111"/>
        <v>2.3681377825618945E-2</v>
      </c>
      <c r="I166" s="1"/>
      <c r="J166" s="1"/>
      <c r="K166" s="1"/>
      <c r="L166" s="1"/>
      <c r="M166" s="18">
        <v>0.87</v>
      </c>
      <c r="N166" s="18">
        <v>4.9000000000000002E-2</v>
      </c>
      <c r="O166" s="18">
        <v>0.95</v>
      </c>
      <c r="P166" s="18">
        <v>0.55475000000000008</v>
      </c>
      <c r="Q166" s="157"/>
      <c r="R166" s="301">
        <v>252</v>
      </c>
      <c r="S166" s="159">
        <v>5.9027777777777783E-2</v>
      </c>
      <c r="T166" s="1">
        <v>16</v>
      </c>
      <c r="U166" s="280" t="str">
        <f t="shared" si="73"/>
        <v>Normal</v>
      </c>
      <c r="V166" s="280" t="str">
        <f t="shared" si="74"/>
        <v>Normal</v>
      </c>
      <c r="W166" s="361">
        <f t="shared" si="75"/>
        <v>4.3841336116910233E-2</v>
      </c>
      <c r="X166" s="361">
        <f t="shared" si="76"/>
        <v>2.3681377825618945E-2</v>
      </c>
      <c r="AJ166" s="47"/>
      <c r="AK166" s="47"/>
      <c r="AL166" s="47"/>
    </row>
    <row r="167" spans="1:42">
      <c r="A167" s="405">
        <v>45182</v>
      </c>
      <c r="B167" s="406">
        <f>IF(YEAR(Table7[[#This Row],[Date]]) = 2023, WEEKNUM(Table7[[#This Row],[Date]])-13, WEEKNUM(Table7[[#This Row],[Date]])+40)</f>
        <v>24</v>
      </c>
      <c r="C167" s="1" t="s">
        <v>51</v>
      </c>
      <c r="D167" s="1" t="s">
        <v>94</v>
      </c>
      <c r="E167" s="1">
        <v>938</v>
      </c>
      <c r="F167" s="1">
        <v>887</v>
      </c>
      <c r="G167" s="80">
        <f t="shared" ref="G167:H167" si="112">IFERROR((E167-E160)/E160,0%)</f>
        <v>-2.9989658738366079E-2</v>
      </c>
      <c r="H167" s="80">
        <f t="shared" si="112"/>
        <v>-2.8477546549835708E-2</v>
      </c>
      <c r="I167" s="1"/>
      <c r="J167" s="1"/>
      <c r="K167" s="1"/>
      <c r="L167" s="1"/>
      <c r="M167" s="18">
        <v>0.9</v>
      </c>
      <c r="N167" s="18">
        <v>5.4371002132196165E-2</v>
      </c>
      <c r="O167" s="18">
        <v>0.95</v>
      </c>
      <c r="P167" s="18">
        <v>0.58898677248677245</v>
      </c>
      <c r="Q167" s="157"/>
      <c r="R167" s="301">
        <v>251</v>
      </c>
      <c r="S167" s="159">
        <v>1.3194444444444444E-2</v>
      </c>
      <c r="T167" s="1">
        <v>14</v>
      </c>
      <c r="U167" s="280" t="str">
        <f t="shared" si="73"/>
        <v>Normal</v>
      </c>
      <c r="V167" s="280" t="str">
        <f t="shared" si="74"/>
        <v>Normal</v>
      </c>
      <c r="W167" s="361">
        <f t="shared" si="75"/>
        <v>-2.9989658738366079E-2</v>
      </c>
      <c r="X167" s="361">
        <f t="shared" si="76"/>
        <v>-2.8477546549835708E-2</v>
      </c>
    </row>
    <row r="168" spans="1:42">
      <c r="A168" s="405">
        <v>45183</v>
      </c>
      <c r="B168" s="406">
        <f>IF(YEAR(Table7[[#This Row],[Date]]) = 2023, WEEKNUM(Table7[[#This Row],[Date]])-13, WEEKNUM(Table7[[#This Row],[Date]])+40)</f>
        <v>24</v>
      </c>
      <c r="C168" s="1" t="s">
        <v>52</v>
      </c>
      <c r="D168" s="1" t="s">
        <v>94</v>
      </c>
      <c r="E168" s="1">
        <v>889</v>
      </c>
      <c r="F168" s="1">
        <v>734</v>
      </c>
      <c r="G168" s="80">
        <f t="shared" ref="G168:H168" si="113">IFERROR((E168-E161)/E161,0%)</f>
        <v>-5.726405090137858E-2</v>
      </c>
      <c r="H168" s="80">
        <f t="shared" si="113"/>
        <v>-0.20990312163616792</v>
      </c>
      <c r="I168" s="1"/>
      <c r="J168" s="1"/>
      <c r="K168" s="1"/>
      <c r="L168" s="1"/>
      <c r="M168" s="18">
        <v>0.54</v>
      </c>
      <c r="N168" s="18">
        <v>0.17435320584926883</v>
      </c>
      <c r="O168" s="18">
        <v>0.83</v>
      </c>
      <c r="P168" s="18">
        <v>0.74141414141414153</v>
      </c>
      <c r="Q168" s="157"/>
      <c r="R168" s="301">
        <v>300</v>
      </c>
      <c r="S168" s="159">
        <v>5.2777777777777778E-2</v>
      </c>
      <c r="T168" s="1">
        <v>11</v>
      </c>
      <c r="U168" s="280" t="str">
        <f t="shared" si="73"/>
        <v>Normal</v>
      </c>
      <c r="V168" s="280" t="str">
        <f t="shared" si="74"/>
        <v>Normal</v>
      </c>
      <c r="W168" s="361">
        <f t="shared" si="75"/>
        <v>-5.726405090137858E-2</v>
      </c>
      <c r="X168" s="361">
        <f t="shared" si="76"/>
        <v>-0.20990312163616792</v>
      </c>
    </row>
    <row r="169" spans="1:42">
      <c r="A169" s="405">
        <v>45184</v>
      </c>
      <c r="B169" s="406">
        <f>IF(YEAR(Table7[[#This Row],[Date]]) = 2023, WEEKNUM(Table7[[#This Row],[Date]])-13, WEEKNUM(Table7[[#This Row],[Date]])+40)</f>
        <v>24</v>
      </c>
      <c r="C169" s="1" t="s">
        <v>53</v>
      </c>
      <c r="D169" s="1" t="s">
        <v>94</v>
      </c>
      <c r="E169" s="1">
        <v>842</v>
      </c>
      <c r="F169" s="1">
        <v>795</v>
      </c>
      <c r="G169" s="80">
        <f t="shared" ref="G169:H169" si="114">IFERROR((E169-E162)/E162,0%)</f>
        <v>-8.6767895878524945E-2</v>
      </c>
      <c r="H169" s="80">
        <f t="shared" si="114"/>
        <v>-4.790419161676647E-2</v>
      </c>
      <c r="I169" s="1"/>
      <c r="J169" s="1"/>
      <c r="K169" s="1"/>
      <c r="L169" s="1"/>
      <c r="M169" s="18">
        <v>0.78</v>
      </c>
      <c r="N169" s="18">
        <v>5.5819477434679333E-2</v>
      </c>
      <c r="O169" s="18">
        <v>0.94</v>
      </c>
      <c r="P169" s="18">
        <v>0.58888888888888891</v>
      </c>
      <c r="Q169" s="157"/>
      <c r="R169" s="301">
        <v>300</v>
      </c>
      <c r="S169" s="159">
        <v>2.7083333333333334E-2</v>
      </c>
      <c r="T169" s="1">
        <v>15</v>
      </c>
      <c r="U169" s="280" t="str">
        <f t="shared" si="73"/>
        <v>Normal</v>
      </c>
      <c r="V169" s="280" t="str">
        <f t="shared" si="74"/>
        <v>Normal</v>
      </c>
      <c r="W169" s="361">
        <f t="shared" si="75"/>
        <v>-8.6767895878524945E-2</v>
      </c>
      <c r="X169" s="361">
        <f t="shared" si="76"/>
        <v>-4.790419161676647E-2</v>
      </c>
    </row>
    <row r="170" spans="1:42">
      <c r="A170" s="405">
        <v>45185</v>
      </c>
      <c r="B170" s="406">
        <f>IF(YEAR(Table7[[#This Row],[Date]]) = 2023, WEEKNUM(Table7[[#This Row],[Date]])-13, WEEKNUM(Table7[[#This Row],[Date]])+40)</f>
        <v>24</v>
      </c>
      <c r="C170" s="1" t="s">
        <v>54</v>
      </c>
      <c r="D170" s="1" t="s">
        <v>94</v>
      </c>
      <c r="E170" s="1">
        <v>703</v>
      </c>
      <c r="F170" s="1">
        <v>553</v>
      </c>
      <c r="G170" s="80">
        <f t="shared" ref="G170:H170" si="115">IFERROR((E170-E163)/E163,0%)</f>
        <v>-9.8591549295774655E-3</v>
      </c>
      <c r="H170" s="80">
        <f t="shared" si="115"/>
        <v>-0.18316100443131461</v>
      </c>
      <c r="I170" s="1"/>
      <c r="J170" s="1"/>
      <c r="K170" s="1"/>
      <c r="L170" s="1"/>
      <c r="M170" s="18">
        <v>0.45</v>
      </c>
      <c r="N170" s="18">
        <v>0.21337126600284495</v>
      </c>
      <c r="O170" s="18">
        <v>0.79</v>
      </c>
      <c r="P170" s="18">
        <v>0.61444444444444446</v>
      </c>
      <c r="Q170" s="157"/>
      <c r="R170" s="301">
        <v>300</v>
      </c>
      <c r="S170" s="159">
        <v>2.7083333333333334E-2</v>
      </c>
      <c r="T170" s="1">
        <v>10</v>
      </c>
      <c r="U170" s="280" t="str">
        <f t="shared" si="73"/>
        <v>Normal</v>
      </c>
      <c r="V170" s="280" t="str">
        <f t="shared" si="74"/>
        <v>Normal</v>
      </c>
      <c r="W170" s="361">
        <f t="shared" si="75"/>
        <v>-9.8591549295774655E-3</v>
      </c>
      <c r="X170" s="361">
        <f t="shared" si="76"/>
        <v>-0.18316100443131461</v>
      </c>
    </row>
    <row r="171" spans="1:42" s="47" customFormat="1">
      <c r="A171" s="405">
        <v>45186</v>
      </c>
      <c r="B171" s="406">
        <f>IF(YEAR(Table7[[#This Row],[Date]]) = 2023, WEEKNUM(Table7[[#This Row],[Date]])-13, WEEKNUM(Table7[[#This Row],[Date]])+40)</f>
        <v>25</v>
      </c>
      <c r="C171" s="1" t="s">
        <v>48</v>
      </c>
      <c r="D171" s="1" t="s">
        <v>94</v>
      </c>
      <c r="E171" s="1">
        <v>0</v>
      </c>
      <c r="F171" s="1">
        <v>0</v>
      </c>
      <c r="G171" s="80">
        <f t="shared" ref="G171:H171" si="116">IFERROR((E171-E164)/E164,0%)</f>
        <v>0</v>
      </c>
      <c r="H171" s="80">
        <f t="shared" si="116"/>
        <v>0</v>
      </c>
      <c r="I171" s="1">
        <v>0</v>
      </c>
      <c r="J171" s="1">
        <v>0</v>
      </c>
      <c r="K171" s="1">
        <v>0</v>
      </c>
      <c r="L171" s="1">
        <v>0</v>
      </c>
      <c r="M171" s="18">
        <v>0</v>
      </c>
      <c r="N171" s="18">
        <v>0</v>
      </c>
      <c r="O171" s="18">
        <v>0</v>
      </c>
      <c r="P171" s="18">
        <v>0</v>
      </c>
      <c r="Q171" s="157"/>
      <c r="R171" s="301">
        <v>0</v>
      </c>
      <c r="S171" s="159">
        <v>0</v>
      </c>
      <c r="T171" s="1">
        <v>0</v>
      </c>
      <c r="U171" s="280" t="str">
        <f t="shared" si="73"/>
        <v>Normal</v>
      </c>
      <c r="V171" s="280" t="str">
        <f t="shared" si="74"/>
        <v>Normal</v>
      </c>
      <c r="W171" s="361">
        <f t="shared" si="75"/>
        <v>0</v>
      </c>
      <c r="X171" s="361">
        <f t="shared" si="76"/>
        <v>0</v>
      </c>
      <c r="AJ171"/>
      <c r="AK171"/>
      <c r="AL171"/>
      <c r="AN171"/>
      <c r="AO171"/>
      <c r="AP171"/>
    </row>
    <row r="172" spans="1:42">
      <c r="A172" s="405">
        <v>45187</v>
      </c>
      <c r="B172" s="406">
        <f>IF(YEAR(Table7[[#This Row],[Date]]) = 2023, WEEKNUM(Table7[[#This Row],[Date]])-13, WEEKNUM(Table7[[#This Row],[Date]])+40)</f>
        <v>25</v>
      </c>
      <c r="C172" s="1" t="s">
        <v>49</v>
      </c>
      <c r="D172" s="1" t="s">
        <v>94</v>
      </c>
      <c r="E172" s="1">
        <v>890</v>
      </c>
      <c r="F172" s="1">
        <v>812</v>
      </c>
      <c r="G172" s="80">
        <f t="shared" ref="G172:H172" si="117">IFERROR((E172-E165)/E165,0%)</f>
        <v>-7.0981210855949897E-2</v>
      </c>
      <c r="H172" s="80">
        <f t="shared" si="117"/>
        <v>-9.1722595078299773E-2</v>
      </c>
      <c r="I172" s="1"/>
      <c r="J172" s="1"/>
      <c r="K172" s="1"/>
      <c r="L172" s="1"/>
      <c r="M172" s="18">
        <v>0.78</v>
      </c>
      <c r="N172" s="18">
        <v>8.7640449438202248E-2</v>
      </c>
      <c r="O172" s="18">
        <v>0.91</v>
      </c>
      <c r="P172" s="18">
        <v>0.63907407407407413</v>
      </c>
      <c r="Q172" s="157"/>
      <c r="R172" s="301">
        <v>255</v>
      </c>
      <c r="S172" s="159">
        <v>2.013888888888889E-2</v>
      </c>
      <c r="T172" s="1">
        <v>12</v>
      </c>
      <c r="U172" s="280" t="str">
        <f t="shared" si="73"/>
        <v>Normal</v>
      </c>
      <c r="V172" s="280" t="str">
        <f t="shared" si="74"/>
        <v>Normal</v>
      </c>
      <c r="W172" s="361">
        <f t="shared" si="75"/>
        <v>-7.0981210855949897E-2</v>
      </c>
      <c r="X172" s="361">
        <f t="shared" si="76"/>
        <v>-9.1722595078299773E-2</v>
      </c>
    </row>
    <row r="173" spans="1:42">
      <c r="A173" s="405">
        <v>45188</v>
      </c>
      <c r="B173" s="406">
        <f>IF(YEAR(Table7[[#This Row],[Date]]) = 2023, WEEKNUM(Table7[[#This Row],[Date]])-13, WEEKNUM(Table7[[#This Row],[Date]])+40)</f>
        <v>25</v>
      </c>
      <c r="C173" s="1" t="s">
        <v>50</v>
      </c>
      <c r="D173" s="1" t="s">
        <v>94</v>
      </c>
      <c r="E173" s="1">
        <v>937</v>
      </c>
      <c r="F173" s="1">
        <v>818</v>
      </c>
      <c r="G173" s="80">
        <f t="shared" ref="G173:H173" si="118">IFERROR((E173-E166)/E166,0%)</f>
        <v>-6.3E-2</v>
      </c>
      <c r="H173" s="80">
        <f t="shared" si="118"/>
        <v>-0.13985278654048369</v>
      </c>
      <c r="I173" s="1"/>
      <c r="J173" s="1"/>
      <c r="K173" s="1"/>
      <c r="L173" s="1"/>
      <c r="M173" s="18">
        <v>0.62</v>
      </c>
      <c r="N173" s="18">
        <v>0.12700106723585913</v>
      </c>
      <c r="O173" s="18">
        <v>0.87</v>
      </c>
      <c r="P173" s="18">
        <v>0.90888888888888886</v>
      </c>
      <c r="Q173" s="157"/>
      <c r="R173" s="301">
        <v>300</v>
      </c>
      <c r="S173" s="159">
        <v>4.1666666666666664E-2</v>
      </c>
      <c r="T173" s="1">
        <v>10</v>
      </c>
      <c r="U173" s="280" t="str">
        <f t="shared" si="73"/>
        <v>Normal</v>
      </c>
      <c r="V173" s="280" t="str">
        <f t="shared" si="74"/>
        <v>Normal</v>
      </c>
      <c r="W173" s="361">
        <f t="shared" si="75"/>
        <v>-6.3E-2</v>
      </c>
      <c r="X173" s="361">
        <f t="shared" si="76"/>
        <v>-0.13985278654048369</v>
      </c>
    </row>
    <row r="174" spans="1:42">
      <c r="A174" s="405">
        <v>45189</v>
      </c>
      <c r="B174" s="406">
        <f>IF(YEAR(Table7[[#This Row],[Date]]) = 2023, WEEKNUM(Table7[[#This Row],[Date]])-13, WEEKNUM(Table7[[#This Row],[Date]])+40)</f>
        <v>25</v>
      </c>
      <c r="C174" s="1" t="s">
        <v>51</v>
      </c>
      <c r="D174" s="1" t="s">
        <v>94</v>
      </c>
      <c r="E174" s="1">
        <v>894</v>
      </c>
      <c r="F174" s="1">
        <v>778</v>
      </c>
      <c r="G174" s="80">
        <f t="shared" ref="G174:H174" si="119">IFERROR((E174-E167)/E167,0%)</f>
        <v>-4.6908315565031986E-2</v>
      </c>
      <c r="H174" s="80">
        <f t="shared" si="119"/>
        <v>-0.12288613303269448</v>
      </c>
      <c r="I174" s="1"/>
      <c r="J174" s="1"/>
      <c r="K174" s="1"/>
      <c r="L174" s="1"/>
      <c r="M174" s="18">
        <v>0.63</v>
      </c>
      <c r="N174" s="18">
        <v>0.12975391498881431</v>
      </c>
      <c r="O174" s="18">
        <v>0.87</v>
      </c>
      <c r="P174" s="18">
        <v>0.66495726495726493</v>
      </c>
      <c r="Q174" s="157"/>
      <c r="R174" s="301">
        <v>300</v>
      </c>
      <c r="S174" s="159">
        <v>4.1666666666666664E-2</v>
      </c>
      <c r="T174" s="1">
        <v>13</v>
      </c>
      <c r="U174" s="280" t="str">
        <f t="shared" si="73"/>
        <v>Normal</v>
      </c>
      <c r="V174" s="280" t="str">
        <f t="shared" si="74"/>
        <v>Normal</v>
      </c>
      <c r="W174" s="361">
        <f t="shared" si="75"/>
        <v>-4.6908315565031986E-2</v>
      </c>
      <c r="X174" s="361">
        <f t="shared" si="76"/>
        <v>-0.12288613303269448</v>
      </c>
    </row>
    <row r="175" spans="1:42">
      <c r="A175" s="405">
        <v>45190</v>
      </c>
      <c r="B175" s="406">
        <f>IF(YEAR(Table7[[#This Row],[Date]]) = 2023, WEEKNUM(Table7[[#This Row],[Date]])-13, WEEKNUM(Table7[[#This Row],[Date]])+40)</f>
        <v>25</v>
      </c>
      <c r="C175" s="1" t="s">
        <v>52</v>
      </c>
      <c r="D175" s="1" t="s">
        <v>94</v>
      </c>
      <c r="E175" s="1">
        <v>931</v>
      </c>
      <c r="F175" s="1">
        <v>832</v>
      </c>
      <c r="G175" s="80">
        <f t="shared" ref="G175:H175" si="120">IFERROR((E175-E168)/E168,0%)</f>
        <v>4.7244094488188976E-2</v>
      </c>
      <c r="H175" s="80">
        <f t="shared" si="120"/>
        <v>0.1335149863760218</v>
      </c>
      <c r="I175" s="1"/>
      <c r="J175" s="1"/>
      <c r="K175" s="1"/>
      <c r="L175" s="1"/>
      <c r="M175" s="18">
        <v>0.65</v>
      </c>
      <c r="N175" s="18">
        <v>0.10633727175080558</v>
      </c>
      <c r="O175" s="18">
        <v>0.89</v>
      </c>
      <c r="P175" s="18">
        <v>0.77037037037037026</v>
      </c>
      <c r="Q175" s="157"/>
      <c r="R175" s="301">
        <v>300</v>
      </c>
      <c r="S175" s="159">
        <v>3.4722222222222224E-2</v>
      </c>
      <c r="T175" s="1">
        <v>12</v>
      </c>
      <c r="U175" s="280" t="str">
        <f t="shared" si="73"/>
        <v>Normal</v>
      </c>
      <c r="V175" s="280" t="str">
        <f t="shared" si="74"/>
        <v>Normal</v>
      </c>
      <c r="W175" s="361">
        <f t="shared" si="75"/>
        <v>4.7244094488188976E-2</v>
      </c>
      <c r="X175" s="361">
        <f t="shared" si="76"/>
        <v>0.1335149863760218</v>
      </c>
    </row>
    <row r="176" spans="1:42">
      <c r="A176" s="405">
        <v>45191</v>
      </c>
      <c r="B176" s="406">
        <f>IF(YEAR(Table7[[#This Row],[Date]]) = 2023, WEEKNUM(Table7[[#This Row],[Date]])-13, WEEKNUM(Table7[[#This Row],[Date]])+40)</f>
        <v>25</v>
      </c>
      <c r="C176" s="1" t="s">
        <v>53</v>
      </c>
      <c r="D176" s="1" t="s">
        <v>94</v>
      </c>
      <c r="E176" s="1">
        <v>970</v>
      </c>
      <c r="F176" s="1">
        <v>824</v>
      </c>
      <c r="G176" s="80">
        <f t="shared" ref="G176:H176" si="121">IFERROR((E176-E169)/E169,0%)</f>
        <v>0.15201900237529692</v>
      </c>
      <c r="H176" s="80">
        <f t="shared" si="121"/>
        <v>3.6477987421383647E-2</v>
      </c>
      <c r="I176" s="1"/>
      <c r="J176" s="1"/>
      <c r="K176" s="1"/>
      <c r="L176" s="1"/>
      <c r="M176" s="18">
        <v>0.62</v>
      </c>
      <c r="N176" s="18">
        <v>0.15051546391752577</v>
      </c>
      <c r="O176" s="18">
        <v>0.85</v>
      </c>
      <c r="P176" s="18">
        <v>0.76296296296296306</v>
      </c>
      <c r="Q176" s="157"/>
      <c r="R176" s="301">
        <v>300</v>
      </c>
      <c r="S176" s="159">
        <v>5.9027777777777783E-2</v>
      </c>
      <c r="T176" s="1">
        <v>12</v>
      </c>
      <c r="U176" s="280" t="str">
        <f t="shared" si="73"/>
        <v>Normal</v>
      </c>
      <c r="V176" s="280" t="str">
        <f t="shared" si="74"/>
        <v>Normal</v>
      </c>
      <c r="W176" s="361">
        <f t="shared" si="75"/>
        <v>0.15201900237529692</v>
      </c>
      <c r="X176" s="361">
        <f t="shared" si="76"/>
        <v>3.6477987421383647E-2</v>
      </c>
    </row>
    <row r="177" spans="1:42">
      <c r="A177" s="405">
        <v>45192</v>
      </c>
      <c r="B177" s="406">
        <f>IF(YEAR(Table7[[#This Row],[Date]]) = 2023, WEEKNUM(Table7[[#This Row],[Date]])-13, WEEKNUM(Table7[[#This Row],[Date]])+40)</f>
        <v>25</v>
      </c>
      <c r="C177" s="1" t="s">
        <v>54</v>
      </c>
      <c r="D177" s="1" t="s">
        <v>94</v>
      </c>
      <c r="E177" s="1">
        <v>822</v>
      </c>
      <c r="F177" s="1">
        <v>440</v>
      </c>
      <c r="G177" s="80">
        <f t="shared" ref="G177:H177" si="122">IFERROR((E177-E170)/E170,0%)</f>
        <v>0.16927453769559034</v>
      </c>
      <c r="H177" s="80">
        <f t="shared" si="122"/>
        <v>-0.20433996383363473</v>
      </c>
      <c r="I177" s="1"/>
      <c r="J177" s="1"/>
      <c r="K177" s="1"/>
      <c r="L177" s="1"/>
      <c r="M177" s="18">
        <v>0.11</v>
      </c>
      <c r="N177" s="18">
        <v>0.46472019464720193</v>
      </c>
      <c r="O177" s="18">
        <v>0.56000000000000005</v>
      </c>
      <c r="P177" s="18">
        <v>1.1733333333333333</v>
      </c>
      <c r="Q177" s="157"/>
      <c r="R177" s="301">
        <v>360</v>
      </c>
      <c r="S177" s="159">
        <v>0.17430555555555557</v>
      </c>
      <c r="T177" s="1">
        <v>5</v>
      </c>
      <c r="U177" s="280" t="str">
        <f t="shared" si="73"/>
        <v>Normal</v>
      </c>
      <c r="V177" s="280" t="str">
        <f t="shared" si="74"/>
        <v>Normal</v>
      </c>
      <c r="W177" s="361">
        <f t="shared" si="75"/>
        <v>0.16927453769559034</v>
      </c>
      <c r="X177" s="361">
        <f t="shared" si="76"/>
        <v>-0.20433996383363473</v>
      </c>
    </row>
    <row r="178" spans="1:42">
      <c r="A178" s="405">
        <v>45193</v>
      </c>
      <c r="B178" s="406">
        <f>IF(YEAR(Table7[[#This Row],[Date]]) = 2023, WEEKNUM(Table7[[#This Row],[Date]])-13, WEEKNUM(Table7[[#This Row],[Date]])+40)</f>
        <v>26</v>
      </c>
      <c r="C178" s="1" t="s">
        <v>48</v>
      </c>
      <c r="D178" s="1" t="s">
        <v>94</v>
      </c>
      <c r="E178" s="1">
        <v>0</v>
      </c>
      <c r="F178" s="1">
        <v>0</v>
      </c>
      <c r="G178" s="80">
        <f t="shared" ref="G178:H178" si="123">IFERROR((E178-E171)/E171,0%)</f>
        <v>0</v>
      </c>
      <c r="H178" s="80">
        <f t="shared" si="123"/>
        <v>0</v>
      </c>
      <c r="I178" s="1">
        <v>0</v>
      </c>
      <c r="J178" s="1">
        <v>0</v>
      </c>
      <c r="K178" s="1">
        <v>0</v>
      </c>
      <c r="L178" s="1">
        <v>0</v>
      </c>
      <c r="M178" s="18">
        <v>0</v>
      </c>
      <c r="N178" s="18">
        <v>0</v>
      </c>
      <c r="O178" s="18">
        <v>0</v>
      </c>
      <c r="P178" s="18">
        <v>0</v>
      </c>
      <c r="Q178" s="157"/>
      <c r="R178" s="301">
        <v>0</v>
      </c>
      <c r="S178" s="159">
        <v>0</v>
      </c>
      <c r="T178" s="1">
        <v>0</v>
      </c>
      <c r="U178" s="280" t="str">
        <f t="shared" si="73"/>
        <v>Normal</v>
      </c>
      <c r="V178" s="280" t="str">
        <f t="shared" si="74"/>
        <v>Normal</v>
      </c>
      <c r="W178" s="361">
        <f t="shared" si="75"/>
        <v>0</v>
      </c>
      <c r="X178" s="361">
        <f t="shared" si="76"/>
        <v>0</v>
      </c>
    </row>
    <row r="179" spans="1:42">
      <c r="A179" s="405">
        <v>45194</v>
      </c>
      <c r="B179" s="406">
        <f>IF(YEAR(Table7[[#This Row],[Date]]) = 2023, WEEKNUM(Table7[[#This Row],[Date]])-13, WEEKNUM(Table7[[#This Row],[Date]])+40)</f>
        <v>26</v>
      </c>
      <c r="C179" s="1" t="s">
        <v>49</v>
      </c>
      <c r="D179" s="1" t="s">
        <v>94</v>
      </c>
      <c r="E179" s="1">
        <v>966</v>
      </c>
      <c r="F179" s="1">
        <v>879</v>
      </c>
      <c r="G179" s="80">
        <f t="shared" ref="G179:H179" si="124">IFERROR((E179-E172)/E172,0%)</f>
        <v>8.5393258426966295E-2</v>
      </c>
      <c r="H179" s="80">
        <f t="shared" si="124"/>
        <v>8.2512315270935957E-2</v>
      </c>
      <c r="I179" s="1"/>
      <c r="J179" s="1"/>
      <c r="K179" s="1"/>
      <c r="L179" s="1"/>
      <c r="M179" s="18">
        <v>0.73</v>
      </c>
      <c r="N179" s="18">
        <v>9.0062111801242239E-2</v>
      </c>
      <c r="O179" s="18">
        <v>0.91</v>
      </c>
      <c r="P179" s="18">
        <v>0.83559259259259266</v>
      </c>
      <c r="Q179" s="157"/>
      <c r="R179" s="301">
        <v>308</v>
      </c>
      <c r="S179" s="159">
        <v>2.5694444444444447E-2</v>
      </c>
      <c r="T179" s="1">
        <v>12</v>
      </c>
      <c r="U179" s="280" t="str">
        <f t="shared" si="73"/>
        <v>Normal</v>
      </c>
      <c r="V179" s="280" t="str">
        <f t="shared" si="74"/>
        <v>Normal</v>
      </c>
      <c r="W179" s="361">
        <f t="shared" si="75"/>
        <v>8.5393258426966295E-2</v>
      </c>
      <c r="X179" s="361">
        <f t="shared" si="76"/>
        <v>8.2512315270935957E-2</v>
      </c>
      <c r="AJ179" s="48"/>
      <c r="AK179" s="48"/>
      <c r="AL179" s="48"/>
    </row>
    <row r="180" spans="1:42">
      <c r="A180" s="405">
        <v>45195</v>
      </c>
      <c r="B180" s="406">
        <f>IF(YEAR(Table7[[#This Row],[Date]]) = 2023, WEEKNUM(Table7[[#This Row],[Date]])-13, WEEKNUM(Table7[[#This Row],[Date]])+40)</f>
        <v>26</v>
      </c>
      <c r="C180" s="1" t="s">
        <v>50</v>
      </c>
      <c r="D180" s="1" t="s">
        <v>94</v>
      </c>
      <c r="E180" s="1">
        <v>972</v>
      </c>
      <c r="F180" s="1">
        <v>887</v>
      </c>
      <c r="G180" s="80">
        <f t="shared" ref="G180:H180" si="125">IFERROR((E180-E173)/E173,0%)</f>
        <v>3.7353255069370331E-2</v>
      </c>
      <c r="H180" s="80">
        <f t="shared" si="125"/>
        <v>8.4352078239608802E-2</v>
      </c>
      <c r="I180" s="1"/>
      <c r="J180" s="1"/>
      <c r="K180" s="1"/>
      <c r="L180" s="1"/>
      <c r="M180" s="18">
        <v>0.72</v>
      </c>
      <c r="N180" s="18">
        <v>8.7448559670781897E-2</v>
      </c>
      <c r="O180" s="18">
        <v>0.91</v>
      </c>
      <c r="P180" s="18">
        <v>0.82950925925925934</v>
      </c>
      <c r="Q180" s="157"/>
      <c r="R180" s="301">
        <v>303</v>
      </c>
      <c r="S180" s="158">
        <v>2.6388888888888889E-2</v>
      </c>
      <c r="T180" s="1">
        <v>12</v>
      </c>
      <c r="U180" s="280" t="str">
        <f t="shared" si="73"/>
        <v>Normal</v>
      </c>
      <c r="V180" s="280" t="str">
        <f t="shared" si="74"/>
        <v>Normal</v>
      </c>
      <c r="W180" s="361">
        <f t="shared" si="75"/>
        <v>3.7353255069370331E-2</v>
      </c>
      <c r="X180" s="361">
        <f t="shared" si="76"/>
        <v>8.4352078239608802E-2</v>
      </c>
    </row>
    <row r="181" spans="1:42">
      <c r="A181" s="405">
        <v>45196</v>
      </c>
      <c r="B181" s="406">
        <f>IF(YEAR(Table7[[#This Row],[Date]]) = 2023, WEEKNUM(Table7[[#This Row],[Date]])-13, WEEKNUM(Table7[[#This Row],[Date]])+40)</f>
        <v>26</v>
      </c>
      <c r="C181" s="1" t="s">
        <v>51</v>
      </c>
      <c r="D181" s="1" t="s">
        <v>94</v>
      </c>
      <c r="E181" s="1">
        <v>926</v>
      </c>
      <c r="F181" s="1">
        <v>726</v>
      </c>
      <c r="G181" s="80">
        <f t="shared" ref="G181:H181" si="126">IFERROR((E181-E174)/E174,0%)</f>
        <v>3.5794183445190156E-2</v>
      </c>
      <c r="H181" s="80">
        <f t="shared" si="126"/>
        <v>-6.6838046272493568E-2</v>
      </c>
      <c r="I181" s="1"/>
      <c r="J181" s="1"/>
      <c r="K181" s="1"/>
      <c r="L181" s="1"/>
      <c r="M181" s="18">
        <v>0.38</v>
      </c>
      <c r="N181" s="18">
        <v>0.21598272138228941</v>
      </c>
      <c r="O181" s="18">
        <v>0.78</v>
      </c>
      <c r="P181" s="18">
        <v>0.87511111111111117</v>
      </c>
      <c r="Q181" s="157"/>
      <c r="R181" s="301">
        <v>358</v>
      </c>
      <c r="S181" s="158">
        <v>6.7361111111111108E-2</v>
      </c>
      <c r="T181" s="1">
        <v>11</v>
      </c>
      <c r="U181" s="280" t="str">
        <f t="shared" si="73"/>
        <v>Normal</v>
      </c>
      <c r="V181" s="280" t="str">
        <f t="shared" si="74"/>
        <v>Normal</v>
      </c>
      <c r="W181" s="361">
        <f t="shared" si="75"/>
        <v>3.5794183445190156E-2</v>
      </c>
      <c r="X181" s="361">
        <f t="shared" si="76"/>
        <v>-6.6838046272493568E-2</v>
      </c>
    </row>
    <row r="182" spans="1:42">
      <c r="A182" s="405">
        <v>45197</v>
      </c>
      <c r="B182" s="406">
        <f>IF(YEAR(Table7[[#This Row],[Date]]) = 2023, WEEKNUM(Table7[[#This Row],[Date]])-13, WEEKNUM(Table7[[#This Row],[Date]])+40)</f>
        <v>26</v>
      </c>
      <c r="C182" s="1" t="s">
        <v>52</v>
      </c>
      <c r="D182" s="1" t="s">
        <v>94</v>
      </c>
      <c r="E182" s="1">
        <v>962</v>
      </c>
      <c r="F182" s="1">
        <v>779</v>
      </c>
      <c r="G182" s="80">
        <f t="shared" ref="G182:H182" si="127">IFERROR((E182-E175)/E175,0%)</f>
        <v>3.3297529538131039E-2</v>
      </c>
      <c r="H182" s="80">
        <f t="shared" si="127"/>
        <v>-6.3701923076923073E-2</v>
      </c>
      <c r="I182" s="1"/>
      <c r="J182" s="1"/>
      <c r="K182" s="1"/>
      <c r="L182" s="1"/>
      <c r="M182" s="18">
        <v>0.44</v>
      </c>
      <c r="N182" s="18">
        <v>0.19022869022869024</v>
      </c>
      <c r="O182" s="18">
        <v>0.81</v>
      </c>
      <c r="P182" s="18">
        <v>1.1380452674897121</v>
      </c>
      <c r="Q182" s="157"/>
      <c r="R182" s="301">
        <v>355</v>
      </c>
      <c r="S182" s="158">
        <v>8.4027777777777771E-2</v>
      </c>
      <c r="T182" s="1">
        <v>9</v>
      </c>
      <c r="U182" s="280" t="str">
        <f t="shared" si="73"/>
        <v>Normal</v>
      </c>
      <c r="V182" s="280" t="str">
        <f t="shared" si="74"/>
        <v>Normal</v>
      </c>
      <c r="W182" s="361">
        <f t="shared" si="75"/>
        <v>3.3297529538131039E-2</v>
      </c>
      <c r="X182" s="361">
        <f t="shared" si="76"/>
        <v>-6.3701923076923073E-2</v>
      </c>
    </row>
    <row r="183" spans="1:42">
      <c r="A183" s="405">
        <v>45198</v>
      </c>
      <c r="B183" s="406">
        <f>IF(YEAR(Table7[[#This Row],[Date]]) = 2023, WEEKNUM(Table7[[#This Row],[Date]])-13, WEEKNUM(Table7[[#This Row],[Date]])+40)</f>
        <v>26</v>
      </c>
      <c r="C183" s="1" t="s">
        <v>53</v>
      </c>
      <c r="D183" s="1" t="s">
        <v>94</v>
      </c>
      <c r="E183" s="1">
        <v>919</v>
      </c>
      <c r="F183" s="1">
        <v>830</v>
      </c>
      <c r="G183" s="80">
        <f t="shared" ref="G183:H183" si="128">IFERROR((E183-E176)/E176,0%)</f>
        <v>-5.2577319587628867E-2</v>
      </c>
      <c r="H183" s="80">
        <f t="shared" si="128"/>
        <v>7.2815533980582527E-3</v>
      </c>
      <c r="I183" s="1"/>
      <c r="J183" s="1"/>
      <c r="K183" s="1"/>
      <c r="L183" s="1"/>
      <c r="M183" s="18">
        <v>0.68</v>
      </c>
      <c r="N183" s="18">
        <v>9.6844396082698583E-2</v>
      </c>
      <c r="O183" s="18">
        <v>0.9</v>
      </c>
      <c r="P183" s="18">
        <v>0.7685185185185186</v>
      </c>
      <c r="Q183" s="157"/>
      <c r="R183" s="301">
        <v>300</v>
      </c>
      <c r="S183" s="158">
        <v>3.5416666666666666E-2</v>
      </c>
      <c r="T183" s="1">
        <v>12</v>
      </c>
      <c r="U183" s="280" t="str">
        <f t="shared" si="73"/>
        <v>Normal</v>
      </c>
      <c r="V183" s="280" t="str">
        <f t="shared" si="74"/>
        <v>Normal</v>
      </c>
      <c r="W183" s="361">
        <f t="shared" si="75"/>
        <v>-5.2577319587628867E-2</v>
      </c>
      <c r="X183" s="361">
        <f t="shared" si="76"/>
        <v>7.2815533980582527E-3</v>
      </c>
    </row>
    <row r="184" spans="1:42" s="48" customFormat="1">
      <c r="A184" s="405">
        <v>45199</v>
      </c>
      <c r="B184" s="406">
        <f>IF(YEAR(Table7[[#This Row],[Date]]) = 2023, WEEKNUM(Table7[[#This Row],[Date]])-13, WEEKNUM(Table7[[#This Row],[Date]])+40)</f>
        <v>26</v>
      </c>
      <c r="C184" s="50" t="s">
        <v>54</v>
      </c>
      <c r="D184" s="50" t="s">
        <v>94</v>
      </c>
      <c r="E184" s="50">
        <v>871</v>
      </c>
      <c r="F184" s="50">
        <v>557</v>
      </c>
      <c r="G184" s="80">
        <f t="shared" ref="G184:H184" si="129">IFERROR((E184-E177)/E177,0%)</f>
        <v>5.9610705596107053E-2</v>
      </c>
      <c r="H184" s="80">
        <f t="shared" si="129"/>
        <v>0.26590909090909093</v>
      </c>
      <c r="I184" s="50"/>
      <c r="J184" s="50"/>
      <c r="K184" s="50"/>
      <c r="L184" s="50"/>
      <c r="M184" s="51">
        <v>0.12</v>
      </c>
      <c r="N184" s="51">
        <v>0.36050516647531572</v>
      </c>
      <c r="O184" s="51">
        <v>0.64</v>
      </c>
      <c r="P184" s="51">
        <v>0.94122685185185184</v>
      </c>
      <c r="Q184" s="157"/>
      <c r="R184" s="301">
        <v>365</v>
      </c>
      <c r="S184" s="164">
        <v>0.13541666666666666</v>
      </c>
      <c r="T184" s="50"/>
      <c r="U184" s="280" t="str">
        <f t="shared" si="73"/>
        <v>Normal</v>
      </c>
      <c r="V184" s="280" t="str">
        <f t="shared" si="74"/>
        <v>Normal</v>
      </c>
      <c r="W184" s="361">
        <f t="shared" si="75"/>
        <v>5.9610705596107053E-2</v>
      </c>
      <c r="X184" s="361">
        <f t="shared" si="76"/>
        <v>0.26590909090909093</v>
      </c>
      <c r="AJ184"/>
      <c r="AK184"/>
      <c r="AL184"/>
      <c r="AN184"/>
      <c r="AO184"/>
      <c r="AP184"/>
    </row>
    <row r="185" spans="1:42">
      <c r="A185" s="405">
        <v>45200</v>
      </c>
      <c r="B185" s="406">
        <f>IF(YEAR(Table7[[#This Row],[Date]]) = 2023, WEEKNUM(Table7[[#This Row],[Date]])-13, WEEKNUM(Table7[[#This Row],[Date]])+40)</f>
        <v>27</v>
      </c>
      <c r="C185" s="296" t="s">
        <v>48</v>
      </c>
      <c r="D185" s="1" t="s">
        <v>94</v>
      </c>
      <c r="E185" s="1">
        <v>0</v>
      </c>
      <c r="F185" s="1">
        <v>0</v>
      </c>
      <c r="G185" s="80">
        <f t="shared" ref="G185:H185" si="130">IFERROR((E185-E178)/E178,0%)</f>
        <v>0</v>
      </c>
      <c r="H185" s="80">
        <f t="shared" si="130"/>
        <v>0</v>
      </c>
      <c r="I185" s="1">
        <v>0</v>
      </c>
      <c r="J185" s="1">
        <v>0</v>
      </c>
      <c r="K185" s="1">
        <v>0</v>
      </c>
      <c r="L185" s="1">
        <v>0</v>
      </c>
      <c r="M185" s="18">
        <v>0</v>
      </c>
      <c r="N185" s="18">
        <v>0</v>
      </c>
      <c r="O185" s="18">
        <v>0</v>
      </c>
      <c r="P185" s="18">
        <v>0</v>
      </c>
      <c r="Q185" s="157"/>
      <c r="R185" s="301">
        <v>0</v>
      </c>
      <c r="S185" s="158">
        <v>0</v>
      </c>
      <c r="T185" s="1">
        <v>0</v>
      </c>
      <c r="U185" s="280" t="str">
        <f t="shared" si="73"/>
        <v>Normal</v>
      </c>
      <c r="V185" s="280" t="str">
        <f t="shared" si="74"/>
        <v>Normal</v>
      </c>
      <c r="W185" s="361">
        <f t="shared" si="75"/>
        <v>0</v>
      </c>
      <c r="X185" s="361">
        <f t="shared" si="76"/>
        <v>0</v>
      </c>
    </row>
    <row r="186" spans="1:42">
      <c r="A186" s="405">
        <v>45201</v>
      </c>
      <c r="B186" s="406">
        <f>IF(YEAR(Table7[[#This Row],[Date]]) = 2023, WEEKNUM(Table7[[#This Row],[Date]])-13, WEEKNUM(Table7[[#This Row],[Date]])+40)</f>
        <v>27</v>
      </c>
      <c r="C186" s="296" t="s">
        <v>49</v>
      </c>
      <c r="D186" s="1" t="s">
        <v>94</v>
      </c>
      <c r="E186" s="1">
        <v>1073</v>
      </c>
      <c r="F186" s="1">
        <v>943</v>
      </c>
      <c r="G186" s="80">
        <f t="shared" ref="G186:H186" si="131">IFERROR((E186-E179)/E179,0%)</f>
        <v>0.11076604554865424</v>
      </c>
      <c r="H186" s="80">
        <f t="shared" si="131"/>
        <v>7.2810011376564274E-2</v>
      </c>
      <c r="I186" s="1"/>
      <c r="J186" s="1"/>
      <c r="K186" s="1"/>
      <c r="L186" s="1"/>
      <c r="M186" s="18">
        <v>0.57999999999999996</v>
      </c>
      <c r="N186" s="18">
        <v>0.12</v>
      </c>
      <c r="O186" s="18">
        <v>0.88</v>
      </c>
      <c r="P186" s="18">
        <v>0.87</v>
      </c>
      <c r="Q186" s="157"/>
      <c r="R186" s="301">
        <v>300</v>
      </c>
      <c r="S186" s="159">
        <v>5.0694444444444452E-2</v>
      </c>
      <c r="T186" s="1">
        <v>12</v>
      </c>
      <c r="U186" s="280" t="str">
        <f t="shared" si="73"/>
        <v>Normal</v>
      </c>
      <c r="V186" s="280" t="str">
        <f t="shared" si="74"/>
        <v>Normal</v>
      </c>
      <c r="W186" s="361">
        <f t="shared" si="75"/>
        <v>0.11076604554865424</v>
      </c>
      <c r="X186" s="361">
        <f t="shared" si="76"/>
        <v>7.2810011376564274E-2</v>
      </c>
    </row>
    <row r="187" spans="1:42">
      <c r="A187" s="405">
        <v>45202</v>
      </c>
      <c r="B187" s="406">
        <f>IF(YEAR(Table7[[#This Row],[Date]]) = 2023, WEEKNUM(Table7[[#This Row],[Date]])-13, WEEKNUM(Table7[[#This Row],[Date]])+40)</f>
        <v>27</v>
      </c>
      <c r="C187" s="296" t="s">
        <v>50</v>
      </c>
      <c r="D187" s="1" t="s">
        <v>94</v>
      </c>
      <c r="E187" s="1">
        <v>970</v>
      </c>
      <c r="F187" s="1">
        <v>909</v>
      </c>
      <c r="G187" s="80">
        <f t="shared" ref="G187:H187" si="132">IFERROR((E187-E180)/E180,0%)</f>
        <v>-2.05761316872428E-3</v>
      </c>
      <c r="H187" s="80">
        <f t="shared" si="132"/>
        <v>2.480270574971815E-2</v>
      </c>
      <c r="I187" s="1"/>
      <c r="J187" s="1"/>
      <c r="K187" s="1"/>
      <c r="L187" s="1"/>
      <c r="M187" s="18">
        <v>0.78</v>
      </c>
      <c r="N187" s="18">
        <v>0.06</v>
      </c>
      <c r="O187" s="18">
        <v>0.94</v>
      </c>
      <c r="P187" s="18">
        <v>0.72</v>
      </c>
      <c r="Q187" s="157"/>
      <c r="R187" s="301">
        <v>300</v>
      </c>
      <c r="S187" s="158">
        <v>2.361111111111111E-2</v>
      </c>
      <c r="T187" s="1">
        <v>14</v>
      </c>
      <c r="U187" s="280" t="str">
        <f t="shared" si="73"/>
        <v>Normal</v>
      </c>
      <c r="V187" s="280" t="str">
        <f t="shared" si="74"/>
        <v>Normal</v>
      </c>
      <c r="W187" s="361">
        <f t="shared" si="75"/>
        <v>-2.05761316872428E-3</v>
      </c>
      <c r="X187" s="361">
        <f t="shared" si="76"/>
        <v>2.480270574971815E-2</v>
      </c>
    </row>
    <row r="188" spans="1:42">
      <c r="A188" s="405">
        <v>45203</v>
      </c>
      <c r="B188" s="406">
        <f>IF(YEAR(Table7[[#This Row],[Date]]) = 2023, WEEKNUM(Table7[[#This Row],[Date]])-13, WEEKNUM(Table7[[#This Row],[Date]])+40)</f>
        <v>27</v>
      </c>
      <c r="C188" s="296" t="s">
        <v>51</v>
      </c>
      <c r="D188" s="1" t="s">
        <v>94</v>
      </c>
      <c r="E188" s="1">
        <v>971</v>
      </c>
      <c r="F188" s="1">
        <v>730</v>
      </c>
      <c r="G188" s="80">
        <f t="shared" ref="G188:H188" si="133">IFERROR((E188-E181)/E181,0%)</f>
        <v>4.859611231101512E-2</v>
      </c>
      <c r="H188" s="80">
        <f t="shared" si="133"/>
        <v>5.5096418732782371E-3</v>
      </c>
      <c r="I188" s="1"/>
      <c r="J188" s="1"/>
      <c r="K188" s="1"/>
      <c r="L188" s="1"/>
      <c r="M188" s="18">
        <v>0.44</v>
      </c>
      <c r="N188" s="18">
        <v>0.25</v>
      </c>
      <c r="O188" s="18">
        <v>0.75</v>
      </c>
      <c r="P188" s="18">
        <v>0.83</v>
      </c>
      <c r="Q188" s="157"/>
      <c r="R188" s="301">
        <v>337</v>
      </c>
      <c r="S188" s="158">
        <v>8.3333333333333329E-2</v>
      </c>
      <c r="T188" s="1">
        <v>11</v>
      </c>
      <c r="U188" s="280" t="str">
        <f t="shared" si="73"/>
        <v>Normal</v>
      </c>
      <c r="V188" s="280" t="str">
        <f t="shared" si="74"/>
        <v>Normal</v>
      </c>
      <c r="W188" s="361">
        <f t="shared" si="75"/>
        <v>4.859611231101512E-2</v>
      </c>
      <c r="X188" s="361">
        <f t="shared" si="76"/>
        <v>5.5096418732782371E-3</v>
      </c>
      <c r="AN188" t="s">
        <v>139</v>
      </c>
      <c r="AO188">
        <f>SUM($E$337:$E$367)</f>
        <v>24441</v>
      </c>
    </row>
    <row r="189" spans="1:42">
      <c r="A189" s="405">
        <v>45204</v>
      </c>
      <c r="B189" s="406">
        <f>IF(YEAR(Table7[[#This Row],[Date]]) = 2023, WEEKNUM(Table7[[#This Row],[Date]])-13, WEEKNUM(Table7[[#This Row],[Date]])+40)</f>
        <v>27</v>
      </c>
      <c r="C189" s="296" t="s">
        <v>52</v>
      </c>
      <c r="D189" s="1" t="s">
        <v>94</v>
      </c>
      <c r="E189" s="1">
        <v>944</v>
      </c>
      <c r="F189" s="1">
        <v>749</v>
      </c>
      <c r="G189" s="80">
        <f t="shared" ref="G189:H189" si="134">IFERROR((E189-E182)/E182,0%)</f>
        <v>-1.8711018711018712E-2</v>
      </c>
      <c r="H189" s="80">
        <f t="shared" si="134"/>
        <v>-3.8510911424903725E-2</v>
      </c>
      <c r="I189" s="1"/>
      <c r="J189" s="1"/>
      <c r="K189" s="1"/>
      <c r="L189" s="1"/>
      <c r="M189" s="18">
        <v>0.44</v>
      </c>
      <c r="N189" s="18">
        <v>0.21</v>
      </c>
      <c r="O189" s="18">
        <v>0.79</v>
      </c>
      <c r="P189" s="18">
        <v>0.83</v>
      </c>
      <c r="Q189" s="157"/>
      <c r="R189" s="301">
        <v>360</v>
      </c>
      <c r="S189" s="158">
        <v>8.3333333333333329E-2</v>
      </c>
      <c r="T189" s="1">
        <v>12</v>
      </c>
      <c r="U189" s="280" t="str">
        <f t="shared" si="73"/>
        <v>Normal</v>
      </c>
      <c r="V189" s="280" t="str">
        <f t="shared" si="74"/>
        <v>Normal</v>
      </c>
      <c r="W189" s="361">
        <f t="shared" si="75"/>
        <v>-1.8711018711018712E-2</v>
      </c>
      <c r="X189" s="361">
        <f t="shared" si="76"/>
        <v>-3.8510911424903725E-2</v>
      </c>
      <c r="AN189" t="s">
        <v>140</v>
      </c>
      <c r="AO189">
        <f>SUM($F$337:$F$367)</f>
        <v>21459</v>
      </c>
    </row>
    <row r="190" spans="1:42">
      <c r="A190" s="405">
        <v>45205</v>
      </c>
      <c r="B190" s="406">
        <f>IF(YEAR(Table7[[#This Row],[Date]]) = 2023, WEEKNUM(Table7[[#This Row],[Date]])-13, WEEKNUM(Table7[[#This Row],[Date]])+40)</f>
        <v>27</v>
      </c>
      <c r="C190" s="296" t="s">
        <v>53</v>
      </c>
      <c r="D190" s="1" t="s">
        <v>94</v>
      </c>
      <c r="E190" s="1">
        <v>914</v>
      </c>
      <c r="F190" s="1">
        <v>596</v>
      </c>
      <c r="G190" s="80">
        <f t="shared" ref="G190:H190" si="135">IFERROR((E190-E183)/E183,0%)</f>
        <v>-5.4406964091403701E-3</v>
      </c>
      <c r="H190" s="80">
        <f t="shared" si="135"/>
        <v>-0.28192771084337348</v>
      </c>
      <c r="I190" s="1"/>
      <c r="J190" s="1"/>
      <c r="K190" s="1"/>
      <c r="L190" s="1"/>
      <c r="M190" s="18">
        <v>0.18</v>
      </c>
      <c r="N190" s="18">
        <v>0.35</v>
      </c>
      <c r="O190" s="18">
        <v>0.65</v>
      </c>
      <c r="P190" s="18">
        <v>0.99</v>
      </c>
      <c r="Q190" s="157"/>
      <c r="R190" s="301">
        <v>360</v>
      </c>
      <c r="S190" s="158">
        <v>0.14583333333333334</v>
      </c>
      <c r="T190" s="1">
        <v>8</v>
      </c>
      <c r="U190" s="280" t="str">
        <f t="shared" si="73"/>
        <v>Normal</v>
      </c>
      <c r="V190" s="280" t="str">
        <f t="shared" si="74"/>
        <v>Normal</v>
      </c>
      <c r="W190" s="361">
        <f t="shared" si="75"/>
        <v>-5.4406964091403701E-3</v>
      </c>
      <c r="X190" s="361">
        <f t="shared" si="76"/>
        <v>-0.28192771084337348</v>
      </c>
      <c r="AN190" t="s">
        <v>32</v>
      </c>
      <c r="AO190" s="154">
        <f>AVERAGEIF($M$337:$M$367, "&lt;&gt;0")</f>
        <v>0.70680000000000009</v>
      </c>
    </row>
    <row r="191" spans="1:42">
      <c r="A191" s="405">
        <v>45206</v>
      </c>
      <c r="B191" s="406">
        <f>IF(YEAR(Table7[[#This Row],[Date]]) = 2023, WEEKNUM(Table7[[#This Row],[Date]])-13, WEEKNUM(Table7[[#This Row],[Date]])+40)</f>
        <v>27</v>
      </c>
      <c r="C191" s="296" t="s">
        <v>54</v>
      </c>
      <c r="D191" s="1" t="s">
        <v>94</v>
      </c>
      <c r="E191" s="1">
        <v>785</v>
      </c>
      <c r="F191" s="1">
        <v>541</v>
      </c>
      <c r="G191" s="80">
        <f t="shared" ref="G191:H191" si="136">IFERROR((E191-E184)/E184,0%)</f>
        <v>-9.8737083811710674E-2</v>
      </c>
      <c r="H191" s="80">
        <f t="shared" si="136"/>
        <v>-2.8725314183123879E-2</v>
      </c>
      <c r="I191" s="1"/>
      <c r="J191" s="1"/>
      <c r="K191" s="1"/>
      <c r="L191" s="1"/>
      <c r="M191" s="18">
        <v>0.24</v>
      </c>
      <c r="N191" s="18">
        <v>0.31</v>
      </c>
      <c r="O191" s="18">
        <v>0.69</v>
      </c>
      <c r="P191" s="18">
        <v>0.84</v>
      </c>
      <c r="Q191" s="157"/>
      <c r="R191" s="301">
        <v>376</v>
      </c>
      <c r="S191" s="158">
        <v>0.125</v>
      </c>
      <c r="T191" s="1">
        <v>8</v>
      </c>
      <c r="U191" s="280" t="str">
        <f t="shared" si="73"/>
        <v>Normal</v>
      </c>
      <c r="V191" s="280" t="str">
        <f t="shared" si="74"/>
        <v>Normal</v>
      </c>
      <c r="W191" s="361">
        <f t="shared" si="75"/>
        <v>-9.8737083811710674E-2</v>
      </c>
      <c r="X191" s="361">
        <f t="shared" si="76"/>
        <v>-2.8725314183123879E-2</v>
      </c>
      <c r="AN191" t="s">
        <v>120</v>
      </c>
      <c r="AO191" s="154">
        <f>AVERAGEIF($P$337:$P$367, "&lt;&gt;0")</f>
        <v>0.70080000000000009</v>
      </c>
    </row>
    <row r="192" spans="1:42">
      <c r="A192" s="405">
        <v>45207</v>
      </c>
      <c r="B192" s="406">
        <f>IF(YEAR(Table7[[#This Row],[Date]]) = 2023, WEEKNUM(Table7[[#This Row],[Date]])-13, WEEKNUM(Table7[[#This Row],[Date]])+40)</f>
        <v>28</v>
      </c>
      <c r="C192" s="296" t="s">
        <v>48</v>
      </c>
      <c r="D192" s="1" t="s">
        <v>94</v>
      </c>
      <c r="E192" s="1">
        <v>0</v>
      </c>
      <c r="F192" s="1">
        <v>0</v>
      </c>
      <c r="G192" s="80">
        <f t="shared" ref="G192:H192" si="137">IFERROR((E192-E185)/E185,0%)</f>
        <v>0</v>
      </c>
      <c r="H192" s="80">
        <f t="shared" si="137"/>
        <v>0</v>
      </c>
      <c r="I192" s="1">
        <v>0</v>
      </c>
      <c r="J192" s="1">
        <v>0</v>
      </c>
      <c r="K192" s="1">
        <v>0</v>
      </c>
      <c r="L192" s="1">
        <v>0</v>
      </c>
      <c r="M192" s="18">
        <v>0</v>
      </c>
      <c r="N192" s="18">
        <v>0</v>
      </c>
      <c r="O192" s="18">
        <v>0</v>
      </c>
      <c r="P192" s="18">
        <v>0</v>
      </c>
      <c r="Q192" s="157"/>
      <c r="R192" s="301">
        <v>0</v>
      </c>
      <c r="S192" s="158">
        <v>0</v>
      </c>
      <c r="T192" s="1">
        <v>0</v>
      </c>
      <c r="U192" s="280" t="str">
        <f t="shared" si="73"/>
        <v>Normal</v>
      </c>
      <c r="V192" s="280" t="str">
        <f t="shared" si="74"/>
        <v>Normal</v>
      </c>
      <c r="W192" s="361">
        <f t="shared" si="75"/>
        <v>0</v>
      </c>
      <c r="X192" s="361">
        <f t="shared" si="76"/>
        <v>0</v>
      </c>
      <c r="AN192" t="s">
        <v>7</v>
      </c>
      <c r="AO192" s="154" t="e">
        <f>AVERAGEIF($Q$228:$Q$233,"&lt;&gt;0")</f>
        <v>#DIV/0!</v>
      </c>
    </row>
    <row r="193" spans="1:42">
      <c r="A193" s="405">
        <v>45208</v>
      </c>
      <c r="B193" s="406">
        <f>IF(YEAR(Table7[[#This Row],[Date]]) = 2023, WEEKNUM(Table7[[#This Row],[Date]])-13, WEEKNUM(Table7[[#This Row],[Date]])+40)</f>
        <v>28</v>
      </c>
      <c r="C193" s="296" t="s">
        <v>49</v>
      </c>
      <c r="D193" s="1" t="s">
        <v>94</v>
      </c>
      <c r="E193" s="1">
        <v>961</v>
      </c>
      <c r="F193" s="1">
        <v>776</v>
      </c>
      <c r="G193" s="80">
        <f t="shared" ref="G193:H193" si="138">IFERROR((E193-E186)/E186,0%)</f>
        <v>-0.10438024231127679</v>
      </c>
      <c r="H193" s="80">
        <f t="shared" si="138"/>
        <v>-0.17709437963944857</v>
      </c>
      <c r="I193" s="1"/>
      <c r="J193" s="1"/>
      <c r="K193" s="1"/>
      <c r="L193" s="1"/>
      <c r="M193" s="18">
        <v>0.42</v>
      </c>
      <c r="N193" s="18">
        <v>0.19</v>
      </c>
      <c r="O193" s="18">
        <v>0.81</v>
      </c>
      <c r="P193" s="18">
        <v>0.91</v>
      </c>
      <c r="Q193" s="157"/>
      <c r="R193" s="301">
        <v>412</v>
      </c>
      <c r="S193" s="159">
        <v>7.1527777777777787E-2</v>
      </c>
      <c r="T193" s="1">
        <v>13</v>
      </c>
      <c r="U193" s="280" t="str">
        <f t="shared" si="73"/>
        <v>Normal</v>
      </c>
      <c r="V193" s="280" t="str">
        <f t="shared" si="74"/>
        <v>Normal</v>
      </c>
      <c r="W193" s="361">
        <f t="shared" si="75"/>
        <v>-0.10438024231127679</v>
      </c>
      <c r="X193" s="361">
        <f t="shared" si="76"/>
        <v>-0.17709437963944857</v>
      </c>
    </row>
    <row r="194" spans="1:42">
      <c r="A194" s="405">
        <v>45209</v>
      </c>
      <c r="B194" s="406">
        <f>IF(YEAR(Table7[[#This Row],[Date]]) = 2023, WEEKNUM(Table7[[#This Row],[Date]])-13, WEEKNUM(Table7[[#This Row],[Date]])+40)</f>
        <v>28</v>
      </c>
      <c r="C194" s="296" t="s">
        <v>50</v>
      </c>
      <c r="D194" s="1" t="s">
        <v>94</v>
      </c>
      <c r="E194" s="1">
        <v>1022</v>
      </c>
      <c r="F194" s="1">
        <v>866</v>
      </c>
      <c r="G194" s="80">
        <f t="shared" ref="G194:H194" si="139">IFERROR((E194-E187)/E187,0%)</f>
        <v>5.3608247422680409E-2</v>
      </c>
      <c r="H194" s="80">
        <f t="shared" si="139"/>
        <v>-4.7304730473047306E-2</v>
      </c>
      <c r="I194" s="1"/>
      <c r="J194" s="1"/>
      <c r="K194" s="1"/>
      <c r="L194" s="1"/>
      <c r="M194" s="18">
        <v>0.53</v>
      </c>
      <c r="N194" s="18">
        <v>0.15</v>
      </c>
      <c r="O194" s="18">
        <v>0.85</v>
      </c>
      <c r="P194" s="18">
        <v>0.82</v>
      </c>
      <c r="Q194" s="157"/>
      <c r="R194" s="301">
        <v>360</v>
      </c>
      <c r="S194" s="159">
        <v>5.5555555555555552E-2</v>
      </c>
      <c r="T194" s="1">
        <v>14</v>
      </c>
      <c r="U194" s="280" t="str">
        <f t="shared" si="73"/>
        <v>Normal</v>
      </c>
      <c r="V194" s="280" t="str">
        <f t="shared" si="74"/>
        <v>Normal</v>
      </c>
      <c r="W194" s="361">
        <f t="shared" si="75"/>
        <v>5.3608247422680409E-2</v>
      </c>
      <c r="X194" s="361">
        <f t="shared" si="76"/>
        <v>-4.7304730473047306E-2</v>
      </c>
    </row>
    <row r="195" spans="1:42">
      <c r="A195" s="405">
        <v>45210</v>
      </c>
      <c r="B195" s="406">
        <f>IF(YEAR(Table7[[#This Row],[Date]]) = 2023, WEEKNUM(Table7[[#This Row],[Date]])-13, WEEKNUM(Table7[[#This Row],[Date]])+40)</f>
        <v>28</v>
      </c>
      <c r="C195" s="296" t="s">
        <v>51</v>
      </c>
      <c r="D195" s="1" t="s">
        <v>94</v>
      </c>
      <c r="E195" s="1">
        <v>953</v>
      </c>
      <c r="F195" s="1">
        <v>876</v>
      </c>
      <c r="G195" s="80">
        <f t="shared" ref="G195:H195" si="140">IFERROR((E195-E188)/E188,0%)</f>
        <v>-1.8537590113285273E-2</v>
      </c>
      <c r="H195" s="80">
        <f t="shared" si="140"/>
        <v>0.2</v>
      </c>
      <c r="I195" s="1"/>
      <c r="J195" s="1"/>
      <c r="K195" s="1"/>
      <c r="L195" s="1"/>
      <c r="M195" s="120">
        <v>0.75</v>
      </c>
      <c r="N195" s="120">
        <v>0.08</v>
      </c>
      <c r="O195" s="120">
        <v>0.92</v>
      </c>
      <c r="P195" s="66">
        <v>0.8</v>
      </c>
      <c r="Q195" s="157"/>
      <c r="R195" s="301">
        <v>347</v>
      </c>
      <c r="S195" s="159">
        <v>2.0833333333333332E-2</v>
      </c>
      <c r="T195" s="1">
        <v>14</v>
      </c>
      <c r="U195" s="280" t="str">
        <f t="shared" ref="U195:U258" si="141">IF(OR(J195&lt;$AA$5,J195&gt;$AB$5), "Outlier", "Normal")</f>
        <v>Normal</v>
      </c>
      <c r="V195" s="280" t="str">
        <f t="shared" ref="V195:V258" si="142">IF(OR(K195&lt;$AA$6,K195&gt;$AB$6), "Outlier", "Normal")</f>
        <v>Normal</v>
      </c>
      <c r="W195" s="361">
        <f t="shared" ref="W195:W258" si="143">IF(U195="Normal",$G195,IF($G195&lt;150%, $G195, $AA$9))</f>
        <v>-1.8537590113285273E-2</v>
      </c>
      <c r="X195" s="361">
        <f t="shared" ref="X195:X258" si="144">IF(V195="Normal",$H195,IF($H195&lt;150%, $H195, $AE$9))</f>
        <v>0.2</v>
      </c>
    </row>
    <row r="196" spans="1:42">
      <c r="A196" s="405">
        <v>45211</v>
      </c>
      <c r="B196" s="406">
        <f>IF(YEAR(Table7[[#This Row],[Date]]) = 2023, WEEKNUM(Table7[[#This Row],[Date]])-13, WEEKNUM(Table7[[#This Row],[Date]])+40)</f>
        <v>28</v>
      </c>
      <c r="C196" s="296" t="s">
        <v>52</v>
      </c>
      <c r="D196" s="1" t="s">
        <v>94</v>
      </c>
      <c r="E196" s="1">
        <v>876</v>
      </c>
      <c r="F196" s="1">
        <v>784</v>
      </c>
      <c r="G196" s="80">
        <f t="shared" ref="G196:H196" si="145">IFERROR((E196-E189)/E189,0%)</f>
        <v>-7.2033898305084748E-2</v>
      </c>
      <c r="H196" s="80">
        <f t="shared" si="145"/>
        <v>4.6728971962616821E-2</v>
      </c>
      <c r="I196" s="1"/>
      <c r="J196" s="1"/>
      <c r="K196" s="1"/>
      <c r="L196" s="1"/>
      <c r="M196" s="18">
        <v>0.71</v>
      </c>
      <c r="N196" s="18">
        <v>0.11</v>
      </c>
      <c r="O196" s="18">
        <v>0.89</v>
      </c>
      <c r="P196" s="18">
        <v>0.87</v>
      </c>
      <c r="Q196" s="157"/>
      <c r="R196" s="301">
        <v>360</v>
      </c>
      <c r="S196" s="159">
        <v>2.8472222222222222E-2</v>
      </c>
      <c r="T196" s="1">
        <v>12</v>
      </c>
      <c r="U196" s="280" t="str">
        <f t="shared" si="141"/>
        <v>Normal</v>
      </c>
      <c r="V196" s="280" t="str">
        <f t="shared" si="142"/>
        <v>Normal</v>
      </c>
      <c r="W196" s="361">
        <f t="shared" si="143"/>
        <v>-7.2033898305084748E-2</v>
      </c>
      <c r="X196" s="361">
        <f t="shared" si="144"/>
        <v>4.6728971962616821E-2</v>
      </c>
      <c r="AJ196" s="47"/>
      <c r="AK196" s="47"/>
      <c r="AL196" s="47"/>
    </row>
    <row r="197" spans="1:42">
      <c r="A197" s="405">
        <v>45212</v>
      </c>
      <c r="B197" s="406">
        <f>IF(YEAR(Table7[[#This Row],[Date]]) = 2023, WEEKNUM(Table7[[#This Row],[Date]])-13, WEEKNUM(Table7[[#This Row],[Date]])+40)</f>
        <v>28</v>
      </c>
      <c r="C197" s="296" t="s">
        <v>53</v>
      </c>
      <c r="D197" s="1" t="s">
        <v>94</v>
      </c>
      <c r="E197" s="1">
        <v>902</v>
      </c>
      <c r="F197" s="1">
        <v>737</v>
      </c>
      <c r="G197" s="80">
        <f t="shared" ref="G197:H197" si="146">IFERROR((E197-E190)/E190,0%)</f>
        <v>-1.3129102844638949E-2</v>
      </c>
      <c r="H197" s="80">
        <f t="shared" si="146"/>
        <v>0.23657718120805368</v>
      </c>
      <c r="I197" s="1"/>
      <c r="J197" s="1"/>
      <c r="K197" s="1"/>
      <c r="L197" s="1"/>
      <c r="M197" s="18">
        <v>0.61</v>
      </c>
      <c r="N197" s="18">
        <v>0.18</v>
      </c>
      <c r="O197" s="18">
        <v>0.82</v>
      </c>
      <c r="P197" s="18">
        <v>0.82</v>
      </c>
      <c r="Q197" s="157"/>
      <c r="R197" s="301">
        <v>330</v>
      </c>
      <c r="S197" s="159">
        <v>5.1388888888888894E-2</v>
      </c>
      <c r="T197" s="1">
        <v>11</v>
      </c>
      <c r="U197" s="280" t="str">
        <f t="shared" si="141"/>
        <v>Normal</v>
      </c>
      <c r="V197" s="280" t="str">
        <f t="shared" si="142"/>
        <v>Normal</v>
      </c>
      <c r="W197" s="361">
        <f t="shared" si="143"/>
        <v>-1.3129102844638949E-2</v>
      </c>
      <c r="X197" s="361">
        <f t="shared" si="144"/>
        <v>0.23657718120805368</v>
      </c>
    </row>
    <row r="198" spans="1:42">
      <c r="A198" s="405">
        <v>45213</v>
      </c>
      <c r="B198" s="406">
        <f>IF(YEAR(Table7[[#This Row],[Date]]) = 2023, WEEKNUM(Table7[[#This Row],[Date]])-13, WEEKNUM(Table7[[#This Row],[Date]])+40)</f>
        <v>28</v>
      </c>
      <c r="C198" s="296" t="s">
        <v>54</v>
      </c>
      <c r="D198" s="1" t="s">
        <v>94</v>
      </c>
      <c r="E198" s="1">
        <v>744</v>
      </c>
      <c r="F198" s="1">
        <v>584</v>
      </c>
      <c r="G198" s="80">
        <f t="shared" ref="G198:H198" si="147">IFERROR((E198-E191)/E191,0%)</f>
        <v>-5.2229299363057327E-2</v>
      </c>
      <c r="H198" s="80">
        <f t="shared" si="147"/>
        <v>7.9482439926062853E-2</v>
      </c>
      <c r="I198" s="1"/>
      <c r="J198" s="1"/>
      <c r="K198" s="1"/>
      <c r="L198" s="1"/>
      <c r="M198" s="18">
        <v>0.49</v>
      </c>
      <c r="N198" s="18">
        <v>0.22</v>
      </c>
      <c r="O198" s="18">
        <v>0.78</v>
      </c>
      <c r="P198" s="18">
        <v>0.89</v>
      </c>
      <c r="Q198" s="157"/>
      <c r="R198" s="301">
        <v>328</v>
      </c>
      <c r="S198" s="159">
        <v>6.25E-2</v>
      </c>
      <c r="T198" s="1">
        <v>8</v>
      </c>
      <c r="U198" s="280" t="str">
        <f t="shared" si="141"/>
        <v>Normal</v>
      </c>
      <c r="V198" s="280" t="str">
        <f t="shared" si="142"/>
        <v>Normal</v>
      </c>
      <c r="W198" s="361">
        <f t="shared" si="143"/>
        <v>-5.2229299363057327E-2</v>
      </c>
      <c r="X198" s="361">
        <f t="shared" si="144"/>
        <v>7.9482439926062853E-2</v>
      </c>
      <c r="AO198" t="s">
        <v>121</v>
      </c>
    </row>
    <row r="199" spans="1:42">
      <c r="A199" s="405">
        <v>45214</v>
      </c>
      <c r="B199" s="406">
        <f>IF(YEAR(Table7[[#This Row],[Date]]) = 2023, WEEKNUM(Table7[[#This Row],[Date]])-13, WEEKNUM(Table7[[#This Row],[Date]])+40)</f>
        <v>29</v>
      </c>
      <c r="C199" s="296" t="s">
        <v>48</v>
      </c>
      <c r="D199" s="1" t="s">
        <v>94</v>
      </c>
      <c r="E199" s="1">
        <v>0</v>
      </c>
      <c r="F199" s="1">
        <v>0</v>
      </c>
      <c r="G199" s="80">
        <f t="shared" ref="G199:H199" si="148">IFERROR((E199-E192)/E192,0%)</f>
        <v>0</v>
      </c>
      <c r="H199" s="80">
        <f t="shared" si="148"/>
        <v>0</v>
      </c>
      <c r="I199" s="1">
        <v>0</v>
      </c>
      <c r="J199" s="1">
        <v>0</v>
      </c>
      <c r="K199" s="1">
        <v>0</v>
      </c>
      <c r="L199" s="1">
        <v>0</v>
      </c>
      <c r="M199" s="18">
        <v>0</v>
      </c>
      <c r="N199" s="18">
        <v>0</v>
      </c>
      <c r="O199" s="18">
        <v>0</v>
      </c>
      <c r="P199" s="18">
        <v>0</v>
      </c>
      <c r="Q199" s="157"/>
      <c r="R199" s="301">
        <v>0</v>
      </c>
      <c r="S199" s="158">
        <v>0</v>
      </c>
      <c r="T199" s="1">
        <v>0</v>
      </c>
      <c r="U199" s="280" t="str">
        <f t="shared" si="141"/>
        <v>Normal</v>
      </c>
      <c r="V199" s="280" t="str">
        <f t="shared" si="142"/>
        <v>Normal</v>
      </c>
      <c r="W199" s="361">
        <f t="shared" si="143"/>
        <v>0</v>
      </c>
      <c r="X199" s="361">
        <f t="shared" si="144"/>
        <v>0</v>
      </c>
    </row>
    <row r="200" spans="1:42">
      <c r="A200" s="405">
        <v>45215</v>
      </c>
      <c r="B200" s="406">
        <f>IF(YEAR(Table7[[#This Row],[Date]]) = 2023, WEEKNUM(Table7[[#This Row],[Date]])-13, WEEKNUM(Table7[[#This Row],[Date]])+40)</f>
        <v>29</v>
      </c>
      <c r="C200" s="296" t="s">
        <v>64</v>
      </c>
      <c r="D200" s="1" t="s">
        <v>94</v>
      </c>
      <c r="E200" s="1">
        <v>0</v>
      </c>
      <c r="F200" s="1">
        <v>0</v>
      </c>
      <c r="G200" s="80">
        <v>0</v>
      </c>
      <c r="H200" s="80">
        <v>0</v>
      </c>
      <c r="I200" s="1">
        <v>0</v>
      </c>
      <c r="J200" s="1">
        <v>0</v>
      </c>
      <c r="K200" s="1">
        <v>0</v>
      </c>
      <c r="L200" s="1">
        <v>0</v>
      </c>
      <c r="M200" s="18">
        <v>0</v>
      </c>
      <c r="N200" s="18">
        <v>0</v>
      </c>
      <c r="O200" s="18">
        <v>0</v>
      </c>
      <c r="P200" s="18">
        <v>0</v>
      </c>
      <c r="Q200" s="157"/>
      <c r="R200" s="301">
        <v>0</v>
      </c>
      <c r="S200" s="158">
        <v>0</v>
      </c>
      <c r="T200" s="1">
        <v>0</v>
      </c>
      <c r="U200" s="280" t="str">
        <f t="shared" si="141"/>
        <v>Normal</v>
      </c>
      <c r="V200" s="280" t="str">
        <f t="shared" si="142"/>
        <v>Normal</v>
      </c>
      <c r="W200" s="361">
        <f t="shared" si="143"/>
        <v>0</v>
      </c>
      <c r="X200" s="361">
        <f t="shared" si="144"/>
        <v>0</v>
      </c>
    </row>
    <row r="201" spans="1:42" s="47" customFormat="1">
      <c r="A201" s="405">
        <v>45216</v>
      </c>
      <c r="B201" s="406">
        <f>IF(YEAR(Table7[[#This Row],[Date]]) = 2023, WEEKNUM(Table7[[#This Row],[Date]])-13, WEEKNUM(Table7[[#This Row],[Date]])+40)</f>
        <v>29</v>
      </c>
      <c r="C201" s="296" t="s">
        <v>50</v>
      </c>
      <c r="D201" s="1" t="s">
        <v>94</v>
      </c>
      <c r="E201" s="1">
        <v>1142</v>
      </c>
      <c r="F201" s="1">
        <v>960</v>
      </c>
      <c r="G201" s="80">
        <f t="shared" ref="G201:H201" si="149">IFERROR((E201-E194)/E194,0%)</f>
        <v>0.11741682974559686</v>
      </c>
      <c r="H201" s="80">
        <f t="shared" si="149"/>
        <v>0.10854503464203233</v>
      </c>
      <c r="I201" s="1"/>
      <c r="J201" s="1"/>
      <c r="K201" s="1"/>
      <c r="L201" s="1"/>
      <c r="M201" s="18">
        <v>0.53</v>
      </c>
      <c r="N201" s="18">
        <v>0.16</v>
      </c>
      <c r="O201" s="18">
        <v>0.84</v>
      </c>
      <c r="P201" s="18">
        <v>0.75</v>
      </c>
      <c r="Q201" s="157"/>
      <c r="R201" s="301">
        <v>360</v>
      </c>
      <c r="S201" s="159">
        <v>5.9722222222222225E-2</v>
      </c>
      <c r="T201" s="1">
        <v>17</v>
      </c>
      <c r="U201" s="280" t="str">
        <f t="shared" si="141"/>
        <v>Normal</v>
      </c>
      <c r="V201" s="280" t="str">
        <f t="shared" si="142"/>
        <v>Normal</v>
      </c>
      <c r="W201" s="361">
        <f t="shared" si="143"/>
        <v>0.11741682974559686</v>
      </c>
      <c r="X201" s="361">
        <f t="shared" si="144"/>
        <v>0.10854503464203233</v>
      </c>
      <c r="AJ201"/>
      <c r="AK201"/>
      <c r="AL201"/>
      <c r="AN201"/>
      <c r="AO201"/>
      <c r="AP201"/>
    </row>
    <row r="202" spans="1:42">
      <c r="A202" s="405">
        <v>45217</v>
      </c>
      <c r="B202" s="406">
        <f>IF(YEAR(Table7[[#This Row],[Date]]) = 2023, WEEKNUM(Table7[[#This Row],[Date]])-13, WEEKNUM(Table7[[#This Row],[Date]])+40)</f>
        <v>29</v>
      </c>
      <c r="C202" s="296" t="s">
        <v>51</v>
      </c>
      <c r="D202" s="1" t="s">
        <v>94</v>
      </c>
      <c r="E202" s="1">
        <v>1070</v>
      </c>
      <c r="F202" s="1">
        <v>923</v>
      </c>
      <c r="G202" s="80">
        <f t="shared" ref="G202:H202" si="150">IFERROR((E202-E195)/E195,0%)</f>
        <v>0.12277019937040923</v>
      </c>
      <c r="H202" s="80">
        <f t="shared" si="150"/>
        <v>5.3652968036529677E-2</v>
      </c>
      <c r="I202" s="1"/>
      <c r="J202" s="1"/>
      <c r="K202" s="1"/>
      <c r="L202" s="1"/>
      <c r="M202" s="18">
        <v>0.66</v>
      </c>
      <c r="N202" s="18">
        <v>0.14000000000000001</v>
      </c>
      <c r="O202" s="18">
        <v>0.86</v>
      </c>
      <c r="P202" s="18">
        <v>0.88</v>
      </c>
      <c r="Q202" s="157"/>
      <c r="R202" s="301">
        <v>360</v>
      </c>
      <c r="S202" s="159">
        <v>4.1666666666666664E-2</v>
      </c>
      <c r="T202" s="1">
        <v>14</v>
      </c>
      <c r="U202" s="280" t="str">
        <f t="shared" si="141"/>
        <v>Normal</v>
      </c>
      <c r="V202" s="280" t="str">
        <f t="shared" si="142"/>
        <v>Normal</v>
      </c>
      <c r="W202" s="361">
        <f t="shared" si="143"/>
        <v>0.12277019937040923</v>
      </c>
      <c r="X202" s="361">
        <f t="shared" si="144"/>
        <v>5.3652968036529677E-2</v>
      </c>
    </row>
    <row r="203" spans="1:42">
      <c r="A203" s="405">
        <v>45218</v>
      </c>
      <c r="B203" s="406">
        <f>IF(YEAR(Table7[[#This Row],[Date]]) = 2023, WEEKNUM(Table7[[#This Row],[Date]])-13, WEEKNUM(Table7[[#This Row],[Date]])+40)</f>
        <v>29</v>
      </c>
      <c r="C203" s="296" t="s">
        <v>52</v>
      </c>
      <c r="D203" s="1" t="s">
        <v>94</v>
      </c>
      <c r="E203" s="1">
        <v>1132</v>
      </c>
      <c r="F203" s="1">
        <v>753</v>
      </c>
      <c r="G203" s="80">
        <f t="shared" ref="G203:H203" si="151">IFERROR((E203-E196)/E196,0%)</f>
        <v>0.29223744292237441</v>
      </c>
      <c r="H203" s="80">
        <f t="shared" si="151"/>
        <v>-3.9540816326530615E-2</v>
      </c>
      <c r="I203" s="1"/>
      <c r="J203" s="1"/>
      <c r="K203" s="1"/>
      <c r="L203" s="1"/>
      <c r="M203" s="18">
        <v>0.24</v>
      </c>
      <c r="N203" s="18">
        <v>0.33</v>
      </c>
      <c r="O203" s="18">
        <v>0.67</v>
      </c>
      <c r="P203" s="18">
        <v>0.8</v>
      </c>
      <c r="Q203" s="157"/>
      <c r="R203" s="301">
        <v>343</v>
      </c>
      <c r="S203" s="159">
        <v>0.125</v>
      </c>
      <c r="T203" s="1">
        <v>12</v>
      </c>
      <c r="U203" s="280" t="str">
        <f t="shared" si="141"/>
        <v>Normal</v>
      </c>
      <c r="V203" s="280" t="str">
        <f t="shared" si="142"/>
        <v>Normal</v>
      </c>
      <c r="W203" s="361">
        <f t="shared" si="143"/>
        <v>0.29223744292237441</v>
      </c>
      <c r="X203" s="361">
        <f t="shared" si="144"/>
        <v>-3.9540816326530615E-2</v>
      </c>
    </row>
    <row r="204" spans="1:42">
      <c r="A204" s="405">
        <v>45219</v>
      </c>
      <c r="B204" s="406">
        <f>IF(YEAR(Table7[[#This Row],[Date]]) = 2023, WEEKNUM(Table7[[#This Row],[Date]])-13, WEEKNUM(Table7[[#This Row],[Date]])+40)</f>
        <v>29</v>
      </c>
      <c r="C204" s="296" t="s">
        <v>53</v>
      </c>
      <c r="D204" s="1" t="s">
        <v>94</v>
      </c>
      <c r="E204" s="1">
        <v>1114</v>
      </c>
      <c r="F204" s="1">
        <v>970</v>
      </c>
      <c r="G204" s="80">
        <f t="shared" ref="G204:H204" si="152">IFERROR((E204-E197)/E197,0%)</f>
        <v>0.23503325942350334</v>
      </c>
      <c r="H204" s="80">
        <f t="shared" si="152"/>
        <v>0.31614654002713705</v>
      </c>
      <c r="I204" s="1"/>
      <c r="J204" s="1"/>
      <c r="K204" s="1"/>
      <c r="L204" s="1"/>
      <c r="M204" s="18">
        <v>0.9</v>
      </c>
      <c r="N204" s="18">
        <v>0.04</v>
      </c>
      <c r="O204" s="18">
        <v>0.96</v>
      </c>
      <c r="P204" s="18">
        <v>0.86</v>
      </c>
      <c r="Q204" s="157"/>
      <c r="R204" s="301">
        <v>313</v>
      </c>
      <c r="S204" s="159">
        <v>5.2777777777777778E-2</v>
      </c>
      <c r="T204" s="1">
        <v>13</v>
      </c>
      <c r="U204" s="280" t="str">
        <f t="shared" si="141"/>
        <v>Normal</v>
      </c>
      <c r="V204" s="280" t="str">
        <f t="shared" si="142"/>
        <v>Normal</v>
      </c>
      <c r="W204" s="361">
        <f t="shared" si="143"/>
        <v>0.23503325942350334</v>
      </c>
      <c r="X204" s="361">
        <f t="shared" si="144"/>
        <v>0.31614654002713705</v>
      </c>
    </row>
    <row r="205" spans="1:42">
      <c r="A205" s="405">
        <v>45220</v>
      </c>
      <c r="B205" s="406">
        <f>IF(YEAR(Table7[[#This Row],[Date]]) = 2023, WEEKNUM(Table7[[#This Row],[Date]])-13, WEEKNUM(Table7[[#This Row],[Date]])+40)</f>
        <v>29</v>
      </c>
      <c r="C205" s="296" t="s">
        <v>54</v>
      </c>
      <c r="D205" s="1" t="s">
        <v>94</v>
      </c>
      <c r="E205" s="1">
        <v>942</v>
      </c>
      <c r="F205" s="1">
        <v>711</v>
      </c>
      <c r="G205" s="80">
        <f t="shared" ref="G205:H205" si="153">IFERROR((E205-E198)/E198,0%)</f>
        <v>0.2661290322580645</v>
      </c>
      <c r="H205" s="80">
        <f t="shared" si="153"/>
        <v>0.21746575342465754</v>
      </c>
      <c r="I205" s="1"/>
      <c r="J205" s="1"/>
      <c r="K205" s="1"/>
      <c r="L205" s="1"/>
      <c r="M205" s="18">
        <v>0.35</v>
      </c>
      <c r="N205" s="18">
        <v>0.25</v>
      </c>
      <c r="O205" s="18">
        <v>0.75</v>
      </c>
      <c r="P205" s="18">
        <v>0.96</v>
      </c>
      <c r="Q205" s="157"/>
      <c r="R205" s="301">
        <v>328</v>
      </c>
      <c r="S205" s="159">
        <v>8.3333333333333329E-2</v>
      </c>
      <c r="T205" s="1">
        <v>9</v>
      </c>
      <c r="U205" s="280" t="str">
        <f t="shared" si="141"/>
        <v>Normal</v>
      </c>
      <c r="V205" s="280" t="str">
        <f t="shared" si="142"/>
        <v>Normal</v>
      </c>
      <c r="W205" s="361">
        <f t="shared" si="143"/>
        <v>0.2661290322580645</v>
      </c>
      <c r="X205" s="361">
        <f t="shared" si="144"/>
        <v>0.21746575342465754</v>
      </c>
    </row>
    <row r="206" spans="1:42">
      <c r="A206" s="405">
        <v>45221</v>
      </c>
      <c r="B206" s="406">
        <f>IF(YEAR(Table7[[#This Row],[Date]]) = 2023, WEEKNUM(Table7[[#This Row],[Date]])-13, WEEKNUM(Table7[[#This Row],[Date]])+40)</f>
        <v>30</v>
      </c>
      <c r="C206" s="296" t="s">
        <v>48</v>
      </c>
      <c r="D206" s="1" t="s">
        <v>94</v>
      </c>
      <c r="E206" s="1">
        <v>0</v>
      </c>
      <c r="F206" s="1">
        <v>0</v>
      </c>
      <c r="G206" s="80">
        <f t="shared" ref="G206:H206" si="154">IFERROR((E206-E199)/E199,0%)</f>
        <v>0</v>
      </c>
      <c r="H206" s="80">
        <f t="shared" si="154"/>
        <v>0</v>
      </c>
      <c r="I206" s="1">
        <v>0</v>
      </c>
      <c r="J206" s="1">
        <v>0</v>
      </c>
      <c r="K206" s="1">
        <v>0</v>
      </c>
      <c r="L206" s="1">
        <v>0</v>
      </c>
      <c r="M206" s="18">
        <v>0</v>
      </c>
      <c r="N206" s="18">
        <v>0</v>
      </c>
      <c r="O206" s="18">
        <v>0</v>
      </c>
      <c r="P206" s="18">
        <v>0</v>
      </c>
      <c r="Q206" s="157"/>
      <c r="R206" s="301">
        <v>0</v>
      </c>
      <c r="S206" s="158">
        <v>0</v>
      </c>
      <c r="T206" s="1">
        <v>0</v>
      </c>
      <c r="U206" s="280" t="str">
        <f t="shared" si="141"/>
        <v>Normal</v>
      </c>
      <c r="V206" s="280" t="str">
        <f t="shared" si="142"/>
        <v>Normal</v>
      </c>
      <c r="W206" s="361">
        <f t="shared" si="143"/>
        <v>0</v>
      </c>
      <c r="X206" s="361">
        <f t="shared" si="144"/>
        <v>0</v>
      </c>
      <c r="AN206" s="47"/>
      <c r="AO206" s="47"/>
      <c r="AP206" s="47"/>
    </row>
    <row r="207" spans="1:42">
      <c r="A207" s="405">
        <v>45222</v>
      </c>
      <c r="B207" s="406">
        <f>IF(YEAR(Table7[[#This Row],[Date]]) = 2023, WEEKNUM(Table7[[#This Row],[Date]])-13, WEEKNUM(Table7[[#This Row],[Date]])+40)</f>
        <v>30</v>
      </c>
      <c r="C207" s="296" t="s">
        <v>49</v>
      </c>
      <c r="D207" s="1" t="s">
        <v>94</v>
      </c>
      <c r="E207" s="1">
        <v>1110</v>
      </c>
      <c r="F207" s="1">
        <v>1067</v>
      </c>
      <c r="G207" s="80">
        <f t="shared" ref="G207:H207" si="155">IFERROR((E207-E200)/E200,0%)</f>
        <v>0</v>
      </c>
      <c r="H207" s="80">
        <f t="shared" si="155"/>
        <v>0</v>
      </c>
      <c r="I207" s="1"/>
      <c r="J207" s="1"/>
      <c r="K207" s="1"/>
      <c r="L207" s="1"/>
      <c r="M207" s="18">
        <v>0.9</v>
      </c>
      <c r="N207" s="18">
        <v>0.04</v>
      </c>
      <c r="O207" s="18">
        <v>0.96</v>
      </c>
      <c r="P207" s="18">
        <v>0.67</v>
      </c>
      <c r="Q207" s="157"/>
      <c r="R207" s="301">
        <v>306</v>
      </c>
      <c r="S207" s="159">
        <v>1.2499999999999999E-2</v>
      </c>
      <c r="T207" s="1">
        <v>18</v>
      </c>
      <c r="U207" s="280" t="str">
        <f t="shared" si="141"/>
        <v>Normal</v>
      </c>
      <c r="V207" s="280" t="str">
        <f t="shared" si="142"/>
        <v>Normal</v>
      </c>
      <c r="W207" s="361">
        <f t="shared" si="143"/>
        <v>0</v>
      </c>
      <c r="X207" s="361">
        <f t="shared" si="144"/>
        <v>0</v>
      </c>
    </row>
    <row r="208" spans="1:42">
      <c r="A208" s="405">
        <v>45223</v>
      </c>
      <c r="B208" s="406">
        <f>IF(YEAR(Table7[[#This Row],[Date]]) = 2023, WEEKNUM(Table7[[#This Row],[Date]])-13, WEEKNUM(Table7[[#This Row],[Date]])+40)</f>
        <v>30</v>
      </c>
      <c r="C208" s="296" t="s">
        <v>50</v>
      </c>
      <c r="D208" s="1" t="s">
        <v>94</v>
      </c>
      <c r="E208" s="1">
        <v>1102</v>
      </c>
      <c r="F208" s="1">
        <v>1021</v>
      </c>
      <c r="G208" s="80">
        <f t="shared" ref="G208:H208" si="156">IFERROR((E208-E201)/E201,0%)</f>
        <v>-3.5026269702276708E-2</v>
      </c>
      <c r="H208" s="80">
        <f t="shared" si="156"/>
        <v>6.3541666666666663E-2</v>
      </c>
      <c r="I208" s="1"/>
      <c r="J208" s="1"/>
      <c r="K208" s="1"/>
      <c r="L208" s="1"/>
      <c r="M208" s="18">
        <v>0.82</v>
      </c>
      <c r="N208" s="18">
        <v>7.0000000000000007E-2</v>
      </c>
      <c r="O208" s="18">
        <v>0.93</v>
      </c>
      <c r="P208" s="18">
        <v>0.56999999999999995</v>
      </c>
      <c r="Q208" s="157"/>
      <c r="R208" s="301">
        <v>300</v>
      </c>
      <c r="S208" s="158">
        <v>3.2638888888888891E-2</v>
      </c>
      <c r="T208" s="1">
        <v>20</v>
      </c>
      <c r="U208" s="280" t="str">
        <f t="shared" si="141"/>
        <v>Normal</v>
      </c>
      <c r="V208" s="280" t="str">
        <f t="shared" si="142"/>
        <v>Normal</v>
      </c>
      <c r="W208" s="361">
        <f t="shared" si="143"/>
        <v>-3.5026269702276708E-2</v>
      </c>
      <c r="X208" s="361">
        <f t="shared" si="144"/>
        <v>6.3541666666666663E-2</v>
      </c>
    </row>
    <row r="209" spans="1:42">
      <c r="A209" s="405">
        <v>45224</v>
      </c>
      <c r="B209" s="406">
        <f>IF(YEAR(Table7[[#This Row],[Date]]) = 2023, WEEKNUM(Table7[[#This Row],[Date]])-13, WEEKNUM(Table7[[#This Row],[Date]])+40)</f>
        <v>30</v>
      </c>
      <c r="C209" s="296" t="s">
        <v>51</v>
      </c>
      <c r="D209" s="1" t="s">
        <v>94</v>
      </c>
      <c r="E209" s="1">
        <v>1198</v>
      </c>
      <c r="F209" s="1">
        <v>1003</v>
      </c>
      <c r="G209" s="80">
        <f t="shared" ref="G209:H209" si="157">IFERROR((E209-E202)/E202,0%)</f>
        <v>0.11962616822429907</v>
      </c>
      <c r="H209" s="80">
        <f t="shared" si="157"/>
        <v>8.6673889490790898E-2</v>
      </c>
      <c r="I209" s="1"/>
      <c r="J209" s="1"/>
      <c r="K209" s="1"/>
      <c r="L209" s="1"/>
      <c r="M209" s="18">
        <v>0.51</v>
      </c>
      <c r="N209" s="18">
        <v>0.16</v>
      </c>
      <c r="O209" s="18">
        <v>0.84</v>
      </c>
      <c r="P209" s="18">
        <v>0.7</v>
      </c>
      <c r="Q209" s="157"/>
      <c r="R209" s="301">
        <v>300</v>
      </c>
      <c r="S209" s="158">
        <v>4.1666666666666664E-2</v>
      </c>
      <c r="T209" s="1">
        <v>16</v>
      </c>
      <c r="U209" s="280" t="str">
        <f t="shared" si="141"/>
        <v>Normal</v>
      </c>
      <c r="V209" s="280" t="str">
        <f t="shared" si="142"/>
        <v>Normal</v>
      </c>
      <c r="W209" s="361">
        <f t="shared" si="143"/>
        <v>0.11962616822429907</v>
      </c>
      <c r="X209" s="361">
        <f t="shared" si="144"/>
        <v>8.6673889490790898E-2</v>
      </c>
    </row>
    <row r="210" spans="1:42">
      <c r="A210" s="405">
        <v>45225</v>
      </c>
      <c r="B210" s="406">
        <f>IF(YEAR(Table7[[#This Row],[Date]]) = 2023, WEEKNUM(Table7[[#This Row],[Date]])-13, WEEKNUM(Table7[[#This Row],[Date]])+40)</f>
        <v>30</v>
      </c>
      <c r="C210" s="296" t="s">
        <v>52</v>
      </c>
      <c r="D210" s="1" t="s">
        <v>94</v>
      </c>
      <c r="E210" s="1">
        <v>1074</v>
      </c>
      <c r="F210" s="1">
        <v>973</v>
      </c>
      <c r="G210" s="80">
        <f t="shared" ref="G210:H210" si="158">IFERROR((E210-E203)/E203,0%)</f>
        <v>-5.1236749116607777E-2</v>
      </c>
      <c r="H210" s="80">
        <f t="shared" si="158"/>
        <v>0.29216467463479417</v>
      </c>
      <c r="I210" s="1"/>
      <c r="J210" s="1"/>
      <c r="K210" s="1"/>
      <c r="L210" s="1"/>
      <c r="M210" s="18">
        <v>0.7</v>
      </c>
      <c r="N210" s="18">
        <v>0.09</v>
      </c>
      <c r="O210" s="18">
        <v>0.91</v>
      </c>
      <c r="P210" s="18">
        <v>0.68</v>
      </c>
      <c r="Q210" s="157"/>
      <c r="R210" s="301">
        <v>321</v>
      </c>
      <c r="S210" s="158">
        <v>2.5694444444444447E-2</v>
      </c>
      <c r="T210" s="1">
        <v>17</v>
      </c>
      <c r="U210" s="280" t="str">
        <f t="shared" si="141"/>
        <v>Normal</v>
      </c>
      <c r="V210" s="280" t="str">
        <f t="shared" si="142"/>
        <v>Normal</v>
      </c>
      <c r="W210" s="361">
        <f t="shared" si="143"/>
        <v>-5.1236749116607777E-2</v>
      </c>
      <c r="X210" s="361">
        <f t="shared" si="144"/>
        <v>0.29216467463479417</v>
      </c>
      <c r="AJ210" s="48"/>
      <c r="AK210" s="48"/>
      <c r="AL210" s="48"/>
    </row>
    <row r="211" spans="1:42">
      <c r="A211" s="405">
        <v>45226</v>
      </c>
      <c r="B211" s="406">
        <f>IF(YEAR(Table7[[#This Row],[Date]]) = 2023, WEEKNUM(Table7[[#This Row],[Date]])-13, WEEKNUM(Table7[[#This Row],[Date]])+40)</f>
        <v>30</v>
      </c>
      <c r="C211" s="296" t="s">
        <v>53</v>
      </c>
      <c r="D211" s="1" t="s">
        <v>94</v>
      </c>
      <c r="E211" s="1">
        <v>1080</v>
      </c>
      <c r="F211" s="1">
        <v>966</v>
      </c>
      <c r="G211" s="80">
        <f t="shared" ref="G211:H211" si="159">IFERROR((E211-E204)/E204,0%)</f>
        <v>-3.052064631956912E-2</v>
      </c>
      <c r="H211" s="80">
        <f t="shared" si="159"/>
        <v>-4.1237113402061857E-3</v>
      </c>
      <c r="I211" s="1"/>
      <c r="J211" s="1"/>
      <c r="K211" s="1"/>
      <c r="L211" s="1"/>
      <c r="M211" s="18">
        <v>0.64</v>
      </c>
      <c r="N211" s="18">
        <v>0.11</v>
      </c>
      <c r="O211" s="18">
        <v>0.89</v>
      </c>
      <c r="P211" s="18">
        <v>0.68</v>
      </c>
      <c r="Q211" s="157"/>
      <c r="R211" s="301">
        <v>325</v>
      </c>
      <c r="S211" s="158">
        <v>3.5416666666666666E-2</v>
      </c>
      <c r="T211" s="1">
        <v>17</v>
      </c>
      <c r="U211" s="280" t="str">
        <f t="shared" si="141"/>
        <v>Normal</v>
      </c>
      <c r="V211" s="280" t="str">
        <f t="shared" si="142"/>
        <v>Normal</v>
      </c>
      <c r="W211" s="361">
        <f t="shared" si="143"/>
        <v>-3.052064631956912E-2</v>
      </c>
      <c r="X211" s="361">
        <f t="shared" si="144"/>
        <v>-4.1237113402061857E-3</v>
      </c>
    </row>
    <row r="212" spans="1:42">
      <c r="A212" s="405">
        <v>45227</v>
      </c>
      <c r="B212" s="406">
        <f>IF(YEAR(Table7[[#This Row],[Date]]) = 2023, WEEKNUM(Table7[[#This Row],[Date]])-13, WEEKNUM(Table7[[#This Row],[Date]])+40)</f>
        <v>30</v>
      </c>
      <c r="C212" s="296" t="s">
        <v>54</v>
      </c>
      <c r="D212" s="1" t="s">
        <v>94</v>
      </c>
      <c r="E212" s="1">
        <v>977</v>
      </c>
      <c r="F212" s="1">
        <v>697</v>
      </c>
      <c r="G212" s="80">
        <f t="shared" ref="G212:H212" si="160">IFERROR((E212-E205)/E205,0%)</f>
        <v>3.7154989384288746E-2</v>
      </c>
      <c r="H212" s="80">
        <f t="shared" si="160"/>
        <v>-1.969057665260197E-2</v>
      </c>
      <c r="I212" s="1"/>
      <c r="J212" s="1"/>
      <c r="K212" s="1"/>
      <c r="L212" s="1"/>
      <c r="M212" s="18">
        <v>0.41</v>
      </c>
      <c r="N212" s="18">
        <v>0.39</v>
      </c>
      <c r="O212" s="18">
        <v>0.61</v>
      </c>
      <c r="P212" s="18">
        <v>0.25</v>
      </c>
      <c r="Q212" s="157"/>
      <c r="R212" s="301">
        <v>339</v>
      </c>
      <c r="S212" s="158">
        <v>0.125</v>
      </c>
      <c r="T212" s="1">
        <v>12</v>
      </c>
      <c r="U212" s="280" t="str">
        <f t="shared" si="141"/>
        <v>Normal</v>
      </c>
      <c r="V212" s="280" t="str">
        <f t="shared" si="142"/>
        <v>Normal</v>
      </c>
      <c r="W212" s="361">
        <f t="shared" si="143"/>
        <v>3.7154989384288746E-2</v>
      </c>
      <c r="X212" s="361">
        <f t="shared" si="144"/>
        <v>-1.969057665260197E-2</v>
      </c>
      <c r="AN212" s="48"/>
      <c r="AO212" s="48"/>
      <c r="AP212" s="48"/>
    </row>
    <row r="213" spans="1:42">
      <c r="A213" s="405">
        <v>45228</v>
      </c>
      <c r="B213" s="406">
        <f>IF(YEAR(Table7[[#This Row],[Date]]) = 2023, WEEKNUM(Table7[[#This Row],[Date]])-13, WEEKNUM(Table7[[#This Row],[Date]])+40)</f>
        <v>31</v>
      </c>
      <c r="C213" s="296" t="s">
        <v>48</v>
      </c>
      <c r="D213" s="1" t="s">
        <v>94</v>
      </c>
      <c r="E213" s="1">
        <v>0</v>
      </c>
      <c r="F213" s="1">
        <v>0</v>
      </c>
      <c r="G213" s="80">
        <f t="shared" ref="G213:H213" si="161">IFERROR((E213-E206)/E206,0%)</f>
        <v>0</v>
      </c>
      <c r="H213" s="80">
        <f t="shared" si="161"/>
        <v>0</v>
      </c>
      <c r="I213" s="1">
        <v>0</v>
      </c>
      <c r="J213" s="1">
        <v>0</v>
      </c>
      <c r="K213" s="1">
        <v>0</v>
      </c>
      <c r="L213" s="1">
        <v>0</v>
      </c>
      <c r="M213" s="18">
        <v>0</v>
      </c>
      <c r="N213" s="18">
        <v>0</v>
      </c>
      <c r="O213" s="18">
        <v>0</v>
      </c>
      <c r="P213" s="18">
        <v>0</v>
      </c>
      <c r="Q213" s="157"/>
      <c r="R213" s="301">
        <v>0</v>
      </c>
      <c r="S213" s="158">
        <v>0</v>
      </c>
      <c r="T213" s="1">
        <v>0</v>
      </c>
      <c r="U213" s="280" t="str">
        <f t="shared" si="141"/>
        <v>Normal</v>
      </c>
      <c r="V213" s="280" t="str">
        <f t="shared" si="142"/>
        <v>Normal</v>
      </c>
      <c r="W213" s="361">
        <f t="shared" si="143"/>
        <v>0</v>
      </c>
      <c r="X213" s="361">
        <f t="shared" si="144"/>
        <v>0</v>
      </c>
    </row>
    <row r="214" spans="1:42">
      <c r="A214" s="405">
        <v>45229</v>
      </c>
      <c r="B214" s="406">
        <f>IF(YEAR(Table7[[#This Row],[Date]]) = 2023, WEEKNUM(Table7[[#This Row],[Date]])-13, WEEKNUM(Table7[[#This Row],[Date]])+40)</f>
        <v>31</v>
      </c>
      <c r="C214" s="296" t="s">
        <v>49</v>
      </c>
      <c r="D214" s="1" t="s">
        <v>94</v>
      </c>
      <c r="E214" s="1">
        <v>637</v>
      </c>
      <c r="F214" s="1">
        <v>389</v>
      </c>
      <c r="G214" s="80">
        <f t="shared" ref="G214:H214" si="162">IFERROR((E214-E207)/E207,0%)</f>
        <v>-0.4261261261261261</v>
      </c>
      <c r="H214" s="80">
        <f t="shared" si="162"/>
        <v>-0.63542642924086223</v>
      </c>
      <c r="I214" s="1"/>
      <c r="J214" s="1"/>
      <c r="K214" s="1"/>
      <c r="L214" s="1"/>
      <c r="M214" s="18">
        <v>0.41</v>
      </c>
      <c r="N214" s="18">
        <v>0.39</v>
      </c>
      <c r="O214" s="18">
        <v>0.61</v>
      </c>
      <c r="P214" s="18">
        <v>0.25</v>
      </c>
      <c r="Q214" s="157"/>
      <c r="R214" s="301">
        <v>300</v>
      </c>
      <c r="S214" s="158">
        <v>0.17500000000000002</v>
      </c>
      <c r="T214" s="1">
        <v>17</v>
      </c>
      <c r="U214" s="280" t="str">
        <f t="shared" si="141"/>
        <v>Normal</v>
      </c>
      <c r="V214" s="280" t="str">
        <f t="shared" si="142"/>
        <v>Normal</v>
      </c>
      <c r="W214" s="361">
        <f t="shared" si="143"/>
        <v>-0.4261261261261261</v>
      </c>
      <c r="X214" s="361">
        <f t="shared" si="144"/>
        <v>-0.63542642924086223</v>
      </c>
    </row>
    <row r="215" spans="1:42" s="48" customFormat="1">
      <c r="A215" s="405">
        <v>45230</v>
      </c>
      <c r="B215" s="406">
        <f>IF(YEAR(Table7[[#This Row],[Date]]) = 2023, WEEKNUM(Table7[[#This Row],[Date]])-13, WEEKNUM(Table7[[#This Row],[Date]])+40)</f>
        <v>31</v>
      </c>
      <c r="C215" s="297" t="s">
        <v>50</v>
      </c>
      <c r="D215" s="1" t="s">
        <v>94</v>
      </c>
      <c r="E215" s="50">
        <v>1386</v>
      </c>
      <c r="F215" s="50">
        <v>505</v>
      </c>
      <c r="G215" s="80">
        <f t="shared" ref="G215:H215" si="163">IFERROR((E215-E208)/E208,0%)</f>
        <v>0.25771324863883849</v>
      </c>
      <c r="H215" s="80">
        <f t="shared" si="163"/>
        <v>-0.5053868756121449</v>
      </c>
      <c r="I215" s="50"/>
      <c r="J215" s="50"/>
      <c r="K215" s="50"/>
      <c r="L215" s="50"/>
      <c r="M215" s="51">
        <v>7.0000000000000007E-2</v>
      </c>
      <c r="N215" s="51">
        <v>0.64</v>
      </c>
      <c r="O215" s="51">
        <v>0.36</v>
      </c>
      <c r="P215" s="51">
        <v>0.56000000000000005</v>
      </c>
      <c r="Q215" s="157"/>
      <c r="R215" s="301">
        <v>300</v>
      </c>
      <c r="S215" s="164">
        <v>0.33402777777777781</v>
      </c>
      <c r="T215" s="50">
        <v>10</v>
      </c>
      <c r="U215" s="280" t="str">
        <f t="shared" si="141"/>
        <v>Normal</v>
      </c>
      <c r="V215" s="280" t="str">
        <f t="shared" si="142"/>
        <v>Normal</v>
      </c>
      <c r="W215" s="361">
        <f t="shared" si="143"/>
        <v>0.25771324863883849</v>
      </c>
      <c r="X215" s="361">
        <f t="shared" si="144"/>
        <v>-0.5053868756121449</v>
      </c>
      <c r="AJ215"/>
      <c r="AK215"/>
      <c r="AL215"/>
      <c r="AN215"/>
      <c r="AO215"/>
      <c r="AP215"/>
    </row>
    <row r="216" spans="1:42">
      <c r="A216" s="405">
        <v>45231</v>
      </c>
      <c r="B216" s="406">
        <f>IF(YEAR(Table7[[#This Row],[Date]]) = 2023, WEEKNUM(Table7[[#This Row],[Date]])-13, WEEKNUM(Table7[[#This Row],[Date]])+40)</f>
        <v>31</v>
      </c>
      <c r="C216" s="298" t="s">
        <v>51</v>
      </c>
      <c r="D216" s="1" t="s">
        <v>94</v>
      </c>
      <c r="E216" s="1">
        <v>964</v>
      </c>
      <c r="F216" s="1">
        <v>934</v>
      </c>
      <c r="G216" s="80">
        <f t="shared" ref="G216:H216" si="164">IFERROR((E216-E209)/E209,0%)</f>
        <v>-0.19532554257095158</v>
      </c>
      <c r="H216" s="80">
        <f t="shared" si="164"/>
        <v>-6.8793619142572288E-2</v>
      </c>
      <c r="I216" s="1"/>
      <c r="J216" s="1"/>
      <c r="K216" s="1"/>
      <c r="L216" s="1"/>
      <c r="M216" s="18">
        <v>0.89</v>
      </c>
      <c r="N216" s="18">
        <v>0.03</v>
      </c>
      <c r="O216" s="18">
        <v>0.97</v>
      </c>
      <c r="P216" s="18">
        <v>0.61</v>
      </c>
      <c r="Q216" s="157"/>
      <c r="R216" s="301">
        <v>300</v>
      </c>
      <c r="S216" s="158">
        <v>1.2499999999999999E-2</v>
      </c>
      <c r="T216" s="1">
        <v>17</v>
      </c>
      <c r="U216" s="280" t="str">
        <f t="shared" si="141"/>
        <v>Normal</v>
      </c>
      <c r="V216" s="280" t="str">
        <f t="shared" si="142"/>
        <v>Normal</v>
      </c>
      <c r="W216" s="361">
        <f t="shared" si="143"/>
        <v>-0.19532554257095158</v>
      </c>
      <c r="X216" s="361">
        <f t="shared" si="144"/>
        <v>-6.8793619142572288E-2</v>
      </c>
    </row>
    <row r="217" spans="1:42">
      <c r="A217" s="405">
        <v>45232</v>
      </c>
      <c r="B217" s="406">
        <f>IF(YEAR(Table7[[#This Row],[Date]]) = 2023, WEEKNUM(Table7[[#This Row],[Date]])-13, WEEKNUM(Table7[[#This Row],[Date]])+40)</f>
        <v>31</v>
      </c>
      <c r="C217" s="298" t="s">
        <v>52</v>
      </c>
      <c r="D217" s="1" t="s">
        <v>94</v>
      </c>
      <c r="E217" s="1">
        <v>982</v>
      </c>
      <c r="F217" s="1">
        <v>859</v>
      </c>
      <c r="G217" s="80">
        <f t="shared" ref="G217:H217" si="165">IFERROR((E217-E210)/E210,0%)</f>
        <v>-8.5661080074487903E-2</v>
      </c>
      <c r="H217" s="80">
        <f t="shared" si="165"/>
        <v>-0.1171634121274409</v>
      </c>
      <c r="I217" s="1"/>
      <c r="J217" s="1"/>
      <c r="K217" s="1"/>
      <c r="L217" s="1"/>
      <c r="M217" s="18">
        <v>0.63</v>
      </c>
      <c r="N217" s="18">
        <v>0.13</v>
      </c>
      <c r="O217" s="18">
        <v>0.87</v>
      </c>
      <c r="P217" s="18">
        <v>0.82</v>
      </c>
      <c r="Q217" s="157"/>
      <c r="R217" s="301">
        <v>360</v>
      </c>
      <c r="S217" s="158">
        <v>4.1666666666666664E-2</v>
      </c>
      <c r="T217" s="1">
        <v>14</v>
      </c>
      <c r="U217" s="280" t="str">
        <f t="shared" si="141"/>
        <v>Normal</v>
      </c>
      <c r="V217" s="280" t="str">
        <f t="shared" si="142"/>
        <v>Normal</v>
      </c>
      <c r="W217" s="361">
        <f t="shared" si="143"/>
        <v>-8.5661080074487903E-2</v>
      </c>
      <c r="X217" s="361">
        <f t="shared" si="144"/>
        <v>-0.1171634121274409</v>
      </c>
    </row>
    <row r="218" spans="1:42">
      <c r="A218" s="405">
        <v>45233</v>
      </c>
      <c r="B218" s="406">
        <f>IF(YEAR(Table7[[#This Row],[Date]]) = 2023, WEEKNUM(Table7[[#This Row],[Date]])-13, WEEKNUM(Table7[[#This Row],[Date]])+40)</f>
        <v>31</v>
      </c>
      <c r="C218" s="298" t="s">
        <v>53</v>
      </c>
      <c r="D218" s="1" t="s">
        <v>94</v>
      </c>
      <c r="E218" s="1">
        <v>1015</v>
      </c>
      <c r="F218" s="1">
        <v>862</v>
      </c>
      <c r="G218" s="80">
        <f t="shared" ref="G218:H218" si="166">IFERROR((E218-E211)/E211,0%)</f>
        <v>-6.0185185185185182E-2</v>
      </c>
      <c r="H218" s="80">
        <f t="shared" si="166"/>
        <v>-0.10766045548654245</v>
      </c>
      <c r="I218" s="1"/>
      <c r="J218" s="1"/>
      <c r="K218" s="1"/>
      <c r="L218" s="1"/>
      <c r="M218" s="18">
        <v>0.56999999999999995</v>
      </c>
      <c r="N218" s="18">
        <v>0.15</v>
      </c>
      <c r="O218" s="18">
        <v>0.85</v>
      </c>
      <c r="P218" s="18">
        <v>0.82</v>
      </c>
      <c r="Q218" s="157"/>
      <c r="R218" s="301">
        <v>360</v>
      </c>
      <c r="S218" s="158">
        <v>4.1666666666666664E-2</v>
      </c>
      <c r="T218" s="1">
        <v>14</v>
      </c>
      <c r="U218" s="280" t="str">
        <f t="shared" si="141"/>
        <v>Normal</v>
      </c>
      <c r="V218" s="280" t="str">
        <f t="shared" si="142"/>
        <v>Normal</v>
      </c>
      <c r="W218" s="361">
        <f t="shared" si="143"/>
        <v>-6.0185185185185182E-2</v>
      </c>
      <c r="X218" s="361">
        <f t="shared" si="144"/>
        <v>-0.10766045548654245</v>
      </c>
    </row>
    <row r="219" spans="1:42">
      <c r="A219" s="405">
        <v>45234</v>
      </c>
      <c r="B219" s="406">
        <f>IF(YEAR(Table7[[#This Row],[Date]]) = 2023, WEEKNUM(Table7[[#This Row],[Date]])-13, WEEKNUM(Table7[[#This Row],[Date]])+40)</f>
        <v>31</v>
      </c>
      <c r="C219" s="298" t="s">
        <v>54</v>
      </c>
      <c r="D219" s="1" t="s">
        <v>94</v>
      </c>
      <c r="E219" s="1">
        <v>785</v>
      </c>
      <c r="F219" s="1">
        <v>714</v>
      </c>
      <c r="G219" s="80">
        <f t="shared" ref="G219:H219" si="167">IFERROR((E219-E212)/E212,0%)</f>
        <v>-0.19651995905834185</v>
      </c>
      <c r="H219" s="80">
        <f t="shared" si="167"/>
        <v>2.4390243902439025E-2</v>
      </c>
      <c r="I219" s="1"/>
      <c r="J219" s="1"/>
      <c r="K219" s="1"/>
      <c r="L219" s="1"/>
      <c r="M219" s="18">
        <v>0.73</v>
      </c>
      <c r="N219" s="18">
        <v>0.09</v>
      </c>
      <c r="O219" s="18">
        <v>0.91</v>
      </c>
      <c r="P219" s="18">
        <v>0.83</v>
      </c>
      <c r="Q219" s="157"/>
      <c r="R219" s="301">
        <v>347</v>
      </c>
      <c r="S219" s="158">
        <v>2.6388888888888889E-2</v>
      </c>
      <c r="T219" s="1">
        <v>11</v>
      </c>
      <c r="U219" s="280" t="str">
        <f t="shared" si="141"/>
        <v>Normal</v>
      </c>
      <c r="V219" s="280" t="str">
        <f t="shared" si="142"/>
        <v>Normal</v>
      </c>
      <c r="W219" s="361">
        <f t="shared" si="143"/>
        <v>-0.19651995905834185</v>
      </c>
      <c r="X219" s="361">
        <f t="shared" si="144"/>
        <v>2.4390243902439025E-2</v>
      </c>
    </row>
    <row r="220" spans="1:42">
      <c r="A220" s="405">
        <v>45235</v>
      </c>
      <c r="B220" s="406">
        <f>IF(YEAR(Table7[[#This Row],[Date]]) = 2023, WEEKNUM(Table7[[#This Row],[Date]])-13, WEEKNUM(Table7[[#This Row],[Date]])+40)</f>
        <v>32</v>
      </c>
      <c r="C220" s="298" t="s">
        <v>48</v>
      </c>
      <c r="D220" s="1" t="s">
        <v>94</v>
      </c>
      <c r="E220" s="1">
        <v>0</v>
      </c>
      <c r="F220" s="1">
        <v>0</v>
      </c>
      <c r="G220" s="80">
        <f t="shared" ref="G220:H220" si="168">IFERROR((E220-E213)/E213,0%)</f>
        <v>0</v>
      </c>
      <c r="H220" s="80">
        <f t="shared" si="168"/>
        <v>0</v>
      </c>
      <c r="I220" s="1">
        <v>0</v>
      </c>
      <c r="J220" s="1">
        <v>0</v>
      </c>
      <c r="K220" s="1">
        <v>0</v>
      </c>
      <c r="L220" s="1">
        <v>0</v>
      </c>
      <c r="M220" s="18">
        <v>0</v>
      </c>
      <c r="N220" s="18">
        <v>0</v>
      </c>
      <c r="O220" s="18">
        <v>0</v>
      </c>
      <c r="P220" s="18">
        <v>0</v>
      </c>
      <c r="Q220" s="157"/>
      <c r="R220" s="301">
        <v>0</v>
      </c>
      <c r="S220" s="158">
        <v>0</v>
      </c>
      <c r="T220" s="1">
        <v>0</v>
      </c>
      <c r="U220" s="280" t="str">
        <f t="shared" si="141"/>
        <v>Normal</v>
      </c>
      <c r="V220" s="280" t="str">
        <f t="shared" si="142"/>
        <v>Normal</v>
      </c>
      <c r="W220" s="361">
        <f t="shared" si="143"/>
        <v>0</v>
      </c>
      <c r="X220" s="361">
        <f t="shared" si="144"/>
        <v>0</v>
      </c>
    </row>
    <row r="221" spans="1:42">
      <c r="A221" s="405">
        <v>45236</v>
      </c>
      <c r="B221" s="406">
        <f>IF(YEAR(Table7[[#This Row],[Date]]) = 2023, WEEKNUM(Table7[[#This Row],[Date]])-13, WEEKNUM(Table7[[#This Row],[Date]])+40)</f>
        <v>32</v>
      </c>
      <c r="C221" s="298" t="s">
        <v>49</v>
      </c>
      <c r="D221" s="1" t="s">
        <v>94</v>
      </c>
      <c r="E221" s="1">
        <v>1142</v>
      </c>
      <c r="F221" s="1">
        <v>984</v>
      </c>
      <c r="G221" s="80">
        <f t="shared" ref="G221:H221" si="169">IFERROR((E221-E214)/E214,0%)</f>
        <v>0.79277864992150704</v>
      </c>
      <c r="H221" s="80">
        <f t="shared" si="169"/>
        <v>1.5295629820051413</v>
      </c>
      <c r="I221" s="1"/>
      <c r="J221" s="1"/>
      <c r="K221" s="1"/>
      <c r="L221" s="1"/>
      <c r="M221" s="18">
        <v>0.57999999999999996</v>
      </c>
      <c r="N221" s="18">
        <v>0.14000000000000001</v>
      </c>
      <c r="O221" s="18">
        <v>0.86</v>
      </c>
      <c r="P221" s="18">
        <v>0.77</v>
      </c>
      <c r="Q221" s="157"/>
      <c r="R221" s="301">
        <v>340</v>
      </c>
      <c r="S221" s="158">
        <v>4.1666666666666664E-2</v>
      </c>
      <c r="T221" s="1">
        <v>16</v>
      </c>
      <c r="U221" s="280" t="str">
        <f t="shared" si="141"/>
        <v>Normal</v>
      </c>
      <c r="V221" s="280" t="str">
        <f t="shared" si="142"/>
        <v>Normal</v>
      </c>
      <c r="W221" s="361">
        <f t="shared" si="143"/>
        <v>0.79277864992150704</v>
      </c>
      <c r="X221" s="361">
        <f t="shared" si="144"/>
        <v>1.5295629820051413</v>
      </c>
    </row>
    <row r="222" spans="1:42">
      <c r="A222" s="405">
        <v>45237</v>
      </c>
      <c r="B222" s="406">
        <f>IF(YEAR(Table7[[#This Row],[Date]]) = 2023, WEEKNUM(Table7[[#This Row],[Date]])-13, WEEKNUM(Table7[[#This Row],[Date]])+40)</f>
        <v>32</v>
      </c>
      <c r="C222" s="298" t="s">
        <v>50</v>
      </c>
      <c r="D222" s="1" t="s">
        <v>94</v>
      </c>
      <c r="E222" s="1">
        <v>968</v>
      </c>
      <c r="F222" s="1">
        <v>902</v>
      </c>
      <c r="G222" s="80">
        <f t="shared" ref="G222:H222" si="170">IFERROR((E222-E215)/E215,0%)</f>
        <v>-0.30158730158730157</v>
      </c>
      <c r="H222" s="80">
        <f t="shared" si="170"/>
        <v>0.78613861386138617</v>
      </c>
      <c r="I222" s="1"/>
      <c r="J222" s="1"/>
      <c r="K222" s="1"/>
      <c r="L222" s="1"/>
      <c r="M222" s="18">
        <v>0.85</v>
      </c>
      <c r="N222" s="18">
        <v>7.0000000000000007E-2</v>
      </c>
      <c r="O222" s="18">
        <v>0.93</v>
      </c>
      <c r="P222" s="18">
        <v>0.65</v>
      </c>
      <c r="Q222" s="157"/>
      <c r="R222" s="301">
        <v>311</v>
      </c>
      <c r="S222" s="158">
        <v>1.8055555555555557E-2</v>
      </c>
      <c r="T222" s="1">
        <v>16</v>
      </c>
      <c r="U222" s="280" t="str">
        <f t="shared" si="141"/>
        <v>Normal</v>
      </c>
      <c r="V222" s="280" t="str">
        <f t="shared" si="142"/>
        <v>Normal</v>
      </c>
      <c r="W222" s="361">
        <f t="shared" si="143"/>
        <v>-0.30158730158730157</v>
      </c>
      <c r="X222" s="361">
        <f t="shared" si="144"/>
        <v>0.78613861386138617</v>
      </c>
    </row>
    <row r="223" spans="1:42">
      <c r="A223" s="405">
        <v>45238</v>
      </c>
      <c r="B223" s="406">
        <f>IF(YEAR(Table7[[#This Row],[Date]]) = 2023, WEEKNUM(Table7[[#This Row],[Date]])-13, WEEKNUM(Table7[[#This Row],[Date]])+40)</f>
        <v>32</v>
      </c>
      <c r="C223" s="298" t="s">
        <v>51</v>
      </c>
      <c r="D223" s="1" t="s">
        <v>94</v>
      </c>
      <c r="E223" s="1">
        <v>1269</v>
      </c>
      <c r="F223" s="1">
        <v>942</v>
      </c>
      <c r="G223" s="80">
        <f t="shared" ref="G223:H223" si="171">IFERROR((E223-E216)/E216,0%)</f>
        <v>0.31639004149377592</v>
      </c>
      <c r="H223" s="80">
        <f t="shared" si="171"/>
        <v>8.5653104925053538E-3</v>
      </c>
      <c r="I223" s="1"/>
      <c r="J223" s="1"/>
      <c r="K223" s="1"/>
      <c r="L223" s="1"/>
      <c r="M223" s="18">
        <v>0.37</v>
      </c>
      <c r="N223" s="18">
        <v>0.26</v>
      </c>
      <c r="O223" s="18">
        <v>0.74</v>
      </c>
      <c r="P223" s="18">
        <v>0.81</v>
      </c>
      <c r="Q223" s="157"/>
      <c r="R223" s="301">
        <v>303</v>
      </c>
      <c r="S223" s="158">
        <v>7.5694444444444439E-2</v>
      </c>
      <c r="T223" s="1">
        <v>13</v>
      </c>
      <c r="U223" s="280" t="str">
        <f t="shared" si="141"/>
        <v>Normal</v>
      </c>
      <c r="V223" s="280" t="str">
        <f t="shared" si="142"/>
        <v>Normal</v>
      </c>
      <c r="W223" s="361">
        <f t="shared" si="143"/>
        <v>0.31639004149377592</v>
      </c>
      <c r="X223" s="361">
        <f t="shared" si="144"/>
        <v>8.5653104925053538E-3</v>
      </c>
    </row>
    <row r="224" spans="1:42">
      <c r="A224" s="405">
        <v>45239</v>
      </c>
      <c r="B224" s="406">
        <f>IF(YEAR(Table7[[#This Row],[Date]]) = 2023, WEEKNUM(Table7[[#This Row],[Date]])-13, WEEKNUM(Table7[[#This Row],[Date]])+40)</f>
        <v>32</v>
      </c>
      <c r="C224" s="298" t="s">
        <v>52</v>
      </c>
      <c r="D224" s="1" t="s">
        <v>94</v>
      </c>
      <c r="E224" s="1">
        <v>1031</v>
      </c>
      <c r="F224" s="1">
        <v>883</v>
      </c>
      <c r="G224" s="80">
        <f t="shared" ref="G224:H224" si="172">IFERROR((E224-E217)/E217,0%)</f>
        <v>4.9898167006109981E-2</v>
      </c>
      <c r="H224" s="80">
        <f t="shared" si="172"/>
        <v>2.7939464493597205E-2</v>
      </c>
      <c r="I224" s="1"/>
      <c r="J224" s="1"/>
      <c r="K224" s="1"/>
      <c r="L224" s="1"/>
      <c r="M224" s="18">
        <v>0.62</v>
      </c>
      <c r="N224" s="18">
        <v>0.14000000000000001</v>
      </c>
      <c r="O224" s="18">
        <v>0.86</v>
      </c>
      <c r="P224" s="18">
        <v>0.89</v>
      </c>
      <c r="Q224" s="157"/>
      <c r="R224" s="301">
        <v>327</v>
      </c>
      <c r="S224" s="158">
        <v>4.1666666666666664E-2</v>
      </c>
      <c r="T224" s="1">
        <v>12</v>
      </c>
      <c r="U224" s="280" t="str">
        <f t="shared" si="141"/>
        <v>Normal</v>
      </c>
      <c r="V224" s="280" t="str">
        <f t="shared" si="142"/>
        <v>Normal</v>
      </c>
      <c r="W224" s="361">
        <f t="shared" si="143"/>
        <v>4.9898167006109981E-2</v>
      </c>
      <c r="X224" s="361">
        <f t="shared" si="144"/>
        <v>2.7939464493597205E-2</v>
      </c>
    </row>
    <row r="225" spans="1:42">
      <c r="A225" s="405">
        <v>45240</v>
      </c>
      <c r="B225" s="406">
        <f>IF(YEAR(Table7[[#This Row],[Date]]) = 2023, WEEKNUM(Table7[[#This Row],[Date]])-13, WEEKNUM(Table7[[#This Row],[Date]])+40)</f>
        <v>32</v>
      </c>
      <c r="C225" s="298" t="s">
        <v>53</v>
      </c>
      <c r="D225" s="1" t="s">
        <v>94</v>
      </c>
      <c r="E225" s="1">
        <v>1049</v>
      </c>
      <c r="F225" s="1">
        <v>787</v>
      </c>
      <c r="G225" s="80">
        <f t="shared" ref="G225:H225" si="173">IFERROR((E225-E218)/E218,0%)</f>
        <v>3.3497536945812804E-2</v>
      </c>
      <c r="H225" s="80">
        <f t="shared" si="173"/>
        <v>-8.7006960556844551E-2</v>
      </c>
      <c r="I225" s="1"/>
      <c r="J225" s="1"/>
      <c r="K225" s="1"/>
      <c r="L225" s="1"/>
      <c r="M225" s="18">
        <v>0.34</v>
      </c>
      <c r="N225" s="18">
        <v>0.25</v>
      </c>
      <c r="O225" s="18">
        <v>0.75</v>
      </c>
      <c r="P225" s="18">
        <v>0.81</v>
      </c>
      <c r="Q225" s="157"/>
      <c r="R225" s="301">
        <v>334</v>
      </c>
      <c r="S225" s="158">
        <v>8.7500000000000008E-2</v>
      </c>
      <c r="T225" s="1">
        <v>12</v>
      </c>
      <c r="U225" s="280" t="str">
        <f t="shared" si="141"/>
        <v>Normal</v>
      </c>
      <c r="V225" s="280" t="str">
        <f t="shared" si="142"/>
        <v>Normal</v>
      </c>
      <c r="W225" s="361">
        <f t="shared" si="143"/>
        <v>3.3497536945812804E-2</v>
      </c>
      <c r="X225" s="361">
        <f t="shared" si="144"/>
        <v>-8.7006960556844551E-2</v>
      </c>
    </row>
    <row r="226" spans="1:42">
      <c r="A226" s="405">
        <v>45241</v>
      </c>
      <c r="B226" s="406">
        <f>IF(YEAR(Table7[[#This Row],[Date]]) = 2023, WEEKNUM(Table7[[#This Row],[Date]])-13, WEEKNUM(Table7[[#This Row],[Date]])+40)</f>
        <v>32</v>
      </c>
      <c r="C226" s="298" t="s">
        <v>54</v>
      </c>
      <c r="D226" s="1" t="s">
        <v>94</v>
      </c>
      <c r="E226" s="1">
        <v>755</v>
      </c>
      <c r="F226" s="1">
        <v>648</v>
      </c>
      <c r="G226" s="80">
        <f t="shared" ref="G226:H226" si="174">IFERROR((E226-E219)/E219,0%)</f>
        <v>-3.8216560509554139E-2</v>
      </c>
      <c r="H226" s="80">
        <f t="shared" si="174"/>
        <v>-9.2436974789915971E-2</v>
      </c>
      <c r="I226" s="1"/>
      <c r="J226" s="1"/>
      <c r="K226" s="1"/>
      <c r="L226" s="1"/>
      <c r="M226" s="18">
        <v>0.63</v>
      </c>
      <c r="N226" s="18">
        <v>0.14000000000000001</v>
      </c>
      <c r="O226" s="18">
        <v>0.86</v>
      </c>
      <c r="P226" s="18">
        <v>0.92</v>
      </c>
      <c r="Q226" s="157"/>
      <c r="R226" s="301">
        <v>344</v>
      </c>
      <c r="S226" s="158">
        <v>4.3055555555555562E-2</v>
      </c>
      <c r="T226" s="1">
        <v>9</v>
      </c>
      <c r="U226" s="280" t="str">
        <f t="shared" si="141"/>
        <v>Normal</v>
      </c>
      <c r="V226" s="280" t="str">
        <f t="shared" si="142"/>
        <v>Normal</v>
      </c>
      <c r="W226" s="361">
        <f t="shared" si="143"/>
        <v>-3.8216560509554139E-2</v>
      </c>
      <c r="X226" s="361">
        <f t="shared" si="144"/>
        <v>-9.2436974789915971E-2</v>
      </c>
    </row>
    <row r="227" spans="1:42">
      <c r="A227" s="405">
        <v>45242</v>
      </c>
      <c r="B227" s="406">
        <f>IF(YEAR(Table7[[#This Row],[Date]]) = 2023, WEEKNUM(Table7[[#This Row],[Date]])-13, WEEKNUM(Table7[[#This Row],[Date]])+40)</f>
        <v>33</v>
      </c>
      <c r="C227" s="298" t="s">
        <v>48</v>
      </c>
      <c r="D227" s="1" t="s">
        <v>94</v>
      </c>
      <c r="E227" s="1">
        <v>0</v>
      </c>
      <c r="F227" s="1">
        <v>0</v>
      </c>
      <c r="G227" s="80">
        <f t="shared" ref="G227:H227" si="175">IFERROR((E227-E220)/E220,0%)</f>
        <v>0</v>
      </c>
      <c r="H227" s="80">
        <f t="shared" si="175"/>
        <v>0</v>
      </c>
      <c r="I227" s="1"/>
      <c r="J227" s="1"/>
      <c r="K227" s="1"/>
      <c r="L227" s="1"/>
      <c r="M227" s="18">
        <v>0</v>
      </c>
      <c r="N227" s="18">
        <v>0</v>
      </c>
      <c r="O227" s="18">
        <v>0</v>
      </c>
      <c r="P227" s="18">
        <v>0</v>
      </c>
      <c r="Q227" s="157"/>
      <c r="R227" s="301">
        <v>0</v>
      </c>
      <c r="S227" s="158">
        <v>0</v>
      </c>
      <c r="T227" s="1">
        <v>0</v>
      </c>
      <c r="U227" s="280" t="str">
        <f t="shared" si="141"/>
        <v>Normal</v>
      </c>
      <c r="V227" s="280" t="str">
        <f t="shared" si="142"/>
        <v>Normal</v>
      </c>
      <c r="W227" s="361">
        <f t="shared" si="143"/>
        <v>0</v>
      </c>
      <c r="X227" s="361">
        <f t="shared" si="144"/>
        <v>0</v>
      </c>
    </row>
    <row r="228" spans="1:42">
      <c r="A228" s="405">
        <v>45243</v>
      </c>
      <c r="B228" s="406">
        <f>IF(YEAR(Table7[[#This Row],[Date]]) = 2023, WEEKNUM(Table7[[#This Row],[Date]])-13, WEEKNUM(Table7[[#This Row],[Date]])+40)</f>
        <v>33</v>
      </c>
      <c r="C228" s="298" t="s">
        <v>49</v>
      </c>
      <c r="D228" s="1" t="s">
        <v>94</v>
      </c>
      <c r="E228" s="1">
        <v>1087</v>
      </c>
      <c r="F228" s="1">
        <v>1026</v>
      </c>
      <c r="G228" s="80">
        <f t="shared" ref="G228:H228" si="176">IFERROR((E228-E221)/E221,0%)</f>
        <v>-4.816112084063047E-2</v>
      </c>
      <c r="H228" s="80">
        <f t="shared" si="176"/>
        <v>4.2682926829268296E-2</v>
      </c>
      <c r="I228" s="1"/>
      <c r="J228" s="1"/>
      <c r="K228" s="1"/>
      <c r="L228" s="1"/>
      <c r="M228" s="18">
        <v>0.81</v>
      </c>
      <c r="N228" s="18">
        <v>0.06</v>
      </c>
      <c r="O228" s="18">
        <v>0.94</v>
      </c>
      <c r="P228" s="18">
        <v>0.67</v>
      </c>
      <c r="Q228" s="157"/>
      <c r="R228" s="301">
        <v>301</v>
      </c>
      <c r="S228" s="158">
        <v>1.9444444444444445E-2</v>
      </c>
      <c r="T228" s="1">
        <v>17</v>
      </c>
      <c r="U228" s="280" t="str">
        <f t="shared" si="141"/>
        <v>Normal</v>
      </c>
      <c r="V228" s="280" t="str">
        <f t="shared" si="142"/>
        <v>Normal</v>
      </c>
      <c r="W228" s="361">
        <f t="shared" si="143"/>
        <v>-4.816112084063047E-2</v>
      </c>
      <c r="X228" s="361">
        <f t="shared" si="144"/>
        <v>4.2682926829268296E-2</v>
      </c>
    </row>
    <row r="229" spans="1:42">
      <c r="A229" s="405">
        <v>45244</v>
      </c>
      <c r="B229" s="406">
        <f>IF(YEAR(Table7[[#This Row],[Date]]) = 2023, WEEKNUM(Table7[[#This Row],[Date]])-13, WEEKNUM(Table7[[#This Row],[Date]])+40)</f>
        <v>33</v>
      </c>
      <c r="C229" s="298" t="s">
        <v>50</v>
      </c>
      <c r="D229" s="1" t="s">
        <v>94</v>
      </c>
      <c r="E229" s="1">
        <v>876</v>
      </c>
      <c r="F229" s="1">
        <v>794</v>
      </c>
      <c r="G229" s="80">
        <f t="shared" ref="G229:H229" si="177">IFERROR((E229-E222)/E222,0%)</f>
        <v>-9.5041322314049589E-2</v>
      </c>
      <c r="H229" s="80">
        <f t="shared" si="177"/>
        <v>-0.11973392461197339</v>
      </c>
      <c r="I229" s="1"/>
      <c r="J229" s="1"/>
      <c r="K229" s="1"/>
      <c r="L229" s="1"/>
      <c r="M229" s="18">
        <v>0.81</v>
      </c>
      <c r="N229" s="18">
        <v>0.09</v>
      </c>
      <c r="O229" s="18">
        <v>0.91</v>
      </c>
      <c r="P229" s="18">
        <v>0.64</v>
      </c>
      <c r="Q229" s="157"/>
      <c r="R229" s="301">
        <v>327</v>
      </c>
      <c r="S229" s="158">
        <v>3.3333333333333333E-2</v>
      </c>
      <c r="T229" s="1">
        <v>15</v>
      </c>
      <c r="U229" s="280" t="str">
        <f t="shared" si="141"/>
        <v>Normal</v>
      </c>
      <c r="V229" s="280" t="str">
        <f t="shared" si="142"/>
        <v>Normal</v>
      </c>
      <c r="W229" s="361">
        <f t="shared" si="143"/>
        <v>-9.5041322314049589E-2</v>
      </c>
      <c r="X229" s="361">
        <f t="shared" si="144"/>
        <v>-0.11973392461197339</v>
      </c>
    </row>
    <row r="230" spans="1:42">
      <c r="A230" s="405">
        <v>45245</v>
      </c>
      <c r="B230" s="406">
        <f>IF(YEAR(Table7[[#This Row],[Date]]) = 2023, WEEKNUM(Table7[[#This Row],[Date]])-13, WEEKNUM(Table7[[#This Row],[Date]])+40)</f>
        <v>33</v>
      </c>
      <c r="C230" s="298" t="s">
        <v>51</v>
      </c>
      <c r="D230" s="1" t="s">
        <v>94</v>
      </c>
      <c r="E230" s="1">
        <v>921</v>
      </c>
      <c r="F230" s="1">
        <v>808</v>
      </c>
      <c r="G230" s="80">
        <f t="shared" ref="G230:H230" si="178">IFERROR((E230-E223)/E223,0%)</f>
        <v>-0.27423167848699764</v>
      </c>
      <c r="H230" s="80">
        <f t="shared" si="178"/>
        <v>-0.14225053078556263</v>
      </c>
      <c r="I230" s="1"/>
      <c r="J230" s="1"/>
      <c r="K230" s="1"/>
      <c r="L230" s="1"/>
      <c r="M230" s="18">
        <v>0.62</v>
      </c>
      <c r="N230" s="18">
        <v>0.12</v>
      </c>
      <c r="O230" s="18">
        <v>0.88</v>
      </c>
      <c r="P230" s="18">
        <v>0.75</v>
      </c>
      <c r="Q230" s="157"/>
      <c r="R230" s="301">
        <v>300</v>
      </c>
      <c r="S230" s="158">
        <v>4.1666666666666664E-2</v>
      </c>
      <c r="T230" s="1">
        <v>12</v>
      </c>
      <c r="U230" s="280" t="str">
        <f t="shared" si="141"/>
        <v>Normal</v>
      </c>
      <c r="V230" s="280" t="str">
        <f t="shared" si="142"/>
        <v>Normal</v>
      </c>
      <c r="W230" s="361">
        <f t="shared" si="143"/>
        <v>-0.27423167848699764</v>
      </c>
      <c r="X230" s="361">
        <f t="shared" si="144"/>
        <v>-0.14225053078556263</v>
      </c>
    </row>
    <row r="231" spans="1:42">
      <c r="A231" s="405">
        <v>45246</v>
      </c>
      <c r="B231" s="406">
        <f>IF(YEAR(Table7[[#This Row],[Date]]) = 2023, WEEKNUM(Table7[[#This Row],[Date]])-13, WEEKNUM(Table7[[#This Row],[Date]])+40)</f>
        <v>33</v>
      </c>
      <c r="C231" s="298" t="s">
        <v>52</v>
      </c>
      <c r="D231" s="1" t="s">
        <v>94</v>
      </c>
      <c r="E231" s="1">
        <v>860</v>
      </c>
      <c r="F231" s="1">
        <v>712</v>
      </c>
      <c r="G231" s="80">
        <f t="shared" ref="G231:H231" si="179">IFERROR((E231-E224)/E224,0%)</f>
        <v>-0.1658583899127061</v>
      </c>
      <c r="H231" s="80">
        <f t="shared" si="179"/>
        <v>-0.19365798414496035</v>
      </c>
      <c r="I231" s="1"/>
      <c r="J231" s="1"/>
      <c r="K231" s="1"/>
      <c r="L231" s="1"/>
      <c r="M231" s="18">
        <v>0.6</v>
      </c>
      <c r="N231" s="18">
        <v>0.17</v>
      </c>
      <c r="O231" s="18">
        <v>0.83</v>
      </c>
      <c r="P231" s="18">
        <v>0.64</v>
      </c>
      <c r="Q231" s="157"/>
      <c r="R231" s="301">
        <v>317</v>
      </c>
      <c r="S231" s="158">
        <v>4.1666666666666664E-2</v>
      </c>
      <c r="T231" s="1">
        <v>13</v>
      </c>
      <c r="U231" s="280" t="str">
        <f t="shared" si="141"/>
        <v>Normal</v>
      </c>
      <c r="V231" s="280" t="str">
        <f t="shared" si="142"/>
        <v>Normal</v>
      </c>
      <c r="W231" s="361">
        <f t="shared" si="143"/>
        <v>-0.1658583899127061</v>
      </c>
      <c r="X231" s="361">
        <f t="shared" si="144"/>
        <v>-0.19365798414496035</v>
      </c>
    </row>
    <row r="232" spans="1:42">
      <c r="A232" s="405">
        <v>45247</v>
      </c>
      <c r="B232" s="406">
        <f>IF(YEAR(Table7[[#This Row],[Date]]) = 2023, WEEKNUM(Table7[[#This Row],[Date]])-13, WEEKNUM(Table7[[#This Row],[Date]])+40)</f>
        <v>33</v>
      </c>
      <c r="C232" s="298" t="s">
        <v>53</v>
      </c>
      <c r="D232" s="1" t="s">
        <v>94</v>
      </c>
      <c r="E232" s="1">
        <v>787</v>
      </c>
      <c r="F232" s="1">
        <v>531</v>
      </c>
      <c r="G232" s="80">
        <f t="shared" ref="G232:H232" si="180">IFERROR((E232-E225)/E225,0%)</f>
        <v>-0.24976167778836988</v>
      </c>
      <c r="H232" s="80">
        <f t="shared" si="180"/>
        <v>-0.32528589580686151</v>
      </c>
      <c r="I232" s="1"/>
      <c r="J232" s="1"/>
      <c r="K232" s="1"/>
      <c r="L232" s="1"/>
      <c r="M232" s="18">
        <v>0.33</v>
      </c>
      <c r="N232" s="18">
        <v>0.33</v>
      </c>
      <c r="O232" s="18">
        <v>0.67</v>
      </c>
      <c r="P232" s="18">
        <v>0.79</v>
      </c>
      <c r="Q232" s="157"/>
      <c r="R232" s="301">
        <v>360</v>
      </c>
      <c r="S232" s="158">
        <v>0.125</v>
      </c>
      <c r="T232" s="1">
        <v>9</v>
      </c>
      <c r="U232" s="280" t="str">
        <f t="shared" si="141"/>
        <v>Normal</v>
      </c>
      <c r="V232" s="280" t="str">
        <f t="shared" si="142"/>
        <v>Normal</v>
      </c>
      <c r="W232" s="361">
        <f t="shared" si="143"/>
        <v>-0.24976167778836988</v>
      </c>
      <c r="X232" s="361">
        <f t="shared" si="144"/>
        <v>-0.32528589580686151</v>
      </c>
    </row>
    <row r="233" spans="1:42">
      <c r="A233" s="405">
        <v>45248</v>
      </c>
      <c r="B233" s="406">
        <f>IF(YEAR(Table7[[#This Row],[Date]]) = 2023, WEEKNUM(Table7[[#This Row],[Date]])-13, WEEKNUM(Table7[[#This Row],[Date]])+40)</f>
        <v>33</v>
      </c>
      <c r="C233" s="298" t="s">
        <v>54</v>
      </c>
      <c r="D233" s="1" t="s">
        <v>94</v>
      </c>
      <c r="E233" s="1">
        <v>769</v>
      </c>
      <c r="F233" s="1">
        <v>621</v>
      </c>
      <c r="G233" s="80">
        <f t="shared" ref="G233:H233" si="181">IFERROR((E233-E226)/E226,0%)</f>
        <v>1.8543046357615896E-2</v>
      </c>
      <c r="H233" s="80">
        <f t="shared" si="181"/>
        <v>-4.1666666666666664E-2</v>
      </c>
      <c r="I233" s="1"/>
      <c r="J233" s="1"/>
      <c r="K233" s="1"/>
      <c r="L233" s="1"/>
      <c r="M233" s="18">
        <v>0.57999999999999996</v>
      </c>
      <c r="N233" s="18">
        <v>0.19</v>
      </c>
      <c r="O233" s="18">
        <v>0.81</v>
      </c>
      <c r="P233" s="18">
        <v>0.86</v>
      </c>
      <c r="Q233" s="157"/>
      <c r="R233" s="301">
        <v>300</v>
      </c>
      <c r="S233" s="158">
        <v>8.3333333333333329E-2</v>
      </c>
      <c r="T233" s="1">
        <v>8</v>
      </c>
      <c r="U233" s="280" t="str">
        <f t="shared" si="141"/>
        <v>Normal</v>
      </c>
      <c r="V233" s="280" t="str">
        <f t="shared" si="142"/>
        <v>Normal</v>
      </c>
      <c r="W233" s="361">
        <f t="shared" si="143"/>
        <v>1.8543046357615896E-2</v>
      </c>
      <c r="X233" s="361">
        <f t="shared" si="144"/>
        <v>-4.1666666666666664E-2</v>
      </c>
    </row>
    <row r="234" spans="1:42">
      <c r="A234" s="405">
        <v>45249</v>
      </c>
      <c r="B234" s="406">
        <f>IF(YEAR(Table7[[#This Row],[Date]]) = 2023, WEEKNUM(Table7[[#This Row],[Date]])-13, WEEKNUM(Table7[[#This Row],[Date]])+40)</f>
        <v>34</v>
      </c>
      <c r="C234" s="298" t="s">
        <v>48</v>
      </c>
      <c r="D234" s="1" t="s">
        <v>94</v>
      </c>
      <c r="E234" s="1">
        <v>0</v>
      </c>
      <c r="F234" s="1">
        <v>0</v>
      </c>
      <c r="G234" s="80">
        <f t="shared" ref="G234:H234" si="182">IFERROR((E234-E227)/E227,0%)</f>
        <v>0</v>
      </c>
      <c r="H234" s="80">
        <f t="shared" si="182"/>
        <v>0</v>
      </c>
      <c r="I234" s="1">
        <v>0</v>
      </c>
      <c r="J234" s="1">
        <v>0</v>
      </c>
      <c r="K234" s="1">
        <v>0</v>
      </c>
      <c r="L234" s="1">
        <v>0</v>
      </c>
      <c r="M234" s="18">
        <v>0</v>
      </c>
      <c r="N234" s="18">
        <v>0</v>
      </c>
      <c r="O234" s="18">
        <v>0</v>
      </c>
      <c r="P234" s="18">
        <v>0</v>
      </c>
      <c r="Q234" s="157"/>
      <c r="R234" s="301">
        <v>0</v>
      </c>
      <c r="S234" s="158">
        <v>0</v>
      </c>
      <c r="T234" s="1">
        <v>0</v>
      </c>
      <c r="U234" s="280" t="str">
        <f t="shared" si="141"/>
        <v>Normal</v>
      </c>
      <c r="V234" s="280" t="str">
        <f t="shared" si="142"/>
        <v>Normal</v>
      </c>
      <c r="W234" s="361">
        <f t="shared" si="143"/>
        <v>0</v>
      </c>
      <c r="X234" s="361">
        <f t="shared" si="144"/>
        <v>0</v>
      </c>
    </row>
    <row r="235" spans="1:42">
      <c r="A235" s="405">
        <v>45250</v>
      </c>
      <c r="B235" s="406">
        <f>IF(YEAR(Table7[[#This Row],[Date]]) = 2023, WEEKNUM(Table7[[#This Row],[Date]])-13, WEEKNUM(Table7[[#This Row],[Date]])+40)</f>
        <v>34</v>
      </c>
      <c r="C235" s="298" t="s">
        <v>49</v>
      </c>
      <c r="D235" s="1" t="s">
        <v>94</v>
      </c>
      <c r="E235" s="1">
        <v>1158</v>
      </c>
      <c r="F235" s="1">
        <v>998</v>
      </c>
      <c r="G235" s="80">
        <f t="shared" ref="G235:H235" si="183">IFERROR((E235-E228)/E228,0%)</f>
        <v>6.5317387304507826E-2</v>
      </c>
      <c r="H235" s="80">
        <f t="shared" si="183"/>
        <v>-2.7290448343079921E-2</v>
      </c>
      <c r="I235" s="1"/>
      <c r="J235" s="1"/>
      <c r="K235" s="1"/>
      <c r="L235" s="1"/>
      <c r="M235" s="18">
        <v>0.6</v>
      </c>
      <c r="N235" s="18">
        <v>0.14000000000000001</v>
      </c>
      <c r="O235" s="18">
        <v>0.86</v>
      </c>
      <c r="P235" s="18">
        <v>0.72</v>
      </c>
      <c r="Q235" s="157"/>
      <c r="R235" s="301">
        <v>331</v>
      </c>
      <c r="S235" s="158">
        <v>4.6527777777777779E-2</v>
      </c>
      <c r="T235" s="1">
        <v>17</v>
      </c>
      <c r="U235" s="280" t="str">
        <f t="shared" si="141"/>
        <v>Normal</v>
      </c>
      <c r="V235" s="280" t="str">
        <f t="shared" si="142"/>
        <v>Normal</v>
      </c>
      <c r="W235" s="361">
        <f t="shared" si="143"/>
        <v>6.5317387304507826E-2</v>
      </c>
      <c r="X235" s="361">
        <f t="shared" si="144"/>
        <v>-2.7290448343079921E-2</v>
      </c>
    </row>
    <row r="236" spans="1:42">
      <c r="A236" s="405">
        <v>45251</v>
      </c>
      <c r="B236" s="406">
        <f>IF(YEAR(Table7[[#This Row],[Date]]) = 2023, WEEKNUM(Table7[[#This Row],[Date]])-13, WEEKNUM(Table7[[#This Row],[Date]])+40)</f>
        <v>34</v>
      </c>
      <c r="C236" s="298" t="s">
        <v>50</v>
      </c>
      <c r="D236" s="1" t="s">
        <v>94</v>
      </c>
      <c r="E236" s="1">
        <v>1058</v>
      </c>
      <c r="F236" s="1">
        <v>877</v>
      </c>
      <c r="G236" s="80">
        <f t="shared" ref="G236:H236" si="184">IFERROR((E236-E229)/E229,0%)</f>
        <v>0.20776255707762556</v>
      </c>
      <c r="H236" s="80">
        <f t="shared" si="184"/>
        <v>0.10453400503778337</v>
      </c>
      <c r="I236" s="1"/>
      <c r="J236" s="1"/>
      <c r="K236" s="1"/>
      <c r="L236" s="1"/>
      <c r="M236" s="18">
        <v>0.47</v>
      </c>
      <c r="N236" s="18">
        <v>0.17</v>
      </c>
      <c r="O236" s="18">
        <v>0.83</v>
      </c>
      <c r="P236" s="18">
        <v>0.78</v>
      </c>
      <c r="Q236" s="157"/>
      <c r="R236" s="301">
        <v>360</v>
      </c>
      <c r="S236" s="158">
        <v>5.0694444444444452E-2</v>
      </c>
      <c r="T236" s="1">
        <v>15</v>
      </c>
      <c r="U236" s="280" t="str">
        <f t="shared" si="141"/>
        <v>Normal</v>
      </c>
      <c r="V236" s="280" t="str">
        <f t="shared" si="142"/>
        <v>Normal</v>
      </c>
      <c r="W236" s="361">
        <f t="shared" si="143"/>
        <v>0.20776255707762556</v>
      </c>
      <c r="X236" s="361">
        <f t="shared" si="144"/>
        <v>0.10453400503778337</v>
      </c>
      <c r="AN236" s="48"/>
      <c r="AO236" s="48"/>
      <c r="AP236" s="48"/>
    </row>
    <row r="237" spans="1:42">
      <c r="A237" s="405">
        <v>45252</v>
      </c>
      <c r="B237" s="406">
        <f>IF(YEAR(Table7[[#This Row],[Date]]) = 2023, WEEKNUM(Table7[[#This Row],[Date]])-13, WEEKNUM(Table7[[#This Row],[Date]])+40)</f>
        <v>34</v>
      </c>
      <c r="C237" s="298" t="s">
        <v>51</v>
      </c>
      <c r="D237" s="1" t="s">
        <v>94</v>
      </c>
      <c r="E237" s="1">
        <v>1127</v>
      </c>
      <c r="F237" s="1">
        <v>862</v>
      </c>
      <c r="G237" s="80">
        <f t="shared" ref="G237:H237" si="185">IFERROR((E237-E230)/E230,0%)</f>
        <v>0.22366992399565688</v>
      </c>
      <c r="H237" s="80">
        <f t="shared" si="185"/>
        <v>6.6831683168316836E-2</v>
      </c>
      <c r="I237" s="1"/>
      <c r="J237" s="1"/>
      <c r="K237" s="1"/>
      <c r="L237" s="1"/>
      <c r="M237" s="18">
        <v>0.37</v>
      </c>
      <c r="N237" s="18">
        <v>0.24</v>
      </c>
      <c r="O237" s="18">
        <v>0.76</v>
      </c>
      <c r="P237" s="18">
        <v>0.8</v>
      </c>
      <c r="Q237" s="157"/>
      <c r="R237" s="301">
        <v>349</v>
      </c>
      <c r="S237" s="158">
        <v>8.3333333333333329E-2</v>
      </c>
      <c r="T237" s="1">
        <v>14</v>
      </c>
      <c r="U237" s="280" t="str">
        <f t="shared" si="141"/>
        <v>Normal</v>
      </c>
      <c r="V237" s="280" t="str">
        <f t="shared" si="142"/>
        <v>Normal</v>
      </c>
      <c r="W237" s="361">
        <f t="shared" si="143"/>
        <v>0.22366992399565688</v>
      </c>
      <c r="X237" s="361">
        <f t="shared" si="144"/>
        <v>6.6831683168316836E-2</v>
      </c>
    </row>
    <row r="238" spans="1:42">
      <c r="A238" s="405">
        <v>45253</v>
      </c>
      <c r="B238" s="406">
        <f>IF(YEAR(Table7[[#This Row],[Date]]) = 2023, WEEKNUM(Table7[[#This Row],[Date]])-13, WEEKNUM(Table7[[#This Row],[Date]])+40)</f>
        <v>34</v>
      </c>
      <c r="C238" s="298" t="s">
        <v>52</v>
      </c>
      <c r="D238" s="1" t="s">
        <v>94</v>
      </c>
      <c r="E238" s="1">
        <v>1202</v>
      </c>
      <c r="F238" s="1">
        <v>967</v>
      </c>
      <c r="G238" s="80">
        <f t="shared" ref="G238:H238" si="186">IFERROR((E238-E231)/E231,0%)</f>
        <v>0.39767441860465114</v>
      </c>
      <c r="H238" s="80">
        <f t="shared" si="186"/>
        <v>0.35814606741573035</v>
      </c>
      <c r="I238" s="1"/>
      <c r="J238" s="1"/>
      <c r="K238" s="1"/>
      <c r="L238" s="1"/>
      <c r="M238" s="18">
        <v>0.37</v>
      </c>
      <c r="N238" s="18">
        <v>0.2</v>
      </c>
      <c r="O238" s="18">
        <v>0.8</v>
      </c>
      <c r="P238" s="18">
        <v>0.9</v>
      </c>
      <c r="Q238" s="157"/>
      <c r="R238" s="301">
        <v>326</v>
      </c>
      <c r="S238" s="158">
        <v>8.3333333333333329E-2</v>
      </c>
      <c r="T238" s="1">
        <v>13</v>
      </c>
      <c r="U238" s="280" t="str">
        <f t="shared" si="141"/>
        <v>Normal</v>
      </c>
      <c r="V238" s="280" t="str">
        <f t="shared" si="142"/>
        <v>Normal</v>
      </c>
      <c r="W238" s="361">
        <f t="shared" si="143"/>
        <v>0.39767441860465114</v>
      </c>
      <c r="X238" s="361">
        <f t="shared" si="144"/>
        <v>0.35814606741573035</v>
      </c>
    </row>
    <row r="239" spans="1:42">
      <c r="A239" s="405">
        <v>45254</v>
      </c>
      <c r="B239" s="406">
        <f>IF(YEAR(Table7[[#This Row],[Date]]) = 2023, WEEKNUM(Table7[[#This Row],[Date]])-13, WEEKNUM(Table7[[#This Row],[Date]])+40)</f>
        <v>34</v>
      </c>
      <c r="C239" s="298" t="s">
        <v>53</v>
      </c>
      <c r="D239" s="1" t="s">
        <v>94</v>
      </c>
      <c r="E239" s="1">
        <v>1455</v>
      </c>
      <c r="F239" s="1">
        <v>943</v>
      </c>
      <c r="G239" s="80">
        <f t="shared" ref="G239:H239" si="187">IFERROR((E239-E232)/E232,0%)</f>
        <v>0.84879288437102918</v>
      </c>
      <c r="H239" s="80">
        <f t="shared" si="187"/>
        <v>0.77589453860640301</v>
      </c>
      <c r="I239" s="1"/>
      <c r="J239" s="1"/>
      <c r="K239" s="1"/>
      <c r="L239" s="1"/>
      <c r="M239" s="18">
        <v>0.08</v>
      </c>
      <c r="N239" s="18">
        <v>0.35</v>
      </c>
      <c r="O239" s="18">
        <v>0.65</v>
      </c>
      <c r="P239" s="18">
        <v>0.97</v>
      </c>
      <c r="Q239" s="157"/>
      <c r="R239" s="301">
        <v>360</v>
      </c>
      <c r="S239" s="158">
        <v>0.125</v>
      </c>
      <c r="T239" s="1">
        <v>13</v>
      </c>
      <c r="U239" s="280" t="str">
        <f t="shared" si="141"/>
        <v>Normal</v>
      </c>
      <c r="V239" s="280" t="str">
        <f t="shared" si="142"/>
        <v>Normal</v>
      </c>
      <c r="W239" s="361">
        <f t="shared" si="143"/>
        <v>0.84879288437102918</v>
      </c>
      <c r="X239" s="361">
        <f t="shared" si="144"/>
        <v>0.77589453860640301</v>
      </c>
    </row>
    <row r="240" spans="1:42">
      <c r="A240" s="405">
        <v>45255</v>
      </c>
      <c r="B240" s="406">
        <f>IF(YEAR(Table7[[#This Row],[Date]]) = 2023, WEEKNUM(Table7[[#This Row],[Date]])-13, WEEKNUM(Table7[[#This Row],[Date]])+40)</f>
        <v>34</v>
      </c>
      <c r="C240" s="298" t="s">
        <v>54</v>
      </c>
      <c r="D240" s="1" t="s">
        <v>94</v>
      </c>
      <c r="E240" s="1">
        <v>1069</v>
      </c>
      <c r="F240" s="1">
        <v>884</v>
      </c>
      <c r="G240" s="80">
        <f t="shared" ref="G240:H240" si="188">IFERROR((E240-E233)/E233,0%)</f>
        <v>0.39011703511053314</v>
      </c>
      <c r="H240" s="80">
        <f t="shared" si="188"/>
        <v>0.42351046698872785</v>
      </c>
      <c r="I240" s="1"/>
      <c r="J240" s="1"/>
      <c r="K240" s="1"/>
      <c r="L240" s="1"/>
      <c r="M240" s="18">
        <v>0.44</v>
      </c>
      <c r="N240" s="18">
        <v>0.17</v>
      </c>
      <c r="O240" s="18">
        <v>0.83</v>
      </c>
      <c r="P240" s="18">
        <v>0.85</v>
      </c>
      <c r="Q240" s="157"/>
      <c r="R240" s="301">
        <v>337</v>
      </c>
      <c r="S240" s="158">
        <v>7.3611111111111113E-2</v>
      </c>
      <c r="T240" s="1">
        <v>13</v>
      </c>
      <c r="U240" s="280" t="str">
        <f t="shared" si="141"/>
        <v>Normal</v>
      </c>
      <c r="V240" s="280" t="str">
        <f t="shared" si="142"/>
        <v>Normal</v>
      </c>
      <c r="W240" s="361">
        <f t="shared" si="143"/>
        <v>0.39011703511053314</v>
      </c>
      <c r="X240" s="361">
        <f t="shared" si="144"/>
        <v>0.42351046698872785</v>
      </c>
    </row>
    <row r="241" spans="1:42">
      <c r="A241" s="405">
        <v>45256</v>
      </c>
      <c r="B241" s="406">
        <f>IF(YEAR(Table7[[#This Row],[Date]]) = 2023, WEEKNUM(Table7[[#This Row],[Date]])-13, WEEKNUM(Table7[[#This Row],[Date]])+40)</f>
        <v>35</v>
      </c>
      <c r="C241" s="298" t="s">
        <v>48</v>
      </c>
      <c r="D241" s="1" t="s">
        <v>94</v>
      </c>
      <c r="E241" s="1">
        <v>291</v>
      </c>
      <c r="F241" s="1">
        <v>160</v>
      </c>
      <c r="G241" s="80">
        <f t="shared" ref="G241:H241" si="189">IFERROR((E241-E234)/E234,0%)</f>
        <v>0</v>
      </c>
      <c r="H241" s="80">
        <f t="shared" si="189"/>
        <v>0</v>
      </c>
      <c r="I241" s="1"/>
      <c r="J241" s="1"/>
      <c r="K241" s="1"/>
      <c r="L241" s="1"/>
      <c r="M241" s="18">
        <v>0.1</v>
      </c>
      <c r="N241" s="18">
        <v>0.45</v>
      </c>
      <c r="O241" s="18">
        <v>0.55000000000000004</v>
      </c>
      <c r="P241" s="18">
        <v>0.47</v>
      </c>
      <c r="Q241" s="157"/>
      <c r="R241" s="301">
        <v>240</v>
      </c>
      <c r="S241" s="158">
        <v>0.125</v>
      </c>
      <c r="T241" s="1">
        <v>3</v>
      </c>
      <c r="U241" s="280" t="str">
        <f t="shared" si="141"/>
        <v>Normal</v>
      </c>
      <c r="V241" s="280" t="str">
        <f t="shared" si="142"/>
        <v>Normal</v>
      </c>
      <c r="W241" s="361">
        <f t="shared" si="143"/>
        <v>0</v>
      </c>
      <c r="X241" s="361">
        <f t="shared" si="144"/>
        <v>0</v>
      </c>
      <c r="AJ241" s="48"/>
      <c r="AK241" s="48"/>
      <c r="AL241" s="48"/>
    </row>
    <row r="242" spans="1:42">
      <c r="A242" s="405">
        <v>45257</v>
      </c>
      <c r="B242" s="406">
        <f>IF(YEAR(Table7[[#This Row],[Date]]) = 2023, WEEKNUM(Table7[[#This Row],[Date]])-13, WEEKNUM(Table7[[#This Row],[Date]])+40)</f>
        <v>35</v>
      </c>
      <c r="C242" s="298" t="s">
        <v>49</v>
      </c>
      <c r="D242" s="1" t="s">
        <v>94</v>
      </c>
      <c r="E242" s="1">
        <v>1638</v>
      </c>
      <c r="F242" s="1">
        <v>1150</v>
      </c>
      <c r="G242" s="80">
        <f t="shared" ref="G242:H242" si="190">IFERROR((E242-E235)/E235,0%)</f>
        <v>0.41450777202072536</v>
      </c>
      <c r="H242" s="80">
        <f t="shared" si="190"/>
        <v>0.15230460921843689</v>
      </c>
      <c r="I242" s="1"/>
      <c r="J242" s="1"/>
      <c r="K242" s="1"/>
      <c r="L242" s="1"/>
      <c r="M242" s="18">
        <v>0.17</v>
      </c>
      <c r="N242" s="18">
        <v>0.3</v>
      </c>
      <c r="O242" s="18">
        <v>0.7</v>
      </c>
      <c r="P242" s="18">
        <v>0.86</v>
      </c>
      <c r="Q242" s="157"/>
      <c r="R242" s="301">
        <v>364</v>
      </c>
      <c r="S242" s="158">
        <v>0.1076388888888889</v>
      </c>
      <c r="T242" s="1">
        <v>18</v>
      </c>
      <c r="U242" s="280" t="str">
        <f t="shared" si="141"/>
        <v>Normal</v>
      </c>
      <c r="V242" s="280" t="str">
        <f t="shared" si="142"/>
        <v>Normal</v>
      </c>
      <c r="W242" s="361">
        <f t="shared" si="143"/>
        <v>0.41450777202072536</v>
      </c>
      <c r="X242" s="361">
        <f t="shared" si="144"/>
        <v>0.15230460921843689</v>
      </c>
    </row>
    <row r="243" spans="1:42">
      <c r="A243" s="405">
        <v>45258</v>
      </c>
      <c r="B243" s="406">
        <f>IF(YEAR(Table7[[#This Row],[Date]]) = 2023, WEEKNUM(Table7[[#This Row],[Date]])-13, WEEKNUM(Table7[[#This Row],[Date]])+40)</f>
        <v>35</v>
      </c>
      <c r="C243" s="298" t="s">
        <v>50</v>
      </c>
      <c r="D243" s="1" t="s">
        <v>94</v>
      </c>
      <c r="E243" s="1">
        <v>1722</v>
      </c>
      <c r="F243" s="1">
        <v>1000</v>
      </c>
      <c r="G243" s="80">
        <f t="shared" ref="G243:H243" si="191">IFERROR((E243-E236)/E236,0%)</f>
        <v>0.6275992438563327</v>
      </c>
      <c r="H243" s="80">
        <f t="shared" si="191"/>
        <v>0.1402508551881414</v>
      </c>
      <c r="I243" s="1"/>
      <c r="J243" s="1"/>
      <c r="K243" s="1"/>
      <c r="L243" s="1"/>
      <c r="M243" s="18">
        <v>0.08</v>
      </c>
      <c r="N243" s="18">
        <v>0.42</v>
      </c>
      <c r="O243" s="18">
        <v>0.57999999999999996</v>
      </c>
      <c r="P243" s="18">
        <v>0.83</v>
      </c>
      <c r="Q243" s="157"/>
      <c r="R243" s="301">
        <v>360</v>
      </c>
      <c r="S243" s="158">
        <v>0.17569444444444446</v>
      </c>
      <c r="T243" s="1">
        <v>16</v>
      </c>
      <c r="U243" s="280" t="str">
        <f t="shared" si="141"/>
        <v>Normal</v>
      </c>
      <c r="V243" s="280" t="str">
        <f t="shared" si="142"/>
        <v>Normal</v>
      </c>
      <c r="W243" s="361">
        <f t="shared" si="143"/>
        <v>0.6275992438563327</v>
      </c>
      <c r="X243" s="361">
        <f t="shared" si="144"/>
        <v>0.1402508551881414</v>
      </c>
      <c r="AN243" t="e">
        <v>#DIV/0!</v>
      </c>
    </row>
    <row r="244" spans="1:42">
      <c r="A244" s="405">
        <v>45259</v>
      </c>
      <c r="B244" s="406">
        <f>IF(YEAR(Table7[[#This Row],[Date]]) = 2023, WEEKNUM(Table7[[#This Row],[Date]])-13, WEEKNUM(Table7[[#This Row],[Date]])+40)</f>
        <v>35</v>
      </c>
      <c r="C244" s="298" t="s">
        <v>51</v>
      </c>
      <c r="D244" s="1" t="s">
        <v>94</v>
      </c>
      <c r="E244" s="1">
        <v>1677</v>
      </c>
      <c r="F244" s="1">
        <v>930</v>
      </c>
      <c r="G244" s="80">
        <f t="shared" ref="G244:H244" si="192">IFERROR((E244-E237)/E237,0%)</f>
        <v>0.48802129547471162</v>
      </c>
      <c r="H244" s="80">
        <f t="shared" si="192"/>
        <v>7.8886310904872387E-2</v>
      </c>
      <c r="I244" s="1"/>
      <c r="J244" s="1"/>
      <c r="K244" s="1"/>
      <c r="L244" s="1"/>
      <c r="M244" s="18">
        <v>0.04</v>
      </c>
      <c r="N244" s="18">
        <v>0.45</v>
      </c>
      <c r="O244" s="18">
        <v>0.55000000000000004</v>
      </c>
      <c r="P244" s="18">
        <v>0.85</v>
      </c>
      <c r="Q244" s="157"/>
      <c r="R244" s="301">
        <v>369</v>
      </c>
      <c r="S244" s="158">
        <v>0.25277777777777777</v>
      </c>
      <c r="T244" s="1">
        <v>15</v>
      </c>
      <c r="U244" s="280" t="str">
        <f t="shared" si="141"/>
        <v>Normal</v>
      </c>
      <c r="V244" s="280" t="str">
        <f t="shared" si="142"/>
        <v>Normal</v>
      </c>
      <c r="W244" s="361">
        <f t="shared" si="143"/>
        <v>0.48802129547471162</v>
      </c>
      <c r="X244" s="361">
        <f t="shared" si="144"/>
        <v>7.8886310904872387E-2</v>
      </c>
    </row>
    <row r="245" spans="1:42">
      <c r="A245" s="405">
        <v>45260</v>
      </c>
      <c r="B245" s="406">
        <f>IF(YEAR(Table7[[#This Row],[Date]]) = 2023, WEEKNUM(Table7[[#This Row],[Date]])-13, WEEKNUM(Table7[[#This Row],[Date]])+40)</f>
        <v>35</v>
      </c>
      <c r="C245" s="298" t="s">
        <v>52</v>
      </c>
      <c r="D245" s="1" t="s">
        <v>94</v>
      </c>
      <c r="E245" s="1">
        <v>1777</v>
      </c>
      <c r="F245" s="1">
        <v>765</v>
      </c>
      <c r="G245" s="80">
        <f t="shared" ref="G245:H245" si="193">IFERROR((E245-E238)/E238,0%)</f>
        <v>0.47836938435940102</v>
      </c>
      <c r="H245" s="80">
        <f t="shared" si="193"/>
        <v>-0.20889348500517063</v>
      </c>
      <c r="I245" s="1"/>
      <c r="J245" s="1"/>
      <c r="K245" s="1"/>
      <c r="L245" s="1"/>
      <c r="M245" s="18">
        <v>0.06</v>
      </c>
      <c r="N245" s="18">
        <v>0.56999999999999995</v>
      </c>
      <c r="O245" s="18">
        <v>0.43</v>
      </c>
      <c r="P245" s="18">
        <v>0.88</v>
      </c>
      <c r="Q245" s="157"/>
      <c r="R245" s="301">
        <v>404</v>
      </c>
      <c r="S245" s="158">
        <v>0.29166666666666669</v>
      </c>
      <c r="T245" s="1">
        <v>13</v>
      </c>
      <c r="U245" s="280" t="str">
        <f t="shared" si="141"/>
        <v>Normal</v>
      </c>
      <c r="V245" s="280" t="str">
        <f t="shared" si="142"/>
        <v>Normal</v>
      </c>
      <c r="W245" s="361">
        <f t="shared" si="143"/>
        <v>0.47836938435940102</v>
      </c>
      <c r="X245" s="361">
        <f t="shared" si="144"/>
        <v>-0.20889348500517063</v>
      </c>
    </row>
    <row r="246" spans="1:42" s="48" customFormat="1">
      <c r="A246" s="405">
        <v>45261</v>
      </c>
      <c r="B246" s="406">
        <f>IF(YEAR(Table7[[#This Row],[Date]]) = 2023, WEEKNUM(Table7[[#This Row],[Date]])-13, WEEKNUM(Table7[[#This Row],[Date]])+40)</f>
        <v>35</v>
      </c>
      <c r="C246" s="298" t="s">
        <v>53</v>
      </c>
      <c r="D246" s="1" t="s">
        <v>94</v>
      </c>
      <c r="E246" s="50">
        <v>1570</v>
      </c>
      <c r="F246" s="50">
        <v>784</v>
      </c>
      <c r="G246" s="80">
        <f t="shared" ref="G246:H246" si="194">IFERROR((E246-E239)/E239,0%)</f>
        <v>7.903780068728522E-2</v>
      </c>
      <c r="H246" s="80">
        <f t="shared" si="194"/>
        <v>-0.16861081654294804</v>
      </c>
      <c r="I246" s="50"/>
      <c r="J246" s="50"/>
      <c r="K246" s="50"/>
      <c r="L246" s="50"/>
      <c r="M246" s="51">
        <v>0.02</v>
      </c>
      <c r="N246" s="51">
        <v>0.5</v>
      </c>
      <c r="O246" s="51">
        <v>0.5</v>
      </c>
      <c r="P246" s="51">
        <v>0.86</v>
      </c>
      <c r="Q246" s="157"/>
      <c r="R246" s="301">
        <v>442</v>
      </c>
      <c r="S246" s="164">
        <v>0.25</v>
      </c>
      <c r="T246" s="50">
        <v>15</v>
      </c>
      <c r="U246" s="280" t="str">
        <f t="shared" si="141"/>
        <v>Normal</v>
      </c>
      <c r="V246" s="280" t="str">
        <f t="shared" si="142"/>
        <v>Normal</v>
      </c>
      <c r="W246" s="361">
        <f t="shared" si="143"/>
        <v>7.903780068728522E-2</v>
      </c>
      <c r="X246" s="361">
        <f t="shared" si="144"/>
        <v>-0.16861081654294804</v>
      </c>
      <c r="AJ246"/>
      <c r="AK246"/>
      <c r="AL246"/>
      <c r="AN246"/>
      <c r="AO246"/>
      <c r="AP246"/>
    </row>
    <row r="247" spans="1:42">
      <c r="A247" s="405">
        <v>45262</v>
      </c>
      <c r="B247" s="406">
        <f>IF(YEAR(Table7[[#This Row],[Date]]) = 2023, WEEKNUM(Table7[[#This Row],[Date]])-13, WEEKNUM(Table7[[#This Row],[Date]])+40)</f>
        <v>35</v>
      </c>
      <c r="C247" s="298" t="s">
        <v>54</v>
      </c>
      <c r="D247" s="1" t="s">
        <v>94</v>
      </c>
      <c r="E247" s="1">
        <v>1268</v>
      </c>
      <c r="F247" s="1">
        <v>563</v>
      </c>
      <c r="G247" s="80">
        <f t="shared" ref="G247:H247" si="195">IFERROR((E247-E240)/E240,0%)</f>
        <v>0.18615528531337699</v>
      </c>
      <c r="H247" s="80">
        <f t="shared" si="195"/>
        <v>-0.36312217194570134</v>
      </c>
      <c r="I247" s="1"/>
      <c r="J247" s="1"/>
      <c r="K247" s="1"/>
      <c r="L247" s="1"/>
      <c r="M247" s="18">
        <v>0.01</v>
      </c>
      <c r="N247" s="18">
        <v>0.56000000000000005</v>
      </c>
      <c r="O247" s="18">
        <v>0.44</v>
      </c>
      <c r="P247" s="18">
        <v>0.86</v>
      </c>
      <c r="Q247" s="157"/>
      <c r="R247" s="301">
        <v>420</v>
      </c>
      <c r="S247" s="158">
        <v>0.33333333333333331</v>
      </c>
      <c r="T247" s="1">
        <v>11</v>
      </c>
      <c r="U247" s="280" t="str">
        <f t="shared" si="141"/>
        <v>Normal</v>
      </c>
      <c r="V247" s="280" t="str">
        <f t="shared" si="142"/>
        <v>Normal</v>
      </c>
      <c r="W247" s="361">
        <f t="shared" si="143"/>
        <v>0.18615528531337699</v>
      </c>
      <c r="X247" s="361">
        <f t="shared" si="144"/>
        <v>-0.36312217194570134</v>
      </c>
    </row>
    <row r="248" spans="1:42">
      <c r="A248" s="405">
        <v>45263</v>
      </c>
      <c r="B248" s="406">
        <f>IF(YEAR(Table7[[#This Row],[Date]]) = 2023, WEEKNUM(Table7[[#This Row],[Date]])-13, WEEKNUM(Table7[[#This Row],[Date]])+40)</f>
        <v>36</v>
      </c>
      <c r="C248" s="298" t="s">
        <v>48</v>
      </c>
      <c r="D248" s="1" t="s">
        <v>94</v>
      </c>
      <c r="E248" s="1">
        <v>166</v>
      </c>
      <c r="F248" s="1">
        <v>135</v>
      </c>
      <c r="G248" s="80">
        <f t="shared" ref="G248:H248" si="196">IFERROR((E248-E241)/E241,0%)</f>
        <v>-0.42955326460481097</v>
      </c>
      <c r="H248" s="80">
        <f t="shared" si="196"/>
        <v>-0.15625</v>
      </c>
      <c r="I248" s="1"/>
      <c r="J248" s="1"/>
      <c r="K248" s="1"/>
      <c r="L248" s="1"/>
      <c r="M248" s="18">
        <v>0.5</v>
      </c>
      <c r="N248" s="18">
        <v>0.19</v>
      </c>
      <c r="O248" s="18">
        <v>0.81</v>
      </c>
      <c r="P248" s="18">
        <v>0.8</v>
      </c>
      <c r="Q248" s="157"/>
      <c r="R248" s="301">
        <v>241</v>
      </c>
      <c r="S248" s="158">
        <v>4.1666666666666664E-2</v>
      </c>
      <c r="T248" s="1">
        <v>3</v>
      </c>
      <c r="U248" s="280" t="str">
        <f t="shared" si="141"/>
        <v>Normal</v>
      </c>
      <c r="V248" s="280" t="str">
        <f t="shared" si="142"/>
        <v>Normal</v>
      </c>
      <c r="W248" s="361">
        <f t="shared" si="143"/>
        <v>-0.42955326460481097</v>
      </c>
      <c r="X248" s="361">
        <f t="shared" si="144"/>
        <v>-0.15625</v>
      </c>
    </row>
    <row r="249" spans="1:42">
      <c r="A249" s="405">
        <v>45264</v>
      </c>
      <c r="B249" s="406">
        <f>IF(YEAR(Table7[[#This Row],[Date]]) = 2023, WEEKNUM(Table7[[#This Row],[Date]])-13, WEEKNUM(Table7[[#This Row],[Date]])+40)</f>
        <v>36</v>
      </c>
      <c r="C249" s="298" t="s">
        <v>49</v>
      </c>
      <c r="D249" s="1" t="s">
        <v>94</v>
      </c>
      <c r="E249" s="1">
        <v>1400</v>
      </c>
      <c r="F249" s="1">
        <v>1038</v>
      </c>
      <c r="G249" s="80">
        <f t="shared" ref="G249:H249" si="197">IFERROR((E249-E242)/E242,0%)</f>
        <v>-0.14529914529914531</v>
      </c>
      <c r="H249" s="80">
        <f t="shared" si="197"/>
        <v>-9.7391304347826085E-2</v>
      </c>
      <c r="I249" s="1"/>
      <c r="J249" s="1"/>
      <c r="K249" s="1"/>
      <c r="L249" s="1"/>
      <c r="M249" s="18">
        <v>0.28000000000000003</v>
      </c>
      <c r="N249" s="18">
        <v>0.26</v>
      </c>
      <c r="O249" s="18">
        <v>0.74</v>
      </c>
      <c r="P249" s="18">
        <v>0.79</v>
      </c>
      <c r="Q249" s="157"/>
      <c r="R249" s="301">
        <v>371</v>
      </c>
      <c r="S249" s="158">
        <v>9.6527777777777768E-2</v>
      </c>
      <c r="T249" s="1">
        <v>18</v>
      </c>
      <c r="U249" s="280" t="str">
        <f t="shared" si="141"/>
        <v>Normal</v>
      </c>
      <c r="V249" s="280" t="str">
        <f t="shared" si="142"/>
        <v>Normal</v>
      </c>
      <c r="W249" s="361">
        <f t="shared" si="143"/>
        <v>-0.14529914529914531</v>
      </c>
      <c r="X249" s="361">
        <f t="shared" si="144"/>
        <v>-9.7391304347826085E-2</v>
      </c>
    </row>
    <row r="250" spans="1:42">
      <c r="A250" s="405">
        <v>45265</v>
      </c>
      <c r="B250" s="406">
        <f>IF(YEAR(Table7[[#This Row],[Date]]) = 2023, WEEKNUM(Table7[[#This Row],[Date]])-13, WEEKNUM(Table7[[#This Row],[Date]])+40)</f>
        <v>36</v>
      </c>
      <c r="C250" s="298" t="s">
        <v>50</v>
      </c>
      <c r="D250" s="1" t="s">
        <v>94</v>
      </c>
      <c r="E250" s="1">
        <v>1273</v>
      </c>
      <c r="F250" s="1">
        <v>1133</v>
      </c>
      <c r="G250" s="80">
        <f t="shared" ref="G250:H250" si="198">IFERROR((E250-E243)/E243,0%)</f>
        <v>-0.2607433217189315</v>
      </c>
      <c r="H250" s="80">
        <f t="shared" si="198"/>
        <v>0.13300000000000001</v>
      </c>
      <c r="I250" s="1"/>
      <c r="J250" s="1"/>
      <c r="K250" s="1"/>
      <c r="L250" s="1"/>
      <c r="M250" s="18">
        <v>0.64</v>
      </c>
      <c r="N250" s="18">
        <v>0.11</v>
      </c>
      <c r="O250" s="18">
        <v>0.89</v>
      </c>
      <c r="P250" s="18">
        <v>0.84</v>
      </c>
      <c r="Q250" s="157"/>
      <c r="R250" s="301">
        <v>360</v>
      </c>
      <c r="S250" s="158">
        <v>3.3333333333333333E-2</v>
      </c>
      <c r="T250" s="1">
        <v>18</v>
      </c>
      <c r="U250" s="280" t="str">
        <f t="shared" si="141"/>
        <v>Normal</v>
      </c>
      <c r="V250" s="280" t="str">
        <f t="shared" si="142"/>
        <v>Normal</v>
      </c>
      <c r="W250" s="361">
        <f t="shared" si="143"/>
        <v>-0.2607433217189315</v>
      </c>
      <c r="X250" s="361">
        <f t="shared" si="144"/>
        <v>0.13300000000000001</v>
      </c>
    </row>
    <row r="251" spans="1:42">
      <c r="A251" s="405">
        <v>45266</v>
      </c>
      <c r="B251" s="406">
        <f>IF(YEAR(Table7[[#This Row],[Date]]) = 2023, WEEKNUM(Table7[[#This Row],[Date]])-13, WEEKNUM(Table7[[#This Row],[Date]])+40)</f>
        <v>36</v>
      </c>
      <c r="C251" s="298" t="s">
        <v>51</v>
      </c>
      <c r="D251" s="1" t="s">
        <v>94</v>
      </c>
      <c r="E251" s="1">
        <v>1279</v>
      </c>
      <c r="F251" s="1">
        <v>1090</v>
      </c>
      <c r="G251" s="80">
        <f t="shared" ref="G251:H251" si="199">IFERROR((E251-E244)/E244,0%)</f>
        <v>-0.23732856290995827</v>
      </c>
      <c r="H251" s="80">
        <f t="shared" si="199"/>
        <v>0.17204301075268819</v>
      </c>
      <c r="I251" s="1"/>
      <c r="J251" s="1"/>
      <c r="K251" s="1"/>
      <c r="L251" s="1"/>
      <c r="M251" s="18">
        <v>0.56999999999999995</v>
      </c>
      <c r="N251" s="18">
        <v>0.15</v>
      </c>
      <c r="O251" s="18">
        <v>0.85</v>
      </c>
      <c r="P251" s="18">
        <v>0.85</v>
      </c>
      <c r="Q251" s="157"/>
      <c r="R251" s="301">
        <v>360</v>
      </c>
      <c r="S251" s="158">
        <v>4.1666666666666664E-2</v>
      </c>
      <c r="T251" s="1">
        <v>17</v>
      </c>
      <c r="U251" s="280" t="str">
        <f t="shared" si="141"/>
        <v>Normal</v>
      </c>
      <c r="V251" s="280" t="str">
        <f t="shared" si="142"/>
        <v>Normal</v>
      </c>
      <c r="W251" s="361">
        <f t="shared" si="143"/>
        <v>-0.23732856290995827</v>
      </c>
      <c r="X251" s="361">
        <f t="shared" si="144"/>
        <v>0.17204301075268819</v>
      </c>
    </row>
    <row r="252" spans="1:42">
      <c r="A252" s="405">
        <v>45267</v>
      </c>
      <c r="B252" s="406">
        <f>IF(YEAR(Table7[[#This Row],[Date]]) = 2023, WEEKNUM(Table7[[#This Row],[Date]])-13, WEEKNUM(Table7[[#This Row],[Date]])+40)</f>
        <v>36</v>
      </c>
      <c r="C252" s="298" t="s">
        <v>52</v>
      </c>
      <c r="D252" s="1" t="s">
        <v>94</v>
      </c>
      <c r="E252" s="1">
        <v>1266</v>
      </c>
      <c r="F252" s="1">
        <v>963</v>
      </c>
      <c r="G252" s="80">
        <f t="shared" ref="G252:H252" si="200">IFERROR((E252-E245)/E245,0%)</f>
        <v>-0.28756330894766463</v>
      </c>
      <c r="H252" s="80">
        <f t="shared" si="200"/>
        <v>0.25882352941176473</v>
      </c>
      <c r="I252" s="1"/>
      <c r="J252" s="1"/>
      <c r="K252" s="1"/>
      <c r="L252" s="1"/>
      <c r="M252" s="18">
        <v>0.34</v>
      </c>
      <c r="N252" s="18">
        <v>0.24</v>
      </c>
      <c r="O252" s="18">
        <v>0.76</v>
      </c>
      <c r="P252" s="18">
        <v>0.76</v>
      </c>
      <c r="Q252" s="157"/>
      <c r="R252" s="301">
        <v>343</v>
      </c>
      <c r="S252" s="159">
        <v>8.3333333333333329E-2</v>
      </c>
      <c r="T252" s="1">
        <v>16</v>
      </c>
      <c r="U252" s="280" t="str">
        <f t="shared" si="141"/>
        <v>Normal</v>
      </c>
      <c r="V252" s="280" t="str">
        <f t="shared" si="142"/>
        <v>Normal</v>
      </c>
      <c r="W252" s="361">
        <f t="shared" si="143"/>
        <v>-0.28756330894766463</v>
      </c>
      <c r="X252" s="361">
        <f t="shared" si="144"/>
        <v>0.25882352941176473</v>
      </c>
    </row>
    <row r="253" spans="1:42">
      <c r="A253" s="405">
        <v>45268</v>
      </c>
      <c r="B253" s="406">
        <f>IF(YEAR(Table7[[#This Row],[Date]]) = 2023, WEEKNUM(Table7[[#This Row],[Date]])-13, WEEKNUM(Table7[[#This Row],[Date]])+40)</f>
        <v>36</v>
      </c>
      <c r="C253" s="298" t="s">
        <v>53</v>
      </c>
      <c r="D253" s="1" t="s">
        <v>94</v>
      </c>
      <c r="E253" s="1">
        <v>1341</v>
      </c>
      <c r="F253" s="1">
        <v>881</v>
      </c>
      <c r="G253" s="80">
        <f t="shared" ref="G253:H253" si="201">IFERROR((E253-E246)/E246,0%)</f>
        <v>-0.14585987261146496</v>
      </c>
      <c r="H253" s="80">
        <f t="shared" si="201"/>
        <v>0.12372448979591837</v>
      </c>
      <c r="I253" s="1"/>
      <c r="J253" s="1"/>
      <c r="K253" s="1"/>
      <c r="L253" s="1"/>
      <c r="M253" s="18">
        <v>0.09</v>
      </c>
      <c r="N253" s="18">
        <v>0.34</v>
      </c>
      <c r="O253" s="18">
        <v>0.66</v>
      </c>
      <c r="P253" s="18">
        <v>0.81</v>
      </c>
      <c r="Q253" s="157"/>
      <c r="R253" s="301">
        <v>348</v>
      </c>
      <c r="S253" s="159">
        <v>0.1451388888888889</v>
      </c>
      <c r="T253" s="1">
        <v>14</v>
      </c>
      <c r="U253" s="280" t="str">
        <f t="shared" si="141"/>
        <v>Normal</v>
      </c>
      <c r="V253" s="280" t="str">
        <f t="shared" si="142"/>
        <v>Normal</v>
      </c>
      <c r="W253" s="361">
        <f t="shared" si="143"/>
        <v>-0.14585987261146496</v>
      </c>
      <c r="X253" s="361">
        <f t="shared" si="144"/>
        <v>0.12372448979591837</v>
      </c>
    </row>
    <row r="254" spans="1:42">
      <c r="A254" s="405">
        <v>45269</v>
      </c>
      <c r="B254" s="406">
        <f>IF(YEAR(Table7[[#This Row],[Date]]) = 2023, WEEKNUM(Table7[[#This Row],[Date]])-13, WEEKNUM(Table7[[#This Row],[Date]])+40)</f>
        <v>36</v>
      </c>
      <c r="C254" s="298" t="s">
        <v>54</v>
      </c>
      <c r="D254" s="1" t="s">
        <v>94</v>
      </c>
      <c r="E254" s="1">
        <v>1054</v>
      </c>
      <c r="F254" s="1">
        <v>756</v>
      </c>
      <c r="G254" s="80">
        <f t="shared" ref="G254:H254" si="202">IFERROR((E254-E247)/E247,0%)</f>
        <v>-0.16876971608832808</v>
      </c>
      <c r="H254" s="80">
        <f t="shared" si="202"/>
        <v>0.34280639431616339</v>
      </c>
      <c r="I254" s="1"/>
      <c r="J254" s="1"/>
      <c r="K254" s="1"/>
      <c r="L254" s="1"/>
      <c r="M254" s="18">
        <v>0.23</v>
      </c>
      <c r="N254" s="18">
        <v>0.28000000000000003</v>
      </c>
      <c r="O254" s="18">
        <v>0.72</v>
      </c>
      <c r="P254" s="18">
        <v>0.78</v>
      </c>
      <c r="Q254" s="157"/>
      <c r="R254" s="301">
        <v>360</v>
      </c>
      <c r="S254" s="159">
        <v>0.125</v>
      </c>
      <c r="T254" s="1">
        <v>13</v>
      </c>
      <c r="U254" s="280" t="str">
        <f t="shared" si="141"/>
        <v>Normal</v>
      </c>
      <c r="V254" s="280" t="str">
        <f t="shared" si="142"/>
        <v>Normal</v>
      </c>
      <c r="W254" s="361">
        <f t="shared" si="143"/>
        <v>-0.16876971608832808</v>
      </c>
      <c r="X254" s="361">
        <f t="shared" si="144"/>
        <v>0.34280639431616339</v>
      </c>
    </row>
    <row r="255" spans="1:42">
      <c r="A255" s="405">
        <v>45270</v>
      </c>
      <c r="B255" s="406">
        <f>IF(YEAR(Table7[[#This Row],[Date]]) = 2023, WEEKNUM(Table7[[#This Row],[Date]])-13, WEEKNUM(Table7[[#This Row],[Date]])+40)</f>
        <v>37</v>
      </c>
      <c r="C255" s="298" t="s">
        <v>48</v>
      </c>
      <c r="D255" s="1" t="s">
        <v>94</v>
      </c>
      <c r="E255" s="1">
        <v>153</v>
      </c>
      <c r="F255" s="1">
        <v>124</v>
      </c>
      <c r="G255" s="80">
        <f t="shared" ref="G255:H255" si="203">IFERROR((E255-E248)/E248,0%)</f>
        <v>-7.8313253012048195E-2</v>
      </c>
      <c r="H255" s="80">
        <f t="shared" si="203"/>
        <v>-8.1481481481481488E-2</v>
      </c>
      <c r="I255" s="1"/>
      <c r="J255" s="1"/>
      <c r="K255" s="1"/>
      <c r="L255" s="1"/>
      <c r="M255" s="18">
        <v>0.5</v>
      </c>
      <c r="N255" s="18">
        <v>0.19</v>
      </c>
      <c r="O255" s="18">
        <v>0.81</v>
      </c>
      <c r="P255" s="18">
        <v>0.34</v>
      </c>
      <c r="Q255" s="157"/>
      <c r="R255" s="301">
        <v>300</v>
      </c>
      <c r="S255" s="159">
        <v>8.3333333333333329E-2</v>
      </c>
      <c r="T255" s="1">
        <v>4</v>
      </c>
      <c r="U255" s="280" t="str">
        <f t="shared" si="141"/>
        <v>Normal</v>
      </c>
      <c r="V255" s="280" t="str">
        <f t="shared" si="142"/>
        <v>Normal</v>
      </c>
      <c r="W255" s="361">
        <f t="shared" si="143"/>
        <v>-7.8313253012048195E-2</v>
      </c>
      <c r="X255" s="361">
        <f t="shared" si="144"/>
        <v>-8.1481481481481488E-2</v>
      </c>
      <c r="AN255" s="147" t="e">
        <v>#DIV/0!</v>
      </c>
    </row>
    <row r="256" spans="1:42">
      <c r="A256" s="405">
        <v>45271</v>
      </c>
      <c r="B256" s="406">
        <f>IF(YEAR(Table7[[#This Row],[Date]]) = 2023, WEEKNUM(Table7[[#This Row],[Date]])-13, WEEKNUM(Table7[[#This Row],[Date]])+40)</f>
        <v>37</v>
      </c>
      <c r="C256" s="298" t="s">
        <v>49</v>
      </c>
      <c r="D256" s="1" t="s">
        <v>94</v>
      </c>
      <c r="E256" s="1">
        <v>1361</v>
      </c>
      <c r="F256" s="1">
        <v>996</v>
      </c>
      <c r="G256" s="80">
        <f t="shared" ref="G256:H256" si="204">IFERROR((E256-E249)/E249,0%)</f>
        <v>-2.7857142857142858E-2</v>
      </c>
      <c r="H256" s="80">
        <f t="shared" si="204"/>
        <v>-4.046242774566474E-2</v>
      </c>
      <c r="I256" s="1"/>
      <c r="J256" s="1"/>
      <c r="K256" s="1"/>
      <c r="L256" s="1"/>
      <c r="M256" s="18">
        <v>0.23</v>
      </c>
      <c r="N256" s="18">
        <v>0.27</v>
      </c>
      <c r="O256" s="18">
        <v>0.73</v>
      </c>
      <c r="P256" s="18">
        <v>0.89</v>
      </c>
      <c r="Q256" s="157"/>
      <c r="R256" s="301">
        <v>360</v>
      </c>
      <c r="S256" s="159">
        <v>8.3333333333333329E-2</v>
      </c>
      <c r="T256" s="1">
        <v>15</v>
      </c>
      <c r="U256" s="280" t="str">
        <f t="shared" si="141"/>
        <v>Normal</v>
      </c>
      <c r="V256" s="280" t="str">
        <f t="shared" si="142"/>
        <v>Normal</v>
      </c>
      <c r="W256" s="361">
        <f t="shared" si="143"/>
        <v>-2.7857142857142858E-2</v>
      </c>
      <c r="X256" s="361">
        <f t="shared" si="144"/>
        <v>-4.046242774566474E-2</v>
      </c>
    </row>
    <row r="257" spans="1:42">
      <c r="A257" s="405">
        <v>45272</v>
      </c>
      <c r="B257" s="406">
        <f>IF(YEAR(Table7[[#This Row],[Date]]) = 2023, WEEKNUM(Table7[[#This Row],[Date]])-13, WEEKNUM(Table7[[#This Row],[Date]])+40)</f>
        <v>37</v>
      </c>
      <c r="C257" s="298" t="s">
        <v>50</v>
      </c>
      <c r="D257" s="1" t="s">
        <v>94</v>
      </c>
      <c r="E257" s="1">
        <v>1127</v>
      </c>
      <c r="F257" s="1">
        <v>1034</v>
      </c>
      <c r="G257" s="80">
        <f t="shared" ref="G257:H257" si="205">IFERROR((E257-E250)/E250,0%)</f>
        <v>-0.11468970934799685</v>
      </c>
      <c r="H257" s="80">
        <f t="shared" si="205"/>
        <v>-8.7378640776699032E-2</v>
      </c>
      <c r="I257" s="1"/>
      <c r="J257" s="1"/>
      <c r="K257" s="1"/>
      <c r="L257" s="1"/>
      <c r="M257" s="18">
        <v>0.75</v>
      </c>
      <c r="N257" s="18">
        <v>0.08</v>
      </c>
      <c r="O257" s="18">
        <v>0.92</v>
      </c>
      <c r="P257" s="18">
        <v>0.71</v>
      </c>
      <c r="Q257" s="157"/>
      <c r="R257" s="301">
        <v>336</v>
      </c>
      <c r="S257" s="159">
        <v>2.4305555555555556E-2</v>
      </c>
      <c r="T257" s="1">
        <v>18</v>
      </c>
      <c r="U257" s="280" t="str">
        <f t="shared" si="141"/>
        <v>Normal</v>
      </c>
      <c r="V257" s="280" t="str">
        <f t="shared" si="142"/>
        <v>Normal</v>
      </c>
      <c r="W257" s="361">
        <f t="shared" si="143"/>
        <v>-0.11468970934799685</v>
      </c>
      <c r="X257" s="361">
        <f t="shared" si="144"/>
        <v>-8.7378640776699032E-2</v>
      </c>
    </row>
    <row r="258" spans="1:42">
      <c r="A258" s="405">
        <v>45273</v>
      </c>
      <c r="B258" s="406">
        <f>IF(YEAR(Table7[[#This Row],[Date]]) = 2023, WEEKNUM(Table7[[#This Row],[Date]])-13, WEEKNUM(Table7[[#This Row],[Date]])+40)</f>
        <v>37</v>
      </c>
      <c r="C258" s="298" t="s">
        <v>51</v>
      </c>
      <c r="D258" s="1" t="s">
        <v>94</v>
      </c>
      <c r="E258" s="1">
        <v>1235</v>
      </c>
      <c r="F258" s="1">
        <v>1010</v>
      </c>
      <c r="G258" s="80">
        <f t="shared" ref="G258:H258" si="206">IFERROR((E258-E251)/E251,0%)</f>
        <v>-3.4401876465989051E-2</v>
      </c>
      <c r="H258" s="80">
        <f t="shared" si="206"/>
        <v>-7.3394495412844041E-2</v>
      </c>
      <c r="I258" s="1"/>
      <c r="J258" s="1"/>
      <c r="K258" s="1"/>
      <c r="L258" s="1"/>
      <c r="M258" s="18">
        <v>0.44</v>
      </c>
      <c r="N258" s="18">
        <v>0.18</v>
      </c>
      <c r="O258" s="18">
        <v>0.82</v>
      </c>
      <c r="P258" s="18">
        <v>0.75</v>
      </c>
      <c r="Q258" s="157"/>
      <c r="R258" s="301">
        <v>360</v>
      </c>
      <c r="S258" s="159">
        <v>5.8333333333333327E-2</v>
      </c>
      <c r="T258" s="1">
        <v>18</v>
      </c>
      <c r="U258" s="280" t="str">
        <f t="shared" si="141"/>
        <v>Normal</v>
      </c>
      <c r="V258" s="280" t="str">
        <f t="shared" si="142"/>
        <v>Normal</v>
      </c>
      <c r="W258" s="361">
        <f t="shared" si="143"/>
        <v>-3.4401876465989051E-2</v>
      </c>
      <c r="X258" s="361">
        <f t="shared" si="144"/>
        <v>-7.3394495412844041E-2</v>
      </c>
    </row>
    <row r="259" spans="1:42">
      <c r="A259" s="405">
        <v>45274</v>
      </c>
      <c r="B259" s="406">
        <f>IF(YEAR(Table7[[#This Row],[Date]]) = 2023, WEEKNUM(Table7[[#This Row],[Date]])-13, WEEKNUM(Table7[[#This Row],[Date]])+40)</f>
        <v>37</v>
      </c>
      <c r="C259" s="298" t="s">
        <v>52</v>
      </c>
      <c r="D259" s="1" t="s">
        <v>94</v>
      </c>
      <c r="E259" s="1">
        <v>1231</v>
      </c>
      <c r="F259" s="1">
        <v>956</v>
      </c>
      <c r="G259" s="80">
        <f t="shared" ref="G259:H259" si="207">IFERROR((E259-E252)/E252,0%)</f>
        <v>-2.7646129541864139E-2</v>
      </c>
      <c r="H259" s="80">
        <f t="shared" si="207"/>
        <v>-7.2689511941848393E-3</v>
      </c>
      <c r="I259" s="1"/>
      <c r="J259" s="1"/>
      <c r="K259" s="1"/>
      <c r="L259" s="1"/>
      <c r="M259" s="18">
        <v>0.45</v>
      </c>
      <c r="N259" s="18">
        <v>0.22</v>
      </c>
      <c r="O259" s="18">
        <v>0.78</v>
      </c>
      <c r="P259" s="18">
        <v>0.91</v>
      </c>
      <c r="Q259" s="157"/>
      <c r="R259" s="301">
        <v>360</v>
      </c>
      <c r="S259" s="159">
        <v>6.7361111111111108E-2</v>
      </c>
      <c r="T259" s="1">
        <v>14</v>
      </c>
      <c r="U259" s="280" t="str">
        <f t="shared" ref="U259:U322" si="208">IF(OR(J259&lt;$AA$5,J259&gt;$AB$5), "Outlier", "Normal")</f>
        <v>Normal</v>
      </c>
      <c r="V259" s="280" t="str">
        <f t="shared" ref="V259:V322" si="209">IF(OR(K259&lt;$AA$6,K259&gt;$AB$6), "Outlier", "Normal")</f>
        <v>Normal</v>
      </c>
      <c r="W259" s="361">
        <f t="shared" ref="W259:W322" si="210">IF(U259="Normal",$G259,IF($G259&lt;150%, $G259, $AA$9))</f>
        <v>-2.7646129541864139E-2</v>
      </c>
      <c r="X259" s="361">
        <f t="shared" ref="X259:X322" si="211">IF(V259="Normal",$H259,IF($H259&lt;150%, $H259, $AE$9))</f>
        <v>-7.2689511941848393E-3</v>
      </c>
    </row>
    <row r="260" spans="1:42">
      <c r="A260" s="405">
        <v>45275</v>
      </c>
      <c r="B260" s="406">
        <f>IF(YEAR(Table7[[#This Row],[Date]]) = 2023, WEEKNUM(Table7[[#This Row],[Date]])-13, WEEKNUM(Table7[[#This Row],[Date]])+40)</f>
        <v>37</v>
      </c>
      <c r="C260" s="298" t="s">
        <v>53</v>
      </c>
      <c r="D260" s="1" t="s">
        <v>94</v>
      </c>
      <c r="E260" s="1">
        <v>1209</v>
      </c>
      <c r="F260" s="1">
        <v>991</v>
      </c>
      <c r="G260" s="80">
        <f t="shared" ref="G260:H260" si="212">IFERROR((E260-E253)/E253,0%)</f>
        <v>-9.8434004474272932E-2</v>
      </c>
      <c r="H260" s="80">
        <f t="shared" si="212"/>
        <v>0.12485811577752554</v>
      </c>
      <c r="I260" s="1"/>
      <c r="J260" s="1"/>
      <c r="K260" s="1"/>
      <c r="L260" s="1"/>
      <c r="M260" s="18">
        <v>0.45</v>
      </c>
      <c r="N260" s="18">
        <v>0.18</v>
      </c>
      <c r="O260" s="18">
        <v>0.82</v>
      </c>
      <c r="P260" s="18">
        <v>0.83</v>
      </c>
      <c r="Q260" s="157"/>
      <c r="R260" s="301">
        <v>360</v>
      </c>
      <c r="S260" s="159">
        <v>6.3194444444444442E-2</v>
      </c>
      <c r="T260" s="1">
        <v>16</v>
      </c>
      <c r="U260" s="280" t="str">
        <f t="shared" si="208"/>
        <v>Normal</v>
      </c>
      <c r="V260" s="280" t="str">
        <f t="shared" si="209"/>
        <v>Normal</v>
      </c>
      <c r="W260" s="361">
        <f t="shared" si="210"/>
        <v>-9.8434004474272932E-2</v>
      </c>
      <c r="X260" s="361">
        <f t="shared" si="211"/>
        <v>0.12485811577752554</v>
      </c>
    </row>
    <row r="261" spans="1:42">
      <c r="A261" s="405">
        <v>45276</v>
      </c>
      <c r="B261" s="406">
        <f>IF(YEAR(Table7[[#This Row],[Date]]) = 2023, WEEKNUM(Table7[[#This Row],[Date]])-13, WEEKNUM(Table7[[#This Row],[Date]])+40)</f>
        <v>37</v>
      </c>
      <c r="C261" s="298" t="s">
        <v>54</v>
      </c>
      <c r="D261" s="1" t="s">
        <v>94</v>
      </c>
      <c r="E261" s="1">
        <v>1069</v>
      </c>
      <c r="F261" s="1">
        <v>600</v>
      </c>
      <c r="G261" s="80">
        <f t="shared" ref="G261:H261" si="213">IFERROR((E261-E254)/E254,0%)</f>
        <v>1.4231499051233396E-2</v>
      </c>
      <c r="H261" s="80">
        <f t="shared" si="213"/>
        <v>-0.20634920634920634</v>
      </c>
      <c r="I261" s="1"/>
      <c r="J261" s="1"/>
      <c r="K261" s="1"/>
      <c r="L261" s="1"/>
      <c r="M261" s="18">
        <v>0.12</v>
      </c>
      <c r="N261" s="18">
        <v>0.44</v>
      </c>
      <c r="O261" s="18">
        <v>0.56000000000000005</v>
      </c>
      <c r="P261" s="18">
        <v>0.86</v>
      </c>
      <c r="Q261" s="157"/>
      <c r="R261" s="301">
        <v>387</v>
      </c>
      <c r="S261" s="159">
        <v>0.20833333333333334</v>
      </c>
      <c r="T261" s="1">
        <v>10</v>
      </c>
      <c r="U261" s="280" t="str">
        <f t="shared" si="208"/>
        <v>Normal</v>
      </c>
      <c r="V261" s="280" t="str">
        <f t="shared" si="209"/>
        <v>Normal</v>
      </c>
      <c r="W261" s="361">
        <f t="shared" si="210"/>
        <v>1.4231499051233396E-2</v>
      </c>
      <c r="X261" s="361">
        <f t="shared" si="211"/>
        <v>-0.20634920634920634</v>
      </c>
    </row>
    <row r="262" spans="1:42">
      <c r="A262" s="405">
        <v>45277</v>
      </c>
      <c r="B262" s="406">
        <f>IF(YEAR(Table7[[#This Row],[Date]]) = 2023, WEEKNUM(Table7[[#This Row],[Date]])-13, WEEKNUM(Table7[[#This Row],[Date]])+40)</f>
        <v>38</v>
      </c>
      <c r="C262" s="298" t="s">
        <v>48</v>
      </c>
      <c r="D262" s="1" t="s">
        <v>94</v>
      </c>
      <c r="E262" s="1">
        <v>176</v>
      </c>
      <c r="F262" s="1">
        <v>170</v>
      </c>
      <c r="G262" s="80">
        <f t="shared" ref="G262:H262" si="214">IFERROR((E262-E255)/E255,0%)</f>
        <v>0.15032679738562091</v>
      </c>
      <c r="H262" s="80">
        <f t="shared" si="214"/>
        <v>0.37096774193548387</v>
      </c>
      <c r="I262" s="1"/>
      <c r="J262" s="1"/>
      <c r="K262" s="1"/>
      <c r="L262" s="1"/>
      <c r="M262" s="18">
        <v>0.93</v>
      </c>
      <c r="N262" s="18">
        <v>0.03</v>
      </c>
      <c r="O262" s="18">
        <v>0.97</v>
      </c>
      <c r="P262" s="18">
        <v>0.47</v>
      </c>
      <c r="Q262" s="157"/>
      <c r="R262" s="301">
        <v>300</v>
      </c>
      <c r="S262" s="159">
        <v>1.3194444444444444E-2</v>
      </c>
      <c r="T262" s="1">
        <v>4</v>
      </c>
      <c r="U262" s="280" t="str">
        <f t="shared" si="208"/>
        <v>Normal</v>
      </c>
      <c r="V262" s="280" t="str">
        <f t="shared" si="209"/>
        <v>Normal</v>
      </c>
      <c r="W262" s="361">
        <f t="shared" si="210"/>
        <v>0.15032679738562091</v>
      </c>
      <c r="X262" s="361">
        <f t="shared" si="211"/>
        <v>0.37096774193548387</v>
      </c>
    </row>
    <row r="263" spans="1:42">
      <c r="A263" s="405">
        <v>45278</v>
      </c>
      <c r="B263" s="406">
        <f>IF(YEAR(Table7[[#This Row],[Date]]) = 2023, WEEKNUM(Table7[[#This Row],[Date]])-13, WEEKNUM(Table7[[#This Row],[Date]])+40)</f>
        <v>38</v>
      </c>
      <c r="C263" s="298" t="s">
        <v>49</v>
      </c>
      <c r="D263" s="1" t="s">
        <v>94</v>
      </c>
      <c r="E263" s="1">
        <v>1309</v>
      </c>
      <c r="F263" s="1">
        <v>1057</v>
      </c>
      <c r="G263" s="80">
        <f t="shared" ref="G263:H263" si="215">IFERROR((E263-E256)/E256,0%)</f>
        <v>-3.8207200587803088E-2</v>
      </c>
      <c r="H263" s="80">
        <f t="shared" si="215"/>
        <v>6.1244979919678713E-2</v>
      </c>
      <c r="I263" s="1"/>
      <c r="J263" s="1"/>
      <c r="K263" s="1"/>
      <c r="L263" s="1"/>
      <c r="M263" s="18">
        <v>0.46</v>
      </c>
      <c r="N263" s="18">
        <v>0.19</v>
      </c>
      <c r="O263" s="18">
        <v>0.81</v>
      </c>
      <c r="P263" s="18">
        <v>0.78</v>
      </c>
      <c r="Q263" s="157"/>
      <c r="R263" s="301">
        <v>360</v>
      </c>
      <c r="S263" s="159">
        <v>8.6111111111111124E-2</v>
      </c>
      <c r="T263" s="1">
        <v>18</v>
      </c>
      <c r="U263" s="280" t="str">
        <f t="shared" si="208"/>
        <v>Normal</v>
      </c>
      <c r="V263" s="280" t="str">
        <f t="shared" si="209"/>
        <v>Normal</v>
      </c>
      <c r="W263" s="361">
        <f t="shared" si="210"/>
        <v>-3.8207200587803088E-2</v>
      </c>
      <c r="X263" s="361">
        <f t="shared" si="211"/>
        <v>6.1244979919678713E-2</v>
      </c>
      <c r="AN263" s="48"/>
      <c r="AO263" s="48"/>
      <c r="AP263" s="48"/>
    </row>
    <row r="264" spans="1:42">
      <c r="A264" s="405">
        <v>45279</v>
      </c>
      <c r="B264" s="406">
        <f>IF(YEAR(Table7[[#This Row],[Date]]) = 2023, WEEKNUM(Table7[[#This Row],[Date]])-13, WEEKNUM(Table7[[#This Row],[Date]])+40)</f>
        <v>38</v>
      </c>
      <c r="C264" s="298" t="s">
        <v>50</v>
      </c>
      <c r="D264" s="1" t="s">
        <v>94</v>
      </c>
      <c r="E264" s="1">
        <v>1303</v>
      </c>
      <c r="F264" s="1">
        <v>984</v>
      </c>
      <c r="G264" s="80">
        <f t="shared" ref="G264:H264" si="216">IFERROR((E264-E257)/E257,0%)</f>
        <v>0.15616681455190773</v>
      </c>
      <c r="H264" s="80">
        <f t="shared" si="216"/>
        <v>-4.8355899419729204E-2</v>
      </c>
      <c r="I264" s="1"/>
      <c r="J264" s="1"/>
      <c r="K264" s="1"/>
      <c r="L264" s="1"/>
      <c r="M264" s="18">
        <v>0.32</v>
      </c>
      <c r="N264" s="18">
        <v>0.24</v>
      </c>
      <c r="O264" s="18">
        <v>0.76</v>
      </c>
      <c r="P264" s="18">
        <v>0.91</v>
      </c>
      <c r="Q264" s="157"/>
      <c r="R264" s="301">
        <v>400</v>
      </c>
      <c r="S264" s="159">
        <v>8.4722222222222213E-2</v>
      </c>
      <c r="T264" s="1">
        <v>16</v>
      </c>
      <c r="U264" s="280" t="str">
        <f t="shared" si="208"/>
        <v>Normal</v>
      </c>
      <c r="V264" s="280" t="str">
        <f t="shared" si="209"/>
        <v>Normal</v>
      </c>
      <c r="W264" s="361">
        <f t="shared" si="210"/>
        <v>0.15616681455190773</v>
      </c>
      <c r="X264" s="361">
        <f t="shared" si="211"/>
        <v>-4.8355899419729204E-2</v>
      </c>
    </row>
    <row r="265" spans="1:42">
      <c r="A265" s="405">
        <v>45280</v>
      </c>
      <c r="B265" s="406">
        <f>IF(YEAR(Table7[[#This Row],[Date]]) = 2023, WEEKNUM(Table7[[#This Row],[Date]])-13, WEEKNUM(Table7[[#This Row],[Date]])+40)</f>
        <v>38</v>
      </c>
      <c r="C265" s="298" t="s">
        <v>51</v>
      </c>
      <c r="D265" s="1" t="s">
        <v>94</v>
      </c>
      <c r="E265" s="1">
        <v>1322</v>
      </c>
      <c r="F265" s="1">
        <v>1137</v>
      </c>
      <c r="G265" s="80">
        <f t="shared" ref="G265:H265" si="217">IFERROR((E265-E258)/E258,0%)</f>
        <v>7.0445344129554652E-2</v>
      </c>
      <c r="H265" s="80">
        <f t="shared" si="217"/>
        <v>0.12574257425742574</v>
      </c>
      <c r="I265" s="1"/>
      <c r="J265" s="1"/>
      <c r="K265" s="1"/>
      <c r="L265" s="1"/>
      <c r="M265" s="18">
        <v>0.52</v>
      </c>
      <c r="N265" s="18">
        <v>0.14000000000000001</v>
      </c>
      <c r="O265" s="18">
        <v>0.86</v>
      </c>
      <c r="P265" s="18">
        <v>0.72</v>
      </c>
      <c r="Q265" s="157"/>
      <c r="R265" s="301">
        <v>360</v>
      </c>
      <c r="S265" s="159">
        <v>5.8333333333333327E-2</v>
      </c>
      <c r="T265" s="1">
        <v>21</v>
      </c>
      <c r="U265" s="280" t="str">
        <f t="shared" si="208"/>
        <v>Normal</v>
      </c>
      <c r="V265" s="280" t="str">
        <f t="shared" si="209"/>
        <v>Normal</v>
      </c>
      <c r="W265" s="361">
        <f t="shared" si="210"/>
        <v>7.0445344129554652E-2</v>
      </c>
      <c r="X265" s="361">
        <f t="shared" si="211"/>
        <v>0.12574257425742574</v>
      </c>
    </row>
    <row r="266" spans="1:42">
      <c r="A266" s="405">
        <v>45281</v>
      </c>
      <c r="B266" s="406">
        <f>IF(YEAR(Table7[[#This Row],[Date]]) = 2023, WEEKNUM(Table7[[#This Row],[Date]])-13, WEEKNUM(Table7[[#This Row],[Date]])+40)</f>
        <v>38</v>
      </c>
      <c r="C266" s="298" t="s">
        <v>52</v>
      </c>
      <c r="D266" s="1" t="s">
        <v>94</v>
      </c>
      <c r="E266" s="1">
        <v>1296</v>
      </c>
      <c r="F266" s="1">
        <v>1026</v>
      </c>
      <c r="G266" s="80">
        <f t="shared" ref="G266:H266" si="218">IFERROR((E266-E259)/E259,0%)</f>
        <v>5.2802599512591392E-2</v>
      </c>
      <c r="H266" s="80">
        <f t="shared" si="218"/>
        <v>7.3221757322175729E-2</v>
      </c>
      <c r="I266" s="1"/>
      <c r="J266" s="1"/>
      <c r="K266" s="1"/>
      <c r="L266" s="1"/>
      <c r="M266" s="18">
        <v>0.37</v>
      </c>
      <c r="N266" s="18">
        <v>0.21</v>
      </c>
      <c r="O266" s="18">
        <v>0.79</v>
      </c>
      <c r="P266" s="18">
        <v>0.76</v>
      </c>
      <c r="Q266" s="157"/>
      <c r="R266" s="301">
        <v>360</v>
      </c>
      <c r="S266" s="159">
        <v>7.8472222222222221E-2</v>
      </c>
      <c r="T266" s="1">
        <v>18</v>
      </c>
      <c r="U266" s="280" t="str">
        <f t="shared" si="208"/>
        <v>Normal</v>
      </c>
      <c r="V266" s="280" t="str">
        <f t="shared" si="209"/>
        <v>Normal</v>
      </c>
      <c r="W266" s="361">
        <f t="shared" si="210"/>
        <v>5.2802599512591392E-2</v>
      </c>
      <c r="X266" s="361">
        <f t="shared" si="211"/>
        <v>7.3221757322175729E-2</v>
      </c>
    </row>
    <row r="267" spans="1:42">
      <c r="A267" s="405">
        <v>45282</v>
      </c>
      <c r="B267" s="406">
        <f>IF(YEAR(Table7[[#This Row],[Date]]) = 2023, WEEKNUM(Table7[[#This Row],[Date]])-13, WEEKNUM(Table7[[#This Row],[Date]])+40)</f>
        <v>38</v>
      </c>
      <c r="C267" s="298" t="s">
        <v>53</v>
      </c>
      <c r="D267" s="1" t="s">
        <v>94</v>
      </c>
      <c r="E267" s="1">
        <v>1371</v>
      </c>
      <c r="F267" s="1">
        <v>924</v>
      </c>
      <c r="G267" s="80">
        <f t="shared" ref="G267:H267" si="219">IFERROR((E267-E260)/E260,0%)</f>
        <v>0.13399503722084366</v>
      </c>
      <c r="H267" s="80">
        <f t="shared" si="219"/>
        <v>-6.7608476286579219E-2</v>
      </c>
      <c r="I267" s="1"/>
      <c r="J267" s="1"/>
      <c r="K267" s="1"/>
      <c r="L267" s="1"/>
      <c r="M267" s="18">
        <v>0.16</v>
      </c>
      <c r="N267" s="18">
        <v>0.33</v>
      </c>
      <c r="O267" s="18">
        <v>0.67</v>
      </c>
      <c r="P267" s="18">
        <v>0.85</v>
      </c>
      <c r="Q267" s="157"/>
      <c r="R267" s="301">
        <v>420</v>
      </c>
      <c r="S267" s="159">
        <v>0.14722222222222223</v>
      </c>
      <c r="T267" s="1">
        <v>17</v>
      </c>
      <c r="U267" s="280" t="str">
        <f t="shared" si="208"/>
        <v>Normal</v>
      </c>
      <c r="V267" s="280" t="str">
        <f t="shared" si="209"/>
        <v>Normal</v>
      </c>
      <c r="W267" s="361">
        <f t="shared" si="210"/>
        <v>0.13399503722084366</v>
      </c>
      <c r="X267" s="361">
        <f t="shared" si="211"/>
        <v>-6.7608476286579219E-2</v>
      </c>
    </row>
    <row r="268" spans="1:42">
      <c r="A268" s="405">
        <v>45283</v>
      </c>
      <c r="B268" s="406">
        <f>IF(YEAR(Table7[[#This Row],[Date]]) = 2023, WEEKNUM(Table7[[#This Row],[Date]])-13, WEEKNUM(Table7[[#This Row],[Date]])+40)</f>
        <v>38</v>
      </c>
      <c r="C268" s="298" t="s">
        <v>54</v>
      </c>
      <c r="D268" s="1" t="s">
        <v>94</v>
      </c>
      <c r="E268" s="1">
        <v>1075</v>
      </c>
      <c r="F268" s="1">
        <v>629</v>
      </c>
      <c r="G268" s="80">
        <f t="shared" ref="G268:H268" si="220">IFERROR((E268-E261)/E261,0%)</f>
        <v>5.6127221702525721E-3</v>
      </c>
      <c r="H268" s="80">
        <f t="shared" si="220"/>
        <v>4.8333333333333332E-2</v>
      </c>
      <c r="I268" s="1"/>
      <c r="J268" s="1"/>
      <c r="K268" s="1"/>
      <c r="L268" s="1"/>
      <c r="M268" s="18">
        <v>0.12</v>
      </c>
      <c r="N268" s="18">
        <v>0.41</v>
      </c>
      <c r="O268" s="18">
        <v>0.59</v>
      </c>
      <c r="P268" s="18">
        <v>0.84</v>
      </c>
      <c r="Q268" s="157"/>
      <c r="R268" s="301">
        <v>360</v>
      </c>
      <c r="S268" s="159">
        <v>0.25</v>
      </c>
      <c r="T268" s="1">
        <v>10</v>
      </c>
      <c r="U268" s="280" t="str">
        <f t="shared" si="208"/>
        <v>Normal</v>
      </c>
      <c r="V268" s="280" t="str">
        <f t="shared" si="209"/>
        <v>Normal</v>
      </c>
      <c r="W268" s="361">
        <f t="shared" si="210"/>
        <v>5.6127221702525721E-3</v>
      </c>
      <c r="X268" s="361">
        <f t="shared" si="211"/>
        <v>4.8333333333333332E-2</v>
      </c>
    </row>
    <row r="269" spans="1:42">
      <c r="A269" s="405">
        <v>45284</v>
      </c>
      <c r="B269" s="406">
        <f>IF(YEAR(Table7[[#This Row],[Date]]) = 2023, WEEKNUM(Table7[[#This Row],[Date]])-13, WEEKNUM(Table7[[#This Row],[Date]])+40)</f>
        <v>39</v>
      </c>
      <c r="C269" s="298" t="s">
        <v>48</v>
      </c>
      <c r="D269" s="1" t="s">
        <v>94</v>
      </c>
      <c r="E269" s="1">
        <v>222</v>
      </c>
      <c r="F269" s="1">
        <v>137</v>
      </c>
      <c r="G269" s="80">
        <f t="shared" ref="G269:H269" si="221">IFERROR((E269-E262)/E262,0%)</f>
        <v>0.26136363636363635</v>
      </c>
      <c r="H269" s="80">
        <f t="shared" si="221"/>
        <v>-0.19411764705882353</v>
      </c>
      <c r="I269" s="1"/>
      <c r="J269" s="1"/>
      <c r="K269" s="1"/>
      <c r="L269" s="1"/>
      <c r="M269" s="18">
        <v>0.14000000000000001</v>
      </c>
      <c r="N269" s="18">
        <v>0.38</v>
      </c>
      <c r="O269" s="18">
        <v>0.62</v>
      </c>
      <c r="P269" s="18">
        <v>0.61</v>
      </c>
      <c r="Q269" s="157"/>
      <c r="R269" s="301">
        <v>240</v>
      </c>
      <c r="S269" s="159">
        <v>0.11527777777777777</v>
      </c>
      <c r="T269" s="1">
        <v>2</v>
      </c>
      <c r="U269" s="280" t="str">
        <f t="shared" si="208"/>
        <v>Normal</v>
      </c>
      <c r="V269" s="280" t="str">
        <f t="shared" si="209"/>
        <v>Normal</v>
      </c>
      <c r="W269" s="361">
        <f t="shared" si="210"/>
        <v>0.26136363636363635</v>
      </c>
      <c r="X269" s="361">
        <f t="shared" si="211"/>
        <v>-0.19411764705882353</v>
      </c>
    </row>
    <row r="270" spans="1:42">
      <c r="A270" s="405">
        <v>45285</v>
      </c>
      <c r="B270" s="406">
        <f>IF(YEAR(Table7[[#This Row],[Date]]) = 2023, WEEKNUM(Table7[[#This Row],[Date]])-13, WEEKNUM(Table7[[#This Row],[Date]])+40)</f>
        <v>39</v>
      </c>
      <c r="C270" s="298" t="s">
        <v>64</v>
      </c>
      <c r="D270" s="1" t="s">
        <v>94</v>
      </c>
      <c r="E270" s="1">
        <v>0</v>
      </c>
      <c r="F270" s="1">
        <v>0</v>
      </c>
      <c r="G270" s="80">
        <v>0</v>
      </c>
      <c r="H270" s="80">
        <v>0</v>
      </c>
      <c r="I270" s="1">
        <v>0</v>
      </c>
      <c r="J270" s="1">
        <v>0</v>
      </c>
      <c r="K270" s="1">
        <v>0</v>
      </c>
      <c r="L270" s="1">
        <v>0</v>
      </c>
      <c r="M270" s="18">
        <v>0</v>
      </c>
      <c r="N270" s="18">
        <v>0</v>
      </c>
      <c r="O270" s="18">
        <v>0</v>
      </c>
      <c r="P270" s="18">
        <v>0</v>
      </c>
      <c r="Q270" s="157"/>
      <c r="R270" s="301">
        <v>0</v>
      </c>
      <c r="S270" s="159">
        <v>0</v>
      </c>
      <c r="T270" s="1">
        <v>0</v>
      </c>
      <c r="U270" s="280" t="str">
        <f t="shared" si="208"/>
        <v>Normal</v>
      </c>
      <c r="V270" s="280" t="str">
        <f t="shared" si="209"/>
        <v>Normal</v>
      </c>
      <c r="W270" s="361">
        <f t="shared" si="210"/>
        <v>0</v>
      </c>
      <c r="X270" s="361">
        <f t="shared" si="211"/>
        <v>0</v>
      </c>
    </row>
    <row r="271" spans="1:42">
      <c r="A271" s="405">
        <v>45286</v>
      </c>
      <c r="B271" s="406">
        <f>IF(YEAR(Table7[[#This Row],[Date]]) = 2023, WEEKNUM(Table7[[#This Row],[Date]])-13, WEEKNUM(Table7[[#This Row],[Date]])+40)</f>
        <v>39</v>
      </c>
      <c r="C271" s="298" t="s">
        <v>64</v>
      </c>
      <c r="D271" s="1" t="s">
        <v>94</v>
      </c>
      <c r="E271" s="1">
        <v>0</v>
      </c>
      <c r="F271" s="1">
        <v>0</v>
      </c>
      <c r="G271" s="80">
        <v>0</v>
      </c>
      <c r="H271" s="80">
        <v>0</v>
      </c>
      <c r="I271" s="1">
        <v>0</v>
      </c>
      <c r="J271" s="1">
        <v>0</v>
      </c>
      <c r="K271" s="1">
        <v>0</v>
      </c>
      <c r="L271" s="1">
        <v>0</v>
      </c>
      <c r="M271" s="18">
        <v>0</v>
      </c>
      <c r="N271" s="18">
        <v>0</v>
      </c>
      <c r="O271" s="18">
        <v>0</v>
      </c>
      <c r="P271" s="18">
        <v>0</v>
      </c>
      <c r="Q271" s="157"/>
      <c r="R271" s="301">
        <v>0</v>
      </c>
      <c r="S271" s="159">
        <v>0</v>
      </c>
      <c r="T271" s="1">
        <v>0</v>
      </c>
      <c r="U271" s="280" t="str">
        <f t="shared" si="208"/>
        <v>Normal</v>
      </c>
      <c r="V271" s="280" t="str">
        <f t="shared" si="209"/>
        <v>Normal</v>
      </c>
      <c r="W271" s="361">
        <f t="shared" si="210"/>
        <v>0</v>
      </c>
      <c r="X271" s="361">
        <f t="shared" si="211"/>
        <v>0</v>
      </c>
    </row>
    <row r="272" spans="1:42">
      <c r="A272" s="405">
        <v>45287</v>
      </c>
      <c r="B272" s="406">
        <f>IF(YEAR(Table7[[#This Row],[Date]]) = 2023, WEEKNUM(Table7[[#This Row],[Date]])-13, WEEKNUM(Table7[[#This Row],[Date]])+40)</f>
        <v>39</v>
      </c>
      <c r="C272" s="298" t="s">
        <v>51</v>
      </c>
      <c r="D272" s="1" t="s">
        <v>94</v>
      </c>
      <c r="E272" s="1">
        <v>1457</v>
      </c>
      <c r="F272" s="1">
        <v>1041</v>
      </c>
      <c r="G272" s="80">
        <f t="shared" ref="G272:H272" si="222">IFERROR((E272-E265)/E265,0%)</f>
        <v>0.10211800302571861</v>
      </c>
      <c r="H272" s="80">
        <f t="shared" si="222"/>
        <v>-8.4432717678100261E-2</v>
      </c>
      <c r="I272" s="1"/>
      <c r="J272" s="1"/>
      <c r="K272" s="1"/>
      <c r="L272" s="1"/>
      <c r="M272" s="18">
        <v>0.56000000000000005</v>
      </c>
      <c r="N272" s="18">
        <v>0.28551818805765272</v>
      </c>
      <c r="O272" s="18">
        <v>0.71</v>
      </c>
      <c r="P272" s="18">
        <v>0.80763742690058482</v>
      </c>
      <c r="Q272" s="157"/>
      <c r="R272" s="301">
        <v>398</v>
      </c>
      <c r="S272" s="159">
        <v>3.1944444444444449E-2</v>
      </c>
      <c r="T272" s="1">
        <v>19</v>
      </c>
      <c r="U272" s="280" t="str">
        <f t="shared" si="208"/>
        <v>Normal</v>
      </c>
      <c r="V272" s="280" t="str">
        <f t="shared" si="209"/>
        <v>Normal</v>
      </c>
      <c r="W272" s="361">
        <f t="shared" si="210"/>
        <v>0.10211800302571861</v>
      </c>
      <c r="X272" s="361">
        <f t="shared" si="211"/>
        <v>-8.4432717678100261E-2</v>
      </c>
      <c r="AJ272" s="47"/>
      <c r="AK272" s="47"/>
      <c r="AL272" s="47"/>
    </row>
    <row r="273" spans="1:42">
      <c r="A273" s="405">
        <v>45288</v>
      </c>
      <c r="B273" s="406">
        <f>IF(YEAR(Table7[[#This Row],[Date]]) = 2023, WEEKNUM(Table7[[#This Row],[Date]])-13, WEEKNUM(Table7[[#This Row],[Date]])+40)</f>
        <v>39</v>
      </c>
      <c r="C273" s="298" t="s">
        <v>52</v>
      </c>
      <c r="D273" s="1" t="s">
        <v>94</v>
      </c>
      <c r="E273" s="1">
        <v>1202</v>
      </c>
      <c r="F273" s="1">
        <v>976</v>
      </c>
      <c r="G273" s="80">
        <f t="shared" ref="G273:H273" si="223">IFERROR((E273-E266)/E266,0%)</f>
        <v>-7.2530864197530867E-2</v>
      </c>
      <c r="H273" s="80">
        <f t="shared" si="223"/>
        <v>-4.8732943469785572E-2</v>
      </c>
      <c r="I273" s="1"/>
      <c r="J273" s="1"/>
      <c r="K273" s="1"/>
      <c r="L273" s="1"/>
      <c r="M273" s="18">
        <v>0.46</v>
      </c>
      <c r="N273" s="18">
        <v>0.18801996672212978</v>
      </c>
      <c r="O273" s="18">
        <v>0.81</v>
      </c>
      <c r="P273" s="18">
        <v>0.73247563352826517</v>
      </c>
      <c r="Q273" s="157"/>
      <c r="R273" s="301">
        <v>385</v>
      </c>
      <c r="S273" s="159">
        <v>7.8472222222222221E-2</v>
      </c>
      <c r="T273" s="1">
        <v>19</v>
      </c>
      <c r="U273" s="280" t="str">
        <f t="shared" si="208"/>
        <v>Normal</v>
      </c>
      <c r="V273" s="280" t="str">
        <f t="shared" si="209"/>
        <v>Normal</v>
      </c>
      <c r="W273" s="361">
        <f t="shared" si="210"/>
        <v>-7.2530864197530867E-2</v>
      </c>
      <c r="X273" s="361">
        <f t="shared" si="211"/>
        <v>-4.8732943469785572E-2</v>
      </c>
    </row>
    <row r="274" spans="1:42">
      <c r="A274" s="405">
        <v>45289</v>
      </c>
      <c r="B274" s="406">
        <f>IF(YEAR(Table7[[#This Row],[Date]]) = 2023, WEEKNUM(Table7[[#This Row],[Date]])-13, WEEKNUM(Table7[[#This Row],[Date]])+40)</f>
        <v>39</v>
      </c>
      <c r="C274" s="298" t="s">
        <v>53</v>
      </c>
      <c r="D274" s="1" t="s">
        <v>94</v>
      </c>
      <c r="E274" s="1">
        <v>1098</v>
      </c>
      <c r="F274" s="1">
        <v>888</v>
      </c>
      <c r="G274" s="80">
        <f t="shared" ref="G274:H274" si="224">IFERROR((E274-E267)/E267,0%)</f>
        <v>-0.19912472647702406</v>
      </c>
      <c r="H274" s="80">
        <f t="shared" si="224"/>
        <v>-3.896103896103896E-2</v>
      </c>
      <c r="I274" s="1"/>
      <c r="J274" s="1"/>
      <c r="K274" s="1"/>
      <c r="L274" s="1"/>
      <c r="M274" s="18">
        <v>0.42</v>
      </c>
      <c r="N274" s="18">
        <v>0.19125683060109289</v>
      </c>
      <c r="O274" s="18">
        <v>0.81</v>
      </c>
      <c r="P274" s="18">
        <v>0.78727777777777785</v>
      </c>
      <c r="Q274" s="157"/>
      <c r="R274" s="301">
        <v>383</v>
      </c>
      <c r="S274" s="159">
        <v>7.8472222222222221E-2</v>
      </c>
      <c r="T274" s="1">
        <v>16</v>
      </c>
      <c r="U274" s="280" t="str">
        <f t="shared" si="208"/>
        <v>Normal</v>
      </c>
      <c r="V274" s="280" t="str">
        <f t="shared" si="209"/>
        <v>Normal</v>
      </c>
      <c r="W274" s="361">
        <f t="shared" si="210"/>
        <v>-0.19912472647702406</v>
      </c>
      <c r="X274" s="361">
        <f t="shared" si="211"/>
        <v>-3.896103896103896E-2</v>
      </c>
    </row>
    <row r="275" spans="1:42">
      <c r="A275" s="405">
        <v>45290</v>
      </c>
      <c r="B275" s="406">
        <f>IF(YEAR(Table7[[#This Row],[Date]]) = 2023, WEEKNUM(Table7[[#This Row],[Date]])-13, WEEKNUM(Table7[[#This Row],[Date]])+40)</f>
        <v>39</v>
      </c>
      <c r="C275" s="298" t="s">
        <v>54</v>
      </c>
      <c r="D275" s="1" t="s">
        <v>94</v>
      </c>
      <c r="E275" s="1">
        <v>906</v>
      </c>
      <c r="F275" s="1">
        <v>628</v>
      </c>
      <c r="G275" s="80">
        <f t="shared" ref="G275:H275" si="225">IFERROR((E275-E268)/E268,0%)</f>
        <v>-0.15720930232558139</v>
      </c>
      <c r="H275" s="80">
        <f t="shared" si="225"/>
        <v>-1.589825119236884E-3</v>
      </c>
      <c r="I275" s="1"/>
      <c r="J275" s="1"/>
      <c r="K275" s="1"/>
      <c r="L275" s="1"/>
      <c r="M275" s="18">
        <v>0.19</v>
      </c>
      <c r="N275" s="18">
        <v>0.30684326710816778</v>
      </c>
      <c r="O275" s="18">
        <v>0.69</v>
      </c>
      <c r="P275" s="18">
        <v>0.90711111111111109</v>
      </c>
      <c r="Q275" s="157"/>
      <c r="R275" s="301">
        <v>390</v>
      </c>
      <c r="S275" s="159">
        <v>0.125</v>
      </c>
      <c r="T275" s="1">
        <v>10</v>
      </c>
      <c r="U275" s="280" t="str">
        <f t="shared" si="208"/>
        <v>Normal</v>
      </c>
      <c r="V275" s="280" t="str">
        <f t="shared" si="209"/>
        <v>Normal</v>
      </c>
      <c r="W275" s="361">
        <f t="shared" si="210"/>
        <v>-0.15720930232558139</v>
      </c>
      <c r="X275" s="361">
        <f t="shared" si="211"/>
        <v>-1.589825119236884E-3</v>
      </c>
      <c r="AN275">
        <v>929.81081081081084</v>
      </c>
    </row>
    <row r="276" spans="1:42">
      <c r="A276" s="405">
        <v>45291</v>
      </c>
      <c r="B276" s="406">
        <f>IF(YEAR(Table7[[#This Row],[Date]]) = 2023, WEEKNUM(Table7[[#This Row],[Date]])-13, WEEKNUM(Table7[[#This Row],[Date]])+40)</f>
        <v>40</v>
      </c>
      <c r="C276" s="298" t="s">
        <v>48</v>
      </c>
      <c r="D276" s="1" t="s">
        <v>94</v>
      </c>
      <c r="E276" s="1">
        <v>0</v>
      </c>
      <c r="F276" s="1">
        <v>0</v>
      </c>
      <c r="G276" s="80">
        <v>0</v>
      </c>
      <c r="H276" s="80">
        <v>0</v>
      </c>
      <c r="I276" s="1">
        <v>0</v>
      </c>
      <c r="J276" s="1">
        <v>0</v>
      </c>
      <c r="K276" s="1">
        <v>0</v>
      </c>
      <c r="L276" s="1">
        <v>0</v>
      </c>
      <c r="M276" s="18">
        <v>0</v>
      </c>
      <c r="N276" s="18">
        <v>0</v>
      </c>
      <c r="O276" s="18">
        <v>0</v>
      </c>
      <c r="P276" s="18">
        <v>0</v>
      </c>
      <c r="Q276" s="157"/>
      <c r="R276" s="301">
        <v>0</v>
      </c>
      <c r="S276" s="159">
        <v>0</v>
      </c>
      <c r="T276" s="1">
        <v>0</v>
      </c>
      <c r="U276" s="280" t="str">
        <f t="shared" si="208"/>
        <v>Normal</v>
      </c>
      <c r="V276" s="280" t="str">
        <f t="shared" si="209"/>
        <v>Normal</v>
      </c>
      <c r="W276" s="361">
        <f t="shared" si="210"/>
        <v>0</v>
      </c>
      <c r="X276" s="361">
        <f t="shared" si="211"/>
        <v>0</v>
      </c>
    </row>
    <row r="277" spans="1:42" s="47" customFormat="1">
      <c r="A277" s="405">
        <v>45292</v>
      </c>
      <c r="B277" s="406">
        <f>IF(YEAR(Table7[[#This Row],[Date]]) = 2023, WEEKNUM(Table7[[#This Row],[Date]])-13, WEEKNUM(Table7[[#This Row],[Date]])+40)</f>
        <v>41</v>
      </c>
      <c r="C277" s="298" t="s">
        <v>64</v>
      </c>
      <c r="D277" s="1" t="s">
        <v>94</v>
      </c>
      <c r="E277" s="65">
        <v>0</v>
      </c>
      <c r="F277" s="65">
        <v>0</v>
      </c>
      <c r="G277" s="80">
        <f t="shared" ref="G277:H277" si="226">IFERROR((E277-E270)/E270,0%)</f>
        <v>0</v>
      </c>
      <c r="H277" s="80">
        <f t="shared" si="226"/>
        <v>0</v>
      </c>
      <c r="I277" s="65">
        <v>0</v>
      </c>
      <c r="J277" s="65">
        <v>0</v>
      </c>
      <c r="K277" s="65">
        <v>0</v>
      </c>
      <c r="L277" s="65">
        <v>0</v>
      </c>
      <c r="M277" s="2">
        <v>0</v>
      </c>
      <c r="N277" s="2">
        <v>0</v>
      </c>
      <c r="O277" s="2">
        <v>0</v>
      </c>
      <c r="P277" s="2">
        <v>0</v>
      </c>
      <c r="Q277" s="157"/>
      <c r="R277" s="301">
        <v>0</v>
      </c>
      <c r="S277" s="161">
        <v>0</v>
      </c>
      <c r="T277" s="208">
        <v>0</v>
      </c>
      <c r="U277" s="280" t="str">
        <f t="shared" si="208"/>
        <v>Normal</v>
      </c>
      <c r="V277" s="280" t="str">
        <f t="shared" si="209"/>
        <v>Normal</v>
      </c>
      <c r="W277" s="361">
        <f t="shared" si="210"/>
        <v>0</v>
      </c>
      <c r="X277" s="361">
        <f t="shared" si="211"/>
        <v>0</v>
      </c>
      <c r="AJ277"/>
      <c r="AK277"/>
      <c r="AL277"/>
      <c r="AN277"/>
      <c r="AO277"/>
      <c r="AP277"/>
    </row>
    <row r="278" spans="1:42">
      <c r="A278" s="405">
        <v>45293</v>
      </c>
      <c r="B278" s="406">
        <f>IF(YEAR(Table7[[#This Row],[Date]]) = 2023, WEEKNUM(Table7[[#This Row],[Date]])-13, WEEKNUM(Table7[[#This Row],[Date]])+40)</f>
        <v>41</v>
      </c>
      <c r="C278" s="298" t="s">
        <v>50</v>
      </c>
      <c r="D278" s="1" t="s">
        <v>94</v>
      </c>
      <c r="E278" s="1">
        <v>1149</v>
      </c>
      <c r="F278" s="1">
        <v>1097</v>
      </c>
      <c r="G278" s="80">
        <f t="shared" ref="G278:H278" si="227">IFERROR((E278-E271)/E271,0%)</f>
        <v>0</v>
      </c>
      <c r="H278" s="80">
        <f t="shared" si="227"/>
        <v>0</v>
      </c>
      <c r="I278" s="1"/>
      <c r="J278" s="1"/>
      <c r="K278" s="1"/>
      <c r="L278" s="1"/>
      <c r="M278" s="18">
        <v>0.91</v>
      </c>
      <c r="N278" s="18">
        <v>0.05</v>
      </c>
      <c r="O278" s="18">
        <v>0.95</v>
      </c>
      <c r="P278" s="18">
        <v>0.73</v>
      </c>
      <c r="Q278" s="157"/>
      <c r="R278" s="301">
        <v>360</v>
      </c>
      <c r="S278" s="159">
        <v>1.6666666666666666E-2</v>
      </c>
      <c r="T278" s="209">
        <v>20</v>
      </c>
      <c r="U278" s="280" t="str">
        <f t="shared" si="208"/>
        <v>Normal</v>
      </c>
      <c r="V278" s="280" t="str">
        <f t="shared" si="209"/>
        <v>Normal</v>
      </c>
      <c r="W278" s="361">
        <f t="shared" si="210"/>
        <v>0</v>
      </c>
      <c r="X278" s="361">
        <f t="shared" si="211"/>
        <v>0</v>
      </c>
    </row>
    <row r="279" spans="1:42">
      <c r="A279" s="405">
        <v>45294</v>
      </c>
      <c r="B279" s="406">
        <f>IF(YEAR(Table7[[#This Row],[Date]]) = 2023, WEEKNUM(Table7[[#This Row],[Date]])-13, WEEKNUM(Table7[[#This Row],[Date]])+40)</f>
        <v>41</v>
      </c>
      <c r="C279" s="298" t="s">
        <v>51</v>
      </c>
      <c r="D279" s="1" t="s">
        <v>94</v>
      </c>
      <c r="E279" s="1">
        <v>975</v>
      </c>
      <c r="F279" s="1">
        <v>944</v>
      </c>
      <c r="G279" s="80">
        <f t="shared" ref="G279:H279" si="228">IFERROR((E279-E272)/E272,0%)</f>
        <v>-0.33081674673987643</v>
      </c>
      <c r="H279" s="80">
        <f t="shared" si="228"/>
        <v>-9.3179634966378488E-2</v>
      </c>
      <c r="I279" s="1"/>
      <c r="J279" s="1"/>
      <c r="K279" s="1"/>
      <c r="L279" s="1"/>
      <c r="M279" s="18">
        <v>0.92</v>
      </c>
      <c r="N279" s="18">
        <v>0.03</v>
      </c>
      <c r="O279" s="18">
        <v>0.97</v>
      </c>
      <c r="P279" s="18">
        <v>0.65</v>
      </c>
      <c r="Q279" s="157"/>
      <c r="R279" s="301">
        <v>335</v>
      </c>
      <c r="S279" s="158">
        <v>1.0416666666666666E-2</v>
      </c>
      <c r="T279" s="1">
        <v>18</v>
      </c>
      <c r="U279" s="280" t="str">
        <f t="shared" si="208"/>
        <v>Normal</v>
      </c>
      <c r="V279" s="280" t="str">
        <f t="shared" si="209"/>
        <v>Normal</v>
      </c>
      <c r="W279" s="361">
        <f t="shared" si="210"/>
        <v>-0.33081674673987643</v>
      </c>
      <c r="X279" s="361">
        <f t="shared" si="211"/>
        <v>-9.3179634966378488E-2</v>
      </c>
    </row>
    <row r="280" spans="1:42">
      <c r="A280" s="405">
        <v>45295</v>
      </c>
      <c r="B280" s="406">
        <f>IF(YEAR(Table7[[#This Row],[Date]]) = 2023, WEEKNUM(Table7[[#This Row],[Date]])-13, WEEKNUM(Table7[[#This Row],[Date]])+40)</f>
        <v>41</v>
      </c>
      <c r="C280" s="298" t="s">
        <v>52</v>
      </c>
      <c r="D280" s="1" t="s">
        <v>94</v>
      </c>
      <c r="E280" s="1">
        <v>1030</v>
      </c>
      <c r="F280" s="1">
        <v>924</v>
      </c>
      <c r="G280" s="80">
        <f t="shared" ref="G280:H280" si="229">IFERROR((E280-E273)/E273,0%)</f>
        <v>-0.14309484193011648</v>
      </c>
      <c r="H280" s="80">
        <f t="shared" si="229"/>
        <v>-5.3278688524590161E-2</v>
      </c>
      <c r="I280" s="1"/>
      <c r="J280" s="1"/>
      <c r="K280" s="1"/>
      <c r="L280" s="1"/>
      <c r="M280" s="18">
        <v>0.65</v>
      </c>
      <c r="N280" s="18">
        <v>0.1</v>
      </c>
      <c r="O280" s="18">
        <v>0.9</v>
      </c>
      <c r="P280" s="18">
        <v>0.77</v>
      </c>
      <c r="Q280" s="157"/>
      <c r="R280" s="301">
        <v>360</v>
      </c>
      <c r="S280" s="158">
        <v>4.1666666666666664E-2</v>
      </c>
      <c r="T280" s="1">
        <v>16</v>
      </c>
      <c r="U280" s="280" t="str">
        <f t="shared" si="208"/>
        <v>Normal</v>
      </c>
      <c r="V280" s="280" t="str">
        <f t="shared" si="209"/>
        <v>Normal</v>
      </c>
      <c r="W280" s="361">
        <f t="shared" si="210"/>
        <v>-0.14309484193011648</v>
      </c>
      <c r="X280" s="361">
        <f t="shared" si="211"/>
        <v>-5.3278688524590161E-2</v>
      </c>
    </row>
    <row r="281" spans="1:42">
      <c r="A281" s="405">
        <v>45296</v>
      </c>
      <c r="B281" s="406">
        <f>IF(YEAR(Table7[[#This Row],[Date]]) = 2023, WEEKNUM(Table7[[#This Row],[Date]])-13, WEEKNUM(Table7[[#This Row],[Date]])+40)</f>
        <v>41</v>
      </c>
      <c r="C281" s="298" t="s">
        <v>53</v>
      </c>
      <c r="D281" s="1" t="s">
        <v>94</v>
      </c>
      <c r="E281" s="1">
        <v>1027</v>
      </c>
      <c r="F281" s="1">
        <v>974</v>
      </c>
      <c r="G281" s="80">
        <f t="shared" ref="G281:H281" si="230">IFERROR((E281-E274)/E274,0%)</f>
        <v>-6.466302367941712E-2</v>
      </c>
      <c r="H281" s="80">
        <f t="shared" si="230"/>
        <v>9.6846846846846843E-2</v>
      </c>
      <c r="I281" s="1"/>
      <c r="J281" s="1"/>
      <c r="K281" s="1"/>
      <c r="L281" s="1"/>
      <c r="M281" s="18">
        <v>0.77</v>
      </c>
      <c r="N281" s="18">
        <v>0.05</v>
      </c>
      <c r="O281" s="18">
        <v>0.95</v>
      </c>
      <c r="P281" s="18">
        <v>0.67</v>
      </c>
      <c r="Q281" s="157"/>
      <c r="R281" s="301">
        <v>334</v>
      </c>
      <c r="S281" s="158">
        <v>2.1527777777777781E-2</v>
      </c>
      <c r="T281" s="1">
        <v>18</v>
      </c>
      <c r="U281" s="280" t="str">
        <f t="shared" si="208"/>
        <v>Normal</v>
      </c>
      <c r="V281" s="280" t="str">
        <f t="shared" si="209"/>
        <v>Normal</v>
      </c>
      <c r="W281" s="361">
        <f t="shared" si="210"/>
        <v>-6.466302367941712E-2</v>
      </c>
      <c r="X281" s="361">
        <f t="shared" si="211"/>
        <v>9.6846846846846843E-2</v>
      </c>
    </row>
    <row r="282" spans="1:42">
      <c r="A282" s="405">
        <v>45297</v>
      </c>
      <c r="B282" s="406">
        <f>IF(YEAR(Table7[[#This Row],[Date]]) = 2023, WEEKNUM(Table7[[#This Row],[Date]])-13, WEEKNUM(Table7[[#This Row],[Date]])+40)</f>
        <v>41</v>
      </c>
      <c r="C282" s="298" t="s">
        <v>54</v>
      </c>
      <c r="D282" s="1" t="s">
        <v>94</v>
      </c>
      <c r="E282" s="1">
        <v>797</v>
      </c>
      <c r="F282" s="1">
        <v>759</v>
      </c>
      <c r="G282" s="80">
        <f t="shared" ref="G282:H282" si="231">IFERROR((E282-E275)/E275,0%)</f>
        <v>-0.12030905077262694</v>
      </c>
      <c r="H282" s="80">
        <f t="shared" si="231"/>
        <v>0.20859872611464969</v>
      </c>
      <c r="I282" s="1"/>
      <c r="J282" s="1"/>
      <c r="K282" s="1"/>
      <c r="L282" s="1"/>
      <c r="M282" s="18">
        <v>0.86</v>
      </c>
      <c r="N282" s="18">
        <v>0.05</v>
      </c>
      <c r="O282" s="18">
        <v>0.95</v>
      </c>
      <c r="P282" s="18">
        <v>0.72</v>
      </c>
      <c r="Q282" s="157"/>
      <c r="R282" s="301">
        <v>360</v>
      </c>
      <c r="S282" s="158">
        <v>2.2222222222222223E-2</v>
      </c>
      <c r="T282" s="1">
        <v>14</v>
      </c>
      <c r="U282" s="280" t="str">
        <f t="shared" si="208"/>
        <v>Normal</v>
      </c>
      <c r="V282" s="280" t="str">
        <f t="shared" si="209"/>
        <v>Normal</v>
      </c>
      <c r="W282" s="361">
        <f t="shared" si="210"/>
        <v>-0.12030905077262694</v>
      </c>
      <c r="X282" s="361">
        <f t="shared" si="211"/>
        <v>0.20859872611464969</v>
      </c>
    </row>
    <row r="283" spans="1:42">
      <c r="A283" s="405">
        <v>45298</v>
      </c>
      <c r="B283" s="406">
        <f>IF(YEAR(Table7[[#This Row],[Date]]) = 2023, WEEKNUM(Table7[[#This Row],[Date]])-13, WEEKNUM(Table7[[#This Row],[Date]])+40)</f>
        <v>42</v>
      </c>
      <c r="C283" s="298" t="s">
        <v>48</v>
      </c>
      <c r="D283" s="1" t="s">
        <v>94</v>
      </c>
      <c r="E283" s="1">
        <v>0</v>
      </c>
      <c r="F283" s="1">
        <v>0</v>
      </c>
      <c r="G283" s="80">
        <f t="shared" ref="G283:H283" si="232">IFERROR((E283-E276)/E276,0%)</f>
        <v>0</v>
      </c>
      <c r="H283" s="80">
        <f t="shared" si="232"/>
        <v>0</v>
      </c>
      <c r="I283" s="1">
        <v>0</v>
      </c>
      <c r="J283" s="1">
        <v>0</v>
      </c>
      <c r="K283" s="1">
        <v>0</v>
      </c>
      <c r="L283" s="1">
        <v>0</v>
      </c>
      <c r="M283" s="18">
        <v>0</v>
      </c>
      <c r="N283" s="18">
        <v>0</v>
      </c>
      <c r="O283" s="18">
        <v>0</v>
      </c>
      <c r="P283" s="18">
        <v>0</v>
      </c>
      <c r="Q283" s="157"/>
      <c r="R283" s="301">
        <v>0</v>
      </c>
      <c r="S283" s="158">
        <v>0</v>
      </c>
      <c r="T283" s="1">
        <v>0</v>
      </c>
      <c r="U283" s="280" t="str">
        <f t="shared" si="208"/>
        <v>Normal</v>
      </c>
      <c r="V283" s="280" t="str">
        <f t="shared" si="209"/>
        <v>Normal</v>
      </c>
      <c r="W283" s="361">
        <f t="shared" si="210"/>
        <v>0</v>
      </c>
      <c r="X283" s="361">
        <f t="shared" si="211"/>
        <v>0</v>
      </c>
      <c r="AN283">
        <v>0.76567567567567563</v>
      </c>
    </row>
    <row r="284" spans="1:42">
      <c r="A284" s="405">
        <v>45299</v>
      </c>
      <c r="B284" s="406">
        <f>IF(YEAR(Table7[[#This Row],[Date]]) = 2023, WEEKNUM(Table7[[#This Row],[Date]])-13, WEEKNUM(Table7[[#This Row],[Date]])+40)</f>
        <v>42</v>
      </c>
      <c r="C284" s="298" t="s">
        <v>49</v>
      </c>
      <c r="D284" s="1" t="s">
        <v>94</v>
      </c>
      <c r="E284" s="1">
        <v>1083</v>
      </c>
      <c r="F284" s="1">
        <v>1018</v>
      </c>
      <c r="G284" s="80">
        <f t="shared" ref="G284:H284" si="233">IFERROR((E284-E277)/E277,0%)</f>
        <v>0</v>
      </c>
      <c r="H284" s="80">
        <f t="shared" si="233"/>
        <v>0</v>
      </c>
      <c r="I284" s="1"/>
      <c r="J284" s="1"/>
      <c r="K284" s="1"/>
      <c r="L284" s="1"/>
      <c r="M284" s="18">
        <v>0.82</v>
      </c>
      <c r="N284" s="18">
        <v>0.06</v>
      </c>
      <c r="O284" s="18">
        <v>0.94</v>
      </c>
      <c r="P284" s="18">
        <v>0.85</v>
      </c>
      <c r="Q284" s="157"/>
      <c r="R284" s="301">
        <v>340</v>
      </c>
      <c r="S284" s="158">
        <v>1.6666666666666666E-2</v>
      </c>
      <c r="T284" s="1">
        <v>15</v>
      </c>
      <c r="U284" s="280" t="str">
        <f t="shared" si="208"/>
        <v>Normal</v>
      </c>
      <c r="V284" s="280" t="str">
        <f t="shared" si="209"/>
        <v>Normal</v>
      </c>
      <c r="W284" s="361">
        <f t="shared" si="210"/>
        <v>0</v>
      </c>
      <c r="X284" s="361">
        <f t="shared" si="211"/>
        <v>0</v>
      </c>
    </row>
    <row r="285" spans="1:42">
      <c r="A285" s="405">
        <v>45300</v>
      </c>
      <c r="B285" s="406">
        <f>IF(YEAR(Table7[[#This Row],[Date]]) = 2023, WEEKNUM(Table7[[#This Row],[Date]])-13, WEEKNUM(Table7[[#This Row],[Date]])+40)</f>
        <v>42</v>
      </c>
      <c r="C285" s="298" t="s">
        <v>50</v>
      </c>
      <c r="D285" s="1" t="s">
        <v>94</v>
      </c>
      <c r="E285" s="1">
        <v>1013</v>
      </c>
      <c r="F285" s="1">
        <v>836</v>
      </c>
      <c r="G285" s="80">
        <f t="shared" ref="G285:H285" si="234">IFERROR((E285-E278)/E278,0%)</f>
        <v>-0.11836379460400348</v>
      </c>
      <c r="H285" s="80">
        <f t="shared" si="234"/>
        <v>-0.23792160437556972</v>
      </c>
      <c r="I285" s="1"/>
      <c r="J285" s="1"/>
      <c r="K285" s="1"/>
      <c r="L285" s="1"/>
      <c r="M285" s="18">
        <v>0.64</v>
      </c>
      <c r="N285" s="18">
        <v>0.17</v>
      </c>
      <c r="O285" s="18">
        <v>0.83</v>
      </c>
      <c r="P285" s="18">
        <v>0.66</v>
      </c>
      <c r="Q285" s="157"/>
      <c r="R285" s="301">
        <v>360</v>
      </c>
      <c r="S285" s="158">
        <v>8.3333333333333329E-2</v>
      </c>
      <c r="T285" s="1">
        <v>17</v>
      </c>
      <c r="U285" s="280" t="str">
        <f t="shared" si="208"/>
        <v>Normal</v>
      </c>
      <c r="V285" s="280" t="str">
        <f t="shared" si="209"/>
        <v>Normal</v>
      </c>
      <c r="W285" s="361">
        <f t="shared" si="210"/>
        <v>-0.11836379460400348</v>
      </c>
      <c r="X285" s="361">
        <f t="shared" si="211"/>
        <v>-0.23792160437556972</v>
      </c>
    </row>
    <row r="286" spans="1:42">
      <c r="A286" s="405">
        <v>45301</v>
      </c>
      <c r="B286" s="406">
        <f>IF(YEAR(Table7[[#This Row],[Date]]) = 2023, WEEKNUM(Table7[[#This Row],[Date]])-13, WEEKNUM(Table7[[#This Row],[Date]])+40)</f>
        <v>42</v>
      </c>
      <c r="C286" s="298" t="s">
        <v>51</v>
      </c>
      <c r="D286" s="1" t="s">
        <v>94</v>
      </c>
      <c r="E286" s="1">
        <v>1032</v>
      </c>
      <c r="F286" s="1">
        <v>991</v>
      </c>
      <c r="G286" s="80">
        <f t="shared" ref="G286:H286" si="235">IFERROR((E286-E279)/E279,0%)</f>
        <v>5.8461538461538461E-2</v>
      </c>
      <c r="H286" s="80">
        <f t="shared" si="235"/>
        <v>4.9788135593220338E-2</v>
      </c>
      <c r="I286" s="1"/>
      <c r="J286" s="1"/>
      <c r="K286" s="1"/>
      <c r="L286" s="1"/>
      <c r="M286" s="18">
        <v>0.86</v>
      </c>
      <c r="N286" s="18">
        <v>0.04</v>
      </c>
      <c r="O286" s="18">
        <v>0.96</v>
      </c>
      <c r="P286" s="18">
        <v>0.69</v>
      </c>
      <c r="Q286" s="157"/>
      <c r="R286" s="301">
        <v>300</v>
      </c>
      <c r="S286" s="158">
        <v>1.5277777777777777E-2</v>
      </c>
      <c r="T286" s="1">
        <v>16</v>
      </c>
      <c r="U286" s="280" t="str">
        <f t="shared" si="208"/>
        <v>Normal</v>
      </c>
      <c r="V286" s="280" t="str">
        <f t="shared" si="209"/>
        <v>Normal</v>
      </c>
      <c r="W286" s="361">
        <f t="shared" si="210"/>
        <v>5.8461538461538461E-2</v>
      </c>
      <c r="X286" s="361">
        <f t="shared" si="211"/>
        <v>4.9788135593220338E-2</v>
      </c>
    </row>
    <row r="287" spans="1:42">
      <c r="A287" s="405">
        <v>45302</v>
      </c>
      <c r="B287" s="406">
        <f>IF(YEAR(Table7[[#This Row],[Date]]) = 2023, WEEKNUM(Table7[[#This Row],[Date]])-13, WEEKNUM(Table7[[#This Row],[Date]])+40)</f>
        <v>42</v>
      </c>
      <c r="C287" s="298" t="s">
        <v>52</v>
      </c>
      <c r="D287" s="1" t="s">
        <v>94</v>
      </c>
      <c r="E287" s="1">
        <v>970</v>
      </c>
      <c r="F287" s="1">
        <v>937</v>
      </c>
      <c r="G287" s="80">
        <f t="shared" ref="G287:H287" si="236">IFERROR((E287-E280)/E280,0%)</f>
        <v>-5.8252427184466021E-2</v>
      </c>
      <c r="H287" s="80">
        <f t="shared" si="236"/>
        <v>1.406926406926407E-2</v>
      </c>
      <c r="I287" s="1"/>
      <c r="J287" s="1"/>
      <c r="K287" s="1"/>
      <c r="L287" s="1"/>
      <c r="M287" s="18">
        <v>0.89</v>
      </c>
      <c r="N287" s="18">
        <v>0.03</v>
      </c>
      <c r="O287" s="18">
        <v>0.97</v>
      </c>
      <c r="P287" s="18">
        <v>0.74</v>
      </c>
      <c r="Q287" s="157"/>
      <c r="R287" s="301">
        <v>340</v>
      </c>
      <c r="S287" s="158">
        <v>1.3888888888888888E-2</v>
      </c>
      <c r="T287" s="1">
        <v>16</v>
      </c>
      <c r="U287" s="280" t="str">
        <f t="shared" si="208"/>
        <v>Normal</v>
      </c>
      <c r="V287" s="280" t="str">
        <f t="shared" si="209"/>
        <v>Normal</v>
      </c>
      <c r="W287" s="361">
        <f t="shared" si="210"/>
        <v>-5.8252427184466021E-2</v>
      </c>
      <c r="X287" s="361">
        <f t="shared" si="211"/>
        <v>1.406926406926407E-2</v>
      </c>
    </row>
    <row r="288" spans="1:42">
      <c r="A288" s="405">
        <v>45303</v>
      </c>
      <c r="B288" s="406">
        <f>IF(YEAR(Table7[[#This Row],[Date]]) = 2023, WEEKNUM(Table7[[#This Row],[Date]])-13, WEEKNUM(Table7[[#This Row],[Date]])+40)</f>
        <v>42</v>
      </c>
      <c r="C288" s="298" t="s">
        <v>53</v>
      </c>
      <c r="D288" s="1" t="s">
        <v>94</v>
      </c>
      <c r="E288" s="1">
        <v>1062</v>
      </c>
      <c r="F288" s="1">
        <v>1027</v>
      </c>
      <c r="G288" s="80">
        <f t="shared" ref="G288:H288" si="237">IFERROR((E288-E281)/E281,0%)</f>
        <v>3.4079844206426485E-2</v>
      </c>
      <c r="H288" s="80">
        <f t="shared" si="237"/>
        <v>5.4414784394250515E-2</v>
      </c>
      <c r="I288" s="1"/>
      <c r="J288" s="1"/>
      <c r="K288" s="1"/>
      <c r="L288" s="1"/>
      <c r="M288" s="18">
        <v>0.94</v>
      </c>
      <c r="N288" s="18">
        <v>0.03</v>
      </c>
      <c r="O288" s="18">
        <v>0.97</v>
      </c>
      <c r="P288" s="18">
        <v>0.81</v>
      </c>
      <c r="Q288" s="157"/>
      <c r="R288" s="301">
        <v>340</v>
      </c>
      <c r="S288" s="158">
        <v>6.9444444444444441E-3</v>
      </c>
      <c r="T288" s="1">
        <v>16</v>
      </c>
      <c r="U288" s="280" t="str">
        <f t="shared" si="208"/>
        <v>Normal</v>
      </c>
      <c r="V288" s="280" t="str">
        <f t="shared" si="209"/>
        <v>Normal</v>
      </c>
      <c r="W288" s="361">
        <f t="shared" si="210"/>
        <v>3.4079844206426485E-2</v>
      </c>
      <c r="X288" s="361">
        <f t="shared" si="211"/>
        <v>5.4414784394250515E-2</v>
      </c>
    </row>
    <row r="289" spans="1:42">
      <c r="A289" s="405">
        <v>45304</v>
      </c>
      <c r="B289" s="406">
        <f>IF(YEAR(Table7[[#This Row],[Date]]) = 2023, WEEKNUM(Table7[[#This Row],[Date]])-13, WEEKNUM(Table7[[#This Row],[Date]])+40)</f>
        <v>42</v>
      </c>
      <c r="C289" s="298" t="s">
        <v>54</v>
      </c>
      <c r="D289" s="1" t="s">
        <v>94</v>
      </c>
      <c r="E289" s="1">
        <v>826</v>
      </c>
      <c r="F289" s="1">
        <v>805</v>
      </c>
      <c r="G289" s="80">
        <f t="shared" ref="G289:H289" si="238">IFERROR((E289-E282)/E282,0%)</f>
        <v>3.6386449184441658E-2</v>
      </c>
      <c r="H289" s="80">
        <f t="shared" si="238"/>
        <v>6.0606060606060608E-2</v>
      </c>
      <c r="I289" s="1"/>
      <c r="J289" s="1"/>
      <c r="K289" s="1"/>
      <c r="L289" s="1"/>
      <c r="M289" s="18">
        <v>0.97</v>
      </c>
      <c r="N289" s="18">
        <v>0.03</v>
      </c>
      <c r="O289" s="18">
        <v>0.97</v>
      </c>
      <c r="P289" s="18">
        <v>0.56000000000000005</v>
      </c>
      <c r="Q289" s="157"/>
      <c r="R289" s="301">
        <v>300</v>
      </c>
      <c r="S289" s="158">
        <v>6.9444444444444441E-3</v>
      </c>
      <c r="T289" s="1">
        <v>16</v>
      </c>
      <c r="U289" s="280" t="str">
        <f t="shared" si="208"/>
        <v>Normal</v>
      </c>
      <c r="V289" s="280" t="str">
        <f t="shared" si="209"/>
        <v>Normal</v>
      </c>
      <c r="W289" s="361">
        <f t="shared" si="210"/>
        <v>3.6386449184441658E-2</v>
      </c>
      <c r="X289" s="361">
        <f t="shared" si="211"/>
        <v>6.0606060606060608E-2</v>
      </c>
    </row>
    <row r="290" spans="1:42">
      <c r="A290" s="405">
        <v>45305</v>
      </c>
      <c r="B290" s="406">
        <f>IF(YEAR(Table7[[#This Row],[Date]]) = 2023, WEEKNUM(Table7[[#This Row],[Date]])-13, WEEKNUM(Table7[[#This Row],[Date]])+40)</f>
        <v>43</v>
      </c>
      <c r="C290" s="298" t="s">
        <v>48</v>
      </c>
      <c r="D290" s="1" t="s">
        <v>94</v>
      </c>
      <c r="E290" s="1">
        <v>0</v>
      </c>
      <c r="F290" s="1">
        <v>0</v>
      </c>
      <c r="G290" s="80">
        <f t="shared" ref="G290:H290" si="239">IFERROR((E290-E283)/E283,0%)</f>
        <v>0</v>
      </c>
      <c r="H290" s="80">
        <f t="shared" si="239"/>
        <v>0</v>
      </c>
      <c r="I290" s="1">
        <v>0</v>
      </c>
      <c r="J290" s="1">
        <v>0</v>
      </c>
      <c r="K290" s="1">
        <v>0</v>
      </c>
      <c r="L290" s="1">
        <v>0</v>
      </c>
      <c r="M290" s="18">
        <v>0</v>
      </c>
      <c r="N290" s="18">
        <v>0</v>
      </c>
      <c r="O290" s="18">
        <v>0</v>
      </c>
      <c r="P290" s="18">
        <v>0</v>
      </c>
      <c r="Q290" s="157"/>
      <c r="R290" s="301">
        <v>0</v>
      </c>
      <c r="S290" s="158">
        <v>0</v>
      </c>
      <c r="T290" s="1">
        <v>0</v>
      </c>
      <c r="U290" s="280" t="str">
        <f t="shared" si="208"/>
        <v>Normal</v>
      </c>
      <c r="V290" s="280" t="str">
        <f t="shared" si="209"/>
        <v>Normal</v>
      </c>
      <c r="W290" s="361">
        <f t="shared" si="210"/>
        <v>0</v>
      </c>
      <c r="X290" s="361">
        <f t="shared" si="211"/>
        <v>0</v>
      </c>
    </row>
    <row r="291" spans="1:42">
      <c r="A291" s="405">
        <v>45306</v>
      </c>
      <c r="B291" s="406">
        <f>IF(YEAR(Table7[[#This Row],[Date]]) = 2023, WEEKNUM(Table7[[#This Row],[Date]])-13, WEEKNUM(Table7[[#This Row],[Date]])+40)</f>
        <v>43</v>
      </c>
      <c r="C291" s="298" t="s">
        <v>49</v>
      </c>
      <c r="D291" s="1" t="s">
        <v>94</v>
      </c>
      <c r="E291" s="1">
        <v>1081</v>
      </c>
      <c r="F291" s="1">
        <v>1000</v>
      </c>
      <c r="G291" s="80">
        <f t="shared" ref="G291:H291" si="240">IFERROR((E291-E284)/E284,0%)</f>
        <v>-1.8467220683287165E-3</v>
      </c>
      <c r="H291" s="80">
        <f t="shared" si="240"/>
        <v>-1.768172888015717E-2</v>
      </c>
      <c r="I291" s="1"/>
      <c r="J291" s="1"/>
      <c r="K291" s="1"/>
      <c r="L291" s="1"/>
      <c r="M291" s="18">
        <v>0.86</v>
      </c>
      <c r="N291" s="18">
        <v>7.0000000000000007E-2</v>
      </c>
      <c r="O291" s="18">
        <v>0.93</v>
      </c>
      <c r="P291" s="18">
        <v>0.44</v>
      </c>
      <c r="Q291" s="157"/>
      <c r="R291" s="301">
        <v>274</v>
      </c>
      <c r="S291" s="158">
        <v>2.8472222222222222E-2</v>
      </c>
      <c r="T291" s="1">
        <v>23</v>
      </c>
      <c r="U291" s="280" t="str">
        <f t="shared" si="208"/>
        <v>Normal</v>
      </c>
      <c r="V291" s="280" t="str">
        <f t="shared" si="209"/>
        <v>Normal</v>
      </c>
      <c r="W291" s="361">
        <f t="shared" si="210"/>
        <v>-1.8467220683287165E-3</v>
      </c>
      <c r="X291" s="361">
        <f t="shared" si="211"/>
        <v>-1.768172888015717E-2</v>
      </c>
    </row>
    <row r="292" spans="1:42">
      <c r="A292" s="405">
        <v>45307</v>
      </c>
      <c r="B292" s="406">
        <f>IF(YEAR(Table7[[#This Row],[Date]]) = 2023, WEEKNUM(Table7[[#This Row],[Date]])-13, WEEKNUM(Table7[[#This Row],[Date]])+40)</f>
        <v>43</v>
      </c>
      <c r="C292" s="298" t="s">
        <v>50</v>
      </c>
      <c r="D292" s="1" t="s">
        <v>94</v>
      </c>
      <c r="E292" s="1">
        <v>1040</v>
      </c>
      <c r="F292" s="1">
        <v>980</v>
      </c>
      <c r="G292" s="80">
        <f t="shared" ref="G292:H292" si="241">IFERROR((E292-E285)/E285,0%)</f>
        <v>2.6653504442250741E-2</v>
      </c>
      <c r="H292" s="80">
        <f t="shared" si="241"/>
        <v>0.17224880382775121</v>
      </c>
      <c r="I292" s="1"/>
      <c r="J292" s="1"/>
      <c r="K292" s="1"/>
      <c r="L292" s="1"/>
      <c r="M292" s="18">
        <v>0.89</v>
      </c>
      <c r="N292" s="18">
        <v>0.06</v>
      </c>
      <c r="O292" s="18">
        <v>0.94</v>
      </c>
      <c r="P292" s="18">
        <v>0.56999999999999995</v>
      </c>
      <c r="Q292" s="157"/>
      <c r="R292" s="301">
        <v>300</v>
      </c>
      <c r="S292" s="158">
        <v>1.3888888888888888E-2</v>
      </c>
      <c r="T292" s="1">
        <v>19</v>
      </c>
      <c r="U292" s="280" t="str">
        <f t="shared" si="208"/>
        <v>Normal</v>
      </c>
      <c r="V292" s="280" t="str">
        <f t="shared" si="209"/>
        <v>Normal</v>
      </c>
      <c r="W292" s="361">
        <f t="shared" si="210"/>
        <v>2.6653504442250741E-2</v>
      </c>
      <c r="X292" s="361">
        <f t="shared" si="211"/>
        <v>0.17224880382775121</v>
      </c>
      <c r="AN292" s="47"/>
      <c r="AO292" s="47"/>
      <c r="AP292" s="47"/>
    </row>
    <row r="293" spans="1:42">
      <c r="A293" s="405">
        <v>45308</v>
      </c>
      <c r="B293" s="406">
        <f>IF(YEAR(Table7[[#This Row],[Date]]) = 2023, WEEKNUM(Table7[[#This Row],[Date]])-13, WEEKNUM(Table7[[#This Row],[Date]])+40)</f>
        <v>43</v>
      </c>
      <c r="C293" s="298" t="s">
        <v>51</v>
      </c>
      <c r="D293" s="1" t="s">
        <v>94</v>
      </c>
      <c r="E293" s="1">
        <v>1192</v>
      </c>
      <c r="F293" s="1">
        <v>1085</v>
      </c>
      <c r="G293" s="80">
        <f t="shared" ref="G293:H293" si="242">IFERROR((E293-E286)/E286,0%)</f>
        <v>0.15503875968992248</v>
      </c>
      <c r="H293" s="80">
        <f t="shared" si="242"/>
        <v>9.4853683148335019E-2</v>
      </c>
      <c r="I293" s="1"/>
      <c r="J293" s="1"/>
      <c r="K293" s="1"/>
      <c r="L293" s="1"/>
      <c r="M293" s="18">
        <v>0.78</v>
      </c>
      <c r="N293" s="18">
        <v>0.09</v>
      </c>
      <c r="O293" s="18">
        <v>0.91</v>
      </c>
      <c r="P293" s="18">
        <v>0.61</v>
      </c>
      <c r="Q293" s="157"/>
      <c r="R293" s="301">
        <v>304</v>
      </c>
      <c r="S293" s="158">
        <v>2.9166666666666664E-2</v>
      </c>
      <c r="T293" s="1">
        <v>20</v>
      </c>
      <c r="U293" s="280" t="str">
        <f t="shared" si="208"/>
        <v>Normal</v>
      </c>
      <c r="V293" s="280" t="str">
        <f t="shared" si="209"/>
        <v>Normal</v>
      </c>
      <c r="W293" s="361">
        <f t="shared" si="210"/>
        <v>0.15503875968992248</v>
      </c>
      <c r="X293" s="361">
        <f t="shared" si="211"/>
        <v>9.4853683148335019E-2</v>
      </c>
    </row>
    <row r="294" spans="1:42">
      <c r="A294" s="405">
        <v>45309</v>
      </c>
      <c r="B294" s="406">
        <f>IF(YEAR(Table7[[#This Row],[Date]]) = 2023, WEEKNUM(Table7[[#This Row],[Date]])-13, WEEKNUM(Table7[[#This Row],[Date]])+40)</f>
        <v>43</v>
      </c>
      <c r="C294" s="298" t="s">
        <v>52</v>
      </c>
      <c r="D294" s="1" t="s">
        <v>94</v>
      </c>
      <c r="E294" s="1">
        <v>1032</v>
      </c>
      <c r="F294" s="1">
        <v>961</v>
      </c>
      <c r="G294" s="80">
        <f t="shared" ref="G294:H294" si="243">IFERROR((E294-E287)/E287,0%)</f>
        <v>6.3917525773195871E-2</v>
      </c>
      <c r="H294" s="80">
        <f t="shared" si="243"/>
        <v>2.5613660618996798E-2</v>
      </c>
      <c r="I294" s="1"/>
      <c r="J294" s="1"/>
      <c r="K294" s="1"/>
      <c r="L294" s="1"/>
      <c r="M294" s="18">
        <v>0.86</v>
      </c>
      <c r="N294" s="18">
        <v>7.0000000000000007E-2</v>
      </c>
      <c r="O294" s="18">
        <v>0.93</v>
      </c>
      <c r="P294" s="18">
        <v>0.59</v>
      </c>
      <c r="Q294" s="157"/>
      <c r="R294" s="301">
        <v>300</v>
      </c>
      <c r="S294" s="158">
        <v>1.6666666666666666E-2</v>
      </c>
      <c r="T294" s="1">
        <v>18</v>
      </c>
      <c r="U294" s="280" t="str">
        <f t="shared" si="208"/>
        <v>Normal</v>
      </c>
      <c r="V294" s="280" t="str">
        <f t="shared" si="209"/>
        <v>Normal</v>
      </c>
      <c r="W294" s="361">
        <f t="shared" si="210"/>
        <v>6.3917525773195871E-2</v>
      </c>
      <c r="X294" s="361">
        <f t="shared" si="211"/>
        <v>2.5613660618996798E-2</v>
      </c>
    </row>
    <row r="295" spans="1:42">
      <c r="A295" s="405">
        <v>45310</v>
      </c>
      <c r="B295" s="406">
        <f>IF(YEAR(Table7[[#This Row],[Date]]) = 2023, WEEKNUM(Table7[[#This Row],[Date]])-13, WEEKNUM(Table7[[#This Row],[Date]])+40)</f>
        <v>43</v>
      </c>
      <c r="C295" s="298" t="s">
        <v>53</v>
      </c>
      <c r="D295" s="1" t="s">
        <v>94</v>
      </c>
      <c r="E295" s="1">
        <v>1039</v>
      </c>
      <c r="F295" s="1">
        <v>1011</v>
      </c>
      <c r="G295" s="80">
        <f t="shared" ref="G295:H295" si="244">IFERROR((E295-E288)/E288,0%)</f>
        <v>-2.1657250470809793E-2</v>
      </c>
      <c r="H295" s="80">
        <f t="shared" si="244"/>
        <v>-1.5579357351509251E-2</v>
      </c>
      <c r="I295" s="1"/>
      <c r="J295" s="1"/>
      <c r="K295" s="1"/>
      <c r="L295" s="1"/>
      <c r="M295" s="18">
        <v>0.94</v>
      </c>
      <c r="N295" s="18">
        <v>0.03</v>
      </c>
      <c r="O295" s="18">
        <v>0.97</v>
      </c>
      <c r="P295" s="18">
        <v>0.62</v>
      </c>
      <c r="Q295" s="157"/>
      <c r="R295" s="301">
        <v>300</v>
      </c>
      <c r="S295" s="158">
        <v>8.3333333333333332E-3</v>
      </c>
      <c r="T295" s="1">
        <v>18</v>
      </c>
      <c r="U295" s="280" t="str">
        <f t="shared" si="208"/>
        <v>Normal</v>
      </c>
      <c r="V295" s="280" t="str">
        <f t="shared" si="209"/>
        <v>Normal</v>
      </c>
      <c r="W295" s="361">
        <f t="shared" si="210"/>
        <v>-2.1657250470809793E-2</v>
      </c>
      <c r="X295" s="361">
        <f t="shared" si="211"/>
        <v>-1.5579357351509251E-2</v>
      </c>
    </row>
    <row r="296" spans="1:42">
      <c r="A296" s="405">
        <v>45311</v>
      </c>
      <c r="B296" s="406">
        <f>IF(YEAR(Table7[[#This Row],[Date]]) = 2023, WEEKNUM(Table7[[#This Row],[Date]])-13, WEEKNUM(Table7[[#This Row],[Date]])+40)</f>
        <v>43</v>
      </c>
      <c r="C296" s="298" t="s">
        <v>54</v>
      </c>
      <c r="D296" s="1" t="s">
        <v>94</v>
      </c>
      <c r="E296" s="1">
        <v>835</v>
      </c>
      <c r="F296" s="1">
        <v>719</v>
      </c>
      <c r="G296" s="80">
        <f t="shared" ref="G296:H296" si="245">IFERROR((E296-E289)/E289,0%)</f>
        <v>1.0895883777239709E-2</v>
      </c>
      <c r="H296" s="80">
        <f t="shared" si="245"/>
        <v>-0.10683229813664596</v>
      </c>
      <c r="I296" s="1"/>
      <c r="J296" s="1"/>
      <c r="K296" s="1"/>
      <c r="L296" s="1"/>
      <c r="M296" s="18">
        <v>0.71</v>
      </c>
      <c r="N296" s="18">
        <v>0.14000000000000001</v>
      </c>
      <c r="O296" s="18">
        <v>0.86</v>
      </c>
      <c r="P296" s="18">
        <v>0.61</v>
      </c>
      <c r="Q296" s="157"/>
      <c r="R296" s="301">
        <v>273</v>
      </c>
      <c r="S296" s="158">
        <v>4.3750000000000004E-2</v>
      </c>
      <c r="T296" s="1">
        <v>12</v>
      </c>
      <c r="U296" s="280" t="str">
        <f t="shared" si="208"/>
        <v>Normal</v>
      </c>
      <c r="V296" s="280" t="str">
        <f t="shared" si="209"/>
        <v>Normal</v>
      </c>
      <c r="W296" s="361">
        <f t="shared" si="210"/>
        <v>1.0895883777239709E-2</v>
      </c>
      <c r="X296" s="361">
        <f t="shared" si="211"/>
        <v>-0.10683229813664596</v>
      </c>
    </row>
    <row r="297" spans="1:42">
      <c r="A297" s="405">
        <v>45312</v>
      </c>
      <c r="B297" s="406">
        <f>IF(YEAR(Table7[[#This Row],[Date]]) = 2023, WEEKNUM(Table7[[#This Row],[Date]])-13, WEEKNUM(Table7[[#This Row],[Date]])+40)</f>
        <v>44</v>
      </c>
      <c r="C297" s="298" t="s">
        <v>48</v>
      </c>
      <c r="D297" s="1" t="s">
        <v>94</v>
      </c>
      <c r="E297" s="1">
        <v>0</v>
      </c>
      <c r="F297" s="1">
        <v>0</v>
      </c>
      <c r="G297" s="80">
        <f t="shared" ref="G297:H297" si="246">IFERROR((E297-E290)/E290,0%)</f>
        <v>0</v>
      </c>
      <c r="H297" s="80">
        <f t="shared" si="246"/>
        <v>0</v>
      </c>
      <c r="I297" s="1">
        <v>0</v>
      </c>
      <c r="J297" s="1">
        <v>0</v>
      </c>
      <c r="K297" s="1">
        <v>0</v>
      </c>
      <c r="L297" s="1">
        <v>0</v>
      </c>
      <c r="M297" s="18">
        <v>0</v>
      </c>
      <c r="N297" s="18">
        <v>0</v>
      </c>
      <c r="O297" s="18">
        <v>0</v>
      </c>
      <c r="P297" s="18">
        <v>0</v>
      </c>
      <c r="Q297" s="157"/>
      <c r="R297" s="301">
        <v>0</v>
      </c>
      <c r="S297" s="158">
        <v>0</v>
      </c>
      <c r="T297" s="1">
        <v>0</v>
      </c>
      <c r="U297" s="280" t="str">
        <f t="shared" si="208"/>
        <v>Normal</v>
      </c>
      <c r="V297" s="280" t="str">
        <f t="shared" si="209"/>
        <v>Normal</v>
      </c>
      <c r="W297" s="361">
        <f t="shared" si="210"/>
        <v>0</v>
      </c>
      <c r="X297" s="361">
        <f t="shared" si="211"/>
        <v>0</v>
      </c>
    </row>
    <row r="298" spans="1:42">
      <c r="A298" s="405">
        <v>45313</v>
      </c>
      <c r="B298" s="406">
        <f>IF(YEAR(Table7[[#This Row],[Date]]) = 2023, WEEKNUM(Table7[[#This Row],[Date]])-13, WEEKNUM(Table7[[#This Row],[Date]])+40)</f>
        <v>44</v>
      </c>
      <c r="C298" s="298" t="s">
        <v>49</v>
      </c>
      <c r="D298" s="1" t="s">
        <v>94</v>
      </c>
      <c r="E298" s="1">
        <v>1166</v>
      </c>
      <c r="F298" s="1">
        <v>1040</v>
      </c>
      <c r="G298" s="80">
        <f t="shared" ref="G298:H298" si="247">IFERROR((E298-E291)/E291,0%)</f>
        <v>7.8630897317298803E-2</v>
      </c>
      <c r="H298" s="80">
        <f t="shared" si="247"/>
        <v>0.04</v>
      </c>
      <c r="I298" s="1"/>
      <c r="J298" s="1"/>
      <c r="K298" s="1"/>
      <c r="L298" s="1"/>
      <c r="M298" s="18">
        <v>0.8</v>
      </c>
      <c r="N298" s="18">
        <v>0.11</v>
      </c>
      <c r="O298" s="18">
        <v>0.89</v>
      </c>
      <c r="P298" s="18">
        <v>0.63</v>
      </c>
      <c r="Q298" s="157"/>
      <c r="R298" s="301">
        <v>325</v>
      </c>
      <c r="S298" s="158">
        <v>4.1666666666666664E-2</v>
      </c>
      <c r="T298" s="1">
        <v>20</v>
      </c>
      <c r="U298" s="280" t="str">
        <f t="shared" si="208"/>
        <v>Normal</v>
      </c>
      <c r="V298" s="280" t="str">
        <f t="shared" si="209"/>
        <v>Normal</v>
      </c>
      <c r="W298" s="361">
        <f t="shared" si="210"/>
        <v>7.8630897317298803E-2</v>
      </c>
      <c r="X298" s="361">
        <f t="shared" si="211"/>
        <v>0.04</v>
      </c>
    </row>
    <row r="299" spans="1:42">
      <c r="A299" s="405">
        <v>45314</v>
      </c>
      <c r="B299" s="406">
        <f>IF(YEAR(Table7[[#This Row],[Date]]) = 2023, WEEKNUM(Table7[[#This Row],[Date]])-13, WEEKNUM(Table7[[#This Row],[Date]])+40)</f>
        <v>44</v>
      </c>
      <c r="C299" s="298" t="s">
        <v>50</v>
      </c>
      <c r="D299" s="1" t="s">
        <v>94</v>
      </c>
      <c r="E299" s="1">
        <v>1037</v>
      </c>
      <c r="F299" s="1">
        <v>812</v>
      </c>
      <c r="G299" s="80">
        <f t="shared" ref="G299:H299" si="248">IFERROR((E299-E292)/E292,0%)</f>
        <v>-2.8846153846153848E-3</v>
      </c>
      <c r="H299" s="80">
        <f t="shared" si="248"/>
        <v>-0.17142857142857143</v>
      </c>
      <c r="I299" s="1"/>
      <c r="J299" s="1"/>
      <c r="K299" s="1"/>
      <c r="L299" s="1"/>
      <c r="M299" s="18">
        <v>0.44</v>
      </c>
      <c r="N299" s="18">
        <v>0.22</v>
      </c>
      <c r="O299" s="18">
        <v>0.78</v>
      </c>
      <c r="P299" s="18">
        <v>0.49</v>
      </c>
      <c r="Q299" s="157"/>
      <c r="R299" s="301">
        <v>360</v>
      </c>
      <c r="S299" s="158">
        <v>8.3333333333333329E-2</v>
      </c>
      <c r="T299" s="1">
        <v>22</v>
      </c>
      <c r="U299" s="280" t="str">
        <f t="shared" si="208"/>
        <v>Normal</v>
      </c>
      <c r="V299" s="280" t="str">
        <f t="shared" si="209"/>
        <v>Normal</v>
      </c>
      <c r="W299" s="361">
        <f t="shared" si="210"/>
        <v>-2.8846153846153848E-3</v>
      </c>
      <c r="X299" s="361">
        <f t="shared" si="211"/>
        <v>-0.17142857142857143</v>
      </c>
    </row>
    <row r="300" spans="1:42">
      <c r="A300" s="405">
        <v>45315</v>
      </c>
      <c r="B300" s="406">
        <f>IF(YEAR(Table7[[#This Row],[Date]]) = 2023, WEEKNUM(Table7[[#This Row],[Date]])-13, WEEKNUM(Table7[[#This Row],[Date]])+40)</f>
        <v>44</v>
      </c>
      <c r="C300" s="298" t="s">
        <v>51</v>
      </c>
      <c r="D300" s="1" t="s">
        <v>94</v>
      </c>
      <c r="E300" s="1">
        <v>1020</v>
      </c>
      <c r="F300" s="1">
        <v>965</v>
      </c>
      <c r="G300" s="80">
        <f t="shared" ref="G300:H300" si="249">IFERROR((E300-E293)/E293,0%)</f>
        <v>-0.14429530201342283</v>
      </c>
      <c r="H300" s="80">
        <f t="shared" si="249"/>
        <v>-0.11059907834101383</v>
      </c>
      <c r="I300" s="1"/>
      <c r="J300" s="1"/>
      <c r="K300" s="1"/>
      <c r="L300" s="1"/>
      <c r="M300" s="18">
        <v>0.92</v>
      </c>
      <c r="N300" s="18">
        <v>0.05</v>
      </c>
      <c r="O300" s="18">
        <v>0.95</v>
      </c>
      <c r="P300" s="18">
        <v>0.74</v>
      </c>
      <c r="Q300" s="157"/>
      <c r="R300" s="301">
        <v>330</v>
      </c>
      <c r="S300" s="158">
        <v>8.3333333333333329E-2</v>
      </c>
      <c r="T300" s="1">
        <v>16</v>
      </c>
      <c r="U300" s="280" t="str">
        <f t="shared" si="208"/>
        <v>Normal</v>
      </c>
      <c r="V300" s="280" t="str">
        <f t="shared" si="209"/>
        <v>Normal</v>
      </c>
      <c r="W300" s="361">
        <f t="shared" si="210"/>
        <v>-0.14429530201342283</v>
      </c>
      <c r="X300" s="361">
        <f t="shared" si="211"/>
        <v>-0.11059907834101383</v>
      </c>
    </row>
    <row r="301" spans="1:42">
      <c r="A301" s="405">
        <v>45316</v>
      </c>
      <c r="B301" s="406">
        <f>IF(YEAR(Table7[[#This Row],[Date]]) = 2023, WEEKNUM(Table7[[#This Row],[Date]])-13, WEEKNUM(Table7[[#This Row],[Date]])+40)</f>
        <v>44</v>
      </c>
      <c r="C301" s="298" t="s">
        <v>52</v>
      </c>
      <c r="D301" s="1" t="s">
        <v>94</v>
      </c>
      <c r="E301" s="1">
        <v>1070</v>
      </c>
      <c r="F301" s="1">
        <v>778</v>
      </c>
      <c r="G301" s="80">
        <f t="shared" ref="G301:H301" si="250">IFERROR((E301-E294)/E294,0%)</f>
        <v>3.6821705426356592E-2</v>
      </c>
      <c r="H301" s="80">
        <f t="shared" si="250"/>
        <v>-0.19042663891779396</v>
      </c>
      <c r="I301" s="1"/>
      <c r="J301" s="1"/>
      <c r="K301" s="1"/>
      <c r="L301" s="1"/>
      <c r="M301" s="18">
        <v>0.27</v>
      </c>
      <c r="N301" s="18">
        <v>0.27</v>
      </c>
      <c r="O301" s="18">
        <v>0.73</v>
      </c>
      <c r="P301" s="18">
        <v>0.8</v>
      </c>
      <c r="Q301" s="157"/>
      <c r="R301" s="301">
        <v>360</v>
      </c>
      <c r="S301" s="158">
        <v>9.0277777777777776E-2</v>
      </c>
      <c r="T301" s="1">
        <v>13</v>
      </c>
      <c r="U301" s="280" t="str">
        <f t="shared" si="208"/>
        <v>Normal</v>
      </c>
      <c r="V301" s="280" t="str">
        <f t="shared" si="209"/>
        <v>Normal</v>
      </c>
      <c r="W301" s="361">
        <f t="shared" si="210"/>
        <v>3.6821705426356592E-2</v>
      </c>
      <c r="X301" s="361">
        <f t="shared" si="211"/>
        <v>-0.19042663891779396</v>
      </c>
    </row>
    <row r="302" spans="1:42">
      <c r="A302" s="405">
        <v>45317</v>
      </c>
      <c r="B302" s="406">
        <f>IF(YEAR(Table7[[#This Row],[Date]]) = 2023, WEEKNUM(Table7[[#This Row],[Date]])-13, WEEKNUM(Table7[[#This Row],[Date]])+40)</f>
        <v>44</v>
      </c>
      <c r="C302" s="298" t="s">
        <v>53</v>
      </c>
      <c r="D302" s="1" t="s">
        <v>94</v>
      </c>
      <c r="E302" s="1">
        <v>1083</v>
      </c>
      <c r="F302" s="1">
        <v>963</v>
      </c>
      <c r="G302" s="80">
        <f t="shared" ref="G302:H302" si="251">IFERROR((E302-E295)/E295,0%)</f>
        <v>4.2348411934552452E-2</v>
      </c>
      <c r="H302" s="80">
        <f t="shared" si="251"/>
        <v>-4.7477744807121663E-2</v>
      </c>
      <c r="I302" s="1"/>
      <c r="J302" s="1"/>
      <c r="K302" s="1"/>
      <c r="L302" s="1"/>
      <c r="M302" s="18">
        <v>0.68</v>
      </c>
      <c r="N302" s="18">
        <v>0.11</v>
      </c>
      <c r="O302" s="18">
        <v>0.89</v>
      </c>
      <c r="P302" s="18">
        <v>0.72</v>
      </c>
      <c r="Q302" s="157"/>
      <c r="R302" s="301">
        <v>343</v>
      </c>
      <c r="S302" s="158">
        <v>4.1666666666666664E-2</v>
      </c>
      <c r="T302" s="1">
        <v>17</v>
      </c>
      <c r="U302" s="280" t="str">
        <f t="shared" si="208"/>
        <v>Normal</v>
      </c>
      <c r="V302" s="280" t="str">
        <f t="shared" si="209"/>
        <v>Normal</v>
      </c>
      <c r="W302" s="361">
        <f t="shared" si="210"/>
        <v>4.2348411934552452E-2</v>
      </c>
      <c r="X302" s="361">
        <f t="shared" si="211"/>
        <v>-4.7477744807121663E-2</v>
      </c>
    </row>
    <row r="303" spans="1:42">
      <c r="A303" s="405">
        <v>45318</v>
      </c>
      <c r="B303" s="406">
        <f>IF(YEAR(Table7[[#This Row],[Date]]) = 2023, WEEKNUM(Table7[[#This Row],[Date]])-13, WEEKNUM(Table7[[#This Row],[Date]])+40)</f>
        <v>44</v>
      </c>
      <c r="C303" s="298" t="s">
        <v>54</v>
      </c>
      <c r="D303" s="1" t="s">
        <v>94</v>
      </c>
      <c r="E303" s="1">
        <v>1023</v>
      </c>
      <c r="F303" s="1">
        <v>625</v>
      </c>
      <c r="G303" s="80">
        <f t="shared" ref="G303:H303" si="252">IFERROR((E303-E296)/E296,0%)</f>
        <v>0.2251497005988024</v>
      </c>
      <c r="H303" s="80">
        <f t="shared" si="252"/>
        <v>-0.13073713490959665</v>
      </c>
      <c r="I303" s="1"/>
      <c r="J303" s="1"/>
      <c r="K303" s="1"/>
      <c r="L303" s="1"/>
      <c r="M303" s="18">
        <v>0.19</v>
      </c>
      <c r="N303" s="18">
        <v>0.39</v>
      </c>
      <c r="O303" s="18">
        <v>0.61</v>
      </c>
      <c r="P303" s="18">
        <v>0.76</v>
      </c>
      <c r="Q303" s="157"/>
      <c r="R303" s="301">
        <v>360</v>
      </c>
      <c r="S303" s="158">
        <v>0.13263888888888889</v>
      </c>
      <c r="T303" s="1">
        <v>11</v>
      </c>
      <c r="U303" s="280" t="str">
        <f t="shared" si="208"/>
        <v>Normal</v>
      </c>
      <c r="V303" s="280" t="str">
        <f t="shared" si="209"/>
        <v>Normal</v>
      </c>
      <c r="W303" s="361">
        <f t="shared" si="210"/>
        <v>0.2251497005988024</v>
      </c>
      <c r="X303" s="361">
        <f t="shared" si="211"/>
        <v>-0.13073713490959665</v>
      </c>
    </row>
    <row r="304" spans="1:42">
      <c r="A304" s="405">
        <v>45319</v>
      </c>
      <c r="B304" s="406">
        <f>IF(YEAR(Table7[[#This Row],[Date]]) = 2023, WEEKNUM(Table7[[#This Row],[Date]])-13, WEEKNUM(Table7[[#This Row],[Date]])+40)</f>
        <v>45</v>
      </c>
      <c r="C304" s="298" t="s">
        <v>48</v>
      </c>
      <c r="D304" s="1" t="s">
        <v>94</v>
      </c>
      <c r="E304" s="1">
        <v>0</v>
      </c>
      <c r="F304" s="1">
        <v>0</v>
      </c>
      <c r="G304" s="80">
        <f t="shared" ref="G304:H304" si="253">IFERROR((E304-E297)/E297,0%)</f>
        <v>0</v>
      </c>
      <c r="H304" s="80">
        <f t="shared" si="253"/>
        <v>0</v>
      </c>
      <c r="I304" s="1">
        <v>0</v>
      </c>
      <c r="J304" s="1">
        <v>0</v>
      </c>
      <c r="K304" s="1">
        <v>0</v>
      </c>
      <c r="L304" s="1">
        <v>0</v>
      </c>
      <c r="M304" s="18">
        <v>0</v>
      </c>
      <c r="N304" s="18">
        <v>0</v>
      </c>
      <c r="O304" s="18">
        <v>0</v>
      </c>
      <c r="P304" s="18">
        <v>0</v>
      </c>
      <c r="Q304" s="157"/>
      <c r="R304" s="301">
        <v>0</v>
      </c>
      <c r="S304" s="158">
        <v>0</v>
      </c>
      <c r="T304" s="1">
        <v>0</v>
      </c>
      <c r="U304" s="280" t="str">
        <f t="shared" si="208"/>
        <v>Normal</v>
      </c>
      <c r="V304" s="280" t="str">
        <f t="shared" si="209"/>
        <v>Normal</v>
      </c>
      <c r="W304" s="361">
        <f t="shared" si="210"/>
        <v>0</v>
      </c>
      <c r="X304" s="361">
        <f t="shared" si="211"/>
        <v>0</v>
      </c>
    </row>
    <row r="305" spans="1:42">
      <c r="A305" s="405">
        <v>45320</v>
      </c>
      <c r="B305" s="406">
        <f>IF(YEAR(Table7[[#This Row],[Date]]) = 2023, WEEKNUM(Table7[[#This Row],[Date]])-13, WEEKNUM(Table7[[#This Row],[Date]])+40)</f>
        <v>45</v>
      </c>
      <c r="C305" s="298" t="s">
        <v>49</v>
      </c>
      <c r="D305" s="1" t="s">
        <v>94</v>
      </c>
      <c r="E305" s="1">
        <v>1249</v>
      </c>
      <c r="F305" s="1">
        <v>1123</v>
      </c>
      <c r="G305" s="80">
        <f t="shared" ref="G305:H305" si="254">IFERROR((E305-E298)/E298,0%)</f>
        <v>7.1183533447684397E-2</v>
      </c>
      <c r="H305" s="80">
        <f t="shared" si="254"/>
        <v>7.9807692307692302E-2</v>
      </c>
      <c r="I305" s="1"/>
      <c r="J305" s="1"/>
      <c r="K305" s="1"/>
      <c r="L305" s="1"/>
      <c r="M305" s="18">
        <v>0.75</v>
      </c>
      <c r="N305" s="18">
        <v>0.1</v>
      </c>
      <c r="O305" s="18">
        <v>0.9</v>
      </c>
      <c r="P305" s="18">
        <v>0.67</v>
      </c>
      <c r="Q305" s="157"/>
      <c r="R305" s="301">
        <v>320</v>
      </c>
      <c r="S305" s="158">
        <v>2.7777777777777776E-2</v>
      </c>
      <c r="T305" s="1">
        <v>20</v>
      </c>
      <c r="U305" s="280" t="str">
        <f t="shared" si="208"/>
        <v>Normal</v>
      </c>
      <c r="V305" s="280" t="str">
        <f t="shared" si="209"/>
        <v>Normal</v>
      </c>
      <c r="W305" s="361">
        <f t="shared" si="210"/>
        <v>7.1183533447684397E-2</v>
      </c>
      <c r="X305" s="361">
        <f t="shared" si="211"/>
        <v>7.9807692307692302E-2</v>
      </c>
    </row>
    <row r="306" spans="1:42">
      <c r="A306" s="405">
        <v>45321</v>
      </c>
      <c r="B306" s="406">
        <f>IF(YEAR(Table7[[#This Row],[Date]]) = 2023, WEEKNUM(Table7[[#This Row],[Date]])-13, WEEKNUM(Table7[[#This Row],[Date]])+40)</f>
        <v>45</v>
      </c>
      <c r="C306" s="298" t="s">
        <v>50</v>
      </c>
      <c r="D306" s="1" t="s">
        <v>94</v>
      </c>
      <c r="E306" s="1">
        <v>1159</v>
      </c>
      <c r="F306" s="1">
        <v>1059</v>
      </c>
      <c r="G306" s="80">
        <f t="shared" ref="G306:H306" si="255">IFERROR((E306-E299)/E299,0%)</f>
        <v>0.11764705882352941</v>
      </c>
      <c r="H306" s="80">
        <f t="shared" si="255"/>
        <v>0.30418719211822659</v>
      </c>
      <c r="I306" s="1"/>
      <c r="J306" s="1"/>
      <c r="K306" s="1"/>
      <c r="L306" s="1"/>
      <c r="M306" s="18">
        <v>0.71</v>
      </c>
      <c r="N306" s="18">
        <v>0.09</v>
      </c>
      <c r="O306" s="18">
        <v>0.91</v>
      </c>
      <c r="P306" s="18">
        <v>0.69</v>
      </c>
      <c r="Q306" s="157"/>
      <c r="R306" s="301">
        <v>300</v>
      </c>
      <c r="S306" s="158">
        <v>2.8472222222222222E-2</v>
      </c>
      <c r="T306" s="1">
        <v>17</v>
      </c>
      <c r="U306" s="280" t="str">
        <f t="shared" si="208"/>
        <v>Normal</v>
      </c>
      <c r="V306" s="280" t="str">
        <f t="shared" si="209"/>
        <v>Normal</v>
      </c>
      <c r="W306" s="361">
        <f t="shared" si="210"/>
        <v>0.11764705882352941</v>
      </c>
      <c r="X306" s="361">
        <f t="shared" si="211"/>
        <v>0.30418719211822659</v>
      </c>
    </row>
    <row r="307" spans="1:42">
      <c r="A307" s="405">
        <v>45322</v>
      </c>
      <c r="B307" s="406">
        <f>IF(YEAR(Table7[[#This Row],[Date]]) = 2023, WEEKNUM(Table7[[#This Row],[Date]])-13, WEEKNUM(Table7[[#This Row],[Date]])+40)</f>
        <v>45</v>
      </c>
      <c r="C307" s="298" t="s">
        <v>51</v>
      </c>
      <c r="D307" s="1" t="s">
        <v>94</v>
      </c>
      <c r="E307" s="1">
        <v>1097</v>
      </c>
      <c r="F307" s="1">
        <v>956</v>
      </c>
      <c r="G307" s="80">
        <f t="shared" ref="G307:H307" si="256">IFERROR((E307-E300)/E300,0%)</f>
        <v>7.5490196078431368E-2</v>
      </c>
      <c r="H307" s="80">
        <f t="shared" si="256"/>
        <v>-9.3264248704663204E-3</v>
      </c>
      <c r="I307" s="1"/>
      <c r="J307" s="1"/>
      <c r="K307" s="1"/>
      <c r="L307" s="1"/>
      <c r="M307" s="18">
        <v>0.69</v>
      </c>
      <c r="N307" s="18">
        <v>0.13</v>
      </c>
      <c r="O307" s="18">
        <v>0.87</v>
      </c>
      <c r="P307" s="18">
        <v>0.73</v>
      </c>
      <c r="Q307" s="157"/>
      <c r="R307" s="301">
        <v>310</v>
      </c>
      <c r="S307" s="158">
        <v>4.1666666666666664E-2</v>
      </c>
      <c r="T307" s="1">
        <v>15</v>
      </c>
      <c r="U307" s="280" t="str">
        <f t="shared" si="208"/>
        <v>Normal</v>
      </c>
      <c r="V307" s="280" t="str">
        <f t="shared" si="209"/>
        <v>Normal</v>
      </c>
      <c r="W307" s="361">
        <f t="shared" si="210"/>
        <v>7.5490196078431368E-2</v>
      </c>
      <c r="X307" s="361">
        <f t="shared" si="211"/>
        <v>-9.3264248704663204E-3</v>
      </c>
    </row>
    <row r="308" spans="1:42">
      <c r="A308" s="405">
        <v>45323</v>
      </c>
      <c r="B308" s="406">
        <f>IF(YEAR(Table7[[#This Row],[Date]]) = 2023, WEEKNUM(Table7[[#This Row],[Date]])-13, WEEKNUM(Table7[[#This Row],[Date]])+40)</f>
        <v>45</v>
      </c>
      <c r="C308" s="298" t="s">
        <v>52</v>
      </c>
      <c r="D308" s="1" t="s">
        <v>94</v>
      </c>
      <c r="E308" s="1">
        <v>996</v>
      </c>
      <c r="F308" s="1">
        <v>916</v>
      </c>
      <c r="G308" s="80">
        <f t="shared" ref="G308:H308" si="257">IFERROR((E308-E301)/E301,0%)</f>
        <v>-6.9158878504672894E-2</v>
      </c>
      <c r="H308" s="80">
        <f t="shared" si="257"/>
        <v>0.17737789203084833</v>
      </c>
      <c r="I308" s="1"/>
      <c r="J308" s="1"/>
      <c r="K308" s="1"/>
      <c r="L308" s="1"/>
      <c r="M308" s="18">
        <v>0.82</v>
      </c>
      <c r="N308" s="18">
        <v>0.08</v>
      </c>
      <c r="O308" s="18">
        <v>0.92</v>
      </c>
      <c r="P308" s="18">
        <v>0.59</v>
      </c>
      <c r="Q308" s="157"/>
      <c r="R308" s="301">
        <v>311</v>
      </c>
      <c r="S308" s="158">
        <v>2.0833333333333332E-2</v>
      </c>
      <c r="T308" s="1">
        <v>18</v>
      </c>
      <c r="U308" s="280" t="str">
        <f t="shared" si="208"/>
        <v>Normal</v>
      </c>
      <c r="V308" s="280" t="str">
        <f t="shared" si="209"/>
        <v>Normal</v>
      </c>
      <c r="W308" s="361">
        <f t="shared" si="210"/>
        <v>-6.9158878504672894E-2</v>
      </c>
      <c r="X308" s="361">
        <f t="shared" si="211"/>
        <v>0.17737789203084833</v>
      </c>
    </row>
    <row r="309" spans="1:42">
      <c r="A309" s="405">
        <v>45324</v>
      </c>
      <c r="B309" s="406">
        <f>IF(YEAR(Table7[[#This Row],[Date]]) = 2023, WEEKNUM(Table7[[#This Row],[Date]])-13, WEEKNUM(Table7[[#This Row],[Date]])+40)</f>
        <v>45</v>
      </c>
      <c r="C309" s="298" t="s">
        <v>53</v>
      </c>
      <c r="D309" s="1" t="s">
        <v>94</v>
      </c>
      <c r="E309" s="1">
        <v>936</v>
      </c>
      <c r="F309" s="1">
        <v>866</v>
      </c>
      <c r="G309" s="80">
        <f t="shared" ref="G309:H309" si="258">IFERROR((E309-E302)/E302,0%)</f>
        <v>-0.13573407202216067</v>
      </c>
      <c r="H309" s="80">
        <f t="shared" si="258"/>
        <v>-0.10072689511941849</v>
      </c>
      <c r="I309" s="1"/>
      <c r="J309" s="1"/>
      <c r="K309" s="1"/>
      <c r="L309" s="1"/>
      <c r="M309" s="18">
        <v>0.75</v>
      </c>
      <c r="N309" s="18">
        <v>7.0000000000000007E-2</v>
      </c>
      <c r="O309" s="18">
        <v>0.93</v>
      </c>
      <c r="P309" s="18">
        <v>0.7</v>
      </c>
      <c r="Q309" s="157"/>
      <c r="R309" s="301">
        <v>285</v>
      </c>
      <c r="S309" s="158">
        <v>2.2222222222222223E-2</v>
      </c>
      <c r="T309" s="1">
        <v>13</v>
      </c>
      <c r="U309" s="280" t="str">
        <f t="shared" si="208"/>
        <v>Normal</v>
      </c>
      <c r="V309" s="280" t="str">
        <f t="shared" si="209"/>
        <v>Normal</v>
      </c>
      <c r="W309" s="361">
        <f t="shared" si="210"/>
        <v>-0.13573407202216067</v>
      </c>
      <c r="X309" s="361">
        <f t="shared" si="211"/>
        <v>-0.10072689511941849</v>
      </c>
    </row>
    <row r="310" spans="1:42">
      <c r="A310" s="405">
        <v>45325</v>
      </c>
      <c r="B310" s="406">
        <f>IF(YEAR(Table7[[#This Row],[Date]]) = 2023, WEEKNUM(Table7[[#This Row],[Date]])-13, WEEKNUM(Table7[[#This Row],[Date]])+40)</f>
        <v>45</v>
      </c>
      <c r="C310" s="298" t="s">
        <v>54</v>
      </c>
      <c r="D310" s="1" t="s">
        <v>94</v>
      </c>
      <c r="E310" s="1">
        <v>757</v>
      </c>
      <c r="F310" s="1">
        <v>710</v>
      </c>
      <c r="G310" s="80">
        <f t="shared" ref="G310:H310" si="259">IFERROR((E310-E303)/E303,0%)</f>
        <v>-0.26001955034213098</v>
      </c>
      <c r="H310" s="80">
        <f t="shared" si="259"/>
        <v>0.13600000000000001</v>
      </c>
      <c r="I310" s="1"/>
      <c r="J310" s="1"/>
      <c r="K310" s="1"/>
      <c r="L310" s="1"/>
      <c r="M310" s="18">
        <v>0.79</v>
      </c>
      <c r="N310" s="18">
        <v>0.06</v>
      </c>
      <c r="O310" s="18">
        <v>0.94</v>
      </c>
      <c r="P310" s="18">
        <v>0.63</v>
      </c>
      <c r="Q310" s="157"/>
      <c r="R310" s="301">
        <v>310</v>
      </c>
      <c r="S310" s="158">
        <v>2.361111111111111E-2</v>
      </c>
      <c r="T310" s="1">
        <v>13</v>
      </c>
      <c r="U310" s="280" t="str">
        <f t="shared" si="208"/>
        <v>Normal</v>
      </c>
      <c r="V310" s="280" t="str">
        <f t="shared" si="209"/>
        <v>Normal</v>
      </c>
      <c r="W310" s="361">
        <f t="shared" si="210"/>
        <v>-0.26001955034213098</v>
      </c>
      <c r="X310" s="361">
        <f t="shared" si="211"/>
        <v>0.13600000000000001</v>
      </c>
    </row>
    <row r="311" spans="1:42">
      <c r="A311" s="405">
        <v>45326</v>
      </c>
      <c r="B311" s="406">
        <f>IF(YEAR(Table7[[#This Row],[Date]]) = 2023, WEEKNUM(Table7[[#This Row],[Date]])-13, WEEKNUM(Table7[[#This Row],[Date]])+40)</f>
        <v>46</v>
      </c>
      <c r="C311" s="298" t="s">
        <v>48</v>
      </c>
      <c r="D311" s="1" t="s">
        <v>94</v>
      </c>
      <c r="E311" s="1">
        <v>0</v>
      </c>
      <c r="F311" s="1">
        <v>0</v>
      </c>
      <c r="G311" s="80">
        <f t="shared" ref="G311:H311" si="260">IFERROR((E311-E304)/E304,0%)</f>
        <v>0</v>
      </c>
      <c r="H311" s="80">
        <f t="shared" si="260"/>
        <v>0</v>
      </c>
      <c r="I311" s="1">
        <v>0</v>
      </c>
      <c r="J311" s="1">
        <v>0</v>
      </c>
      <c r="K311" s="1">
        <v>0</v>
      </c>
      <c r="L311" s="1">
        <v>0</v>
      </c>
      <c r="M311" s="18">
        <v>0</v>
      </c>
      <c r="N311" s="18">
        <v>0</v>
      </c>
      <c r="O311" s="18">
        <v>0</v>
      </c>
      <c r="P311" s="18">
        <v>0</v>
      </c>
      <c r="Q311" s="157"/>
      <c r="R311" s="301">
        <v>0</v>
      </c>
      <c r="S311" s="158">
        <v>0</v>
      </c>
      <c r="T311" s="1">
        <v>0</v>
      </c>
      <c r="U311" s="280" t="str">
        <f t="shared" si="208"/>
        <v>Normal</v>
      </c>
      <c r="V311" s="280" t="str">
        <f t="shared" si="209"/>
        <v>Normal</v>
      </c>
      <c r="W311" s="361">
        <f t="shared" si="210"/>
        <v>0</v>
      </c>
      <c r="X311" s="361">
        <f t="shared" si="211"/>
        <v>0</v>
      </c>
    </row>
    <row r="312" spans="1:42">
      <c r="A312" s="405">
        <v>45327</v>
      </c>
      <c r="B312" s="406">
        <f>IF(YEAR(Table7[[#This Row],[Date]]) = 2023, WEEKNUM(Table7[[#This Row],[Date]])-13, WEEKNUM(Table7[[#This Row],[Date]])+40)</f>
        <v>46</v>
      </c>
      <c r="C312" s="298" t="s">
        <v>49</v>
      </c>
      <c r="D312" s="1" t="s">
        <v>94</v>
      </c>
      <c r="E312" s="1">
        <v>1038</v>
      </c>
      <c r="F312" s="1">
        <v>931</v>
      </c>
      <c r="G312" s="80">
        <f t="shared" ref="G312:H312" si="261">IFERROR((E312-E305)/E305,0%)</f>
        <v>-0.1689351481184948</v>
      </c>
      <c r="H312" s="80">
        <f t="shared" si="261"/>
        <v>-0.1709706144256456</v>
      </c>
      <c r="I312" s="1"/>
      <c r="J312" s="1"/>
      <c r="K312" s="1"/>
      <c r="L312" s="1"/>
      <c r="M312" s="18">
        <v>0.79</v>
      </c>
      <c r="N312" s="18">
        <v>0.1</v>
      </c>
      <c r="O312" s="18">
        <v>0.9</v>
      </c>
      <c r="P312" s="18">
        <v>0.61</v>
      </c>
      <c r="Q312" s="157"/>
      <c r="R312" s="301">
        <v>300</v>
      </c>
      <c r="S312" s="158">
        <v>4.4444444444444446E-2</v>
      </c>
      <c r="T312" s="1">
        <v>17</v>
      </c>
      <c r="U312" s="280" t="str">
        <f t="shared" si="208"/>
        <v>Normal</v>
      </c>
      <c r="V312" s="280" t="str">
        <f t="shared" si="209"/>
        <v>Normal</v>
      </c>
      <c r="W312" s="361">
        <f t="shared" si="210"/>
        <v>-0.1689351481184948</v>
      </c>
      <c r="X312" s="361">
        <f t="shared" si="211"/>
        <v>-0.1709706144256456</v>
      </c>
    </row>
    <row r="313" spans="1:42">
      <c r="A313" s="405">
        <v>45328</v>
      </c>
      <c r="B313" s="406">
        <f>IF(YEAR(Table7[[#This Row],[Date]]) = 2023, WEEKNUM(Table7[[#This Row],[Date]])-13, WEEKNUM(Table7[[#This Row],[Date]])+40)</f>
        <v>46</v>
      </c>
      <c r="C313" s="298" t="s">
        <v>50</v>
      </c>
      <c r="D313" s="1" t="s">
        <v>94</v>
      </c>
      <c r="E313" s="1">
        <v>952</v>
      </c>
      <c r="F313" s="1">
        <v>883</v>
      </c>
      <c r="G313" s="80">
        <f t="shared" ref="G313:H313" si="262">IFERROR((E313-E306)/E306,0%)</f>
        <v>-0.17860224331320104</v>
      </c>
      <c r="H313" s="80">
        <f t="shared" si="262"/>
        <v>-0.16619452313503305</v>
      </c>
      <c r="I313" s="1"/>
      <c r="J313" s="1"/>
      <c r="K313" s="1"/>
      <c r="L313" s="1"/>
      <c r="M313" s="18">
        <v>0.73</v>
      </c>
      <c r="N313" s="18">
        <v>7.0000000000000007E-2</v>
      </c>
      <c r="O313" s="18">
        <v>0.93</v>
      </c>
      <c r="P313" s="18">
        <v>0.62</v>
      </c>
      <c r="Q313" s="157"/>
      <c r="R313" s="301">
        <v>340</v>
      </c>
      <c r="S313" s="158">
        <v>2.9861111111111113E-2</v>
      </c>
      <c r="T313" s="1">
        <v>18</v>
      </c>
      <c r="U313" s="280" t="str">
        <f t="shared" si="208"/>
        <v>Normal</v>
      </c>
      <c r="V313" s="280" t="str">
        <f t="shared" si="209"/>
        <v>Normal</v>
      </c>
      <c r="W313" s="361">
        <f t="shared" si="210"/>
        <v>-0.17860224331320104</v>
      </c>
      <c r="X313" s="361">
        <f t="shared" si="211"/>
        <v>-0.16619452313503305</v>
      </c>
    </row>
    <row r="314" spans="1:42">
      <c r="A314" s="405">
        <v>45329</v>
      </c>
      <c r="B314" s="406">
        <f>IF(YEAR(Table7[[#This Row],[Date]]) = 2023, WEEKNUM(Table7[[#This Row],[Date]])-13, WEEKNUM(Table7[[#This Row],[Date]])+40)</f>
        <v>46</v>
      </c>
      <c r="C314" s="298" t="s">
        <v>51</v>
      </c>
      <c r="D314" s="1" t="s">
        <v>94</v>
      </c>
      <c r="E314" s="1">
        <v>936</v>
      </c>
      <c r="F314" s="1">
        <v>864</v>
      </c>
      <c r="G314" s="80">
        <f t="shared" ref="G314:H314" si="263">IFERROR((E314-E307)/E307,0%)</f>
        <v>-0.14676390154968094</v>
      </c>
      <c r="H314" s="80">
        <f t="shared" si="263"/>
        <v>-9.6234309623430964E-2</v>
      </c>
      <c r="I314" s="1"/>
      <c r="J314" s="1"/>
      <c r="K314" s="1"/>
      <c r="L314" s="1"/>
      <c r="M314" s="18">
        <v>0.82</v>
      </c>
      <c r="N314" s="18">
        <v>0.08</v>
      </c>
      <c r="O314" s="18">
        <v>0.92</v>
      </c>
      <c r="P314" s="18">
        <v>0.62</v>
      </c>
      <c r="Q314" s="157"/>
      <c r="R314" s="301">
        <v>310</v>
      </c>
      <c r="S314" s="158">
        <v>2.1527777777777781E-2</v>
      </c>
      <c r="T314" s="1">
        <v>16</v>
      </c>
      <c r="U314" s="280" t="str">
        <f t="shared" si="208"/>
        <v>Normal</v>
      </c>
      <c r="V314" s="280" t="str">
        <f t="shared" si="209"/>
        <v>Normal</v>
      </c>
      <c r="W314" s="361">
        <f t="shared" si="210"/>
        <v>-0.14676390154968094</v>
      </c>
      <c r="X314" s="361">
        <f t="shared" si="211"/>
        <v>-9.6234309623430964E-2</v>
      </c>
      <c r="AO314" s="430" t="s">
        <v>83</v>
      </c>
      <c r="AP314" s="430"/>
    </row>
    <row r="315" spans="1:42">
      <c r="A315" s="405">
        <v>45330</v>
      </c>
      <c r="B315" s="406">
        <f>IF(YEAR(Table7[[#This Row],[Date]]) = 2023, WEEKNUM(Table7[[#This Row],[Date]])-13, WEEKNUM(Table7[[#This Row],[Date]])+40)</f>
        <v>46</v>
      </c>
      <c r="C315" s="298" t="s">
        <v>52</v>
      </c>
      <c r="D315" s="1" t="s">
        <v>94</v>
      </c>
      <c r="E315" s="1">
        <v>923</v>
      </c>
      <c r="F315" s="1">
        <v>821</v>
      </c>
      <c r="G315" s="80">
        <f t="shared" ref="G315:H315" si="264">IFERROR((E315-E308)/E308,0%)</f>
        <v>-7.3293172690763048E-2</v>
      </c>
      <c r="H315" s="80">
        <f t="shared" si="264"/>
        <v>-0.10371179039301311</v>
      </c>
      <c r="I315" s="1"/>
      <c r="J315" s="1"/>
      <c r="K315" s="1"/>
      <c r="L315" s="1"/>
      <c r="M315" s="18">
        <v>0.72</v>
      </c>
      <c r="N315" s="18">
        <v>0.11</v>
      </c>
      <c r="O315" s="18">
        <v>0.89</v>
      </c>
      <c r="P315" s="18">
        <v>0.67</v>
      </c>
      <c r="Q315" s="157"/>
      <c r="R315" s="301">
        <v>330</v>
      </c>
      <c r="S315" s="158">
        <v>4.8611111111111112E-2</v>
      </c>
      <c r="T315" s="1">
        <v>15</v>
      </c>
      <c r="U315" s="280" t="str">
        <f t="shared" si="208"/>
        <v>Normal</v>
      </c>
      <c r="V315" s="280" t="str">
        <f t="shared" si="209"/>
        <v>Normal</v>
      </c>
      <c r="W315" s="361">
        <f t="shared" si="210"/>
        <v>-7.3293172690763048E-2</v>
      </c>
      <c r="X315" s="361">
        <f t="shared" si="211"/>
        <v>-0.10371179039301311</v>
      </c>
      <c r="AO315" t="s">
        <v>84</v>
      </c>
      <c r="AP315" t="s">
        <v>85</v>
      </c>
    </row>
    <row r="316" spans="1:42">
      <c r="A316" s="405">
        <v>45331</v>
      </c>
      <c r="B316" s="406">
        <f>IF(YEAR(Table7[[#This Row],[Date]]) = 2023, WEEKNUM(Table7[[#This Row],[Date]])-13, WEEKNUM(Table7[[#This Row],[Date]])+40)</f>
        <v>46</v>
      </c>
      <c r="C316" s="298" t="s">
        <v>53</v>
      </c>
      <c r="D316" s="1" t="s">
        <v>94</v>
      </c>
      <c r="E316" s="1">
        <v>882</v>
      </c>
      <c r="F316" s="1">
        <v>858</v>
      </c>
      <c r="G316" s="80">
        <f t="shared" ref="G316:H316" si="265">IFERROR((E316-E309)/E309,0%)</f>
        <v>-5.7692307692307696E-2</v>
      </c>
      <c r="H316" s="80">
        <f t="shared" si="265"/>
        <v>-9.2378752886836026E-3</v>
      </c>
      <c r="I316" s="1"/>
      <c r="J316" s="1"/>
      <c r="K316" s="1"/>
      <c r="L316" s="1"/>
      <c r="M316" s="18">
        <v>0.92</v>
      </c>
      <c r="N316" s="18">
        <v>0.03</v>
      </c>
      <c r="O316" s="18">
        <v>0.97</v>
      </c>
      <c r="P316" s="18">
        <v>0.62</v>
      </c>
      <c r="Q316" s="157"/>
      <c r="R316" s="301">
        <v>310</v>
      </c>
      <c r="S316" s="158">
        <v>1.3888888888888888E-2</v>
      </c>
      <c r="T316" s="1">
        <v>16</v>
      </c>
      <c r="U316" s="280" t="str">
        <f t="shared" si="208"/>
        <v>Normal</v>
      </c>
      <c r="V316" s="280" t="str">
        <f t="shared" si="209"/>
        <v>Normal</v>
      </c>
      <c r="W316" s="361">
        <f t="shared" si="210"/>
        <v>-5.7692307692307696E-2</v>
      </c>
      <c r="X316" s="361">
        <f t="shared" si="211"/>
        <v>-9.2378752886836026E-3</v>
      </c>
      <c r="AO316" t="s">
        <v>86</v>
      </c>
      <c r="AP316" s="147">
        <v>0</v>
      </c>
    </row>
    <row r="317" spans="1:42">
      <c r="A317" s="405">
        <v>45332</v>
      </c>
      <c r="B317" s="406">
        <f>IF(YEAR(Table7[[#This Row],[Date]]) = 2023, WEEKNUM(Table7[[#This Row],[Date]])-13, WEEKNUM(Table7[[#This Row],[Date]])+40)</f>
        <v>46</v>
      </c>
      <c r="C317" s="298" t="s">
        <v>54</v>
      </c>
      <c r="D317" s="1" t="s">
        <v>94</v>
      </c>
      <c r="E317" s="1">
        <v>757</v>
      </c>
      <c r="F317" s="1">
        <v>680</v>
      </c>
      <c r="G317" s="80">
        <f t="shared" ref="G317:H317" si="266">IFERROR((E317-E310)/E310,0%)</f>
        <v>0</v>
      </c>
      <c r="H317" s="80">
        <f t="shared" si="266"/>
        <v>-4.2253521126760563E-2</v>
      </c>
      <c r="I317" s="1"/>
      <c r="J317" s="1"/>
      <c r="K317" s="1"/>
      <c r="L317" s="1"/>
      <c r="M317" s="18">
        <v>0.78</v>
      </c>
      <c r="N317" s="18">
        <v>0.1</v>
      </c>
      <c r="O317" s="18">
        <v>0.9</v>
      </c>
      <c r="P317" s="18">
        <v>0.71</v>
      </c>
      <c r="Q317" s="157"/>
      <c r="R317" s="301">
        <v>310</v>
      </c>
      <c r="S317" s="158">
        <v>2.7777777777777776E-2</v>
      </c>
      <c r="T317" s="1">
        <v>11</v>
      </c>
      <c r="U317" s="280" t="str">
        <f t="shared" si="208"/>
        <v>Normal</v>
      </c>
      <c r="V317" s="280" t="str">
        <f t="shared" si="209"/>
        <v>Normal</v>
      </c>
      <c r="W317" s="361">
        <f t="shared" si="210"/>
        <v>0</v>
      </c>
      <c r="X317" s="361">
        <f t="shared" si="211"/>
        <v>-4.2253521126760563E-2</v>
      </c>
      <c r="AO317" t="s">
        <v>87</v>
      </c>
      <c r="AP317" s="147">
        <v>0.10416666666666667</v>
      </c>
    </row>
    <row r="318" spans="1:42">
      <c r="A318" s="405">
        <v>45333</v>
      </c>
      <c r="B318" s="406">
        <f>IF(YEAR(Table7[[#This Row],[Date]]) = 2023, WEEKNUM(Table7[[#This Row],[Date]])-13, WEEKNUM(Table7[[#This Row],[Date]])+40)</f>
        <v>47</v>
      </c>
      <c r="C318" s="298" t="s">
        <v>48</v>
      </c>
      <c r="D318" s="1" t="s">
        <v>94</v>
      </c>
      <c r="E318" s="1">
        <v>0</v>
      </c>
      <c r="F318" s="1">
        <v>0</v>
      </c>
      <c r="G318" s="80">
        <f t="shared" ref="G318:H318" si="267">IFERROR((E318-E311)/E311,0%)</f>
        <v>0</v>
      </c>
      <c r="H318" s="80">
        <f t="shared" si="267"/>
        <v>0</v>
      </c>
      <c r="I318" s="1"/>
      <c r="J318" s="1"/>
      <c r="K318" s="1"/>
      <c r="L318" s="1"/>
      <c r="M318" s="18">
        <v>0</v>
      </c>
      <c r="N318" s="18">
        <v>0</v>
      </c>
      <c r="O318" s="18">
        <v>0</v>
      </c>
      <c r="P318" s="18">
        <v>0</v>
      </c>
      <c r="Q318" s="157"/>
      <c r="R318" s="301">
        <v>0</v>
      </c>
      <c r="S318" s="158">
        <v>0</v>
      </c>
      <c r="T318" s="1">
        <v>0</v>
      </c>
      <c r="U318" s="280" t="str">
        <f t="shared" si="208"/>
        <v>Normal</v>
      </c>
      <c r="V318" s="280" t="str">
        <f t="shared" si="209"/>
        <v>Normal</v>
      </c>
      <c r="W318" s="361">
        <f t="shared" si="210"/>
        <v>0</v>
      </c>
      <c r="X318" s="361">
        <f t="shared" si="211"/>
        <v>0</v>
      </c>
      <c r="AO318" t="s">
        <v>88</v>
      </c>
      <c r="AP318" s="147">
        <v>0.10416666666666667</v>
      </c>
    </row>
    <row r="319" spans="1:42">
      <c r="A319" s="405">
        <v>45334</v>
      </c>
      <c r="B319" s="406">
        <f>IF(YEAR(Table7[[#This Row],[Date]]) = 2023, WEEKNUM(Table7[[#This Row],[Date]])-13, WEEKNUM(Table7[[#This Row],[Date]])+40)</f>
        <v>47</v>
      </c>
      <c r="C319" s="298" t="s">
        <v>49</v>
      </c>
      <c r="D319" s="1" t="s">
        <v>94</v>
      </c>
      <c r="E319" s="1">
        <v>945</v>
      </c>
      <c r="F319" s="1">
        <v>857</v>
      </c>
      <c r="G319" s="80">
        <f t="shared" ref="G319:H319" si="268">IFERROR((E319-E312)/E312,0%)</f>
        <v>-8.9595375722543349E-2</v>
      </c>
      <c r="H319" s="80">
        <f t="shared" si="268"/>
        <v>-7.9484425349087007E-2</v>
      </c>
      <c r="I319" s="1"/>
      <c r="J319" s="1"/>
      <c r="K319" s="1"/>
      <c r="L319" s="1"/>
      <c r="M319" s="18">
        <v>0.79</v>
      </c>
      <c r="N319" s="18">
        <v>0.09</v>
      </c>
      <c r="O319" s="18">
        <v>0.91</v>
      </c>
      <c r="P319" s="18">
        <v>0.72</v>
      </c>
      <c r="Q319" s="157"/>
      <c r="R319" s="301">
        <v>361</v>
      </c>
      <c r="S319" s="158">
        <v>2.1527777777777781E-2</v>
      </c>
      <c r="T319" s="1">
        <v>16</v>
      </c>
      <c r="U319" s="280" t="str">
        <f t="shared" si="208"/>
        <v>Normal</v>
      </c>
      <c r="V319" s="280" t="str">
        <f t="shared" si="209"/>
        <v>Normal</v>
      </c>
      <c r="W319" s="361">
        <f t="shared" si="210"/>
        <v>-8.9595375722543349E-2</v>
      </c>
      <c r="X319" s="361">
        <f t="shared" si="211"/>
        <v>-7.9484425349087007E-2</v>
      </c>
      <c r="AO319" t="s">
        <v>89</v>
      </c>
      <c r="AP319" s="147">
        <v>0.20833333333333334</v>
      </c>
    </row>
    <row r="320" spans="1:42">
      <c r="A320" s="405">
        <v>45335</v>
      </c>
      <c r="B320" s="406">
        <f>IF(YEAR(Table7[[#This Row],[Date]]) = 2023, WEEKNUM(Table7[[#This Row],[Date]])-13, WEEKNUM(Table7[[#This Row],[Date]])+40)</f>
        <v>47</v>
      </c>
      <c r="C320" s="298" t="s">
        <v>50</v>
      </c>
      <c r="D320" s="1" t="s">
        <v>94</v>
      </c>
      <c r="E320" s="1">
        <v>978</v>
      </c>
      <c r="F320" s="1">
        <v>948</v>
      </c>
      <c r="G320" s="80">
        <f t="shared" ref="G320:H320" si="269">IFERROR((E320-E313)/E313,0%)</f>
        <v>2.7310924369747899E-2</v>
      </c>
      <c r="H320" s="80">
        <f t="shared" si="269"/>
        <v>7.3612684031710077E-2</v>
      </c>
      <c r="I320" s="1"/>
      <c r="J320" s="1"/>
      <c r="K320" s="1"/>
      <c r="L320" s="1"/>
      <c r="M320" s="18">
        <v>0.94</v>
      </c>
      <c r="N320" s="18">
        <v>0.03</v>
      </c>
      <c r="O320" s="18">
        <v>0.97</v>
      </c>
      <c r="P320" s="18">
        <v>0.49</v>
      </c>
      <c r="Q320" s="157"/>
      <c r="R320" s="301">
        <v>263</v>
      </c>
      <c r="S320" s="158">
        <v>7.6388888888888886E-3</v>
      </c>
      <c r="T320" s="1">
        <v>19</v>
      </c>
      <c r="U320" s="280" t="str">
        <f t="shared" si="208"/>
        <v>Normal</v>
      </c>
      <c r="V320" s="280" t="str">
        <f t="shared" si="209"/>
        <v>Normal</v>
      </c>
      <c r="W320" s="361">
        <f t="shared" si="210"/>
        <v>2.7310924369747899E-2</v>
      </c>
      <c r="X320" s="361">
        <f t="shared" si="211"/>
        <v>7.3612684031710077E-2</v>
      </c>
      <c r="AO320" t="s">
        <v>85</v>
      </c>
      <c r="AP320" s="147" t="e">
        <v>#N/A</v>
      </c>
    </row>
    <row r="321" spans="1:24">
      <c r="A321" s="405">
        <v>45336</v>
      </c>
      <c r="B321" s="406">
        <f>IF(YEAR(Table7[[#This Row],[Date]]) = 2023, WEEKNUM(Table7[[#This Row],[Date]])-13, WEEKNUM(Table7[[#This Row],[Date]])+40)</f>
        <v>47</v>
      </c>
      <c r="C321" s="298" t="s">
        <v>64</v>
      </c>
      <c r="D321" s="1" t="s">
        <v>94</v>
      </c>
      <c r="E321" s="1">
        <v>0</v>
      </c>
      <c r="F321" s="1">
        <v>0</v>
      </c>
      <c r="G321" s="80">
        <v>0</v>
      </c>
      <c r="H321" s="80">
        <v>0</v>
      </c>
      <c r="I321" s="1">
        <v>0</v>
      </c>
      <c r="J321" s="1">
        <v>0</v>
      </c>
      <c r="K321" s="1">
        <v>0</v>
      </c>
      <c r="L321" s="1">
        <v>0</v>
      </c>
      <c r="M321" s="18">
        <v>0</v>
      </c>
      <c r="N321" s="18">
        <v>0</v>
      </c>
      <c r="O321" s="18">
        <v>0</v>
      </c>
      <c r="P321" s="18">
        <v>0</v>
      </c>
      <c r="Q321" s="157"/>
      <c r="R321" s="301">
        <v>0</v>
      </c>
      <c r="S321" s="158">
        <v>0</v>
      </c>
      <c r="T321" s="1">
        <v>0</v>
      </c>
      <c r="U321" s="280" t="str">
        <f t="shared" si="208"/>
        <v>Normal</v>
      </c>
      <c r="V321" s="280" t="str">
        <f t="shared" si="209"/>
        <v>Normal</v>
      </c>
      <c r="W321" s="361">
        <f t="shared" si="210"/>
        <v>0</v>
      </c>
      <c r="X321" s="361">
        <f t="shared" si="211"/>
        <v>0</v>
      </c>
    </row>
    <row r="322" spans="1:24">
      <c r="A322" s="405">
        <v>45337</v>
      </c>
      <c r="B322" s="406">
        <f>IF(YEAR(Table7[[#This Row],[Date]]) = 2023, WEEKNUM(Table7[[#This Row],[Date]])-13, WEEKNUM(Table7[[#This Row],[Date]])+40)</f>
        <v>47</v>
      </c>
      <c r="C322" s="298" t="s">
        <v>52</v>
      </c>
      <c r="D322" s="1" t="s">
        <v>94</v>
      </c>
      <c r="E322" s="1">
        <v>1032</v>
      </c>
      <c r="F322" s="1">
        <v>1005</v>
      </c>
      <c r="G322" s="80">
        <f t="shared" ref="G322:H322" si="270">IFERROR((E322-E315)/E315,0%)</f>
        <v>0.1180931744312026</v>
      </c>
      <c r="H322" s="80">
        <f t="shared" si="270"/>
        <v>0.22411693057247259</v>
      </c>
      <c r="I322" s="1"/>
      <c r="J322" s="1"/>
      <c r="K322" s="1"/>
      <c r="L322" s="1"/>
      <c r="M322" s="18">
        <v>0.91</v>
      </c>
      <c r="N322" s="18">
        <v>0.03</v>
      </c>
      <c r="O322" s="18">
        <v>0.97</v>
      </c>
      <c r="P322" s="18">
        <v>0.55000000000000004</v>
      </c>
      <c r="Q322" s="157"/>
      <c r="R322" s="301">
        <v>310</v>
      </c>
      <c r="S322" s="158">
        <v>7.6388888888888886E-3</v>
      </c>
      <c r="T322" s="1">
        <v>21</v>
      </c>
      <c r="U322" s="280" t="str">
        <f t="shared" si="208"/>
        <v>Normal</v>
      </c>
      <c r="V322" s="280" t="str">
        <f t="shared" si="209"/>
        <v>Normal</v>
      </c>
      <c r="W322" s="361">
        <f t="shared" si="210"/>
        <v>0.1180931744312026</v>
      </c>
      <c r="X322" s="361">
        <f t="shared" si="211"/>
        <v>0.22411693057247259</v>
      </c>
    </row>
    <row r="323" spans="1:24">
      <c r="A323" s="405">
        <v>45338</v>
      </c>
      <c r="B323" s="406">
        <f>IF(YEAR(Table7[[#This Row],[Date]]) = 2023, WEEKNUM(Table7[[#This Row],[Date]])-13, WEEKNUM(Table7[[#This Row],[Date]])+40)</f>
        <v>47</v>
      </c>
      <c r="C323" s="298" t="s">
        <v>53</v>
      </c>
      <c r="D323" s="1" t="s">
        <v>94</v>
      </c>
      <c r="E323" s="1">
        <v>957</v>
      </c>
      <c r="F323" s="1">
        <v>915</v>
      </c>
      <c r="G323" s="80">
        <f t="shared" ref="G323:H323" si="271">IFERROR((E323-E316)/E316,0%)</f>
        <v>8.5034013605442174E-2</v>
      </c>
      <c r="H323" s="80">
        <f t="shared" si="271"/>
        <v>6.6433566433566432E-2</v>
      </c>
      <c r="I323" s="1"/>
      <c r="J323" s="1"/>
      <c r="K323" s="1"/>
      <c r="L323" s="1"/>
      <c r="M323" s="18">
        <v>0.91</v>
      </c>
      <c r="N323" s="18">
        <v>0.04</v>
      </c>
      <c r="O323" s="18">
        <v>0.96</v>
      </c>
      <c r="P323" s="18">
        <v>0.56999999999999995</v>
      </c>
      <c r="Q323" s="157"/>
      <c r="R323" s="301">
        <v>303</v>
      </c>
      <c r="S323" s="158">
        <v>1.0416666666666666E-2</v>
      </c>
      <c r="T323" s="1">
        <v>18</v>
      </c>
      <c r="U323" s="280" t="str">
        <f t="shared" ref="U323:U367" si="272">IF(OR(J323&lt;$AA$5,J323&gt;$AB$5), "Outlier", "Normal")</f>
        <v>Normal</v>
      </c>
      <c r="V323" s="280" t="str">
        <f t="shared" ref="V323:V367" si="273">IF(OR(K323&lt;$AA$6,K323&gt;$AB$6), "Outlier", "Normal")</f>
        <v>Normal</v>
      </c>
      <c r="W323" s="361">
        <f t="shared" ref="W323:W367" si="274">IF(U323="Normal",$G323,IF($G323&lt;150%, $G323, $AA$9))</f>
        <v>8.5034013605442174E-2</v>
      </c>
      <c r="X323" s="361">
        <f t="shared" ref="X323:X367" si="275">IF(V323="Normal",$H323,IF($H323&lt;150%, $H323, $AE$9))</f>
        <v>6.6433566433566432E-2</v>
      </c>
    </row>
    <row r="324" spans="1:24">
      <c r="A324" s="405">
        <v>45339</v>
      </c>
      <c r="B324" s="406">
        <f>IF(YEAR(Table7[[#This Row],[Date]]) = 2023, WEEKNUM(Table7[[#This Row],[Date]])-13, WEEKNUM(Table7[[#This Row],[Date]])+40)</f>
        <v>47</v>
      </c>
      <c r="C324" s="298" t="s">
        <v>54</v>
      </c>
      <c r="D324" s="1" t="s">
        <v>94</v>
      </c>
      <c r="E324" s="1">
        <v>0</v>
      </c>
      <c r="F324" s="1">
        <v>0</v>
      </c>
      <c r="G324" s="80">
        <v>0</v>
      </c>
      <c r="H324" s="80">
        <v>0</v>
      </c>
      <c r="I324" s="1">
        <v>0</v>
      </c>
      <c r="J324" s="1">
        <v>0</v>
      </c>
      <c r="K324" s="1">
        <v>0</v>
      </c>
      <c r="L324" s="1">
        <v>0</v>
      </c>
      <c r="M324" s="18">
        <v>0</v>
      </c>
      <c r="N324" s="18">
        <v>0</v>
      </c>
      <c r="O324" s="18">
        <v>0</v>
      </c>
      <c r="P324" s="18">
        <v>0</v>
      </c>
      <c r="Q324" s="157"/>
      <c r="R324" s="301">
        <v>0</v>
      </c>
      <c r="S324" s="158"/>
      <c r="T324" s="1">
        <v>0</v>
      </c>
      <c r="U324" s="280" t="str">
        <f t="shared" si="272"/>
        <v>Normal</v>
      </c>
      <c r="V324" s="280" t="str">
        <f t="shared" si="273"/>
        <v>Normal</v>
      </c>
      <c r="W324" s="361">
        <f t="shared" si="274"/>
        <v>0</v>
      </c>
      <c r="X324" s="361">
        <f t="shared" si="275"/>
        <v>0</v>
      </c>
    </row>
    <row r="325" spans="1:24">
      <c r="A325" s="405">
        <v>45340</v>
      </c>
      <c r="B325" s="406">
        <f>IF(YEAR(Table7[[#This Row],[Date]]) = 2023, WEEKNUM(Table7[[#This Row],[Date]])-13, WEEKNUM(Table7[[#This Row],[Date]])+40)</f>
        <v>48</v>
      </c>
      <c r="C325" s="298" t="s">
        <v>48</v>
      </c>
      <c r="D325" s="1" t="s">
        <v>94</v>
      </c>
      <c r="E325" s="1">
        <v>0</v>
      </c>
      <c r="F325" s="1">
        <v>0</v>
      </c>
      <c r="G325" s="80">
        <f t="shared" ref="G325:H325" si="276">IFERROR((E325-E318)/E318,0%)</f>
        <v>0</v>
      </c>
      <c r="H325" s="80">
        <f t="shared" si="276"/>
        <v>0</v>
      </c>
      <c r="I325" s="1">
        <v>0</v>
      </c>
      <c r="J325" s="1">
        <v>0</v>
      </c>
      <c r="K325" s="1">
        <v>0</v>
      </c>
      <c r="L325" s="1">
        <v>0</v>
      </c>
      <c r="M325" s="18">
        <v>0</v>
      </c>
      <c r="N325" s="18">
        <v>0</v>
      </c>
      <c r="O325" s="18">
        <v>0</v>
      </c>
      <c r="P325" s="18">
        <v>0</v>
      </c>
      <c r="Q325" s="157"/>
      <c r="R325" s="301">
        <v>0</v>
      </c>
      <c r="S325" s="158">
        <v>0</v>
      </c>
      <c r="T325" s="1">
        <v>0</v>
      </c>
      <c r="U325" s="280" t="str">
        <f t="shared" si="272"/>
        <v>Normal</v>
      </c>
      <c r="V325" s="280" t="str">
        <f t="shared" si="273"/>
        <v>Normal</v>
      </c>
      <c r="W325" s="361">
        <f t="shared" si="274"/>
        <v>0</v>
      </c>
      <c r="X325" s="361">
        <f t="shared" si="275"/>
        <v>0</v>
      </c>
    </row>
    <row r="326" spans="1:24">
      <c r="A326" s="405">
        <v>45341</v>
      </c>
      <c r="B326" s="406">
        <f>IF(YEAR(Table7[[#This Row],[Date]]) = 2023, WEEKNUM(Table7[[#This Row],[Date]])-13, WEEKNUM(Table7[[#This Row],[Date]])+40)</f>
        <v>48</v>
      </c>
      <c r="C326" s="298" t="s">
        <v>49</v>
      </c>
      <c r="D326" s="1" t="s">
        <v>94</v>
      </c>
      <c r="E326" s="1">
        <v>0</v>
      </c>
      <c r="F326" s="1">
        <v>0</v>
      </c>
      <c r="G326" s="80">
        <v>0</v>
      </c>
      <c r="H326" s="80">
        <v>0</v>
      </c>
      <c r="I326" s="1">
        <v>0</v>
      </c>
      <c r="J326" s="1">
        <v>0</v>
      </c>
      <c r="K326" s="1">
        <v>0</v>
      </c>
      <c r="L326" s="1">
        <v>0</v>
      </c>
      <c r="M326" s="18">
        <v>0</v>
      </c>
      <c r="N326" s="18">
        <v>0</v>
      </c>
      <c r="O326" s="18">
        <v>0</v>
      </c>
      <c r="P326" s="18">
        <v>0</v>
      </c>
      <c r="Q326" s="157"/>
      <c r="R326" s="301">
        <v>0</v>
      </c>
      <c r="S326" s="158"/>
      <c r="T326" s="1">
        <v>0</v>
      </c>
      <c r="U326" s="280" t="str">
        <f t="shared" si="272"/>
        <v>Normal</v>
      </c>
      <c r="V326" s="280" t="str">
        <f t="shared" si="273"/>
        <v>Normal</v>
      </c>
      <c r="W326" s="361">
        <f t="shared" si="274"/>
        <v>0</v>
      </c>
      <c r="X326" s="361">
        <f t="shared" si="275"/>
        <v>0</v>
      </c>
    </row>
    <row r="327" spans="1:24">
      <c r="A327" s="405">
        <v>45342</v>
      </c>
      <c r="B327" s="406">
        <f>IF(YEAR(Table7[[#This Row],[Date]]) = 2023, WEEKNUM(Table7[[#This Row],[Date]])-13, WEEKNUM(Table7[[#This Row],[Date]])+40)</f>
        <v>48</v>
      </c>
      <c r="C327" s="298" t="s">
        <v>50</v>
      </c>
      <c r="D327" s="1" t="s">
        <v>94</v>
      </c>
      <c r="E327" s="1">
        <v>989</v>
      </c>
      <c r="F327" s="1">
        <v>927</v>
      </c>
      <c r="G327" s="80">
        <f t="shared" ref="G327:H327" si="277">IFERROR((E327-E320)/E320,0%)</f>
        <v>1.1247443762781187E-2</v>
      </c>
      <c r="H327" s="80">
        <f t="shared" si="277"/>
        <v>-2.2151898734177215E-2</v>
      </c>
      <c r="I327" s="1"/>
      <c r="J327" s="1"/>
      <c r="K327" s="1"/>
      <c r="L327" s="1"/>
      <c r="M327" s="18">
        <v>0.81</v>
      </c>
      <c r="N327" s="18">
        <v>0.06</v>
      </c>
      <c r="O327" s="18">
        <v>0.94</v>
      </c>
      <c r="P327" s="18">
        <v>0.53</v>
      </c>
      <c r="Q327" s="157"/>
      <c r="R327" s="301">
        <v>310</v>
      </c>
      <c r="S327" s="158">
        <v>2.1527777777777781E-2</v>
      </c>
      <c r="T327" s="1">
        <v>20</v>
      </c>
      <c r="U327" s="280" t="str">
        <f t="shared" si="272"/>
        <v>Normal</v>
      </c>
      <c r="V327" s="280" t="str">
        <f t="shared" si="273"/>
        <v>Normal</v>
      </c>
      <c r="W327" s="361">
        <f t="shared" si="274"/>
        <v>1.1247443762781187E-2</v>
      </c>
      <c r="X327" s="361">
        <f t="shared" si="275"/>
        <v>-2.2151898734177215E-2</v>
      </c>
    </row>
    <row r="328" spans="1:24">
      <c r="A328" s="405">
        <v>45343</v>
      </c>
      <c r="B328" s="406">
        <f>IF(YEAR(Table7[[#This Row],[Date]]) = 2023, WEEKNUM(Table7[[#This Row],[Date]])-13, WEEKNUM(Table7[[#This Row],[Date]])+40)</f>
        <v>48</v>
      </c>
      <c r="C328" s="298" t="s">
        <v>51</v>
      </c>
      <c r="D328" s="1" t="s">
        <v>94</v>
      </c>
      <c r="E328" s="1">
        <v>921</v>
      </c>
      <c r="F328" s="1">
        <v>896</v>
      </c>
      <c r="G328" s="80">
        <f t="shared" ref="G328:H328" si="278">IFERROR((E328-E321)/E321,0%)</f>
        <v>0</v>
      </c>
      <c r="H328" s="80">
        <f t="shared" si="278"/>
        <v>0</v>
      </c>
      <c r="I328" s="1"/>
      <c r="J328" s="1"/>
      <c r="K328" s="1"/>
      <c r="L328" s="1"/>
      <c r="M328" s="18">
        <v>0.93</v>
      </c>
      <c r="N328" s="18">
        <v>0.03</v>
      </c>
      <c r="O328" s="18">
        <v>0.97</v>
      </c>
      <c r="P328" s="18">
        <v>0.46</v>
      </c>
      <c r="Q328" s="157"/>
      <c r="R328" s="301">
        <v>250</v>
      </c>
      <c r="S328" s="158">
        <v>6.9444444444444441E-3</v>
      </c>
      <c r="T328" s="1">
        <v>18</v>
      </c>
      <c r="U328" s="280" t="str">
        <f t="shared" si="272"/>
        <v>Normal</v>
      </c>
      <c r="V328" s="280" t="str">
        <f t="shared" si="273"/>
        <v>Normal</v>
      </c>
      <c r="W328" s="361">
        <f t="shared" si="274"/>
        <v>0</v>
      </c>
      <c r="X328" s="361">
        <f t="shared" si="275"/>
        <v>0</v>
      </c>
    </row>
    <row r="329" spans="1:24">
      <c r="A329" s="405">
        <v>45344</v>
      </c>
      <c r="B329" s="406">
        <f>IF(YEAR(Table7[[#This Row],[Date]]) = 2023, WEEKNUM(Table7[[#This Row],[Date]])-13, WEEKNUM(Table7[[#This Row],[Date]])+40)</f>
        <v>48</v>
      </c>
      <c r="C329" s="298" t="s">
        <v>52</v>
      </c>
      <c r="D329" s="1" t="s">
        <v>94</v>
      </c>
      <c r="E329" s="1">
        <v>891</v>
      </c>
      <c r="F329" s="1">
        <v>835</v>
      </c>
      <c r="G329" s="80">
        <f t="shared" ref="G329:H329" si="279">IFERROR((E329-E322)/E322,0%)</f>
        <v>-0.13662790697674418</v>
      </c>
      <c r="H329" s="80">
        <f t="shared" si="279"/>
        <v>-0.1691542288557214</v>
      </c>
      <c r="I329" s="1"/>
      <c r="J329" s="1"/>
      <c r="K329" s="1"/>
      <c r="L329" s="1"/>
      <c r="M329" s="18">
        <v>0.83</v>
      </c>
      <c r="N329" s="18">
        <v>0.06</v>
      </c>
      <c r="O329" s="18">
        <v>0.94</v>
      </c>
      <c r="P329" s="18">
        <v>0.64</v>
      </c>
      <c r="Q329" s="157"/>
      <c r="R329" s="301">
        <v>311</v>
      </c>
      <c r="S329" s="158">
        <v>1.4583333333333332E-2</v>
      </c>
      <c r="T329" s="1">
        <v>15</v>
      </c>
      <c r="U329" s="280" t="str">
        <f t="shared" si="272"/>
        <v>Normal</v>
      </c>
      <c r="V329" s="280" t="str">
        <f t="shared" si="273"/>
        <v>Normal</v>
      </c>
      <c r="W329" s="361">
        <f t="shared" si="274"/>
        <v>-0.13662790697674418</v>
      </c>
      <c r="X329" s="361">
        <f t="shared" si="275"/>
        <v>-0.1691542288557214</v>
      </c>
    </row>
    <row r="330" spans="1:24">
      <c r="A330" s="405">
        <v>45345</v>
      </c>
      <c r="B330" s="406">
        <f>IF(YEAR(Table7[[#This Row],[Date]]) = 2023, WEEKNUM(Table7[[#This Row],[Date]])-13, WEEKNUM(Table7[[#This Row],[Date]])+40)</f>
        <v>48</v>
      </c>
      <c r="C330" s="298" t="s">
        <v>53</v>
      </c>
      <c r="D330" s="1" t="s">
        <v>94</v>
      </c>
      <c r="E330" s="1">
        <v>924</v>
      </c>
      <c r="F330" s="1">
        <v>872</v>
      </c>
      <c r="G330" s="80">
        <f t="shared" ref="G330:H330" si="280">IFERROR((E330-E323)/E323,0%)</f>
        <v>-3.4482758620689655E-2</v>
      </c>
      <c r="H330" s="80">
        <f t="shared" si="280"/>
        <v>-4.6994535519125684E-2</v>
      </c>
      <c r="I330" s="1"/>
      <c r="J330" s="1"/>
      <c r="K330" s="1"/>
      <c r="L330" s="1"/>
      <c r="M330" s="18">
        <v>0.84</v>
      </c>
      <c r="N330" s="18">
        <v>0.06</v>
      </c>
      <c r="O330" s="18">
        <v>0.94</v>
      </c>
      <c r="P330" s="18">
        <v>0.56000000000000005</v>
      </c>
      <c r="Q330" s="157"/>
      <c r="R330" s="301">
        <v>310</v>
      </c>
      <c r="S330" s="158">
        <v>1.6666666666666666E-2</v>
      </c>
      <c r="T330" s="1">
        <v>18</v>
      </c>
      <c r="U330" s="280" t="str">
        <f t="shared" si="272"/>
        <v>Normal</v>
      </c>
      <c r="V330" s="280" t="str">
        <f t="shared" si="273"/>
        <v>Normal</v>
      </c>
      <c r="W330" s="361">
        <f t="shared" si="274"/>
        <v>-3.4482758620689655E-2</v>
      </c>
      <c r="X330" s="361">
        <f t="shared" si="275"/>
        <v>-4.6994535519125684E-2</v>
      </c>
    </row>
    <row r="331" spans="1:24">
      <c r="A331" s="405">
        <v>45346</v>
      </c>
      <c r="B331" s="406">
        <f>IF(YEAR(Table7[[#This Row],[Date]]) = 2023, WEEKNUM(Table7[[#This Row],[Date]])-13, WEEKNUM(Table7[[#This Row],[Date]])+40)</f>
        <v>48</v>
      </c>
      <c r="C331" s="298" t="s">
        <v>54</v>
      </c>
      <c r="D331" s="1" t="s">
        <v>94</v>
      </c>
      <c r="E331" s="1">
        <v>832</v>
      </c>
      <c r="F331" s="1">
        <v>738</v>
      </c>
      <c r="G331" s="80">
        <f t="shared" ref="G331:H331" si="281">IFERROR((E331-E324)/E324,0%)</f>
        <v>0</v>
      </c>
      <c r="H331" s="80">
        <f t="shared" si="281"/>
        <v>0</v>
      </c>
      <c r="I331" s="1"/>
      <c r="J331" s="1"/>
      <c r="K331" s="1"/>
      <c r="L331" s="1"/>
      <c r="M331" s="18">
        <v>0.82</v>
      </c>
      <c r="N331" s="18">
        <v>0.11</v>
      </c>
      <c r="O331" s="18">
        <v>0.89</v>
      </c>
      <c r="P331" s="18">
        <v>0.62</v>
      </c>
      <c r="Q331" s="157"/>
      <c r="R331" s="301">
        <v>273</v>
      </c>
      <c r="S331" s="158">
        <v>4.3750000000000004E-2</v>
      </c>
      <c r="T331" s="1">
        <v>12</v>
      </c>
      <c r="U331" s="280" t="str">
        <f t="shared" si="272"/>
        <v>Normal</v>
      </c>
      <c r="V331" s="280" t="str">
        <f t="shared" si="273"/>
        <v>Normal</v>
      </c>
      <c r="W331" s="361">
        <f t="shared" si="274"/>
        <v>0</v>
      </c>
      <c r="X331" s="361">
        <f t="shared" si="275"/>
        <v>0</v>
      </c>
    </row>
    <row r="332" spans="1:24">
      <c r="A332" s="405">
        <v>45347</v>
      </c>
      <c r="B332" s="406">
        <f>IF(YEAR(Table7[[#This Row],[Date]]) = 2023, WEEKNUM(Table7[[#This Row],[Date]])-13, WEEKNUM(Table7[[#This Row],[Date]])+40)</f>
        <v>49</v>
      </c>
      <c r="C332" s="298" t="s">
        <v>48</v>
      </c>
      <c r="D332" s="1" t="s">
        <v>94</v>
      </c>
      <c r="E332" s="1">
        <v>0</v>
      </c>
      <c r="F332" s="1">
        <v>0</v>
      </c>
      <c r="G332" s="80">
        <f t="shared" ref="G332:H332" si="282">IFERROR((E332-E325)/E325,0%)</f>
        <v>0</v>
      </c>
      <c r="H332" s="80">
        <f t="shared" si="282"/>
        <v>0</v>
      </c>
      <c r="I332" s="1">
        <v>0</v>
      </c>
      <c r="J332" s="1">
        <v>0</v>
      </c>
      <c r="K332" s="1">
        <v>0</v>
      </c>
      <c r="L332" s="1">
        <v>0</v>
      </c>
      <c r="M332" s="18">
        <v>0</v>
      </c>
      <c r="N332" s="18">
        <v>0</v>
      </c>
      <c r="O332" s="18">
        <v>0</v>
      </c>
      <c r="P332" s="18">
        <v>0</v>
      </c>
      <c r="Q332" s="157"/>
      <c r="R332" s="301">
        <v>0</v>
      </c>
      <c r="S332" s="158">
        <v>0</v>
      </c>
      <c r="T332" s="1">
        <v>0</v>
      </c>
      <c r="U332" s="280" t="str">
        <f t="shared" si="272"/>
        <v>Normal</v>
      </c>
      <c r="V332" s="280" t="str">
        <f t="shared" si="273"/>
        <v>Normal</v>
      </c>
      <c r="W332" s="361">
        <f t="shared" si="274"/>
        <v>0</v>
      </c>
      <c r="X332" s="361">
        <f t="shared" si="275"/>
        <v>0</v>
      </c>
    </row>
    <row r="333" spans="1:24">
      <c r="A333" s="405">
        <v>45348</v>
      </c>
      <c r="B333" s="406">
        <f>IF(YEAR(Table7[[#This Row],[Date]]) = 2023, WEEKNUM(Table7[[#This Row],[Date]])-13, WEEKNUM(Table7[[#This Row],[Date]])+40)</f>
        <v>49</v>
      </c>
      <c r="C333" s="298" t="s">
        <v>49</v>
      </c>
      <c r="D333" s="1" t="s">
        <v>94</v>
      </c>
      <c r="E333" s="1">
        <v>841</v>
      </c>
      <c r="F333" s="1">
        <v>736</v>
      </c>
      <c r="G333" s="80">
        <f t="shared" ref="G333:H333" si="283">IFERROR((E333-E326)/E326,0%)</f>
        <v>0</v>
      </c>
      <c r="H333" s="80">
        <f t="shared" si="283"/>
        <v>0</v>
      </c>
      <c r="I333" s="1"/>
      <c r="J333" s="1"/>
      <c r="K333" s="1"/>
      <c r="L333" s="1"/>
      <c r="M333" s="18">
        <v>0.68</v>
      </c>
      <c r="N333" s="18">
        <v>0.12</v>
      </c>
      <c r="O333" s="18">
        <v>0.88</v>
      </c>
      <c r="P333" s="18">
        <v>0.49</v>
      </c>
      <c r="Q333" s="157"/>
      <c r="R333" s="301">
        <v>271</v>
      </c>
      <c r="S333" s="158">
        <v>4.8611111111111112E-2</v>
      </c>
      <c r="T333" s="1">
        <v>15</v>
      </c>
      <c r="U333" s="280" t="str">
        <f t="shared" si="272"/>
        <v>Normal</v>
      </c>
      <c r="V333" s="280" t="str">
        <f t="shared" si="273"/>
        <v>Normal</v>
      </c>
      <c r="W333" s="361">
        <f t="shared" si="274"/>
        <v>0</v>
      </c>
      <c r="X333" s="361">
        <f t="shared" si="275"/>
        <v>0</v>
      </c>
    </row>
    <row r="334" spans="1:24">
      <c r="A334" s="405">
        <v>45349</v>
      </c>
      <c r="B334" s="406">
        <f>IF(YEAR(Table7[[#This Row],[Date]]) = 2023, WEEKNUM(Table7[[#This Row],[Date]])-13, WEEKNUM(Table7[[#This Row],[Date]])+40)</f>
        <v>49</v>
      </c>
      <c r="C334" s="298" t="s">
        <v>50</v>
      </c>
      <c r="D334" s="1" t="s">
        <v>94</v>
      </c>
      <c r="E334" s="1">
        <v>1116</v>
      </c>
      <c r="F334" s="1">
        <v>989</v>
      </c>
      <c r="G334" s="80">
        <f t="shared" ref="G334:H334" si="284">IFERROR((E334-E327)/E327,0%)</f>
        <v>0.12841253791708795</v>
      </c>
      <c r="H334" s="80">
        <f t="shared" si="284"/>
        <v>6.6882416396979505E-2</v>
      </c>
      <c r="I334" s="1"/>
      <c r="J334" s="1"/>
      <c r="K334" s="1"/>
      <c r="L334" s="1"/>
      <c r="M334" s="18">
        <v>0.66</v>
      </c>
      <c r="N334" s="18">
        <v>0.11</v>
      </c>
      <c r="O334" s="18">
        <v>0.89</v>
      </c>
      <c r="P334" s="18">
        <v>0.65</v>
      </c>
      <c r="Q334" s="157"/>
      <c r="R334" s="301">
        <v>301</v>
      </c>
      <c r="S334" s="158">
        <v>4.9305555555555554E-2</v>
      </c>
      <c r="T334" s="1">
        <v>17</v>
      </c>
      <c r="U334" s="280" t="str">
        <f t="shared" si="272"/>
        <v>Normal</v>
      </c>
      <c r="V334" s="280" t="str">
        <f t="shared" si="273"/>
        <v>Normal</v>
      </c>
      <c r="W334" s="361">
        <f t="shared" si="274"/>
        <v>0.12841253791708795</v>
      </c>
      <c r="X334" s="361">
        <f t="shared" si="275"/>
        <v>6.6882416396979505E-2</v>
      </c>
    </row>
    <row r="335" spans="1:24">
      <c r="A335" s="405">
        <v>45350</v>
      </c>
      <c r="B335" s="406">
        <f>IF(YEAR(Table7[[#This Row],[Date]]) = 2023, WEEKNUM(Table7[[#This Row],[Date]])-13, WEEKNUM(Table7[[#This Row],[Date]])+40)</f>
        <v>49</v>
      </c>
      <c r="C335" s="298" t="s">
        <v>51</v>
      </c>
      <c r="D335" s="1" t="s">
        <v>94</v>
      </c>
      <c r="E335" s="1">
        <v>1120</v>
      </c>
      <c r="F335" s="1">
        <v>1036</v>
      </c>
      <c r="G335" s="80">
        <f t="shared" ref="G335:H335" si="285">IFERROR((E335-E328)/E328,0%)</f>
        <v>0.21606948968512488</v>
      </c>
      <c r="H335" s="80">
        <f t="shared" si="285"/>
        <v>0.15625</v>
      </c>
      <c r="I335" s="1"/>
      <c r="J335" s="1"/>
      <c r="K335" s="1"/>
      <c r="L335" s="1"/>
      <c r="M335" s="18">
        <v>0.81</v>
      </c>
      <c r="N335" s="18">
        <v>0.08</v>
      </c>
      <c r="O335" s="18">
        <v>0.92</v>
      </c>
      <c r="P335" s="18">
        <v>0.72</v>
      </c>
      <c r="Q335" s="157"/>
      <c r="R335" s="301">
        <v>302</v>
      </c>
      <c r="S335" s="158">
        <v>2.1527777777777781E-2</v>
      </c>
      <c r="T335" s="1">
        <v>16</v>
      </c>
      <c r="U335" s="280" t="str">
        <f t="shared" si="272"/>
        <v>Normal</v>
      </c>
      <c r="V335" s="280" t="str">
        <f t="shared" si="273"/>
        <v>Normal</v>
      </c>
      <c r="W335" s="361">
        <f t="shared" si="274"/>
        <v>0.21606948968512488</v>
      </c>
      <c r="X335" s="361">
        <f t="shared" si="275"/>
        <v>0.15625</v>
      </c>
    </row>
    <row r="336" spans="1:24">
      <c r="A336" s="405">
        <v>45351</v>
      </c>
      <c r="B336" s="406">
        <f>IF(YEAR(Table7[[#This Row],[Date]]) = 2023, WEEKNUM(Table7[[#This Row],[Date]])-13, WEEKNUM(Table7[[#This Row],[Date]])+40)</f>
        <v>49</v>
      </c>
      <c r="C336" s="298" t="s">
        <v>52</v>
      </c>
      <c r="D336" s="1" t="s">
        <v>94</v>
      </c>
      <c r="E336" s="1">
        <v>1055</v>
      </c>
      <c r="F336" s="1">
        <v>952</v>
      </c>
      <c r="G336" s="80">
        <f t="shared" ref="G336:H336" si="286">IFERROR((E336-E329)/E329,0%)</f>
        <v>0.18406285072951739</v>
      </c>
      <c r="H336" s="80">
        <f t="shared" si="286"/>
        <v>0.14011976047904193</v>
      </c>
      <c r="I336" s="1"/>
      <c r="J336" s="1"/>
      <c r="K336" s="1"/>
      <c r="L336" s="1"/>
      <c r="M336" s="18">
        <v>0.75</v>
      </c>
      <c r="N336" s="18">
        <v>0.1</v>
      </c>
      <c r="O336" s="18">
        <v>0.9</v>
      </c>
      <c r="P336" s="18">
        <v>0.69</v>
      </c>
      <c r="Q336" s="157"/>
      <c r="R336" s="301">
        <v>311</v>
      </c>
      <c r="S336" s="158">
        <v>2.8472222222222222E-2</v>
      </c>
      <c r="T336" s="1">
        <v>16</v>
      </c>
      <c r="U336" s="280" t="str">
        <f t="shared" si="272"/>
        <v>Normal</v>
      </c>
      <c r="V336" s="280" t="str">
        <f t="shared" si="273"/>
        <v>Normal</v>
      </c>
      <c r="W336" s="361">
        <f t="shared" si="274"/>
        <v>0.18406285072951739</v>
      </c>
      <c r="X336" s="361">
        <f t="shared" si="275"/>
        <v>0.14011976047904193</v>
      </c>
    </row>
    <row r="337" spans="1:42">
      <c r="A337" s="405">
        <v>45352</v>
      </c>
      <c r="B337" s="406">
        <f>IF(YEAR(Table7[[#This Row],[Date]]) = 2023, WEEKNUM(Table7[[#This Row],[Date]])-13, WEEKNUM(Table7[[#This Row],[Date]])+40)</f>
        <v>49</v>
      </c>
      <c r="C337" s="298" t="s">
        <v>53</v>
      </c>
      <c r="D337" s="1" t="s">
        <v>94</v>
      </c>
      <c r="E337" s="1">
        <v>926</v>
      </c>
      <c r="F337" s="1">
        <v>843</v>
      </c>
      <c r="G337" s="80">
        <f t="shared" ref="G337:H337" si="287">IFERROR((E337-E330)/E330,0%)</f>
        <v>2.1645021645021645E-3</v>
      </c>
      <c r="H337" s="80">
        <f t="shared" si="287"/>
        <v>-3.3256880733944956E-2</v>
      </c>
      <c r="I337" s="1"/>
      <c r="J337" s="1"/>
      <c r="K337" s="1"/>
      <c r="L337" s="1"/>
      <c r="M337" s="18">
        <v>0.73</v>
      </c>
      <c r="N337" s="18">
        <v>0.09</v>
      </c>
      <c r="O337" s="18">
        <v>0.91</v>
      </c>
      <c r="P337" s="18">
        <v>0.78</v>
      </c>
      <c r="Q337" s="157"/>
      <c r="R337" s="301">
        <v>300</v>
      </c>
      <c r="S337" s="158">
        <v>3.5416666666666666E-2</v>
      </c>
      <c r="T337" s="1">
        <v>12</v>
      </c>
      <c r="U337" s="280" t="str">
        <f t="shared" si="272"/>
        <v>Normal</v>
      </c>
      <c r="V337" s="280" t="str">
        <f t="shared" si="273"/>
        <v>Normal</v>
      </c>
      <c r="W337" s="361">
        <f t="shared" si="274"/>
        <v>2.1645021645021645E-3</v>
      </c>
      <c r="X337" s="361">
        <f t="shared" si="275"/>
        <v>-3.3256880733944956E-2</v>
      </c>
    </row>
    <row r="338" spans="1:42">
      <c r="A338" s="405">
        <v>45353</v>
      </c>
      <c r="B338" s="406">
        <f>IF(YEAR(Table7[[#This Row],[Date]]) = 2023, WEEKNUM(Table7[[#This Row],[Date]])-13, WEEKNUM(Table7[[#This Row],[Date]])+40)</f>
        <v>49</v>
      </c>
      <c r="C338" s="298" t="s">
        <v>54</v>
      </c>
      <c r="D338" s="1" t="s">
        <v>94</v>
      </c>
      <c r="E338" s="1">
        <v>840</v>
      </c>
      <c r="F338" s="1">
        <v>754</v>
      </c>
      <c r="G338" s="80">
        <f t="shared" ref="G338:H338" si="288">IFERROR((E338-E331)/E331,0%)</f>
        <v>9.6153846153846159E-3</v>
      </c>
      <c r="H338" s="80">
        <f t="shared" si="288"/>
        <v>2.1680216802168022E-2</v>
      </c>
      <c r="I338" s="1"/>
      <c r="J338" s="1"/>
      <c r="K338" s="1"/>
      <c r="L338" s="1"/>
      <c r="M338" s="18">
        <v>0.7</v>
      </c>
      <c r="N338" s="18">
        <v>0.1</v>
      </c>
      <c r="O338" s="18">
        <v>0.9</v>
      </c>
      <c r="P338" s="18">
        <v>0.69</v>
      </c>
      <c r="Q338" s="157"/>
      <c r="R338" s="301">
        <v>320</v>
      </c>
      <c r="S338" s="158">
        <v>3.9583333333333331E-2</v>
      </c>
      <c r="T338" s="1">
        <v>13</v>
      </c>
      <c r="U338" s="280" t="str">
        <f t="shared" si="272"/>
        <v>Normal</v>
      </c>
      <c r="V338" s="280" t="str">
        <f t="shared" si="273"/>
        <v>Normal</v>
      </c>
      <c r="W338" s="361">
        <f t="shared" si="274"/>
        <v>9.6153846153846159E-3</v>
      </c>
      <c r="X338" s="361">
        <f t="shared" si="275"/>
        <v>2.1680216802168022E-2</v>
      </c>
    </row>
    <row r="339" spans="1:42">
      <c r="A339" s="405">
        <v>45354</v>
      </c>
      <c r="B339" s="406">
        <f>IF(YEAR(Table7[[#This Row],[Date]]) = 2023, WEEKNUM(Table7[[#This Row],[Date]])-13, WEEKNUM(Table7[[#This Row],[Date]])+40)</f>
        <v>50</v>
      </c>
      <c r="C339" s="298" t="s">
        <v>48</v>
      </c>
      <c r="D339" s="1" t="s">
        <v>94</v>
      </c>
      <c r="E339" s="1">
        <v>0</v>
      </c>
      <c r="F339" s="1">
        <v>0</v>
      </c>
      <c r="G339" s="80">
        <f t="shared" ref="G339:H339" si="289">IFERROR((E339-E332)/E332,0%)</f>
        <v>0</v>
      </c>
      <c r="H339" s="80">
        <f t="shared" si="289"/>
        <v>0</v>
      </c>
      <c r="I339" s="1">
        <v>0</v>
      </c>
      <c r="J339" s="1">
        <v>0</v>
      </c>
      <c r="K339" s="1">
        <v>0</v>
      </c>
      <c r="L339" s="1">
        <v>0</v>
      </c>
      <c r="M339" s="18">
        <v>0</v>
      </c>
      <c r="N339" s="18">
        <v>0</v>
      </c>
      <c r="O339" s="18">
        <v>0</v>
      </c>
      <c r="P339" s="18">
        <v>0</v>
      </c>
      <c r="Q339" s="157"/>
      <c r="R339" s="301">
        <v>0</v>
      </c>
      <c r="S339" s="158">
        <v>0</v>
      </c>
      <c r="T339" s="1">
        <v>0</v>
      </c>
      <c r="U339" s="280" t="str">
        <f t="shared" si="272"/>
        <v>Normal</v>
      </c>
      <c r="V339" s="280" t="str">
        <f t="shared" si="273"/>
        <v>Normal</v>
      </c>
      <c r="W339" s="361">
        <f t="shared" si="274"/>
        <v>0</v>
      </c>
      <c r="X339" s="361">
        <f t="shared" si="275"/>
        <v>0</v>
      </c>
    </row>
    <row r="340" spans="1:42">
      <c r="A340" s="405">
        <v>45355</v>
      </c>
      <c r="B340" s="406">
        <f>IF(YEAR(Table7[[#This Row],[Date]]) = 2023, WEEKNUM(Table7[[#This Row],[Date]])-13, WEEKNUM(Table7[[#This Row],[Date]])+40)</f>
        <v>50</v>
      </c>
      <c r="C340" s="298" t="s">
        <v>49</v>
      </c>
      <c r="D340" s="1" t="s">
        <v>94</v>
      </c>
      <c r="E340" s="1">
        <v>1035</v>
      </c>
      <c r="F340" s="1">
        <v>977</v>
      </c>
      <c r="G340" s="80">
        <f t="shared" ref="G340:H340" si="290">IFERROR((E340-E333)/E333,0%)</f>
        <v>0.23067776456599287</v>
      </c>
      <c r="H340" s="80">
        <f t="shared" si="290"/>
        <v>0.32744565217391303</v>
      </c>
      <c r="I340" s="1"/>
      <c r="J340" s="1"/>
      <c r="K340" s="1"/>
      <c r="L340" s="1"/>
      <c r="M340" s="18">
        <v>0.81</v>
      </c>
      <c r="N340" s="18">
        <v>0.06</v>
      </c>
      <c r="O340" s="18">
        <v>0.94</v>
      </c>
      <c r="P340" s="18">
        <v>0.7</v>
      </c>
      <c r="Q340" s="157"/>
      <c r="R340" s="301">
        <v>270</v>
      </c>
      <c r="S340" s="158">
        <v>2.6388888888888889E-2</v>
      </c>
      <c r="T340" s="1">
        <v>14</v>
      </c>
      <c r="U340" s="280" t="str">
        <f t="shared" si="272"/>
        <v>Normal</v>
      </c>
      <c r="V340" s="280" t="str">
        <f t="shared" si="273"/>
        <v>Normal</v>
      </c>
      <c r="W340" s="361">
        <f t="shared" si="274"/>
        <v>0.23067776456599287</v>
      </c>
      <c r="X340" s="361">
        <f t="shared" si="275"/>
        <v>0.32744565217391303</v>
      </c>
      <c r="AP340" s="152">
        <v>0.86736111111111114</v>
      </c>
    </row>
    <row r="341" spans="1:42">
      <c r="A341" s="405">
        <v>45356</v>
      </c>
      <c r="B341" s="406">
        <f>IF(YEAR(Table7[[#This Row],[Date]]) = 2023, WEEKNUM(Table7[[#This Row],[Date]])-13, WEEKNUM(Table7[[#This Row],[Date]])+40)</f>
        <v>50</v>
      </c>
      <c r="C341" s="298" t="s">
        <v>50</v>
      </c>
      <c r="D341" s="1" t="s">
        <v>94</v>
      </c>
      <c r="E341" s="1">
        <v>1003</v>
      </c>
      <c r="F341" s="1">
        <v>909</v>
      </c>
      <c r="G341" s="80">
        <f t="shared" ref="G341:H341" si="291">IFERROR((E341-E334)/E334,0%)</f>
        <v>-0.10125448028673835</v>
      </c>
      <c r="H341" s="80">
        <f t="shared" si="291"/>
        <v>-8.0889787664307378E-2</v>
      </c>
      <c r="I341" s="1"/>
      <c r="J341" s="1"/>
      <c r="K341" s="1"/>
      <c r="L341" s="1"/>
      <c r="M341" s="18">
        <v>0.81</v>
      </c>
      <c r="N341" s="18">
        <v>0.09</v>
      </c>
      <c r="O341" s="18">
        <v>0.91</v>
      </c>
      <c r="P341" s="18">
        <v>0.73</v>
      </c>
      <c r="Q341" s="157"/>
      <c r="R341" s="301">
        <v>280</v>
      </c>
      <c r="S341" s="158">
        <v>1.9444444444444445E-2</v>
      </c>
      <c r="T341" s="1">
        <v>13</v>
      </c>
      <c r="U341" s="280" t="str">
        <f t="shared" si="272"/>
        <v>Normal</v>
      </c>
      <c r="V341" s="280" t="str">
        <f t="shared" si="273"/>
        <v>Normal</v>
      </c>
      <c r="W341" s="361">
        <f t="shared" si="274"/>
        <v>-0.10125448028673835</v>
      </c>
      <c r="X341" s="361">
        <f t="shared" si="275"/>
        <v>-8.0889787664307378E-2</v>
      </c>
    </row>
    <row r="342" spans="1:42">
      <c r="A342" s="405">
        <v>45357</v>
      </c>
      <c r="B342" s="407">
        <f>IF(YEAR(Table7[[#This Row],[Date]]) = 2023, WEEKNUM(Table7[[#This Row],[Date]])-13, WEEKNUM(Table7[[#This Row],[Date]])+40)</f>
        <v>50</v>
      </c>
      <c r="C342" s="299" t="s">
        <v>51</v>
      </c>
      <c r="D342" s="1" t="s">
        <v>94</v>
      </c>
      <c r="E342" s="37">
        <v>994</v>
      </c>
      <c r="F342" s="37">
        <v>929</v>
      </c>
      <c r="G342" s="80">
        <f t="shared" ref="G342:H342" si="292">IFERROR((E342-E335)/E335,0%)</f>
        <v>-0.1125</v>
      </c>
      <c r="H342" s="80">
        <f t="shared" si="292"/>
        <v>-0.10328185328185328</v>
      </c>
      <c r="I342" s="1"/>
      <c r="J342" s="1"/>
      <c r="K342" s="1"/>
      <c r="L342" s="1"/>
      <c r="M342" s="46">
        <v>0.81</v>
      </c>
      <c r="N342" s="46">
        <v>7.0000000000000007E-2</v>
      </c>
      <c r="O342" s="46">
        <v>0.93</v>
      </c>
      <c r="P342" s="46">
        <v>0.57999999999999996</v>
      </c>
      <c r="Q342" s="157"/>
      <c r="R342" s="301">
        <v>253</v>
      </c>
      <c r="S342" s="158">
        <v>1.4583333333333332E-2</v>
      </c>
      <c r="T342" s="37">
        <v>15</v>
      </c>
      <c r="U342" s="280" t="str">
        <f t="shared" si="272"/>
        <v>Normal</v>
      </c>
      <c r="V342" s="280" t="str">
        <f t="shared" si="273"/>
        <v>Normal</v>
      </c>
      <c r="W342" s="361">
        <f t="shared" si="274"/>
        <v>-0.1125</v>
      </c>
      <c r="X342" s="361">
        <f t="shared" si="275"/>
        <v>-0.10328185328185328</v>
      </c>
    </row>
    <row r="343" spans="1:42">
      <c r="A343" s="405">
        <v>45358</v>
      </c>
      <c r="B343" s="406">
        <f>IF(YEAR(Table7[[#This Row],[Date]]) = 2023, WEEKNUM(Table7[[#This Row],[Date]])-13, WEEKNUM(Table7[[#This Row],[Date]])+40)</f>
        <v>50</v>
      </c>
      <c r="C343" s="298" t="s">
        <v>52</v>
      </c>
      <c r="D343" s="1" t="s">
        <v>94</v>
      </c>
      <c r="E343" s="1">
        <v>974</v>
      </c>
      <c r="F343" s="1">
        <v>907</v>
      </c>
      <c r="G343" s="80">
        <f t="shared" ref="G343:H343" si="293">IFERROR((E343-E336)/E336,0%)</f>
        <v>-7.6777251184834125E-2</v>
      </c>
      <c r="H343" s="80">
        <f t="shared" si="293"/>
        <v>-4.7268907563025209E-2</v>
      </c>
      <c r="I343" s="1"/>
      <c r="J343" s="1"/>
      <c r="K343" s="1"/>
      <c r="L343" s="1"/>
      <c r="M343" s="18">
        <v>0.85</v>
      </c>
      <c r="N343" s="18">
        <v>7.0000000000000007E-2</v>
      </c>
      <c r="O343" s="18">
        <v>0.93</v>
      </c>
      <c r="P343" s="18">
        <v>0.74</v>
      </c>
      <c r="Q343" s="157"/>
      <c r="R343" s="301">
        <v>286</v>
      </c>
      <c r="S343" s="158">
        <v>1.4583333333333332E-2</v>
      </c>
      <c r="T343" s="1">
        <v>13</v>
      </c>
      <c r="U343" s="280" t="str">
        <f t="shared" si="272"/>
        <v>Normal</v>
      </c>
      <c r="V343" s="280" t="str">
        <f t="shared" si="273"/>
        <v>Normal</v>
      </c>
      <c r="W343" s="361">
        <f t="shared" si="274"/>
        <v>-7.6777251184834125E-2</v>
      </c>
      <c r="X343" s="361">
        <f t="shared" si="275"/>
        <v>-4.7268907563025209E-2</v>
      </c>
    </row>
    <row r="344" spans="1:42">
      <c r="A344" s="405">
        <v>45359</v>
      </c>
      <c r="B344" s="406">
        <f>IF(YEAR(Table7[[#This Row],[Date]]) = 2023, WEEKNUM(Table7[[#This Row],[Date]])-13, WEEKNUM(Table7[[#This Row],[Date]])+40)</f>
        <v>50</v>
      </c>
      <c r="C344" s="298" t="s">
        <v>53</v>
      </c>
      <c r="D344" s="1" t="s">
        <v>94</v>
      </c>
      <c r="E344" s="1">
        <v>873</v>
      </c>
      <c r="F344" s="1">
        <v>827</v>
      </c>
      <c r="G344" s="80">
        <f t="shared" ref="G344:H344" si="294">IFERROR((E344-E337)/E337,0%)</f>
        <v>-5.7235421166306692E-2</v>
      </c>
      <c r="H344" s="80">
        <f t="shared" si="294"/>
        <v>-1.8979833926453145E-2</v>
      </c>
      <c r="I344" s="1"/>
      <c r="J344" s="1"/>
      <c r="K344" s="1"/>
      <c r="L344" s="1"/>
      <c r="M344" s="18">
        <v>0.87</v>
      </c>
      <c r="N344" s="18">
        <v>0.05</v>
      </c>
      <c r="O344" s="18">
        <v>0.95</v>
      </c>
      <c r="P344" s="18">
        <v>0.64</v>
      </c>
      <c r="Q344" s="157"/>
      <c r="R344" s="301">
        <v>250</v>
      </c>
      <c r="S344" s="158">
        <v>1.2499999999999999E-2</v>
      </c>
      <c r="T344" s="1">
        <v>12</v>
      </c>
      <c r="U344" s="280" t="str">
        <f t="shared" si="272"/>
        <v>Normal</v>
      </c>
      <c r="V344" s="280" t="str">
        <f t="shared" si="273"/>
        <v>Normal</v>
      </c>
      <c r="W344" s="361">
        <f t="shared" si="274"/>
        <v>-5.7235421166306692E-2</v>
      </c>
      <c r="X344" s="361">
        <f t="shared" si="275"/>
        <v>-1.8979833926453145E-2</v>
      </c>
      <c r="AO344" t="e">
        <v>#DIV/0!</v>
      </c>
    </row>
    <row r="345" spans="1:42">
      <c r="A345" s="405">
        <v>45360</v>
      </c>
      <c r="B345" s="406">
        <f>IF(YEAR(Table7[[#This Row],[Date]]) = 2023, WEEKNUM(Table7[[#This Row],[Date]])-13, WEEKNUM(Table7[[#This Row],[Date]])+40)</f>
        <v>50</v>
      </c>
      <c r="C345" s="298" t="s">
        <v>54</v>
      </c>
      <c r="D345" s="1" t="s">
        <v>94</v>
      </c>
      <c r="E345" s="1">
        <v>755</v>
      </c>
      <c r="F345" s="1">
        <v>725</v>
      </c>
      <c r="G345" s="80">
        <f t="shared" ref="G345:H345" si="295">IFERROR((E345-E338)/E338,0%)</f>
        <v>-0.10119047619047619</v>
      </c>
      <c r="H345" s="80">
        <f t="shared" si="295"/>
        <v>-3.8461538461538464E-2</v>
      </c>
      <c r="I345" s="1"/>
      <c r="J345" s="1"/>
      <c r="K345" s="1"/>
      <c r="L345" s="1"/>
      <c r="M345" s="18">
        <v>0.93</v>
      </c>
      <c r="N345" s="18">
        <v>0.04</v>
      </c>
      <c r="O345" s="18">
        <v>0.96</v>
      </c>
      <c r="P345" s="18">
        <v>0.46</v>
      </c>
      <c r="Q345" s="157"/>
      <c r="R345" s="301">
        <v>240</v>
      </c>
      <c r="S345" s="158">
        <v>9.7222222222222224E-3</v>
      </c>
      <c r="T345" s="1">
        <v>14</v>
      </c>
      <c r="U345" s="280" t="str">
        <f t="shared" si="272"/>
        <v>Normal</v>
      </c>
      <c r="V345" s="280" t="str">
        <f t="shared" si="273"/>
        <v>Normal</v>
      </c>
      <c r="W345" s="361">
        <f t="shared" si="274"/>
        <v>-0.10119047619047619</v>
      </c>
      <c r="X345" s="361">
        <f t="shared" si="275"/>
        <v>-3.8461538461538464E-2</v>
      </c>
    </row>
    <row r="346" spans="1:42">
      <c r="A346" s="405">
        <v>45361</v>
      </c>
      <c r="B346" s="406">
        <f>IF(YEAR(Table7[[#This Row],[Date]]) = 2023, WEEKNUM(Table7[[#This Row],[Date]])-13, WEEKNUM(Table7[[#This Row],[Date]])+40)</f>
        <v>51</v>
      </c>
      <c r="C346" s="298" t="s">
        <v>48</v>
      </c>
      <c r="D346" s="1" t="s">
        <v>94</v>
      </c>
      <c r="E346" s="1">
        <v>0</v>
      </c>
      <c r="F346" s="1">
        <v>0</v>
      </c>
      <c r="G346" s="80">
        <f t="shared" ref="G346:H346" si="296">IFERROR((E346-E339)/E339,0%)</f>
        <v>0</v>
      </c>
      <c r="H346" s="80">
        <f t="shared" si="296"/>
        <v>0</v>
      </c>
      <c r="I346" s="1">
        <v>0</v>
      </c>
      <c r="J346" s="1">
        <v>0</v>
      </c>
      <c r="K346" s="1">
        <v>0</v>
      </c>
      <c r="L346" s="1">
        <v>0</v>
      </c>
      <c r="M346" s="18">
        <v>0</v>
      </c>
      <c r="N346" s="18">
        <v>0</v>
      </c>
      <c r="O346" s="18">
        <v>0</v>
      </c>
      <c r="P346" s="18">
        <v>0</v>
      </c>
      <c r="Q346" s="157"/>
      <c r="R346" s="301">
        <v>0</v>
      </c>
      <c r="S346" s="158">
        <v>0</v>
      </c>
      <c r="T346" s="1">
        <v>0</v>
      </c>
      <c r="U346" s="280" t="str">
        <f t="shared" si="272"/>
        <v>Normal</v>
      </c>
      <c r="V346" s="280" t="str">
        <f t="shared" si="273"/>
        <v>Normal</v>
      </c>
      <c r="W346" s="361">
        <f t="shared" si="274"/>
        <v>0</v>
      </c>
      <c r="X346" s="361">
        <f t="shared" si="275"/>
        <v>0</v>
      </c>
    </row>
    <row r="347" spans="1:42">
      <c r="A347" s="405">
        <v>45362</v>
      </c>
      <c r="B347" s="406">
        <f>IF(YEAR(Table7[[#This Row],[Date]]) = 2023, WEEKNUM(Table7[[#This Row],[Date]])-13, WEEKNUM(Table7[[#This Row],[Date]])+40)</f>
        <v>51</v>
      </c>
      <c r="C347" s="298" t="s">
        <v>49</v>
      </c>
      <c r="D347" s="1" t="s">
        <v>94</v>
      </c>
      <c r="E347" s="1">
        <v>984</v>
      </c>
      <c r="F347" s="1">
        <v>909</v>
      </c>
      <c r="G347" s="80">
        <f t="shared" ref="G347:H347" si="297">IFERROR((E347-E340)/E340,0%)</f>
        <v>-4.9275362318840582E-2</v>
      </c>
      <c r="H347" s="80">
        <f t="shared" si="297"/>
        <v>-6.9600818833162742E-2</v>
      </c>
      <c r="I347" s="1"/>
      <c r="J347" s="1"/>
      <c r="K347" s="1"/>
      <c r="L347" s="1"/>
      <c r="M347" s="18">
        <v>0.78</v>
      </c>
      <c r="N347" s="18">
        <v>0.08</v>
      </c>
      <c r="O347" s="18">
        <v>0.92</v>
      </c>
      <c r="P347" s="18">
        <v>0.67</v>
      </c>
      <c r="Q347" s="157"/>
      <c r="R347" s="301">
        <v>300</v>
      </c>
      <c r="S347" s="158">
        <v>1.9444444444444445E-2</v>
      </c>
      <c r="T347" s="1">
        <v>15</v>
      </c>
      <c r="U347" s="280" t="str">
        <f t="shared" si="272"/>
        <v>Normal</v>
      </c>
      <c r="V347" s="280" t="str">
        <f t="shared" si="273"/>
        <v>Normal</v>
      </c>
      <c r="W347" s="361">
        <f t="shared" si="274"/>
        <v>-4.9275362318840582E-2</v>
      </c>
      <c r="X347" s="361">
        <f t="shared" si="275"/>
        <v>-6.9600818833162742E-2</v>
      </c>
    </row>
    <row r="348" spans="1:42">
      <c r="A348" s="405">
        <v>45363</v>
      </c>
      <c r="B348" s="406">
        <f>IF(YEAR(Table7[[#This Row],[Date]]) = 2023, WEEKNUM(Table7[[#This Row],[Date]])-13, WEEKNUM(Table7[[#This Row],[Date]])+40)</f>
        <v>51</v>
      </c>
      <c r="C348" s="298" t="s">
        <v>50</v>
      </c>
      <c r="D348" s="1" t="s">
        <v>94</v>
      </c>
      <c r="E348" s="1">
        <v>988</v>
      </c>
      <c r="F348" s="1">
        <v>930</v>
      </c>
      <c r="G348" s="80">
        <f t="shared" ref="G348:H348" si="298">IFERROR((E348-E341)/E341,0%)</f>
        <v>-1.4955134596211365E-2</v>
      </c>
      <c r="H348" s="80">
        <f t="shared" si="298"/>
        <v>2.3102310231023101E-2</v>
      </c>
      <c r="I348" s="1"/>
      <c r="J348" s="1"/>
      <c r="K348" s="1"/>
      <c r="L348" s="1"/>
      <c r="M348" s="18">
        <v>0.83</v>
      </c>
      <c r="N348" s="18">
        <v>0.06</v>
      </c>
      <c r="O348" s="18">
        <v>0.94</v>
      </c>
      <c r="P348" s="18">
        <v>0.59</v>
      </c>
      <c r="Q348" s="157"/>
      <c r="R348" s="301">
        <v>273</v>
      </c>
      <c r="S348" s="158">
        <v>1.4583333333333332E-2</v>
      </c>
      <c r="T348" s="1">
        <v>16</v>
      </c>
      <c r="U348" s="280" t="str">
        <f t="shared" si="272"/>
        <v>Normal</v>
      </c>
      <c r="V348" s="280" t="str">
        <f t="shared" si="273"/>
        <v>Normal</v>
      </c>
      <c r="W348" s="361">
        <f t="shared" si="274"/>
        <v>-1.4955134596211365E-2</v>
      </c>
      <c r="X348" s="361">
        <f t="shared" si="275"/>
        <v>2.3102310231023101E-2</v>
      </c>
    </row>
    <row r="349" spans="1:42">
      <c r="A349" s="405">
        <v>45364</v>
      </c>
      <c r="B349" s="406">
        <f>IF(YEAR(Table7[[#This Row],[Date]]) = 2023, WEEKNUM(Table7[[#This Row],[Date]])-13, WEEKNUM(Table7[[#This Row],[Date]])+40)</f>
        <v>51</v>
      </c>
      <c r="C349" s="298" t="s">
        <v>51</v>
      </c>
      <c r="D349" s="1" t="s">
        <v>94</v>
      </c>
      <c r="E349" s="1">
        <v>932</v>
      </c>
      <c r="F349" s="1">
        <v>900</v>
      </c>
      <c r="G349" s="80">
        <f t="shared" ref="G349:H349" si="299">IFERROR((E349-E342)/E342,0%)</f>
        <v>-6.2374245472837021E-2</v>
      </c>
      <c r="H349" s="80">
        <f t="shared" si="299"/>
        <v>-3.1216361679224973E-2</v>
      </c>
      <c r="I349" s="1"/>
      <c r="J349" s="1"/>
      <c r="K349" s="1"/>
      <c r="L349" s="1"/>
      <c r="M349" s="18">
        <v>0.91</v>
      </c>
      <c r="N349" s="18">
        <v>0.03</v>
      </c>
      <c r="O349" s="18">
        <v>0.97</v>
      </c>
      <c r="P349" s="18">
        <v>0.53</v>
      </c>
      <c r="Q349" s="157"/>
      <c r="R349" s="301">
        <v>240</v>
      </c>
      <c r="S349" s="158">
        <v>9.0277777777777787E-3</v>
      </c>
      <c r="T349" s="1">
        <v>15</v>
      </c>
      <c r="U349" s="280" t="str">
        <f t="shared" si="272"/>
        <v>Normal</v>
      </c>
      <c r="V349" s="280" t="str">
        <f t="shared" si="273"/>
        <v>Normal</v>
      </c>
      <c r="W349" s="361">
        <f t="shared" si="274"/>
        <v>-6.2374245472837021E-2</v>
      </c>
      <c r="X349" s="361">
        <f t="shared" si="275"/>
        <v>-3.1216361679224973E-2</v>
      </c>
    </row>
    <row r="350" spans="1:42">
      <c r="A350" s="405">
        <v>45365</v>
      </c>
      <c r="B350" s="406">
        <f>IF(YEAR(Table7[[#This Row],[Date]]) = 2023, WEEKNUM(Table7[[#This Row],[Date]])-13, WEEKNUM(Table7[[#This Row],[Date]])+40)</f>
        <v>51</v>
      </c>
      <c r="C350" s="298" t="s">
        <v>52</v>
      </c>
      <c r="D350" s="1" t="s">
        <v>94</v>
      </c>
      <c r="E350" s="1">
        <v>818</v>
      </c>
      <c r="F350" s="1">
        <v>778</v>
      </c>
      <c r="G350" s="80">
        <f t="shared" ref="G350:H350" si="300">IFERROR((E350-E343)/E343,0%)</f>
        <v>-0.16016427104722791</v>
      </c>
      <c r="H350" s="80">
        <f t="shared" si="300"/>
        <v>-0.14222712238147739</v>
      </c>
      <c r="I350" s="1"/>
      <c r="J350" s="1"/>
      <c r="K350" s="1"/>
      <c r="L350" s="1"/>
      <c r="M350" s="18">
        <v>0.83</v>
      </c>
      <c r="N350" s="18">
        <v>0.05</v>
      </c>
      <c r="O350" s="18">
        <v>0.95</v>
      </c>
      <c r="P350" s="18">
        <v>0.72</v>
      </c>
      <c r="Q350" s="157"/>
      <c r="R350" s="301">
        <v>300</v>
      </c>
      <c r="S350" s="158">
        <v>1.8055555555555557E-2</v>
      </c>
      <c r="T350" s="1">
        <v>12</v>
      </c>
      <c r="U350" s="280" t="str">
        <f t="shared" si="272"/>
        <v>Normal</v>
      </c>
      <c r="V350" s="280" t="str">
        <f t="shared" si="273"/>
        <v>Normal</v>
      </c>
      <c r="W350" s="361">
        <f t="shared" si="274"/>
        <v>-0.16016427104722791</v>
      </c>
      <c r="X350" s="361">
        <f t="shared" si="275"/>
        <v>-0.14222712238147739</v>
      </c>
    </row>
    <row r="351" spans="1:42">
      <c r="A351" s="405">
        <v>45366</v>
      </c>
      <c r="B351" s="406">
        <f>IF(YEAR(Table7[[#This Row],[Date]]) = 2023, WEEKNUM(Table7[[#This Row],[Date]])-13, WEEKNUM(Table7[[#This Row],[Date]])+40)</f>
        <v>51</v>
      </c>
      <c r="C351" s="298" t="s">
        <v>53</v>
      </c>
      <c r="D351" s="1" t="s">
        <v>94</v>
      </c>
      <c r="E351" s="1">
        <v>999</v>
      </c>
      <c r="F351" s="1">
        <v>942</v>
      </c>
      <c r="G351" s="80">
        <f t="shared" ref="G351:H351" si="301">IFERROR((E351-E344)/E344,0%)</f>
        <v>0.14432989690721648</v>
      </c>
      <c r="H351" s="80">
        <f t="shared" si="301"/>
        <v>0.13905683192261184</v>
      </c>
      <c r="I351" s="1"/>
      <c r="J351" s="1"/>
      <c r="K351" s="1"/>
      <c r="L351" s="1"/>
      <c r="M351" s="18">
        <v>0.84</v>
      </c>
      <c r="N351" s="18">
        <v>0.06</v>
      </c>
      <c r="O351" s="18">
        <v>0.94</v>
      </c>
      <c r="P351" s="18">
        <v>1.8</v>
      </c>
      <c r="Q351" s="157"/>
      <c r="R351" s="301">
        <v>310</v>
      </c>
      <c r="S351" s="158">
        <v>1.7361111111111112E-2</v>
      </c>
      <c r="T351" s="1">
        <v>6</v>
      </c>
      <c r="U351" s="280" t="str">
        <f t="shared" si="272"/>
        <v>Normal</v>
      </c>
      <c r="V351" s="280" t="str">
        <f t="shared" si="273"/>
        <v>Normal</v>
      </c>
      <c r="W351" s="361">
        <f t="shared" si="274"/>
        <v>0.14432989690721648</v>
      </c>
      <c r="X351" s="361">
        <f t="shared" si="275"/>
        <v>0.13905683192261184</v>
      </c>
    </row>
    <row r="352" spans="1:42">
      <c r="A352" s="405">
        <v>45367</v>
      </c>
      <c r="B352" s="406">
        <f>IF(YEAR(Table7[[#This Row],[Date]]) = 2023, WEEKNUM(Table7[[#This Row],[Date]])-13, WEEKNUM(Table7[[#This Row],[Date]])+40)</f>
        <v>51</v>
      </c>
      <c r="C352" s="298" t="s">
        <v>54</v>
      </c>
      <c r="D352" s="1" t="s">
        <v>94</v>
      </c>
      <c r="E352" s="1">
        <v>749</v>
      </c>
      <c r="F352" s="1">
        <v>700</v>
      </c>
      <c r="G352" s="80">
        <f t="shared" ref="G352:H352" si="302">IFERROR((E352-E345)/E345,0%)</f>
        <v>-7.9470198675496689E-3</v>
      </c>
      <c r="H352" s="80">
        <f t="shared" si="302"/>
        <v>-3.4482758620689655E-2</v>
      </c>
      <c r="I352" s="1"/>
      <c r="J352" s="1"/>
      <c r="K352" s="1"/>
      <c r="L352" s="1"/>
      <c r="M352" s="18">
        <v>0.85</v>
      </c>
      <c r="N352" s="18">
        <v>7.0000000000000007E-2</v>
      </c>
      <c r="O352" s="18">
        <v>0.93</v>
      </c>
      <c r="P352" s="18">
        <v>0.5</v>
      </c>
      <c r="Q352" s="157"/>
      <c r="R352" s="301">
        <v>251</v>
      </c>
      <c r="S352" s="158">
        <v>1.4583333333333332E-2</v>
      </c>
      <c r="T352" s="1">
        <v>13</v>
      </c>
      <c r="U352" s="280" t="str">
        <f t="shared" si="272"/>
        <v>Normal</v>
      </c>
      <c r="V352" s="280" t="str">
        <f t="shared" si="273"/>
        <v>Normal</v>
      </c>
      <c r="W352" s="361">
        <f t="shared" si="274"/>
        <v>-7.9470198675496689E-3</v>
      </c>
      <c r="X352" s="361">
        <f t="shared" si="275"/>
        <v>-3.4482758620689655E-2</v>
      </c>
    </row>
    <row r="353" spans="1:24">
      <c r="A353" s="405">
        <v>45368</v>
      </c>
      <c r="B353" s="406">
        <f>IF(YEAR(Table7[[#This Row],[Date]]) = 2023, WEEKNUM(Table7[[#This Row],[Date]])-13, WEEKNUM(Table7[[#This Row],[Date]])+40)</f>
        <v>52</v>
      </c>
      <c r="C353" s="298" t="s">
        <v>48</v>
      </c>
      <c r="D353" s="1" t="s">
        <v>94</v>
      </c>
      <c r="E353" s="1">
        <v>0</v>
      </c>
      <c r="F353" s="1">
        <v>0</v>
      </c>
      <c r="G353" s="80">
        <f t="shared" ref="G353:H353" si="303">IFERROR((E353-E346)/E346,0%)</f>
        <v>0</v>
      </c>
      <c r="H353" s="80">
        <f t="shared" si="303"/>
        <v>0</v>
      </c>
      <c r="I353" s="1">
        <v>0</v>
      </c>
      <c r="J353" s="1">
        <v>0</v>
      </c>
      <c r="K353" s="1">
        <v>0</v>
      </c>
      <c r="L353" s="1">
        <v>0</v>
      </c>
      <c r="M353" s="18">
        <v>0</v>
      </c>
      <c r="N353" s="18">
        <v>0</v>
      </c>
      <c r="O353" s="18">
        <v>0</v>
      </c>
      <c r="P353" s="18">
        <v>0</v>
      </c>
      <c r="Q353" s="157"/>
      <c r="R353" s="301">
        <v>0</v>
      </c>
      <c r="S353" s="158">
        <v>0</v>
      </c>
      <c r="T353" s="1">
        <v>0</v>
      </c>
      <c r="U353" s="280" t="str">
        <f t="shared" si="272"/>
        <v>Normal</v>
      </c>
      <c r="V353" s="280" t="str">
        <f t="shared" si="273"/>
        <v>Normal</v>
      </c>
      <c r="W353" s="361">
        <f t="shared" si="274"/>
        <v>0</v>
      </c>
      <c r="X353" s="361">
        <f t="shared" si="275"/>
        <v>0</v>
      </c>
    </row>
    <row r="354" spans="1:24">
      <c r="A354" s="405">
        <v>45369</v>
      </c>
      <c r="B354" s="406">
        <f>IF(YEAR(Table7[[#This Row],[Date]]) = 2023, WEEKNUM(Table7[[#This Row],[Date]])-13, WEEKNUM(Table7[[#This Row],[Date]])+40)</f>
        <v>52</v>
      </c>
      <c r="C354" s="298" t="s">
        <v>49</v>
      </c>
      <c r="D354" s="1" t="s">
        <v>94</v>
      </c>
      <c r="E354" s="1">
        <v>964</v>
      </c>
      <c r="F354" s="1">
        <v>899</v>
      </c>
      <c r="G354" s="80">
        <f t="shared" ref="G354:H354" si="304">IFERROR((E354-E347)/E347,0%)</f>
        <v>-2.032520325203252E-2</v>
      </c>
      <c r="H354" s="80">
        <f t="shared" si="304"/>
        <v>-1.1001100110011002E-2</v>
      </c>
      <c r="I354" s="1"/>
      <c r="J354" s="1"/>
      <c r="K354" s="1"/>
      <c r="L354" s="1"/>
      <c r="M354" s="18">
        <v>0.83</v>
      </c>
      <c r="N354" s="18">
        <v>7.0000000000000007E-2</v>
      </c>
      <c r="O354" s="18">
        <v>0.93</v>
      </c>
      <c r="P354" s="18">
        <v>0.67</v>
      </c>
      <c r="Q354" s="157"/>
      <c r="R354" s="301">
        <v>300</v>
      </c>
      <c r="S354" s="158">
        <v>1.4583333333333332E-2</v>
      </c>
      <c r="T354" s="1">
        <v>15</v>
      </c>
      <c r="U354" s="280" t="str">
        <f t="shared" si="272"/>
        <v>Normal</v>
      </c>
      <c r="V354" s="280" t="str">
        <f t="shared" si="273"/>
        <v>Normal</v>
      </c>
      <c r="W354" s="361">
        <f t="shared" si="274"/>
        <v>-2.032520325203252E-2</v>
      </c>
      <c r="X354" s="361">
        <f t="shared" si="275"/>
        <v>-1.1001100110011002E-2</v>
      </c>
    </row>
    <row r="355" spans="1:24">
      <c r="A355" s="405">
        <v>45370</v>
      </c>
      <c r="B355" s="406">
        <f>IF(YEAR(Table7[[#This Row],[Date]]) = 2023, WEEKNUM(Table7[[#This Row],[Date]])-13, WEEKNUM(Table7[[#This Row],[Date]])+40)</f>
        <v>52</v>
      </c>
      <c r="C355" s="298" t="s">
        <v>50</v>
      </c>
      <c r="D355" s="1" t="s">
        <v>94</v>
      </c>
      <c r="E355" s="1">
        <v>887</v>
      </c>
      <c r="F355" s="1">
        <v>863</v>
      </c>
      <c r="G355" s="80">
        <f t="shared" ref="G355:H355" si="305">IFERROR((E355-E348)/E348,0%)</f>
        <v>-0.10222672064777327</v>
      </c>
      <c r="H355" s="80">
        <f t="shared" si="305"/>
        <v>-7.2043010752688166E-2</v>
      </c>
      <c r="I355" s="1"/>
      <c r="J355" s="1"/>
      <c r="K355" s="1"/>
      <c r="L355" s="1"/>
      <c r="M355" s="18">
        <v>0.96</v>
      </c>
      <c r="N355" s="18">
        <v>0.03</v>
      </c>
      <c r="O355" s="18">
        <v>0.97</v>
      </c>
      <c r="P355" s="18">
        <v>0.6</v>
      </c>
      <c r="Q355" s="157"/>
      <c r="R355" s="301">
        <v>282</v>
      </c>
      <c r="S355" s="158">
        <v>5.5555555555555558E-3</v>
      </c>
      <c r="T355" s="1">
        <v>15</v>
      </c>
      <c r="U355" s="280" t="str">
        <f t="shared" si="272"/>
        <v>Normal</v>
      </c>
      <c r="V355" s="280" t="str">
        <f t="shared" si="273"/>
        <v>Normal</v>
      </c>
      <c r="W355" s="361">
        <f t="shared" si="274"/>
        <v>-0.10222672064777327</v>
      </c>
      <c r="X355" s="361">
        <f t="shared" si="275"/>
        <v>-7.2043010752688166E-2</v>
      </c>
    </row>
    <row r="356" spans="1:24">
      <c r="A356" s="405">
        <v>45371</v>
      </c>
      <c r="B356" s="406">
        <f>IF(YEAR(Table7[[#This Row],[Date]]) = 2023, WEEKNUM(Table7[[#This Row],[Date]])-13, WEEKNUM(Table7[[#This Row],[Date]])+40)</f>
        <v>52</v>
      </c>
      <c r="C356" s="298" t="s">
        <v>51</v>
      </c>
      <c r="D356" s="1" t="s">
        <v>94</v>
      </c>
      <c r="E356" s="1">
        <v>1003</v>
      </c>
      <c r="F356" s="1">
        <v>923</v>
      </c>
      <c r="G356" s="80">
        <f t="shared" ref="G356:H356" si="306">IFERROR((E356-E349)/E349,0%)</f>
        <v>7.6180257510729613E-2</v>
      </c>
      <c r="H356" s="80">
        <f t="shared" si="306"/>
        <v>2.5555555555555557E-2</v>
      </c>
      <c r="I356" s="1"/>
      <c r="J356" s="1"/>
      <c r="K356" s="1"/>
      <c r="L356" s="1"/>
      <c r="M356" s="18">
        <v>0.82</v>
      </c>
      <c r="N356" s="18">
        <v>0.08</v>
      </c>
      <c r="O356" s="18">
        <v>0.92</v>
      </c>
      <c r="P356" s="18">
        <v>0.57999999999999996</v>
      </c>
      <c r="Q356" s="157"/>
      <c r="R356" s="301">
        <v>255</v>
      </c>
      <c r="S356" s="158">
        <v>2.1527777777777781E-2</v>
      </c>
      <c r="T356" s="1">
        <v>15</v>
      </c>
      <c r="U356" s="280" t="str">
        <f t="shared" si="272"/>
        <v>Normal</v>
      </c>
      <c r="V356" s="280" t="str">
        <f t="shared" si="273"/>
        <v>Normal</v>
      </c>
      <c r="W356" s="361">
        <f t="shared" si="274"/>
        <v>7.6180257510729613E-2</v>
      </c>
      <c r="X356" s="361">
        <f t="shared" si="275"/>
        <v>2.5555555555555557E-2</v>
      </c>
    </row>
    <row r="357" spans="1:24">
      <c r="A357" s="405">
        <v>45372</v>
      </c>
      <c r="B357" s="406">
        <f>IF(YEAR(Table7[[#This Row],[Date]]) = 2023, WEEKNUM(Table7[[#This Row],[Date]])-13, WEEKNUM(Table7[[#This Row],[Date]])+40)</f>
        <v>52</v>
      </c>
      <c r="C357" s="298" t="s">
        <v>52</v>
      </c>
      <c r="D357" s="1" t="s">
        <v>94</v>
      </c>
      <c r="E357" s="1">
        <v>957</v>
      </c>
      <c r="F357" s="1">
        <v>906</v>
      </c>
      <c r="G357" s="80">
        <f t="shared" ref="G357:H357" si="307">IFERROR((E357-E350)/E350,0%)</f>
        <v>0.16992665036674817</v>
      </c>
      <c r="H357" s="80">
        <f t="shared" si="307"/>
        <v>0.16452442159383032</v>
      </c>
      <c r="I357" s="1"/>
      <c r="J357" s="1"/>
      <c r="K357" s="1"/>
      <c r="L357" s="1"/>
      <c r="M357" s="18">
        <v>0.82</v>
      </c>
      <c r="N357" s="18">
        <v>0.05</v>
      </c>
      <c r="O357" s="18">
        <v>0.95</v>
      </c>
      <c r="P357" s="18">
        <v>0.72</v>
      </c>
      <c r="Q357" s="157"/>
      <c r="R357" s="301">
        <v>300</v>
      </c>
      <c r="S357" s="158">
        <v>1.8055555555555557E-2</v>
      </c>
      <c r="T357" s="1">
        <v>14</v>
      </c>
      <c r="U357" s="280" t="str">
        <f t="shared" si="272"/>
        <v>Normal</v>
      </c>
      <c r="V357" s="280" t="str">
        <f t="shared" si="273"/>
        <v>Normal</v>
      </c>
      <c r="W357" s="361">
        <f t="shared" si="274"/>
        <v>0.16992665036674817</v>
      </c>
      <c r="X357" s="361">
        <f t="shared" si="275"/>
        <v>0.16452442159383032</v>
      </c>
    </row>
    <row r="358" spans="1:24">
      <c r="A358" s="405">
        <v>45373</v>
      </c>
      <c r="B358" s="406">
        <f>IF(YEAR(Table7[[#This Row],[Date]]) = 2023, WEEKNUM(Table7[[#This Row],[Date]])-13, WEEKNUM(Table7[[#This Row],[Date]])+40)</f>
        <v>52</v>
      </c>
      <c r="C358" s="298" t="s">
        <v>53</v>
      </c>
      <c r="D358" s="1" t="s">
        <v>94</v>
      </c>
      <c r="E358" s="1">
        <v>1165</v>
      </c>
      <c r="F358" s="1">
        <v>992</v>
      </c>
      <c r="G358" s="80">
        <f t="shared" ref="G358:H358" si="308">IFERROR((E358-E351)/E351,0%)</f>
        <v>0.16616616616616617</v>
      </c>
      <c r="H358" s="80">
        <f t="shared" si="308"/>
        <v>5.3078556263269641E-2</v>
      </c>
      <c r="I358" s="1"/>
      <c r="J358" s="1"/>
      <c r="K358" s="1"/>
      <c r="L358" s="1"/>
      <c r="M358" s="18">
        <v>0.64</v>
      </c>
      <c r="N358" s="18">
        <v>0.15</v>
      </c>
      <c r="O358" s="18">
        <v>0.85</v>
      </c>
      <c r="P358" s="18">
        <v>0.79</v>
      </c>
      <c r="Q358" s="157"/>
      <c r="R358" s="301">
        <v>300</v>
      </c>
      <c r="S358" s="158">
        <v>4.027777777777778E-2</v>
      </c>
      <c r="T358" s="1">
        <v>14</v>
      </c>
      <c r="U358" s="280" t="str">
        <f t="shared" si="272"/>
        <v>Normal</v>
      </c>
      <c r="V358" s="280" t="str">
        <f t="shared" si="273"/>
        <v>Normal</v>
      </c>
      <c r="W358" s="361">
        <f t="shared" si="274"/>
        <v>0.16616616616616617</v>
      </c>
      <c r="X358" s="361">
        <f t="shared" si="275"/>
        <v>5.3078556263269641E-2</v>
      </c>
    </row>
    <row r="359" spans="1:24">
      <c r="A359" s="405">
        <v>45374</v>
      </c>
      <c r="B359" s="406">
        <f>IF(YEAR(Table7[[#This Row],[Date]]) = 2023, WEEKNUM(Table7[[#This Row],[Date]])-13, WEEKNUM(Table7[[#This Row],[Date]])+40)</f>
        <v>52</v>
      </c>
      <c r="C359" s="298" t="s">
        <v>54</v>
      </c>
      <c r="D359" s="1" t="s">
        <v>94</v>
      </c>
      <c r="E359" s="1">
        <v>907</v>
      </c>
      <c r="F359" s="1">
        <v>696</v>
      </c>
      <c r="G359" s="80">
        <f t="shared" ref="G359:H359" si="309">IFERROR((E359-E352)/E352,0%)</f>
        <v>0.2109479305740988</v>
      </c>
      <c r="H359" s="80">
        <f t="shared" si="309"/>
        <v>-5.7142857142857143E-3</v>
      </c>
      <c r="I359" s="1"/>
      <c r="J359" s="1"/>
      <c r="K359" s="1"/>
      <c r="L359" s="1"/>
      <c r="M359" s="18">
        <v>0.42</v>
      </c>
      <c r="N359" s="18">
        <v>0.23</v>
      </c>
      <c r="O359" s="18">
        <v>0.77</v>
      </c>
      <c r="P359" s="18">
        <v>0.94</v>
      </c>
      <c r="Q359" s="157"/>
      <c r="R359" s="301">
        <v>329</v>
      </c>
      <c r="S359" s="158">
        <v>7.4999999999999997E-2</v>
      </c>
      <c r="T359" s="1">
        <v>9</v>
      </c>
      <c r="U359" s="280" t="str">
        <f t="shared" si="272"/>
        <v>Normal</v>
      </c>
      <c r="V359" s="280" t="str">
        <f t="shared" si="273"/>
        <v>Normal</v>
      </c>
      <c r="W359" s="361">
        <f t="shared" si="274"/>
        <v>0.2109479305740988</v>
      </c>
      <c r="X359" s="361">
        <f t="shared" si="275"/>
        <v>-5.7142857142857143E-3</v>
      </c>
    </row>
    <row r="360" spans="1:24">
      <c r="A360" s="405">
        <v>45375</v>
      </c>
      <c r="B360" s="406">
        <f>IF(YEAR(Table7[[#This Row],[Date]]) = 2023, WEEKNUM(Table7[[#This Row],[Date]])-13, WEEKNUM(Table7[[#This Row],[Date]])+40)</f>
        <v>53</v>
      </c>
      <c r="C360" s="298" t="s">
        <v>48</v>
      </c>
      <c r="D360" s="1" t="s">
        <v>94</v>
      </c>
      <c r="E360" s="1">
        <v>0</v>
      </c>
      <c r="F360" s="1">
        <v>0</v>
      </c>
      <c r="G360" s="80">
        <f t="shared" ref="G360:H360" si="310">IFERROR((E360-E353)/E353,0%)</f>
        <v>0</v>
      </c>
      <c r="H360" s="80">
        <f t="shared" si="310"/>
        <v>0</v>
      </c>
      <c r="I360" s="1">
        <v>0</v>
      </c>
      <c r="J360" s="1">
        <v>0</v>
      </c>
      <c r="K360" s="1">
        <v>0</v>
      </c>
      <c r="L360" s="1">
        <v>0</v>
      </c>
      <c r="M360" s="18">
        <v>0</v>
      </c>
      <c r="N360" s="18">
        <v>0</v>
      </c>
      <c r="O360" s="18">
        <v>0</v>
      </c>
      <c r="P360" s="18">
        <v>0</v>
      </c>
      <c r="Q360" s="157"/>
      <c r="R360" s="301">
        <v>0</v>
      </c>
      <c r="S360" s="158">
        <v>0</v>
      </c>
      <c r="T360" s="1">
        <v>0</v>
      </c>
      <c r="U360" s="280" t="str">
        <f t="shared" si="272"/>
        <v>Normal</v>
      </c>
      <c r="V360" s="280" t="str">
        <f t="shared" si="273"/>
        <v>Normal</v>
      </c>
      <c r="W360" s="361">
        <f t="shared" si="274"/>
        <v>0</v>
      </c>
      <c r="X360" s="361">
        <f t="shared" si="275"/>
        <v>0</v>
      </c>
    </row>
    <row r="361" spans="1:24">
      <c r="A361" s="405">
        <v>45376</v>
      </c>
      <c r="B361" s="406">
        <f>IF(YEAR(Table7[[#This Row],[Date]]) = 2023, WEEKNUM(Table7[[#This Row],[Date]])-13, WEEKNUM(Table7[[#This Row],[Date]])+40)</f>
        <v>53</v>
      </c>
      <c r="C361" s="298" t="s">
        <v>49</v>
      </c>
      <c r="D361" s="1" t="s">
        <v>94</v>
      </c>
      <c r="E361" s="1">
        <v>1212</v>
      </c>
      <c r="F361" s="1">
        <v>916</v>
      </c>
      <c r="G361" s="80">
        <f t="shared" ref="G361:H361" si="311">IFERROR((E361-E354)/E354,0%)</f>
        <v>0.25726141078838172</v>
      </c>
      <c r="H361" s="80">
        <f t="shared" si="311"/>
        <v>1.8909899888765295E-2</v>
      </c>
      <c r="I361" s="1"/>
      <c r="J361" s="1"/>
      <c r="K361" s="1"/>
      <c r="L361" s="1"/>
      <c r="M361" s="18">
        <v>0.39</v>
      </c>
      <c r="N361" s="18">
        <v>0.24</v>
      </c>
      <c r="O361" s="18">
        <v>0.76</v>
      </c>
      <c r="P361" s="18">
        <v>0.24</v>
      </c>
      <c r="Q361" s="157"/>
      <c r="R361" s="301">
        <v>108</v>
      </c>
      <c r="S361" s="158">
        <v>0.21736111111111112</v>
      </c>
      <c r="T361" s="1">
        <v>15</v>
      </c>
      <c r="U361" s="280" t="str">
        <f t="shared" si="272"/>
        <v>Normal</v>
      </c>
      <c r="V361" s="280" t="str">
        <f t="shared" si="273"/>
        <v>Normal</v>
      </c>
      <c r="W361" s="361">
        <f t="shared" si="274"/>
        <v>0.25726141078838172</v>
      </c>
      <c r="X361" s="361">
        <f t="shared" si="275"/>
        <v>1.8909899888765295E-2</v>
      </c>
    </row>
    <row r="362" spans="1:24">
      <c r="A362" s="405">
        <v>45377</v>
      </c>
      <c r="B362" s="406">
        <f>IF(YEAR(Table7[[#This Row],[Date]]) = 2023, WEEKNUM(Table7[[#This Row],[Date]])-13, WEEKNUM(Table7[[#This Row],[Date]])+40)</f>
        <v>53</v>
      </c>
      <c r="C362" s="298" t="s">
        <v>50</v>
      </c>
      <c r="D362" s="1" t="s">
        <v>94</v>
      </c>
      <c r="E362" s="1">
        <v>1139</v>
      </c>
      <c r="F362" s="1">
        <v>873</v>
      </c>
      <c r="G362" s="80">
        <f t="shared" ref="G362:H362" si="312">IFERROR((E362-E355)/E355,0%)</f>
        <v>0.28410372040586246</v>
      </c>
      <c r="H362" s="80">
        <f t="shared" si="312"/>
        <v>1.1587485515643106E-2</v>
      </c>
      <c r="I362" s="1"/>
      <c r="J362" s="1"/>
      <c r="K362" s="1"/>
      <c r="L362" s="1"/>
      <c r="M362" s="18">
        <v>0.38</v>
      </c>
      <c r="N362" s="18">
        <v>0.23</v>
      </c>
      <c r="O362" s="18">
        <v>0.77</v>
      </c>
      <c r="P362" s="18">
        <v>0.72</v>
      </c>
      <c r="Q362" s="157"/>
      <c r="R362" s="301">
        <v>311</v>
      </c>
      <c r="S362" s="158">
        <v>8.3333333333333329E-2</v>
      </c>
      <c r="T362" s="1">
        <v>14</v>
      </c>
      <c r="U362" s="280" t="str">
        <f t="shared" si="272"/>
        <v>Normal</v>
      </c>
      <c r="V362" s="280" t="str">
        <f t="shared" si="273"/>
        <v>Normal</v>
      </c>
      <c r="W362" s="361">
        <f t="shared" si="274"/>
        <v>0.28410372040586246</v>
      </c>
      <c r="X362" s="361">
        <f t="shared" si="275"/>
        <v>1.1587485515643106E-2</v>
      </c>
    </row>
    <row r="363" spans="1:24">
      <c r="A363" s="405">
        <v>45378</v>
      </c>
      <c r="B363" s="406">
        <f>IF(YEAR(Table7[[#This Row],[Date]]) = 2023, WEEKNUM(Table7[[#This Row],[Date]])-13, WEEKNUM(Table7[[#This Row],[Date]])+40)</f>
        <v>53</v>
      </c>
      <c r="C363" s="298" t="s">
        <v>51</v>
      </c>
      <c r="D363" s="1" t="s">
        <v>94</v>
      </c>
      <c r="E363" s="1">
        <v>1172</v>
      </c>
      <c r="F363" s="1">
        <v>980</v>
      </c>
      <c r="G363" s="80">
        <f t="shared" ref="G363:H363" si="313">IFERROR((E363-E356)/E356,0%)</f>
        <v>0.16849451645064806</v>
      </c>
      <c r="H363" s="80">
        <f t="shared" si="313"/>
        <v>6.1755146262188518E-2</v>
      </c>
      <c r="I363" s="1"/>
      <c r="J363" s="1"/>
      <c r="K363" s="1"/>
      <c r="L363" s="1"/>
      <c r="M363" s="18">
        <v>0.48</v>
      </c>
      <c r="N363" s="18">
        <v>0.16</v>
      </c>
      <c r="O363" s="18">
        <v>0.84</v>
      </c>
      <c r="P363" s="18">
        <v>0.68</v>
      </c>
      <c r="Q363" s="157"/>
      <c r="R363" s="301">
        <v>280</v>
      </c>
      <c r="S363" s="158">
        <v>4.7222222222222221E-2</v>
      </c>
      <c r="T363" s="1">
        <v>15</v>
      </c>
      <c r="U363" s="280" t="str">
        <f t="shared" si="272"/>
        <v>Normal</v>
      </c>
      <c r="V363" s="280" t="str">
        <f t="shared" si="273"/>
        <v>Normal</v>
      </c>
      <c r="W363" s="361">
        <f t="shared" si="274"/>
        <v>0.16849451645064806</v>
      </c>
      <c r="X363" s="361">
        <f t="shared" si="275"/>
        <v>6.1755146262188518E-2</v>
      </c>
    </row>
    <row r="364" spans="1:24">
      <c r="A364" s="405">
        <v>45379</v>
      </c>
      <c r="B364" s="406">
        <f>IF(YEAR(Table7[[#This Row],[Date]]) = 2023, WEEKNUM(Table7[[#This Row],[Date]])-13, WEEKNUM(Table7[[#This Row],[Date]])+40)</f>
        <v>53</v>
      </c>
      <c r="C364" s="298" t="s">
        <v>52</v>
      </c>
      <c r="D364" s="1" t="s">
        <v>94</v>
      </c>
      <c r="E364" s="1">
        <v>1211</v>
      </c>
      <c r="F364" s="1">
        <v>753</v>
      </c>
      <c r="G364" s="80">
        <f t="shared" ref="G364:H364" si="314">IFERROR((E364-E357)/E357,0%)</f>
        <v>0.26541274817136884</v>
      </c>
      <c r="H364" s="80">
        <f t="shared" si="314"/>
        <v>-0.16887417218543047</v>
      </c>
      <c r="I364" s="1"/>
      <c r="J364" s="1"/>
      <c r="K364" s="1"/>
      <c r="L364" s="1"/>
      <c r="M364" s="18">
        <v>0.13</v>
      </c>
      <c r="N364" s="18">
        <v>0.38</v>
      </c>
      <c r="O364" s="18">
        <v>0.62</v>
      </c>
      <c r="P364" s="18">
        <v>0.69</v>
      </c>
      <c r="Q364" s="157"/>
      <c r="R364" s="301">
        <v>322</v>
      </c>
      <c r="S364" s="158">
        <v>0.125</v>
      </c>
      <c r="T364" s="1">
        <v>13</v>
      </c>
      <c r="U364" s="280" t="str">
        <f t="shared" si="272"/>
        <v>Normal</v>
      </c>
      <c r="V364" s="280" t="str">
        <f t="shared" si="273"/>
        <v>Normal</v>
      </c>
      <c r="W364" s="361">
        <f t="shared" si="274"/>
        <v>0.26541274817136884</v>
      </c>
      <c r="X364" s="361">
        <f t="shared" si="275"/>
        <v>-0.16887417218543047</v>
      </c>
    </row>
    <row r="365" spans="1:24">
      <c r="A365" s="405">
        <v>45380</v>
      </c>
      <c r="B365" s="406">
        <f>IF(YEAR(Table7[[#This Row],[Date]]) = 2023, WEEKNUM(Table7[[#This Row],[Date]])-13, WEEKNUM(Table7[[#This Row],[Date]])+40)</f>
        <v>53</v>
      </c>
      <c r="C365" s="298" t="s">
        <v>64</v>
      </c>
      <c r="D365" s="1" t="s">
        <v>94</v>
      </c>
      <c r="E365" s="1">
        <v>0</v>
      </c>
      <c r="F365" s="1">
        <v>0</v>
      </c>
      <c r="G365" s="80">
        <v>0</v>
      </c>
      <c r="H365" s="80">
        <v>0</v>
      </c>
      <c r="I365" s="1">
        <v>0</v>
      </c>
      <c r="J365" s="1">
        <v>0</v>
      </c>
      <c r="K365" s="1">
        <v>0</v>
      </c>
      <c r="L365" s="1">
        <v>0</v>
      </c>
      <c r="M365" s="18">
        <v>0</v>
      </c>
      <c r="N365" s="18">
        <v>0</v>
      </c>
      <c r="O365" s="18">
        <v>0</v>
      </c>
      <c r="P365" s="18">
        <v>0</v>
      </c>
      <c r="Q365" s="157"/>
      <c r="R365" s="301">
        <v>0</v>
      </c>
      <c r="S365" s="158">
        <v>0</v>
      </c>
      <c r="T365" s="1">
        <v>0</v>
      </c>
      <c r="U365" s="280" t="str">
        <f t="shared" si="272"/>
        <v>Normal</v>
      </c>
      <c r="V365" s="280" t="str">
        <f t="shared" si="273"/>
        <v>Normal</v>
      </c>
      <c r="W365" s="361">
        <f t="shared" si="274"/>
        <v>0</v>
      </c>
      <c r="X365" s="361">
        <f t="shared" si="275"/>
        <v>0</v>
      </c>
    </row>
    <row r="366" spans="1:24">
      <c r="A366" s="405">
        <v>45381</v>
      </c>
      <c r="B366" s="406">
        <f>IF(YEAR(Table7[[#This Row],[Date]]) = 2023, WEEKNUM(Table7[[#This Row],[Date]])-13, WEEKNUM(Table7[[#This Row],[Date]])+40)</f>
        <v>53</v>
      </c>
      <c r="C366" s="298" t="s">
        <v>54</v>
      </c>
      <c r="D366" s="1" t="s">
        <v>94</v>
      </c>
      <c r="E366" s="1">
        <v>954</v>
      </c>
      <c r="F366" s="1">
        <v>628</v>
      </c>
      <c r="G366" s="80">
        <f t="shared" ref="G366:H366" si="315">IFERROR((E366-E359)/E359,0%)</f>
        <v>5.1819184123484012E-2</v>
      </c>
      <c r="H366" s="80">
        <f t="shared" si="315"/>
        <v>-9.7701149425287362E-2</v>
      </c>
      <c r="I366" s="1"/>
      <c r="J366" s="1"/>
      <c r="K366" s="1"/>
      <c r="L366" s="1"/>
      <c r="M366" s="18">
        <v>0.25</v>
      </c>
      <c r="N366" s="18">
        <v>0.34</v>
      </c>
      <c r="O366" s="18">
        <v>0.66</v>
      </c>
      <c r="P366" s="18">
        <v>0.76</v>
      </c>
      <c r="Q366" s="157"/>
      <c r="R366" s="301">
        <v>360</v>
      </c>
      <c r="S366" s="158">
        <v>0.125</v>
      </c>
      <c r="T366" s="1">
        <v>11</v>
      </c>
      <c r="U366" s="280" t="str">
        <f t="shared" si="272"/>
        <v>Normal</v>
      </c>
      <c r="V366" s="280" t="str">
        <f t="shared" si="273"/>
        <v>Normal</v>
      </c>
      <c r="W366" s="361">
        <f t="shared" si="274"/>
        <v>5.1819184123484012E-2</v>
      </c>
      <c r="X366" s="361">
        <f t="shared" si="275"/>
        <v>-9.7701149425287362E-2</v>
      </c>
    </row>
    <row r="367" spans="1:24">
      <c r="A367" s="405">
        <v>45382</v>
      </c>
      <c r="B367" s="406">
        <f>IF(YEAR(Table7[[#This Row],[Date]]) = 2023, WEEKNUM(Table7[[#This Row],[Date]])-13, WEEKNUM(Table7[[#This Row],[Date]])+40)</f>
        <v>54</v>
      </c>
      <c r="C367" s="298" t="s">
        <v>48</v>
      </c>
      <c r="D367" s="1" t="s">
        <v>94</v>
      </c>
      <c r="E367" s="1">
        <v>0</v>
      </c>
      <c r="F367" s="1">
        <v>0</v>
      </c>
      <c r="G367" s="80">
        <f t="shared" ref="G367:H367" si="316">IFERROR((E367-E360)/E360,0%)</f>
        <v>0</v>
      </c>
      <c r="H367" s="80">
        <f t="shared" si="316"/>
        <v>0</v>
      </c>
      <c r="I367" s="1">
        <v>0</v>
      </c>
      <c r="J367" s="1">
        <v>0</v>
      </c>
      <c r="K367" s="1">
        <v>0</v>
      </c>
      <c r="L367" s="1">
        <v>0</v>
      </c>
      <c r="M367" s="18">
        <v>0</v>
      </c>
      <c r="N367" s="18">
        <v>0</v>
      </c>
      <c r="O367" s="18">
        <v>0</v>
      </c>
      <c r="P367" s="18">
        <v>0</v>
      </c>
      <c r="Q367" s="157"/>
      <c r="R367" s="301">
        <v>0</v>
      </c>
      <c r="S367" s="158">
        <v>0</v>
      </c>
      <c r="T367" s="1">
        <v>0</v>
      </c>
      <c r="U367" s="280" t="str">
        <f t="shared" si="272"/>
        <v>Normal</v>
      </c>
      <c r="V367" s="280" t="str">
        <f t="shared" si="273"/>
        <v>Normal</v>
      </c>
      <c r="W367" s="361">
        <f t="shared" si="274"/>
        <v>0</v>
      </c>
      <c r="X367" s="361">
        <f t="shared" si="275"/>
        <v>0</v>
      </c>
    </row>
    <row r="370" spans="13:17">
      <c r="M370" s="337">
        <f>AVERAGEIF(M2:M92, "&lt;&gt;0")</f>
        <v>0.71776315789473688</v>
      </c>
      <c r="N370" s="337">
        <f t="shared" ref="N370:Q370" si="317">AVERAGEIF(N2:N92, "&lt;&gt;0")</f>
        <v>0.10346666666666661</v>
      </c>
      <c r="O370" s="337">
        <f t="shared" si="317"/>
        <v>0.89789473684210486</v>
      </c>
      <c r="P370" s="337">
        <f t="shared" si="317"/>
        <v>0.76078947368421057</v>
      </c>
      <c r="Q370" s="337" t="e">
        <f t="shared" si="317"/>
        <v>#DIV/0!</v>
      </c>
    </row>
  </sheetData>
  <mergeCells count="6">
    <mergeCell ref="AO314:AP314"/>
    <mergeCell ref="Z3:AB3"/>
    <mergeCell ref="AD3:AE3"/>
    <mergeCell ref="AG3:AH3"/>
    <mergeCell ref="Z8:AA8"/>
    <mergeCell ref="AD8:AE8"/>
  </mergeCells>
  <phoneticPr fontId="8" type="noConversion"/>
  <dataValidations disablePrompts="1" count="2">
    <dataValidation type="list" allowBlank="1" showInputMessage="1" showErrorMessage="1" sqref="AO107:AO108" xr:uid="{FBA57D66-F6AC-40AC-964A-9278872D5B4B}">
      <formula1>period_JAM</formula1>
    </dataValidation>
    <dataValidation type="list" allowBlank="1" showInputMessage="1" showErrorMessage="1" sqref="AT5:AT6" xr:uid="{6CC75CCD-1067-4C29-A1E8-6BF8008E2F40}">
      <formula1>WoW_dates_JAM</formula1>
    </dataValidation>
  </dataValidation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A9F4-EA48-4A56-9996-6747C44E2CEF}">
  <sheetPr codeName="Sheet8"/>
  <dimension ref="A1:AR370"/>
  <sheetViews>
    <sheetView zoomScale="70" zoomScaleNormal="70" workbookViewId="0">
      <pane xSplit="1" ySplit="1" topLeftCell="B325" activePane="bottomRight" state="frozen"/>
      <selection pane="topRight" activeCell="B1" sqref="B1"/>
      <selection pane="bottomLeft" activeCell="A3" sqref="A3"/>
      <selection pane="bottomRight" activeCell="A367" sqref="A367"/>
    </sheetView>
  </sheetViews>
  <sheetFormatPr defaultRowHeight="14.5"/>
  <cols>
    <col min="2" max="2" width="14.90625" bestFit="1" customWidth="1"/>
    <col min="3" max="3" width="19" bestFit="1" customWidth="1"/>
    <col min="4" max="4" width="7.6328125" customWidth="1"/>
    <col min="5" max="5" width="11.81640625" bestFit="1" customWidth="1"/>
    <col min="6" max="6" width="19.08984375" customWidth="1"/>
    <col min="7" max="7" width="28.6328125" bestFit="1" customWidth="1"/>
    <col min="8" max="8" width="25.1796875" bestFit="1" customWidth="1"/>
    <col min="9" max="9" width="19.6328125" customWidth="1"/>
    <col min="10" max="10" width="18.36328125" customWidth="1"/>
    <col min="11" max="11" width="19" customWidth="1"/>
    <col min="12" max="12" width="15.54296875" customWidth="1"/>
    <col min="13" max="16" width="11.81640625" bestFit="1" customWidth="1"/>
    <col min="18" max="18" width="12.54296875" bestFit="1" customWidth="1"/>
    <col min="20" max="20" width="11.08984375" customWidth="1"/>
    <col min="21" max="21" width="58.7265625" bestFit="1" customWidth="1"/>
    <col min="22" max="22" width="54.54296875" bestFit="1" customWidth="1"/>
    <col min="23" max="23" width="39.08984375" bestFit="1" customWidth="1"/>
    <col min="24" max="24" width="34.7265625" bestFit="1" customWidth="1"/>
    <col min="25" max="25" width="11.08984375" style="280" customWidth="1"/>
    <col min="26" max="26" width="12.81640625" style="280" bestFit="1" customWidth="1"/>
    <col min="27" max="28" width="13.1796875" style="280" bestFit="1" customWidth="1"/>
    <col min="29" max="35" width="11.08984375" style="280" customWidth="1"/>
    <col min="37" max="37" width="10.08984375" customWidth="1"/>
    <col min="38" max="38" width="21.6328125" bestFit="1" customWidth="1"/>
    <col min="39" max="39" width="24" bestFit="1" customWidth="1"/>
    <col min="43" max="43" width="11.7265625" bestFit="1" customWidth="1"/>
  </cols>
  <sheetData>
    <row r="1" spans="1:44">
      <c r="A1" s="88" t="s">
        <v>36</v>
      </c>
      <c r="B1" s="88" t="s">
        <v>255</v>
      </c>
      <c r="C1" s="39" t="s">
        <v>55</v>
      </c>
      <c r="D1" s="39" t="s">
        <v>60</v>
      </c>
      <c r="E1" s="39" t="s">
        <v>59</v>
      </c>
      <c r="F1" s="39" t="s">
        <v>34</v>
      </c>
      <c r="G1" s="39" t="s">
        <v>234</v>
      </c>
      <c r="H1" s="39" t="s">
        <v>235</v>
      </c>
      <c r="I1" s="39" t="s">
        <v>56</v>
      </c>
      <c r="J1" s="39" t="s">
        <v>57</v>
      </c>
      <c r="K1" s="39" t="s">
        <v>100</v>
      </c>
      <c r="L1" s="39" t="s">
        <v>58</v>
      </c>
      <c r="M1" s="39" t="s">
        <v>32</v>
      </c>
      <c r="N1" s="39" t="s">
        <v>5</v>
      </c>
      <c r="O1" s="39" t="s">
        <v>4</v>
      </c>
      <c r="P1" s="39" t="s">
        <v>119</v>
      </c>
      <c r="Q1" s="40" t="s">
        <v>7</v>
      </c>
      <c r="R1" s="40" t="s">
        <v>79</v>
      </c>
      <c r="S1" s="40" t="s">
        <v>80</v>
      </c>
      <c r="T1" s="39" t="s">
        <v>77</v>
      </c>
      <c r="U1" s="371" t="s">
        <v>236</v>
      </c>
      <c r="V1" s="371" t="s">
        <v>237</v>
      </c>
      <c r="W1" s="371" t="s">
        <v>238</v>
      </c>
      <c r="X1" s="371" t="s">
        <v>239</v>
      </c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</row>
    <row r="2" spans="1:44">
      <c r="A2" s="27">
        <v>45017</v>
      </c>
      <c r="B2" s="410">
        <f>IF(YEAR(Table7[[#This Row],[Date]]) = 2023, WEEKNUM(Table7[[#This Row],[Date]])-13, WEEKNUM(Table7[[#This Row],[Date]])+40)</f>
        <v>0</v>
      </c>
      <c r="C2" s="33" t="s">
        <v>54</v>
      </c>
      <c r="D2" s="62" t="s">
        <v>94</v>
      </c>
      <c r="E2" s="31">
        <v>212</v>
      </c>
      <c r="F2" s="31">
        <v>206</v>
      </c>
      <c r="G2" s="63">
        <v>-0.28619528619528617</v>
      </c>
      <c r="H2" s="63">
        <v>-0.16599190283400811</v>
      </c>
      <c r="I2" s="31">
        <v>212</v>
      </c>
      <c r="J2" s="31">
        <v>206</v>
      </c>
      <c r="K2" s="31">
        <v>212</v>
      </c>
      <c r="L2" s="31">
        <v>206</v>
      </c>
      <c r="M2" s="67">
        <v>0.92</v>
      </c>
      <c r="N2" s="67">
        <v>0.03</v>
      </c>
      <c r="O2" s="67">
        <v>0.97</v>
      </c>
      <c r="P2" s="67">
        <v>0.47</v>
      </c>
      <c r="Q2" s="86">
        <v>0.95</v>
      </c>
      <c r="R2" s="284">
        <v>154</v>
      </c>
      <c r="S2" s="167">
        <v>1.1111111111111112E-2</v>
      </c>
      <c r="T2" s="172">
        <v>3</v>
      </c>
      <c r="U2" s="66" t="str">
        <f>IF(OR(H2&lt;$AJ$5,H2&gt;$AK$5), "Outlier", "Normal")</f>
        <v>Outlier</v>
      </c>
      <c r="V2" s="66" t="str">
        <f>IF(OR(I2&lt;$AJ$6,I2&gt;$AK$6), "Outlier", "Normal")</f>
        <v>Normal</v>
      </c>
      <c r="W2" s="19">
        <f>IF(U2="Normal",$G2,IF($G2&lt;150%, $G2, $AA$9))</f>
        <v>-0.28619528619528617</v>
      </c>
      <c r="X2" s="19">
        <f t="shared" ref="X2:X11" si="0">IF(V2="Normal",$H2,IF($H2&lt;150%, $H2, $AN$9))</f>
        <v>-0.16599190283400811</v>
      </c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</row>
    <row r="3" spans="1:44">
      <c r="A3" s="27">
        <v>45018</v>
      </c>
      <c r="B3" s="410">
        <f>IF(YEAR(Table7[[#This Row],[Date]]) = 2023, WEEKNUM(Table7[[#This Row],[Date]])-13, WEEKNUM(Table7[[#This Row],[Date]])+40)</f>
        <v>1</v>
      </c>
      <c r="C3" s="34" t="s">
        <v>48</v>
      </c>
      <c r="D3" s="62" t="s">
        <v>94</v>
      </c>
      <c r="E3" s="1">
        <v>0</v>
      </c>
      <c r="F3" s="1">
        <v>0</v>
      </c>
      <c r="G3" s="64">
        <v>0</v>
      </c>
      <c r="H3" s="64">
        <v>0</v>
      </c>
      <c r="I3" s="1">
        <v>0</v>
      </c>
      <c r="J3" s="1">
        <v>0</v>
      </c>
      <c r="K3" s="1">
        <v>0</v>
      </c>
      <c r="L3" s="1">
        <v>0</v>
      </c>
      <c r="M3" s="66">
        <v>0</v>
      </c>
      <c r="N3" s="66">
        <v>0</v>
      </c>
      <c r="O3" s="66">
        <v>0</v>
      </c>
      <c r="P3" s="66">
        <v>0</v>
      </c>
      <c r="Q3" s="87">
        <v>0</v>
      </c>
      <c r="R3" s="285">
        <v>0</v>
      </c>
      <c r="S3" s="145">
        <v>0</v>
      </c>
      <c r="T3" s="113">
        <v>0</v>
      </c>
      <c r="U3" s="66" t="str">
        <f t="shared" ref="U3:U66" si="1">IF(OR(H3&lt;$AJ$5,H3&gt;$AK$5), "Outlier", "Normal")</f>
        <v>Normal</v>
      </c>
      <c r="V3" s="66" t="str">
        <f t="shared" ref="V3:V66" si="2">IF(OR(I3&lt;$AJ$6,I3&gt;$AK$6), "Outlier", "Normal")</f>
        <v>Normal</v>
      </c>
      <c r="W3" s="19">
        <f t="shared" ref="W3:W66" si="3">IF(U3="Normal",$G3,IF($G3&lt;150%, $G3, $AA$9))</f>
        <v>0</v>
      </c>
      <c r="X3" s="19">
        <f t="shared" si="0"/>
        <v>0</v>
      </c>
      <c r="Y3" s="369"/>
      <c r="Z3" s="431" t="s">
        <v>240</v>
      </c>
      <c r="AA3" s="431"/>
      <c r="AB3" s="431"/>
      <c r="AC3"/>
      <c r="AD3" s="431" t="s">
        <v>241</v>
      </c>
      <c r="AE3" s="431"/>
      <c r="AF3" s="369"/>
      <c r="AG3" s="431" t="s">
        <v>242</v>
      </c>
      <c r="AH3" s="431"/>
      <c r="AI3" s="369"/>
      <c r="AK3" s="6" t="s">
        <v>65</v>
      </c>
      <c r="AL3" s="7" t="s">
        <v>66</v>
      </c>
      <c r="AM3" s="93" t="s">
        <v>67</v>
      </c>
      <c r="AQ3" t="s">
        <v>68</v>
      </c>
      <c r="AR3" s="16">
        <v>44655</v>
      </c>
    </row>
    <row r="4" spans="1:44">
      <c r="A4" s="27">
        <v>45019</v>
      </c>
      <c r="B4" s="410">
        <f>IF(YEAR(Table7[[#This Row],[Date]]) = 2023, WEEKNUM(Table7[[#This Row],[Date]])-13, WEEKNUM(Table7[[#This Row],[Date]])+40)</f>
        <v>1</v>
      </c>
      <c r="C4" s="33" t="s">
        <v>49</v>
      </c>
      <c r="D4" s="62" t="s">
        <v>94</v>
      </c>
      <c r="E4" s="31">
        <v>429</v>
      </c>
      <c r="F4" s="31">
        <v>385</v>
      </c>
      <c r="G4" s="63">
        <v>-4.6666666666666669E-2</v>
      </c>
      <c r="H4" s="63">
        <v>-5.1724137931034482E-2</v>
      </c>
      <c r="I4" s="31">
        <v>641</v>
      </c>
      <c r="J4" s="31">
        <v>591</v>
      </c>
      <c r="K4" s="31">
        <v>641</v>
      </c>
      <c r="L4" s="31">
        <v>591</v>
      </c>
      <c r="M4" s="67">
        <v>0.85</v>
      </c>
      <c r="N4" s="67">
        <v>0.1</v>
      </c>
      <c r="O4" s="67">
        <v>0.9</v>
      </c>
      <c r="P4" s="67">
        <v>0.44</v>
      </c>
      <c r="Q4" s="86">
        <v>0.95</v>
      </c>
      <c r="R4" s="286">
        <v>170</v>
      </c>
      <c r="S4" s="168">
        <v>7.7083333333333337E-2</v>
      </c>
      <c r="T4" s="113">
        <v>6</v>
      </c>
      <c r="U4" s="66" t="str">
        <f t="shared" si="1"/>
        <v>Outlier</v>
      </c>
      <c r="V4" s="66" t="str">
        <f t="shared" si="2"/>
        <v>Normal</v>
      </c>
      <c r="W4" s="19">
        <f t="shared" si="3"/>
        <v>-4.6666666666666669E-2</v>
      </c>
      <c r="X4" s="19">
        <f t="shared" si="0"/>
        <v>-5.1724137931034482E-2</v>
      </c>
      <c r="Y4" s="369"/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-7.0443238353686113E-2</v>
      </c>
      <c r="AF4" s="369"/>
      <c r="AG4" s="1" t="s">
        <v>246</v>
      </c>
      <c r="AH4" s="346">
        <f>_xlfn.QUARTILE.INC(H:H, 1)</f>
        <v>-3.5029290518550658E-2</v>
      </c>
      <c r="AI4" s="369"/>
      <c r="AK4" s="27">
        <v>45020</v>
      </c>
      <c r="AL4" s="1">
        <v>1230</v>
      </c>
      <c r="AM4" s="94">
        <v>1164</v>
      </c>
      <c r="AQ4" t="s">
        <v>69</v>
      </c>
      <c r="AR4" s="16">
        <v>44668</v>
      </c>
    </row>
    <row r="5" spans="1:44">
      <c r="A5" s="27">
        <v>45020</v>
      </c>
      <c r="B5" s="410">
        <f>IF(YEAR(Table7[[#This Row],[Date]]) = 2023, WEEKNUM(Table7[[#This Row],[Date]])-13, WEEKNUM(Table7[[#This Row],[Date]])+40)</f>
        <v>1</v>
      </c>
      <c r="C5" s="34" t="s">
        <v>50</v>
      </c>
      <c r="D5" s="62" t="s">
        <v>94</v>
      </c>
      <c r="E5" s="1">
        <v>173</v>
      </c>
      <c r="F5" s="1">
        <v>173</v>
      </c>
      <c r="G5" s="64">
        <v>-0.58809523809523812</v>
      </c>
      <c r="H5" s="64">
        <v>-0.5620253164556962</v>
      </c>
      <c r="I5" s="1">
        <v>814</v>
      </c>
      <c r="J5" s="1">
        <v>764</v>
      </c>
      <c r="K5" s="1">
        <v>814</v>
      </c>
      <c r="L5" s="1">
        <v>764</v>
      </c>
      <c r="M5" s="66">
        <v>0.96</v>
      </c>
      <c r="N5" s="66">
        <v>0</v>
      </c>
      <c r="O5" s="66">
        <v>1</v>
      </c>
      <c r="P5" s="66">
        <v>0.3</v>
      </c>
      <c r="Q5" s="87">
        <v>0.96</v>
      </c>
      <c r="R5" s="285">
        <v>170</v>
      </c>
      <c r="S5" s="145">
        <v>1.3194444444444444E-2</v>
      </c>
      <c r="T5" s="113">
        <v>5</v>
      </c>
      <c r="U5" s="66" t="str">
        <f t="shared" si="1"/>
        <v>Outlier</v>
      </c>
      <c r="V5" s="66" t="str">
        <f t="shared" si="2"/>
        <v>Normal</v>
      </c>
      <c r="W5" s="19">
        <f t="shared" si="3"/>
        <v>-0.58809523809523812</v>
      </c>
      <c r="X5" s="19">
        <f t="shared" si="0"/>
        <v>-0.5620253164556962</v>
      </c>
      <c r="Y5" s="369"/>
      <c r="Z5" s="218" t="s">
        <v>247</v>
      </c>
      <c r="AA5" s="19">
        <f>AE4-1.5*AE6</f>
        <v>-0.21787356372938443</v>
      </c>
      <c r="AB5" s="19">
        <f>AE5+1.5*AE6</f>
        <v>0.1752739706058111</v>
      </c>
      <c r="AC5"/>
      <c r="AD5" s="1" t="s">
        <v>248</v>
      </c>
      <c r="AE5" s="346">
        <f>_xlfn.QUARTILE.INC(G:G, 3)</f>
        <v>2.7843645230112769E-2</v>
      </c>
      <c r="AF5" s="369"/>
      <c r="AG5" s="1" t="s">
        <v>248</v>
      </c>
      <c r="AH5" s="346">
        <f>_xlfn.QUARTILE.INC(H:H, 3)</f>
        <v>2.7149321266968326E-2</v>
      </c>
      <c r="AI5" s="369"/>
      <c r="AK5" s="27">
        <v>45027</v>
      </c>
      <c r="AL5" s="1">
        <v>2482</v>
      </c>
      <c r="AM5" s="94">
        <v>2354</v>
      </c>
    </row>
    <row r="6" spans="1:44">
      <c r="A6" s="27">
        <v>45021</v>
      </c>
      <c r="B6" s="410">
        <f>IF(YEAR(Table7[[#This Row],[Date]]) = 2023, WEEKNUM(Table7[[#This Row],[Date]])-13, WEEKNUM(Table7[[#This Row],[Date]])+40)</f>
        <v>1</v>
      </c>
      <c r="C6" s="33" t="s">
        <v>51</v>
      </c>
      <c r="D6" s="62" t="s">
        <v>94</v>
      </c>
      <c r="E6" s="31">
        <v>403</v>
      </c>
      <c r="F6" s="31">
        <v>387</v>
      </c>
      <c r="G6" s="63">
        <v>-3.125E-2</v>
      </c>
      <c r="H6" s="63">
        <v>-2.5773195876288659E-3</v>
      </c>
      <c r="I6" s="1">
        <v>1217</v>
      </c>
      <c r="J6" s="1">
        <v>1151</v>
      </c>
      <c r="K6" s="1">
        <v>1217</v>
      </c>
      <c r="L6" s="1">
        <v>1151</v>
      </c>
      <c r="M6" s="67">
        <v>0.85</v>
      </c>
      <c r="N6" s="67">
        <v>0.04</v>
      </c>
      <c r="O6" s="67">
        <v>0.96</v>
      </c>
      <c r="P6" s="67">
        <v>0.53</v>
      </c>
      <c r="Q6" s="86">
        <v>0.98</v>
      </c>
      <c r="R6" s="286">
        <v>171</v>
      </c>
      <c r="S6" s="168">
        <v>2.9166666666666664E-2</v>
      </c>
      <c r="T6" s="113">
        <v>5</v>
      </c>
      <c r="U6" s="66" t="str">
        <f t="shared" si="1"/>
        <v>Outlier</v>
      </c>
      <c r="V6" s="66" t="str">
        <f t="shared" si="2"/>
        <v>Normal</v>
      </c>
      <c r="W6" s="19">
        <f t="shared" si="3"/>
        <v>-3.125E-2</v>
      </c>
      <c r="X6" s="19">
        <f t="shared" si="0"/>
        <v>-2.5773195876288659E-3</v>
      </c>
      <c r="Y6" s="369"/>
      <c r="Z6" s="218" t="s">
        <v>34</v>
      </c>
      <c r="AA6" s="19">
        <f>AH4-1.5*AH6</f>
        <v>-0.12829720819682913</v>
      </c>
      <c r="AB6" s="19">
        <f>AH5+1.5*AH6</f>
        <v>0.12041723894524681</v>
      </c>
      <c r="AC6"/>
      <c r="AD6" s="65" t="s">
        <v>249</v>
      </c>
      <c r="AE6" s="347">
        <f>AE5-AE4</f>
        <v>9.828688358379889E-2</v>
      </c>
      <c r="AF6" s="369"/>
      <c r="AG6" s="65" t="s">
        <v>249</v>
      </c>
      <c r="AH6" s="347">
        <f>AH5-AH4</f>
        <v>6.2178611785518985E-2</v>
      </c>
      <c r="AI6" s="369"/>
      <c r="AK6" s="27">
        <v>45034</v>
      </c>
      <c r="AL6" s="1">
        <v>441</v>
      </c>
      <c r="AM6" s="94">
        <v>422</v>
      </c>
    </row>
    <row r="7" spans="1:44">
      <c r="A7" s="27">
        <v>45022</v>
      </c>
      <c r="B7" s="410">
        <f>IF(YEAR(Table7[[#This Row],[Date]]) = 2023, WEEKNUM(Table7[[#This Row],[Date]])-13, WEEKNUM(Table7[[#This Row],[Date]])+40)</f>
        <v>1</v>
      </c>
      <c r="C7" s="34" t="s">
        <v>52</v>
      </c>
      <c r="D7" s="62" t="s">
        <v>94</v>
      </c>
      <c r="E7" s="1">
        <v>370</v>
      </c>
      <c r="F7" s="1">
        <v>355</v>
      </c>
      <c r="G7" s="64">
        <v>8.5043988269794715E-2</v>
      </c>
      <c r="H7" s="64">
        <v>8.2317073170731711E-2</v>
      </c>
      <c r="I7" s="1">
        <v>1587</v>
      </c>
      <c r="J7" s="1">
        <v>1506</v>
      </c>
      <c r="K7" s="1">
        <v>1587</v>
      </c>
      <c r="L7" s="1">
        <v>1506</v>
      </c>
      <c r="M7" s="66">
        <v>0.93</v>
      </c>
      <c r="N7" s="66">
        <v>0.04</v>
      </c>
      <c r="O7" s="66">
        <v>0.96</v>
      </c>
      <c r="P7" s="66">
        <v>0.65</v>
      </c>
      <c r="Q7" s="87">
        <v>0.97</v>
      </c>
      <c r="R7" s="285">
        <v>162</v>
      </c>
      <c r="S7" s="145">
        <v>1.8749999999999999E-2</v>
      </c>
      <c r="T7" s="113">
        <v>5</v>
      </c>
      <c r="U7" s="66" t="str">
        <f t="shared" si="1"/>
        <v>Normal</v>
      </c>
      <c r="V7" s="66" t="str">
        <f t="shared" si="2"/>
        <v>Normal</v>
      </c>
      <c r="W7" s="19">
        <f t="shared" si="3"/>
        <v>8.5043988269794715E-2</v>
      </c>
      <c r="X7" s="19">
        <f t="shared" si="0"/>
        <v>8.2317073170731711E-2</v>
      </c>
      <c r="Y7" s="369"/>
      <c r="Z7"/>
      <c r="AA7"/>
      <c r="AB7"/>
      <c r="AC7"/>
      <c r="AD7"/>
      <c r="AE7"/>
      <c r="AF7" s="369"/>
      <c r="AG7" s="369"/>
      <c r="AH7" s="369"/>
      <c r="AI7" s="369"/>
      <c r="AK7" s="27">
        <v>45041</v>
      </c>
      <c r="AL7" s="1">
        <v>0</v>
      </c>
      <c r="AM7" s="94">
        <v>0</v>
      </c>
    </row>
    <row r="8" spans="1:44">
      <c r="A8" s="27">
        <v>45023</v>
      </c>
      <c r="B8" s="410">
        <f>IF(YEAR(Table7[[#This Row],[Date]]) = 2023, WEEKNUM(Table7[[#This Row],[Date]])-13, WEEKNUM(Table7[[#This Row],[Date]])+40)</f>
        <v>1</v>
      </c>
      <c r="C8" s="33" t="s">
        <v>64</v>
      </c>
      <c r="D8" s="62" t="s">
        <v>94</v>
      </c>
      <c r="E8" s="31">
        <v>0</v>
      </c>
      <c r="F8" s="31">
        <v>0</v>
      </c>
      <c r="G8" s="63">
        <v>0</v>
      </c>
      <c r="H8" s="63">
        <v>0</v>
      </c>
      <c r="I8" s="31">
        <v>0</v>
      </c>
      <c r="J8" s="31">
        <v>0</v>
      </c>
      <c r="K8" s="31">
        <v>0</v>
      </c>
      <c r="L8" s="31">
        <v>0</v>
      </c>
      <c r="M8" s="67">
        <v>0</v>
      </c>
      <c r="N8" s="67">
        <v>0</v>
      </c>
      <c r="O8" s="67">
        <v>0</v>
      </c>
      <c r="P8" s="67">
        <v>0</v>
      </c>
      <c r="Q8" s="86">
        <v>0</v>
      </c>
      <c r="R8" s="286">
        <v>0</v>
      </c>
      <c r="S8" s="168">
        <v>0</v>
      </c>
      <c r="T8" s="113">
        <v>0</v>
      </c>
      <c r="U8" s="66" t="str">
        <f t="shared" si="1"/>
        <v>Normal</v>
      </c>
      <c r="V8" s="66" t="str">
        <f t="shared" si="2"/>
        <v>Normal</v>
      </c>
      <c r="W8" s="19">
        <f t="shared" si="3"/>
        <v>0</v>
      </c>
      <c r="X8" s="19">
        <f t="shared" si="0"/>
        <v>0</v>
      </c>
      <c r="Y8" s="369"/>
      <c r="Z8" s="432" t="s">
        <v>250</v>
      </c>
      <c r="AA8" s="433"/>
      <c r="AB8"/>
      <c r="AC8"/>
      <c r="AD8" s="432" t="s">
        <v>251</v>
      </c>
      <c r="AE8" s="433"/>
      <c r="AF8" s="369"/>
      <c r="AG8" s="369"/>
      <c r="AH8" s="369"/>
      <c r="AI8" s="369"/>
      <c r="AK8" s="27">
        <v>45048</v>
      </c>
      <c r="AL8" s="1">
        <v>0</v>
      </c>
      <c r="AM8" s="94">
        <v>0</v>
      </c>
    </row>
    <row r="9" spans="1:44">
      <c r="A9" s="27">
        <v>45024</v>
      </c>
      <c r="B9" s="410">
        <f>IF(YEAR(Table7[[#This Row],[Date]]) = 2023, WEEKNUM(Table7[[#This Row],[Date]])-13, WEEKNUM(Table7[[#This Row],[Date]])+40)</f>
        <v>1</v>
      </c>
      <c r="C9" s="34" t="s">
        <v>54</v>
      </c>
      <c r="D9" s="62" t="s">
        <v>94</v>
      </c>
      <c r="E9" s="1">
        <v>284</v>
      </c>
      <c r="F9" s="1">
        <v>249</v>
      </c>
      <c r="G9" s="64">
        <v>0.33962264150943394</v>
      </c>
      <c r="H9" s="64">
        <v>0.20873786407766989</v>
      </c>
      <c r="I9" s="1">
        <v>1871</v>
      </c>
      <c r="J9" s="1">
        <v>1755</v>
      </c>
      <c r="K9" s="1">
        <v>1871</v>
      </c>
      <c r="L9" s="1">
        <v>1755</v>
      </c>
      <c r="M9" s="66">
        <v>0.65</v>
      </c>
      <c r="N9" s="66">
        <v>0.12</v>
      </c>
      <c r="O9" s="66">
        <v>0.88</v>
      </c>
      <c r="P9" s="66">
        <v>0.56999999999999995</v>
      </c>
      <c r="Q9" s="87">
        <v>0.96</v>
      </c>
      <c r="R9" s="285">
        <v>482</v>
      </c>
      <c r="S9" s="145">
        <v>4</v>
      </c>
      <c r="T9" s="113">
        <v>4</v>
      </c>
      <c r="U9" s="66" t="str">
        <f t="shared" si="1"/>
        <v>Normal</v>
      </c>
      <c r="V9" s="66" t="str">
        <f t="shared" si="2"/>
        <v>Normal</v>
      </c>
      <c r="W9" s="19">
        <f t="shared" si="3"/>
        <v>0.33962264150943394</v>
      </c>
      <c r="X9" s="19">
        <f t="shared" si="0"/>
        <v>0.20873786407766989</v>
      </c>
      <c r="Y9" s="369"/>
      <c r="Z9" s="1" t="s">
        <v>252</v>
      </c>
      <c r="AA9" s="64">
        <f>AVERAGEIF(G2:G367, "&lt;&gt;0")</f>
        <v>1.1291012420694808E-2</v>
      </c>
      <c r="AB9"/>
      <c r="AC9"/>
      <c r="AD9" s="1" t="s">
        <v>252</v>
      </c>
      <c r="AE9" s="64">
        <f>AVERAGEIF(H2:H367, "&lt;&gt;0")</f>
        <v>-1.1557454953516498E-2</v>
      </c>
      <c r="AF9" s="369"/>
      <c r="AG9" s="369"/>
      <c r="AH9" s="369"/>
      <c r="AI9" s="369"/>
      <c r="AK9" s="27">
        <v>45055</v>
      </c>
      <c r="AL9" s="1">
        <v>0</v>
      </c>
      <c r="AM9" s="94">
        <v>0</v>
      </c>
    </row>
    <row r="10" spans="1:44">
      <c r="A10" s="27">
        <v>45025</v>
      </c>
      <c r="B10" s="410">
        <f>IF(YEAR(Table7[[#This Row],[Date]]) = 2023, WEEKNUM(Table7[[#This Row],[Date]])-13, WEEKNUM(Table7[[#This Row],[Date]])+40)</f>
        <v>2</v>
      </c>
      <c r="C10" s="33" t="s">
        <v>48</v>
      </c>
      <c r="D10" s="62" t="s">
        <v>94</v>
      </c>
      <c r="E10" s="31">
        <v>0</v>
      </c>
      <c r="F10" s="31">
        <v>0</v>
      </c>
      <c r="G10" s="63">
        <v>0</v>
      </c>
      <c r="H10" s="63">
        <v>0</v>
      </c>
      <c r="I10" s="31">
        <v>0</v>
      </c>
      <c r="J10" s="31">
        <v>0</v>
      </c>
      <c r="K10" s="31">
        <v>0</v>
      </c>
      <c r="L10" s="31">
        <v>0</v>
      </c>
      <c r="M10" s="67">
        <v>0</v>
      </c>
      <c r="N10" s="67">
        <v>0</v>
      </c>
      <c r="O10" s="67">
        <v>0</v>
      </c>
      <c r="P10" s="67">
        <v>0</v>
      </c>
      <c r="Q10" s="86">
        <v>0</v>
      </c>
      <c r="R10" s="286">
        <v>0</v>
      </c>
      <c r="S10" s="168">
        <v>0</v>
      </c>
      <c r="T10" s="113">
        <v>0</v>
      </c>
      <c r="U10" s="66" t="str">
        <f t="shared" si="1"/>
        <v>Normal</v>
      </c>
      <c r="V10" s="66" t="str">
        <f t="shared" si="2"/>
        <v>Normal</v>
      </c>
      <c r="W10" s="19">
        <f t="shared" si="3"/>
        <v>0</v>
      </c>
      <c r="X10" s="19">
        <f t="shared" si="0"/>
        <v>0</v>
      </c>
      <c r="Y10" s="369"/>
      <c r="Z10" s="1" t="s">
        <v>253</v>
      </c>
      <c r="AA10" s="19">
        <f>MEDIAN(G2:G367)</f>
        <v>0</v>
      </c>
      <c r="AB10"/>
      <c r="AC10"/>
      <c r="AD10" s="1" t="s">
        <v>253</v>
      </c>
      <c r="AE10" s="19">
        <f>MEDIAN(H2:H367)</f>
        <v>0</v>
      </c>
      <c r="AF10" s="369"/>
      <c r="AG10" s="369"/>
      <c r="AH10" s="369"/>
      <c r="AI10" s="369"/>
      <c r="AK10" s="27">
        <v>45062</v>
      </c>
      <c r="AL10" s="1">
        <v>0</v>
      </c>
      <c r="AM10" s="94">
        <v>0</v>
      </c>
    </row>
    <row r="11" spans="1:44">
      <c r="A11" s="27">
        <v>45026</v>
      </c>
      <c r="B11" s="410">
        <f>IF(YEAR(Table7[[#This Row],[Date]]) = 2023, WEEKNUM(Table7[[#This Row],[Date]])-13, WEEKNUM(Table7[[#This Row],[Date]])+40)</f>
        <v>2</v>
      </c>
      <c r="C11" s="34" t="s">
        <v>64</v>
      </c>
      <c r="D11" s="62" t="s">
        <v>94</v>
      </c>
      <c r="E11" s="1">
        <v>0</v>
      </c>
      <c r="F11" s="1">
        <v>0</v>
      </c>
      <c r="G11" s="64">
        <v>0</v>
      </c>
      <c r="H11" s="64">
        <v>0</v>
      </c>
      <c r="I11" s="1">
        <v>0</v>
      </c>
      <c r="J11" s="1">
        <v>0</v>
      </c>
      <c r="K11" s="1">
        <v>0</v>
      </c>
      <c r="L11" s="1">
        <v>0</v>
      </c>
      <c r="M11" s="120">
        <v>0</v>
      </c>
      <c r="N11" s="120">
        <v>0</v>
      </c>
      <c r="O11" s="120">
        <v>0</v>
      </c>
      <c r="P11" s="120">
        <v>0</v>
      </c>
      <c r="Q11" s="175">
        <v>0</v>
      </c>
      <c r="R11" s="287">
        <v>0</v>
      </c>
      <c r="S11" s="176">
        <v>0</v>
      </c>
      <c r="T11" s="177">
        <v>0</v>
      </c>
      <c r="U11" s="120" t="str">
        <f t="shared" si="1"/>
        <v>Normal</v>
      </c>
      <c r="V11" s="120" t="str">
        <f t="shared" si="2"/>
        <v>Normal</v>
      </c>
      <c r="W11" s="19">
        <f t="shared" si="3"/>
        <v>0</v>
      </c>
      <c r="X11" s="81">
        <f t="shared" si="0"/>
        <v>0</v>
      </c>
      <c r="Y11" s="369"/>
      <c r="Z11" s="1" t="s">
        <v>254</v>
      </c>
      <c r="AA11" s="17">
        <f>_xlfn.MODE.SNGL(G2:G123)</f>
        <v>0</v>
      </c>
      <c r="AB11"/>
      <c r="AC11"/>
      <c r="AD11" s="1" t="s">
        <v>254</v>
      </c>
      <c r="AE11" s="1">
        <f>_xlfn.MODE.SNGL(J2:J123)</f>
        <v>0</v>
      </c>
      <c r="AF11" s="369"/>
      <c r="AG11" s="369"/>
      <c r="AH11" s="369"/>
      <c r="AI11" s="369"/>
      <c r="AK11" s="27">
        <v>45069</v>
      </c>
      <c r="AL11" s="1">
        <v>0</v>
      </c>
      <c r="AM11" s="94">
        <v>0</v>
      </c>
    </row>
    <row r="12" spans="1:44">
      <c r="A12" s="27">
        <v>45027</v>
      </c>
      <c r="B12" s="410">
        <f>IF(YEAR(Table7[[#This Row],[Date]]) = 2023, WEEKNUM(Table7[[#This Row],[Date]])-13, WEEKNUM(Table7[[#This Row],[Date]])+40)</f>
        <v>2</v>
      </c>
      <c r="C12" s="33" t="s">
        <v>50</v>
      </c>
      <c r="D12" s="62" t="s">
        <v>94</v>
      </c>
      <c r="E12" s="31">
        <v>486</v>
      </c>
      <c r="F12" s="31">
        <v>469</v>
      </c>
      <c r="G12" s="63">
        <v>1.8092485549132948</v>
      </c>
      <c r="H12" s="63">
        <v>1.7109826589595376</v>
      </c>
      <c r="I12" s="1">
        <v>2357</v>
      </c>
      <c r="J12" s="1">
        <v>2224</v>
      </c>
      <c r="K12" s="1">
        <v>2357</v>
      </c>
      <c r="L12" s="1">
        <v>2224</v>
      </c>
      <c r="M12" s="67">
        <v>0.87</v>
      </c>
      <c r="N12" s="67">
        <v>0.03</v>
      </c>
      <c r="O12" s="67">
        <v>0.97</v>
      </c>
      <c r="P12" s="67">
        <v>0.54</v>
      </c>
      <c r="Q12" s="86">
        <v>0.95</v>
      </c>
      <c r="R12" s="286">
        <v>172</v>
      </c>
      <c r="S12" s="168">
        <v>4.3055555555555562E-2</v>
      </c>
      <c r="T12" s="113">
        <v>6</v>
      </c>
      <c r="U12" s="66" t="str">
        <f t="shared" si="1"/>
        <v>Normal</v>
      </c>
      <c r="V12" s="66" t="str">
        <f t="shared" si="2"/>
        <v>Normal</v>
      </c>
      <c r="W12" s="19">
        <f>IF(U12="Normal",$G12,IF($G12&lt;150%, $G12, $AA$9))</f>
        <v>1.8092485549132948</v>
      </c>
      <c r="X12" s="19">
        <f>IF(V12="Normal",$H12,IF($H12&lt;150%, $H12, $AE$9))</f>
        <v>1.7109826589595376</v>
      </c>
      <c r="Y12" s="369"/>
      <c r="Z12" s="369"/>
      <c r="AA12" s="369"/>
      <c r="AB12" s="369"/>
      <c r="AC12" s="369"/>
      <c r="AD12" s="369"/>
      <c r="AE12" s="369"/>
      <c r="AF12" s="369"/>
      <c r="AG12" s="369"/>
      <c r="AH12" s="369"/>
      <c r="AI12" s="369"/>
      <c r="AK12" s="27">
        <v>45076</v>
      </c>
      <c r="AL12" s="1">
        <v>0</v>
      </c>
      <c r="AM12" s="94">
        <v>0</v>
      </c>
    </row>
    <row r="13" spans="1:44">
      <c r="A13" s="27">
        <v>45028</v>
      </c>
      <c r="B13" s="410">
        <f>IF(YEAR(Table7[[#This Row],[Date]]) = 2023, WEEKNUM(Table7[[#This Row],[Date]])-13, WEEKNUM(Table7[[#This Row],[Date]])+40)</f>
        <v>2</v>
      </c>
      <c r="C13" s="34" t="s">
        <v>51</v>
      </c>
      <c r="D13" s="62" t="s">
        <v>94</v>
      </c>
      <c r="E13" s="1">
        <v>439</v>
      </c>
      <c r="F13" s="1">
        <v>435</v>
      </c>
      <c r="G13" s="64">
        <v>8.9330024813895778E-2</v>
      </c>
      <c r="H13" s="64">
        <v>0.12403100775193798</v>
      </c>
      <c r="I13" s="1">
        <v>2796</v>
      </c>
      <c r="J13" s="1">
        <v>2659</v>
      </c>
      <c r="K13" s="1">
        <v>2796</v>
      </c>
      <c r="L13" s="1">
        <v>2659</v>
      </c>
      <c r="M13" s="66">
        <v>0.98</v>
      </c>
      <c r="N13" s="66">
        <v>0.01</v>
      </c>
      <c r="O13" s="66">
        <v>0.99</v>
      </c>
      <c r="P13" s="66">
        <v>0.5</v>
      </c>
      <c r="Q13" s="87">
        <v>0.94</v>
      </c>
      <c r="R13" s="285">
        <v>167</v>
      </c>
      <c r="S13" s="145">
        <v>1.0416666666666666E-2</v>
      </c>
      <c r="T13" s="113">
        <v>6</v>
      </c>
      <c r="U13" s="66" t="str">
        <f t="shared" si="1"/>
        <v>Normal</v>
      </c>
      <c r="V13" s="66" t="str">
        <f t="shared" si="2"/>
        <v>Normal</v>
      </c>
      <c r="W13" s="19">
        <f t="shared" si="3"/>
        <v>8.9330024813895778E-2</v>
      </c>
      <c r="X13" s="19">
        <f t="shared" ref="X13:X76" si="4">IF(V13="Normal",$H13,IF($H13&lt;150%, $H13, $AN$9))</f>
        <v>0.12403100775193798</v>
      </c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K13" s="27">
        <v>45083</v>
      </c>
      <c r="AL13" s="1">
        <v>0</v>
      </c>
      <c r="AM13" s="94">
        <v>0</v>
      </c>
    </row>
    <row r="14" spans="1:44">
      <c r="A14" s="27">
        <v>45029</v>
      </c>
      <c r="B14" s="410">
        <f>IF(YEAR(Table7[[#This Row],[Date]]) = 2023, WEEKNUM(Table7[[#This Row],[Date]])-13, WEEKNUM(Table7[[#This Row],[Date]])+40)</f>
        <v>2</v>
      </c>
      <c r="C14" s="33" t="s">
        <v>52</v>
      </c>
      <c r="D14" s="62" t="s">
        <v>94</v>
      </c>
      <c r="E14" s="31">
        <v>382</v>
      </c>
      <c r="F14" s="31">
        <v>353</v>
      </c>
      <c r="G14" s="64">
        <v>3.2432432432432434E-2</v>
      </c>
      <c r="H14" s="64">
        <v>-5.6338028169014088E-3</v>
      </c>
      <c r="I14" s="1">
        <v>3178</v>
      </c>
      <c r="J14" s="1">
        <v>3012</v>
      </c>
      <c r="K14" s="1">
        <v>3178</v>
      </c>
      <c r="L14" s="1">
        <v>3012</v>
      </c>
      <c r="M14" s="67">
        <v>0.86</v>
      </c>
      <c r="N14" s="67">
        <v>0.08</v>
      </c>
      <c r="O14" s="67">
        <v>0.92</v>
      </c>
      <c r="P14" s="67">
        <v>0.49</v>
      </c>
      <c r="Q14" s="86">
        <v>0.96</v>
      </c>
      <c r="R14" s="286">
        <v>183</v>
      </c>
      <c r="S14" s="168">
        <v>2.7083333333333334E-2</v>
      </c>
      <c r="T14" s="113">
        <v>5</v>
      </c>
      <c r="U14" s="66" t="str">
        <f t="shared" si="1"/>
        <v>Outlier</v>
      </c>
      <c r="V14" s="66" t="str">
        <f t="shared" si="2"/>
        <v>Normal</v>
      </c>
      <c r="W14" s="19">
        <f t="shared" si="3"/>
        <v>3.2432432432432434E-2</v>
      </c>
      <c r="X14" s="19">
        <f t="shared" si="4"/>
        <v>-5.6338028169014088E-3</v>
      </c>
      <c r="Y14" s="369"/>
      <c r="Z14" s="369"/>
      <c r="AA14" s="369"/>
      <c r="AB14" s="369"/>
      <c r="AC14" s="369"/>
      <c r="AD14" s="369"/>
      <c r="AE14" s="369"/>
      <c r="AF14" s="369"/>
      <c r="AG14" s="369"/>
      <c r="AH14" s="369"/>
      <c r="AI14" s="369"/>
      <c r="AK14" s="27">
        <v>45090</v>
      </c>
      <c r="AL14" s="1">
        <v>0</v>
      </c>
      <c r="AM14" s="94">
        <v>0</v>
      </c>
    </row>
    <row r="15" spans="1:44">
      <c r="A15" s="27">
        <v>45030</v>
      </c>
      <c r="B15" s="410">
        <f>IF(YEAR(Table7[[#This Row],[Date]]) = 2023, WEEKNUM(Table7[[#This Row],[Date]])-13, WEEKNUM(Table7[[#This Row],[Date]])+40)</f>
        <v>2</v>
      </c>
      <c r="C15" s="34" t="s">
        <v>53</v>
      </c>
      <c r="D15" s="62" t="s">
        <v>94</v>
      </c>
      <c r="E15" s="1">
        <v>422</v>
      </c>
      <c r="F15" s="1">
        <v>395</v>
      </c>
      <c r="G15" s="64">
        <v>0</v>
      </c>
      <c r="H15" s="64">
        <v>0</v>
      </c>
      <c r="I15" s="1">
        <v>3600</v>
      </c>
      <c r="J15" s="1">
        <v>3407</v>
      </c>
      <c r="K15" s="1">
        <v>3600</v>
      </c>
      <c r="L15" s="1">
        <v>3407</v>
      </c>
      <c r="M15" s="66">
        <v>0.88</v>
      </c>
      <c r="N15" s="66">
        <v>0.06</v>
      </c>
      <c r="O15" s="66">
        <v>0.94</v>
      </c>
      <c r="P15" s="66">
        <v>0.54</v>
      </c>
      <c r="Q15" s="87">
        <v>0.94</v>
      </c>
      <c r="R15" s="285">
        <v>170</v>
      </c>
      <c r="S15" s="145">
        <v>2.1527777777777781E-2</v>
      </c>
      <c r="T15" s="113">
        <v>5</v>
      </c>
      <c r="U15" s="66" t="str">
        <f t="shared" si="1"/>
        <v>Normal</v>
      </c>
      <c r="V15" s="66" t="str">
        <f t="shared" si="2"/>
        <v>Normal</v>
      </c>
      <c r="W15" s="19">
        <f t="shared" si="3"/>
        <v>0</v>
      </c>
      <c r="X15" s="19">
        <f t="shared" si="4"/>
        <v>0</v>
      </c>
      <c r="Y15" s="369"/>
      <c r="Z15" s="369"/>
      <c r="AA15" s="369"/>
      <c r="AB15" s="369"/>
      <c r="AC15" s="369"/>
      <c r="AD15" s="369"/>
      <c r="AE15" s="369"/>
      <c r="AF15" s="369"/>
      <c r="AG15" s="369"/>
      <c r="AH15" s="369"/>
      <c r="AI15" s="369"/>
      <c r="AK15" s="27">
        <v>45097</v>
      </c>
      <c r="AL15" s="1">
        <v>0</v>
      </c>
      <c r="AM15" s="94">
        <v>0</v>
      </c>
    </row>
    <row r="16" spans="1:44">
      <c r="A16" s="27">
        <v>45031</v>
      </c>
      <c r="B16" s="410">
        <f>IF(YEAR(Table7[[#This Row],[Date]]) = 2023, WEEKNUM(Table7[[#This Row],[Date]])-13, WEEKNUM(Table7[[#This Row],[Date]])+40)</f>
        <v>2</v>
      </c>
      <c r="C16" s="33" t="s">
        <v>54</v>
      </c>
      <c r="D16" s="62" t="s">
        <v>94</v>
      </c>
      <c r="E16" s="31">
        <v>230</v>
      </c>
      <c r="F16" s="31">
        <v>206</v>
      </c>
      <c r="G16" s="64">
        <v>-0.19014084507042253</v>
      </c>
      <c r="H16" s="64">
        <v>-0.17269076305220885</v>
      </c>
      <c r="I16" s="1">
        <v>3830</v>
      </c>
      <c r="J16" s="1">
        <v>3613</v>
      </c>
      <c r="K16" s="1">
        <v>3830</v>
      </c>
      <c r="L16" s="1">
        <v>3613</v>
      </c>
      <c r="M16" s="67">
        <v>0.82</v>
      </c>
      <c r="N16" s="67">
        <v>0.1</v>
      </c>
      <c r="O16" s="67">
        <v>0.9</v>
      </c>
      <c r="P16" s="67">
        <v>0.36</v>
      </c>
      <c r="Q16" s="86">
        <v>0.97</v>
      </c>
      <c r="R16" s="286">
        <v>162</v>
      </c>
      <c r="S16" s="168">
        <v>1.4583333333333332E-2</v>
      </c>
      <c r="T16" s="113">
        <v>4</v>
      </c>
      <c r="U16" s="66" t="str">
        <f t="shared" si="1"/>
        <v>Outlier</v>
      </c>
      <c r="V16" s="66" t="str">
        <f t="shared" si="2"/>
        <v>Normal</v>
      </c>
      <c r="W16" s="19">
        <f t="shared" si="3"/>
        <v>-0.19014084507042253</v>
      </c>
      <c r="X16" s="19">
        <f t="shared" si="4"/>
        <v>-0.17269076305220885</v>
      </c>
      <c r="Y16" s="369"/>
      <c r="Z16" s="369"/>
      <c r="AA16" s="369"/>
      <c r="AB16" s="369"/>
      <c r="AC16" s="369"/>
      <c r="AD16" s="369"/>
      <c r="AE16" s="369"/>
      <c r="AF16" s="369"/>
      <c r="AG16" s="369"/>
      <c r="AH16" s="369"/>
      <c r="AI16" s="369"/>
      <c r="AK16" s="27">
        <v>45104</v>
      </c>
      <c r="AL16" s="1">
        <v>0</v>
      </c>
      <c r="AM16" s="94">
        <v>0</v>
      </c>
    </row>
    <row r="17" spans="1:39">
      <c r="A17" s="27">
        <v>45032</v>
      </c>
      <c r="B17" s="410">
        <f>IF(YEAR(Table7[[#This Row],[Date]]) = 2023, WEEKNUM(Table7[[#This Row],[Date]])-13, WEEKNUM(Table7[[#This Row],[Date]])+40)</f>
        <v>3</v>
      </c>
      <c r="C17" s="34" t="s">
        <v>48</v>
      </c>
      <c r="D17" s="62" t="s">
        <v>94</v>
      </c>
      <c r="E17" s="1">
        <v>0</v>
      </c>
      <c r="F17" s="1">
        <v>0</v>
      </c>
      <c r="G17" s="64">
        <v>0</v>
      </c>
      <c r="H17" s="64">
        <v>0</v>
      </c>
      <c r="I17" s="1">
        <v>0</v>
      </c>
      <c r="J17" s="1">
        <v>0</v>
      </c>
      <c r="K17" s="1">
        <v>0</v>
      </c>
      <c r="L17" s="1">
        <v>0</v>
      </c>
      <c r="M17" s="66">
        <v>0</v>
      </c>
      <c r="N17" s="66">
        <v>0</v>
      </c>
      <c r="O17" s="66">
        <v>0</v>
      </c>
      <c r="P17" s="66">
        <v>0</v>
      </c>
      <c r="Q17" s="87">
        <v>0</v>
      </c>
      <c r="R17" s="285">
        <v>0</v>
      </c>
      <c r="S17" s="145">
        <v>0</v>
      </c>
      <c r="T17" s="113">
        <v>0</v>
      </c>
      <c r="U17" s="66" t="str">
        <f t="shared" si="1"/>
        <v>Normal</v>
      </c>
      <c r="V17" s="66" t="str">
        <f t="shared" si="2"/>
        <v>Normal</v>
      </c>
      <c r="W17" s="19">
        <f t="shared" si="3"/>
        <v>0</v>
      </c>
      <c r="X17" s="19">
        <f t="shared" si="4"/>
        <v>0</v>
      </c>
      <c r="Y17" s="369"/>
      <c r="Z17" s="369"/>
      <c r="AA17" s="369"/>
      <c r="AB17" s="369"/>
      <c r="AC17" s="369"/>
      <c r="AD17" s="369"/>
      <c r="AE17" s="369"/>
      <c r="AF17" s="369"/>
      <c r="AG17" s="369"/>
      <c r="AH17" s="369"/>
      <c r="AI17" s="369"/>
      <c r="AK17" s="27">
        <v>45111</v>
      </c>
      <c r="AL17" s="1">
        <v>0</v>
      </c>
      <c r="AM17" s="94">
        <v>0</v>
      </c>
    </row>
    <row r="18" spans="1:39">
      <c r="A18" s="27">
        <v>45033</v>
      </c>
      <c r="B18" s="410">
        <f>IF(YEAR(Table7[[#This Row],[Date]]) = 2023, WEEKNUM(Table7[[#This Row],[Date]])-13, WEEKNUM(Table7[[#This Row],[Date]])+40)</f>
        <v>3</v>
      </c>
      <c r="C18" s="33" t="s">
        <v>49</v>
      </c>
      <c r="D18" s="62" t="s">
        <v>94</v>
      </c>
      <c r="E18" s="31">
        <v>523</v>
      </c>
      <c r="F18" s="31">
        <v>496</v>
      </c>
      <c r="G18" s="64">
        <v>0</v>
      </c>
      <c r="H18" s="64">
        <v>0</v>
      </c>
      <c r="I18" s="1">
        <v>4353</v>
      </c>
      <c r="J18" s="1">
        <v>4109</v>
      </c>
      <c r="K18" s="1">
        <v>4353</v>
      </c>
      <c r="L18" s="1">
        <v>4109</v>
      </c>
      <c r="M18" s="67">
        <v>0.88</v>
      </c>
      <c r="N18" s="67">
        <v>0.05</v>
      </c>
      <c r="O18" s="67">
        <v>0.95</v>
      </c>
      <c r="P18" s="67">
        <v>0.56999999999999995</v>
      </c>
      <c r="Q18" s="86">
        <v>0.95</v>
      </c>
      <c r="R18" s="286">
        <v>137</v>
      </c>
      <c r="S18" s="168">
        <v>3.5416666666666666E-2</v>
      </c>
      <c r="T18" s="113">
        <v>6</v>
      </c>
      <c r="U18" s="66" t="str">
        <f t="shared" si="1"/>
        <v>Normal</v>
      </c>
      <c r="V18" s="66" t="str">
        <f t="shared" si="2"/>
        <v>Normal</v>
      </c>
      <c r="W18" s="19">
        <f t="shared" si="3"/>
        <v>0</v>
      </c>
      <c r="X18" s="19">
        <f t="shared" si="4"/>
        <v>0</v>
      </c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K18" s="27">
        <v>45118</v>
      </c>
      <c r="AL18" s="1">
        <v>0</v>
      </c>
      <c r="AM18" s="94">
        <v>0</v>
      </c>
    </row>
    <row r="19" spans="1:39">
      <c r="A19" s="27">
        <v>45034</v>
      </c>
      <c r="B19" s="410">
        <f>IF(YEAR(Table7[[#This Row],[Date]]) = 2023, WEEKNUM(Table7[[#This Row],[Date]])-13, WEEKNUM(Table7[[#This Row],[Date]])+40)</f>
        <v>3</v>
      </c>
      <c r="C19" s="34" t="s">
        <v>50</v>
      </c>
      <c r="D19" s="62" t="s">
        <v>94</v>
      </c>
      <c r="E19" s="1">
        <v>441</v>
      </c>
      <c r="F19" s="1">
        <v>422</v>
      </c>
      <c r="G19" s="64">
        <v>-9.2592592592592587E-2</v>
      </c>
      <c r="H19" s="64">
        <v>-0.10021321961620469</v>
      </c>
      <c r="I19" s="1">
        <v>4794</v>
      </c>
      <c r="J19" s="1">
        <v>4531</v>
      </c>
      <c r="K19" s="1">
        <f>I19+J18</f>
        <v>8903</v>
      </c>
      <c r="L19" s="1">
        <f>J19+K18</f>
        <v>8884</v>
      </c>
      <c r="M19" s="66">
        <v>0.9</v>
      </c>
      <c r="N19" s="66">
        <v>0.04</v>
      </c>
      <c r="O19" s="66">
        <v>0.96</v>
      </c>
      <c r="P19" s="66">
        <v>0.57999999999999996</v>
      </c>
      <c r="Q19" s="87">
        <v>0.96</v>
      </c>
      <c r="R19" s="285">
        <v>148</v>
      </c>
      <c r="S19" s="145">
        <v>2.6388888888888889E-2</v>
      </c>
      <c r="T19" s="113">
        <v>5</v>
      </c>
      <c r="U19" s="66" t="str">
        <f t="shared" si="1"/>
        <v>Outlier</v>
      </c>
      <c r="V19" s="66" t="str">
        <f t="shared" si="2"/>
        <v>Normal</v>
      </c>
      <c r="W19" s="19">
        <f t="shared" si="3"/>
        <v>-9.2592592592592587E-2</v>
      </c>
      <c r="X19" s="19">
        <f t="shared" si="4"/>
        <v>-0.10021321961620469</v>
      </c>
      <c r="Y19" s="369"/>
      <c r="Z19" s="369"/>
      <c r="AA19" s="369"/>
      <c r="AB19" s="369"/>
      <c r="AC19" s="369"/>
      <c r="AD19" s="369"/>
      <c r="AE19" s="369"/>
      <c r="AF19" s="369"/>
      <c r="AG19" s="369"/>
      <c r="AH19" s="369"/>
      <c r="AI19" s="369"/>
      <c r="AK19" s="32">
        <v>45125</v>
      </c>
      <c r="AL19" s="37">
        <v>0</v>
      </c>
      <c r="AM19" s="92">
        <v>0</v>
      </c>
    </row>
    <row r="20" spans="1:39">
      <c r="A20" s="27">
        <v>45035</v>
      </c>
      <c r="B20" s="410">
        <f>IF(YEAR(Table7[[#This Row],[Date]]) = 2023, WEEKNUM(Table7[[#This Row],[Date]])-13, WEEKNUM(Table7[[#This Row],[Date]])+40)</f>
        <v>3</v>
      </c>
      <c r="C20" s="33" t="s">
        <v>51</v>
      </c>
      <c r="D20" s="62" t="s">
        <v>94</v>
      </c>
      <c r="E20" s="31">
        <v>487</v>
      </c>
      <c r="F20" s="31">
        <v>349</v>
      </c>
      <c r="G20" s="63">
        <f>IFERROR((E20-E13)/E13,0%)</f>
        <v>0.10933940774487472</v>
      </c>
      <c r="H20" s="63">
        <f>IFERROR((F20-F13)/F13,0%)</f>
        <v>-0.19770114942528735</v>
      </c>
      <c r="I20" s="31">
        <f>I19+E20</f>
        <v>5281</v>
      </c>
      <c r="J20" s="31">
        <f>J19+F20</f>
        <v>4880</v>
      </c>
      <c r="K20" s="1">
        <f t="shared" ref="K20:K23" si="5">I20+J19</f>
        <v>9812</v>
      </c>
      <c r="L20" s="1">
        <f t="shared" ref="L20:L23" si="6">J20+K19</f>
        <v>13783</v>
      </c>
      <c r="M20" s="67">
        <v>0.37</v>
      </c>
      <c r="N20" s="67">
        <v>0.28000000000000003</v>
      </c>
      <c r="O20" s="67">
        <v>0.72</v>
      </c>
      <c r="P20" s="67">
        <v>0.6</v>
      </c>
      <c r="Q20" s="86">
        <v>1</v>
      </c>
      <c r="R20" s="286">
        <v>222</v>
      </c>
      <c r="S20" s="168">
        <v>0.25069444444444444</v>
      </c>
      <c r="T20" s="113">
        <v>4</v>
      </c>
      <c r="U20" s="66" t="str">
        <f t="shared" si="1"/>
        <v>Outlier</v>
      </c>
      <c r="V20" s="66" t="str">
        <f t="shared" si="2"/>
        <v>Normal</v>
      </c>
      <c r="W20" s="19">
        <f t="shared" si="3"/>
        <v>0.10933940774487472</v>
      </c>
      <c r="X20" s="19">
        <f t="shared" si="4"/>
        <v>-0.19770114942528735</v>
      </c>
      <c r="Y20" s="369"/>
      <c r="Z20" s="369"/>
      <c r="AA20" s="369"/>
      <c r="AB20" s="369"/>
      <c r="AC20" s="369"/>
      <c r="AD20" s="369"/>
      <c r="AE20" s="369"/>
      <c r="AF20" s="369"/>
      <c r="AG20" s="369"/>
      <c r="AH20" s="369"/>
      <c r="AI20" s="369"/>
      <c r="AK20" s="32">
        <v>45132</v>
      </c>
      <c r="AL20" s="37">
        <v>0</v>
      </c>
      <c r="AM20" s="92">
        <v>0</v>
      </c>
    </row>
    <row r="21" spans="1:39">
      <c r="A21" s="27">
        <v>45036</v>
      </c>
      <c r="B21" s="410">
        <f>IF(YEAR(Table7[[#This Row],[Date]]) = 2023, WEEKNUM(Table7[[#This Row],[Date]])-13, WEEKNUM(Table7[[#This Row],[Date]])+40)</f>
        <v>3</v>
      </c>
      <c r="C21" s="34" t="s">
        <v>52</v>
      </c>
      <c r="D21" s="62" t="s">
        <v>94</v>
      </c>
      <c r="E21" s="1">
        <v>271</v>
      </c>
      <c r="F21" s="1">
        <v>221</v>
      </c>
      <c r="G21" s="64">
        <f t="shared" ref="G21:H21" si="7">IFERROR((E21-E14)/E14,0%)</f>
        <v>-0.29057591623036649</v>
      </c>
      <c r="H21" s="64">
        <f t="shared" si="7"/>
        <v>-0.37393767705382436</v>
      </c>
      <c r="I21" s="1">
        <f t="shared" ref="I21:I23" si="8">I20+E21</f>
        <v>5552</v>
      </c>
      <c r="J21" s="1">
        <f t="shared" ref="J21:J23" si="9">J20+F21</f>
        <v>5101</v>
      </c>
      <c r="K21" s="1">
        <f t="shared" si="5"/>
        <v>10432</v>
      </c>
      <c r="L21" s="1">
        <f t="shared" si="6"/>
        <v>14913</v>
      </c>
      <c r="M21" s="66">
        <v>0.57999999999999996</v>
      </c>
      <c r="N21" s="66">
        <v>0.18</v>
      </c>
      <c r="O21" s="66">
        <v>0.82</v>
      </c>
      <c r="P21" s="66">
        <v>0.51</v>
      </c>
      <c r="Q21" s="87">
        <v>1</v>
      </c>
      <c r="R21" s="285">
        <v>221</v>
      </c>
      <c r="S21" s="145">
        <v>0.1111111111111111</v>
      </c>
      <c r="T21" s="113">
        <v>3</v>
      </c>
      <c r="U21" s="66" t="str">
        <f t="shared" si="1"/>
        <v>Outlier</v>
      </c>
      <c r="V21" s="66" t="str">
        <f t="shared" si="2"/>
        <v>Normal</v>
      </c>
      <c r="W21" s="19">
        <f t="shared" si="3"/>
        <v>-0.29057591623036649</v>
      </c>
      <c r="X21" s="19">
        <f t="shared" si="4"/>
        <v>-0.37393767705382436</v>
      </c>
      <c r="Y21" s="369"/>
      <c r="Z21" s="369"/>
      <c r="AA21" s="369"/>
      <c r="AB21" s="369"/>
      <c r="AC21" s="369"/>
      <c r="AD21" s="369"/>
      <c r="AE21" s="369"/>
      <c r="AF21" s="369"/>
      <c r="AG21" s="369"/>
      <c r="AH21" s="369"/>
      <c r="AI21" s="369"/>
      <c r="AK21" s="32">
        <v>45139</v>
      </c>
      <c r="AL21" s="1">
        <v>0</v>
      </c>
      <c r="AM21" s="94">
        <v>0</v>
      </c>
    </row>
    <row r="22" spans="1:39">
      <c r="A22" s="27">
        <v>45037</v>
      </c>
      <c r="B22" s="410">
        <f>IF(YEAR(Table7[[#This Row],[Date]]) = 2023, WEEKNUM(Table7[[#This Row],[Date]])-13, WEEKNUM(Table7[[#This Row],[Date]])+40)</f>
        <v>3</v>
      </c>
      <c r="C22" s="33" t="s">
        <v>53</v>
      </c>
      <c r="D22" s="62" t="s">
        <v>94</v>
      </c>
      <c r="E22" s="31">
        <v>358</v>
      </c>
      <c r="F22" s="31">
        <v>349</v>
      </c>
      <c r="G22" s="63">
        <f t="shared" ref="G22:H22" si="10">IFERROR((E22-E15)/E15,0%)</f>
        <v>-0.15165876777251186</v>
      </c>
      <c r="H22" s="63">
        <f t="shared" si="10"/>
        <v>-0.11645569620253164</v>
      </c>
      <c r="I22" s="31">
        <f t="shared" si="8"/>
        <v>5910</v>
      </c>
      <c r="J22" s="31">
        <f t="shared" si="9"/>
        <v>5450</v>
      </c>
      <c r="K22" s="1">
        <f t="shared" si="5"/>
        <v>11011</v>
      </c>
      <c r="L22" s="1">
        <f t="shared" si="6"/>
        <v>15882</v>
      </c>
      <c r="M22" s="67">
        <v>0.94</v>
      </c>
      <c r="N22" s="67">
        <v>0.03</v>
      </c>
      <c r="O22" s="67">
        <v>0.97</v>
      </c>
      <c r="P22" s="67">
        <v>0.48</v>
      </c>
      <c r="Q22" s="86">
        <v>0.9</v>
      </c>
      <c r="R22" s="286">
        <v>155</v>
      </c>
      <c r="S22" s="168">
        <v>1.9444444444444445E-2</v>
      </c>
      <c r="T22" s="113">
        <v>5</v>
      </c>
      <c r="U22" s="66" t="str">
        <f t="shared" si="1"/>
        <v>Outlier</v>
      </c>
      <c r="V22" s="66" t="str">
        <f t="shared" si="2"/>
        <v>Normal</v>
      </c>
      <c r="W22" s="19">
        <f t="shared" si="3"/>
        <v>-0.15165876777251186</v>
      </c>
      <c r="X22" s="19">
        <f t="shared" si="4"/>
        <v>-0.11645569620253164</v>
      </c>
      <c r="Y22" s="369"/>
      <c r="Z22" s="369"/>
      <c r="AA22" s="369"/>
      <c r="AB22" s="369"/>
      <c r="AC22" s="369"/>
      <c r="AD22" s="369"/>
      <c r="AE22" s="369"/>
      <c r="AF22" s="369"/>
      <c r="AG22" s="369"/>
      <c r="AH22" s="369"/>
      <c r="AI22" s="369"/>
      <c r="AK22" s="32">
        <v>45146</v>
      </c>
      <c r="AL22" s="1">
        <v>0</v>
      </c>
      <c r="AM22" s="94">
        <v>0</v>
      </c>
    </row>
    <row r="23" spans="1:39">
      <c r="A23" s="27">
        <v>45038</v>
      </c>
      <c r="B23" s="410">
        <f>IF(YEAR(Table7[[#This Row],[Date]]) = 2023, WEEKNUM(Table7[[#This Row],[Date]])-13, WEEKNUM(Table7[[#This Row],[Date]])+40)</f>
        <v>3</v>
      </c>
      <c r="C23" s="34" t="s">
        <v>54</v>
      </c>
      <c r="D23" s="62" t="s">
        <v>94</v>
      </c>
      <c r="E23" s="1">
        <v>243</v>
      </c>
      <c r="F23" s="1">
        <v>230</v>
      </c>
      <c r="G23" s="64">
        <f t="shared" ref="G23:H23" si="11">IFERROR((E23-E16)/E16,0%)</f>
        <v>5.6521739130434782E-2</v>
      </c>
      <c r="H23" s="64">
        <f t="shared" si="11"/>
        <v>0.11650485436893204</v>
      </c>
      <c r="I23" s="1">
        <f t="shared" si="8"/>
        <v>6153</v>
      </c>
      <c r="J23" s="1">
        <f t="shared" si="9"/>
        <v>5680</v>
      </c>
      <c r="K23" s="1">
        <f t="shared" si="5"/>
        <v>11603</v>
      </c>
      <c r="L23" s="1">
        <f t="shared" si="6"/>
        <v>16691</v>
      </c>
      <c r="M23" s="66">
        <v>0.8</v>
      </c>
      <c r="N23" s="66">
        <v>0.05</v>
      </c>
      <c r="O23" s="66">
        <v>0.95</v>
      </c>
      <c r="P23" s="66">
        <v>0.4</v>
      </c>
      <c r="Q23" s="87">
        <v>0.91</v>
      </c>
      <c r="R23" s="285">
        <v>130</v>
      </c>
      <c r="S23" s="145">
        <v>6.25E-2</v>
      </c>
      <c r="T23" s="113">
        <v>4</v>
      </c>
      <c r="U23" s="66" t="str">
        <f t="shared" si="1"/>
        <v>Normal</v>
      </c>
      <c r="V23" s="66" t="str">
        <f t="shared" si="2"/>
        <v>Normal</v>
      </c>
      <c r="W23" s="19">
        <f t="shared" si="3"/>
        <v>5.6521739130434782E-2</v>
      </c>
      <c r="X23" s="19">
        <f t="shared" si="4"/>
        <v>0.11650485436893204</v>
      </c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K23" s="32">
        <v>45153</v>
      </c>
      <c r="AL23" s="1">
        <v>0</v>
      </c>
      <c r="AM23" s="94">
        <v>0</v>
      </c>
    </row>
    <row r="24" spans="1:39">
      <c r="A24" s="27">
        <v>45039</v>
      </c>
      <c r="B24" s="410">
        <f>IF(YEAR(Table7[[#This Row],[Date]]) = 2023, WEEKNUM(Table7[[#This Row],[Date]])-13, WEEKNUM(Table7[[#This Row],[Date]])+40)</f>
        <v>4</v>
      </c>
      <c r="C24" s="33" t="s">
        <v>48</v>
      </c>
      <c r="D24" s="62" t="s">
        <v>94</v>
      </c>
      <c r="E24" s="31">
        <v>0</v>
      </c>
      <c r="F24" s="31">
        <v>0</v>
      </c>
      <c r="G24" s="63">
        <v>0</v>
      </c>
      <c r="H24" s="63">
        <v>0</v>
      </c>
      <c r="I24" s="31">
        <v>0</v>
      </c>
      <c r="J24" s="31">
        <v>0</v>
      </c>
      <c r="K24" s="31">
        <v>0</v>
      </c>
      <c r="L24" s="31">
        <v>0</v>
      </c>
      <c r="M24" s="67">
        <v>0</v>
      </c>
      <c r="N24" s="67">
        <v>0</v>
      </c>
      <c r="O24" s="67">
        <v>0</v>
      </c>
      <c r="P24" s="67">
        <v>0</v>
      </c>
      <c r="Q24" s="86">
        <v>0</v>
      </c>
      <c r="R24" s="286">
        <v>0</v>
      </c>
      <c r="S24" s="168">
        <v>0</v>
      </c>
      <c r="T24" s="113">
        <v>0</v>
      </c>
      <c r="U24" s="66" t="str">
        <f t="shared" si="1"/>
        <v>Normal</v>
      </c>
      <c r="V24" s="66" t="str">
        <f t="shared" si="2"/>
        <v>Normal</v>
      </c>
      <c r="W24" s="19">
        <f t="shared" si="3"/>
        <v>0</v>
      </c>
      <c r="X24" s="19">
        <f t="shared" si="4"/>
        <v>0</v>
      </c>
      <c r="Y24" s="369"/>
      <c r="Z24" s="369"/>
      <c r="AA24" s="369"/>
      <c r="AB24" s="369"/>
      <c r="AC24" s="369"/>
      <c r="AD24" s="369"/>
      <c r="AE24" s="369"/>
      <c r="AF24" s="369"/>
      <c r="AG24" s="369"/>
      <c r="AH24" s="369"/>
      <c r="AI24" s="369"/>
      <c r="AK24" s="32">
        <v>45160</v>
      </c>
      <c r="AL24" s="1">
        <v>0</v>
      </c>
      <c r="AM24" s="94">
        <v>0</v>
      </c>
    </row>
    <row r="25" spans="1:39">
      <c r="A25" s="27">
        <v>45040</v>
      </c>
      <c r="B25" s="410">
        <f>IF(YEAR(Table7[[#This Row],[Date]]) = 2023, WEEKNUM(Table7[[#This Row],[Date]])-13, WEEKNUM(Table7[[#This Row],[Date]])+40)</f>
        <v>4</v>
      </c>
      <c r="C25" s="34" t="s">
        <v>49</v>
      </c>
      <c r="D25" s="62" t="s">
        <v>94</v>
      </c>
      <c r="E25" s="1">
        <v>509</v>
      </c>
      <c r="F25" s="1">
        <v>345</v>
      </c>
      <c r="G25" s="64">
        <f t="shared" ref="G25:H25" si="12">IFERROR((E25-E18)/E18,0%)</f>
        <v>-2.676864244741874E-2</v>
      </c>
      <c r="H25" s="64">
        <f t="shared" si="12"/>
        <v>-0.30443548387096775</v>
      </c>
      <c r="I25" s="1">
        <f>E25+I23</f>
        <v>6662</v>
      </c>
      <c r="J25" s="1">
        <f>F25+J23</f>
        <v>6025</v>
      </c>
      <c r="K25" s="1">
        <f>K23+E25</f>
        <v>12112</v>
      </c>
      <c r="L25" s="1">
        <f>L23+F25</f>
        <v>17036</v>
      </c>
      <c r="M25" s="66">
        <v>0.36</v>
      </c>
      <c r="N25" s="66">
        <v>0.32</v>
      </c>
      <c r="O25" s="66">
        <v>0.68</v>
      </c>
      <c r="P25" s="66">
        <v>0.48</v>
      </c>
      <c r="Q25" s="87">
        <v>1</v>
      </c>
      <c r="R25" s="285">
        <v>218</v>
      </c>
      <c r="S25" s="145">
        <v>6.3888888888888884E-2</v>
      </c>
      <c r="T25" s="113">
        <v>5</v>
      </c>
      <c r="U25" s="66" t="str">
        <f t="shared" si="1"/>
        <v>Outlier</v>
      </c>
      <c r="V25" s="66" t="str">
        <f t="shared" si="2"/>
        <v>Normal</v>
      </c>
      <c r="W25" s="19">
        <f t="shared" si="3"/>
        <v>-2.676864244741874E-2</v>
      </c>
      <c r="X25" s="19">
        <f t="shared" si="4"/>
        <v>-0.30443548387096775</v>
      </c>
      <c r="Y25" s="369"/>
      <c r="Z25" s="369"/>
      <c r="AA25" s="369"/>
      <c r="AB25" s="369"/>
      <c r="AC25" s="369"/>
      <c r="AD25" s="369"/>
      <c r="AE25" s="369"/>
      <c r="AF25" s="369"/>
      <c r="AG25" s="369"/>
      <c r="AH25" s="369"/>
      <c r="AI25" s="369"/>
      <c r="AK25" s="32">
        <v>45167</v>
      </c>
      <c r="AL25" s="1">
        <v>0</v>
      </c>
      <c r="AM25" s="94">
        <v>0</v>
      </c>
    </row>
    <row r="26" spans="1:39">
      <c r="A26" s="27">
        <v>45041</v>
      </c>
      <c r="B26" s="410">
        <f>IF(YEAR(Table7[[#This Row],[Date]]) = 2023, WEEKNUM(Table7[[#This Row],[Date]])-13, WEEKNUM(Table7[[#This Row],[Date]])+40)</f>
        <v>4</v>
      </c>
      <c r="C26" s="33" t="s">
        <v>50</v>
      </c>
      <c r="D26" s="62" t="s">
        <v>94</v>
      </c>
      <c r="E26" s="31">
        <v>402</v>
      </c>
      <c r="F26" s="31">
        <v>299</v>
      </c>
      <c r="G26" s="63">
        <f t="shared" ref="G26:H26" si="13">IFERROR((E26-E19)/E19,0%)</f>
        <v>-8.8435374149659865E-2</v>
      </c>
      <c r="H26" s="63">
        <f t="shared" si="13"/>
        <v>-0.29146919431279622</v>
      </c>
      <c r="I26" s="31">
        <f>I25+E26</f>
        <v>7064</v>
      </c>
      <c r="J26" s="31">
        <f>J25+F26</f>
        <v>6324</v>
      </c>
      <c r="K26" s="31">
        <f>K25+E26</f>
        <v>12514</v>
      </c>
      <c r="L26" s="31">
        <f>L25+F26</f>
        <v>17335</v>
      </c>
      <c r="M26" s="67">
        <v>0.47</v>
      </c>
      <c r="N26" s="67">
        <v>0.26</v>
      </c>
      <c r="O26" s="67">
        <v>0.74</v>
      </c>
      <c r="P26" s="67">
        <v>0.52</v>
      </c>
      <c r="Q26" s="86">
        <v>1</v>
      </c>
      <c r="R26" s="286">
        <v>194</v>
      </c>
      <c r="S26" s="168">
        <v>0.21875</v>
      </c>
      <c r="T26" s="113">
        <v>4</v>
      </c>
      <c r="U26" s="66" t="str">
        <f t="shared" si="1"/>
        <v>Outlier</v>
      </c>
      <c r="V26" s="66" t="str">
        <f t="shared" si="2"/>
        <v>Normal</v>
      </c>
      <c r="W26" s="19">
        <f t="shared" si="3"/>
        <v>-8.8435374149659865E-2</v>
      </c>
      <c r="X26" s="19">
        <f t="shared" si="4"/>
        <v>-0.29146919431279622</v>
      </c>
      <c r="Y26" s="369"/>
      <c r="Z26" s="369"/>
      <c r="AA26" s="369"/>
      <c r="AB26" s="369"/>
      <c r="AC26" s="369"/>
      <c r="AD26" s="369"/>
      <c r="AE26" s="369"/>
      <c r="AF26" s="369"/>
      <c r="AG26" s="369"/>
      <c r="AH26" s="369"/>
      <c r="AI26" s="369"/>
      <c r="AK26" s="32">
        <v>45174</v>
      </c>
      <c r="AL26" s="1">
        <v>0</v>
      </c>
      <c r="AM26" s="94">
        <v>0</v>
      </c>
    </row>
    <row r="27" spans="1:39">
      <c r="A27" s="27">
        <v>45042</v>
      </c>
      <c r="B27" s="410">
        <f>IF(YEAR(Table7[[#This Row],[Date]]) = 2023, WEEKNUM(Table7[[#This Row],[Date]])-13, WEEKNUM(Table7[[#This Row],[Date]])+40)</f>
        <v>4</v>
      </c>
      <c r="C27" s="34" t="s">
        <v>51</v>
      </c>
      <c r="D27" s="62" t="s">
        <v>94</v>
      </c>
      <c r="E27" s="1">
        <v>406</v>
      </c>
      <c r="F27" s="1">
        <v>340</v>
      </c>
      <c r="G27" s="64">
        <f t="shared" ref="G27:H27" si="14">IFERROR((E27-E20)/E20,0%)</f>
        <v>-0.16632443531827515</v>
      </c>
      <c r="H27" s="64">
        <f t="shared" si="14"/>
        <v>-2.5787965616045846E-2</v>
      </c>
      <c r="I27" s="1">
        <f t="shared" ref="I27:I28" si="15">I26+E27</f>
        <v>7470</v>
      </c>
      <c r="J27" s="1">
        <f t="shared" ref="J27:J28" si="16">J26+F27</f>
        <v>6664</v>
      </c>
      <c r="K27" s="1">
        <f t="shared" ref="K27:K28" si="17">K26+E27</f>
        <v>12920</v>
      </c>
      <c r="L27" s="1">
        <f t="shared" ref="L27:L28" si="18">L26+F27</f>
        <v>17675</v>
      </c>
      <c r="M27" s="66">
        <v>0.57999999999999996</v>
      </c>
      <c r="N27" s="66">
        <v>0.16</v>
      </c>
      <c r="O27" s="66">
        <v>0.84</v>
      </c>
      <c r="P27" s="66">
        <v>0.59</v>
      </c>
      <c r="Q27" s="87">
        <v>1</v>
      </c>
      <c r="R27" s="285">
        <v>207</v>
      </c>
      <c r="S27" s="145">
        <v>0.12013888888888889</v>
      </c>
      <c r="T27" s="113">
        <v>4</v>
      </c>
      <c r="U27" s="66" t="str">
        <f t="shared" si="1"/>
        <v>Outlier</v>
      </c>
      <c r="V27" s="66" t="str">
        <f t="shared" si="2"/>
        <v>Normal</v>
      </c>
      <c r="W27" s="19">
        <f t="shared" si="3"/>
        <v>-0.16632443531827515</v>
      </c>
      <c r="X27" s="19">
        <f t="shared" si="4"/>
        <v>-2.5787965616045846E-2</v>
      </c>
      <c r="Y27" s="369"/>
      <c r="Z27" s="369"/>
      <c r="AA27" s="369"/>
      <c r="AB27" s="369"/>
      <c r="AC27" s="369"/>
      <c r="AD27" s="369"/>
      <c r="AE27" s="369"/>
      <c r="AF27" s="369"/>
      <c r="AG27" s="369"/>
      <c r="AH27" s="369"/>
      <c r="AI27" s="369"/>
      <c r="AK27" s="32">
        <v>45181</v>
      </c>
      <c r="AL27" s="1">
        <v>0</v>
      </c>
      <c r="AM27" s="94">
        <v>0</v>
      </c>
    </row>
    <row r="28" spans="1:39">
      <c r="A28" s="27">
        <v>45043</v>
      </c>
      <c r="B28" s="410">
        <f>IF(YEAR(Table7[[#This Row],[Date]]) = 2023, WEEKNUM(Table7[[#This Row],[Date]])-13, WEEKNUM(Table7[[#This Row],[Date]])+40)</f>
        <v>4</v>
      </c>
      <c r="C28" s="33" t="s">
        <v>52</v>
      </c>
      <c r="D28" s="62" t="s">
        <v>94</v>
      </c>
      <c r="E28" s="31">
        <v>238</v>
      </c>
      <c r="F28" s="31">
        <v>227</v>
      </c>
      <c r="G28" s="63">
        <f t="shared" ref="G28:H28" si="19">IFERROR((E28-E21)/E21,0%)</f>
        <v>-0.12177121771217712</v>
      </c>
      <c r="H28" s="63">
        <f t="shared" si="19"/>
        <v>2.7149321266968326E-2</v>
      </c>
      <c r="I28" s="31">
        <f t="shared" si="15"/>
        <v>7708</v>
      </c>
      <c r="J28" s="31">
        <f t="shared" si="16"/>
        <v>6891</v>
      </c>
      <c r="K28" s="31">
        <f t="shared" si="17"/>
        <v>13158</v>
      </c>
      <c r="L28" s="31">
        <f t="shared" si="18"/>
        <v>17902</v>
      </c>
      <c r="M28" s="67">
        <v>0.86</v>
      </c>
      <c r="N28" s="67">
        <v>0.05</v>
      </c>
      <c r="O28" s="67">
        <v>0.95</v>
      </c>
      <c r="P28" s="67">
        <v>0.52</v>
      </c>
      <c r="Q28" s="86">
        <v>1</v>
      </c>
      <c r="R28" s="286">
        <v>167</v>
      </c>
      <c r="S28" s="168">
        <v>2.4999999999999998E-2</v>
      </c>
      <c r="T28" s="113">
        <v>3</v>
      </c>
      <c r="U28" s="66" t="str">
        <f t="shared" si="1"/>
        <v>Normal</v>
      </c>
      <c r="V28" s="66" t="str">
        <f t="shared" si="2"/>
        <v>Normal</v>
      </c>
      <c r="W28" s="19">
        <f t="shared" si="3"/>
        <v>-0.12177121771217712</v>
      </c>
      <c r="X28" s="19">
        <f t="shared" si="4"/>
        <v>2.7149321266968326E-2</v>
      </c>
      <c r="Y28" s="369"/>
      <c r="Z28" s="369"/>
      <c r="AA28" s="369"/>
      <c r="AB28" s="369"/>
      <c r="AC28" s="369"/>
      <c r="AD28" s="369"/>
      <c r="AE28" s="369"/>
      <c r="AF28" s="369"/>
      <c r="AG28" s="369"/>
      <c r="AH28" s="369"/>
      <c r="AI28" s="369"/>
      <c r="AK28" s="32">
        <v>45188</v>
      </c>
      <c r="AL28" s="1">
        <v>0</v>
      </c>
      <c r="AM28" s="94">
        <v>0</v>
      </c>
    </row>
    <row r="29" spans="1:39" ht="14" customHeight="1">
      <c r="A29" s="27">
        <v>45044</v>
      </c>
      <c r="B29" s="410">
        <f>IF(YEAR(Table7[[#This Row],[Date]]) = 2023, WEEKNUM(Table7[[#This Row],[Date]])-13, WEEKNUM(Table7[[#This Row],[Date]])+40)</f>
        <v>4</v>
      </c>
      <c r="C29" s="34" t="s">
        <v>53</v>
      </c>
      <c r="D29" s="62" t="s">
        <v>94</v>
      </c>
      <c r="E29" s="1">
        <v>0</v>
      </c>
      <c r="F29" s="1">
        <v>0</v>
      </c>
      <c r="G29" s="64">
        <v>0</v>
      </c>
      <c r="H29" s="64">
        <v>0</v>
      </c>
      <c r="I29" s="1">
        <v>0</v>
      </c>
      <c r="J29" s="1">
        <v>0</v>
      </c>
      <c r="K29" s="1">
        <v>0</v>
      </c>
      <c r="L29" s="1">
        <v>0</v>
      </c>
      <c r="M29" s="66">
        <v>0</v>
      </c>
      <c r="N29" s="66">
        <v>0</v>
      </c>
      <c r="O29" s="66">
        <v>0</v>
      </c>
      <c r="P29" s="66">
        <v>0</v>
      </c>
      <c r="Q29" s="87">
        <v>0</v>
      </c>
      <c r="R29" s="285">
        <v>0</v>
      </c>
      <c r="S29" s="145">
        <v>0</v>
      </c>
      <c r="T29" s="113">
        <v>0</v>
      </c>
      <c r="U29" s="66" t="str">
        <f t="shared" si="1"/>
        <v>Normal</v>
      </c>
      <c r="V29" s="66" t="str">
        <f t="shared" si="2"/>
        <v>Normal</v>
      </c>
      <c r="W29" s="19">
        <f t="shared" si="3"/>
        <v>0</v>
      </c>
      <c r="X29" s="19">
        <f t="shared" si="4"/>
        <v>0</v>
      </c>
      <c r="Y29" s="369"/>
      <c r="Z29" s="369"/>
      <c r="AA29" s="369"/>
      <c r="AB29" s="369"/>
      <c r="AC29" s="369"/>
      <c r="AD29" s="369"/>
      <c r="AE29" s="369"/>
      <c r="AF29" s="369"/>
      <c r="AG29" s="369"/>
      <c r="AH29" s="369"/>
      <c r="AI29" s="369"/>
      <c r="AK29" s="32">
        <v>45195</v>
      </c>
      <c r="AL29" s="1">
        <v>437</v>
      </c>
      <c r="AM29" s="94">
        <v>314</v>
      </c>
    </row>
    <row r="30" spans="1:39" ht="14" customHeight="1">
      <c r="A30" s="27">
        <v>45045</v>
      </c>
      <c r="B30" s="410">
        <f>IF(YEAR(Table7[[#This Row],[Date]]) = 2023, WEEKNUM(Table7[[#This Row],[Date]])-13, WEEKNUM(Table7[[#This Row],[Date]])+40)</f>
        <v>4</v>
      </c>
      <c r="C30" s="33" t="s">
        <v>54</v>
      </c>
      <c r="D30" s="62" t="s">
        <v>94</v>
      </c>
      <c r="E30" s="31">
        <v>0</v>
      </c>
      <c r="F30" s="31">
        <v>0</v>
      </c>
      <c r="G30" s="63">
        <v>0</v>
      </c>
      <c r="H30" s="63">
        <v>0</v>
      </c>
      <c r="I30" s="31">
        <v>0</v>
      </c>
      <c r="J30" s="31">
        <v>0</v>
      </c>
      <c r="K30" s="31">
        <v>0</v>
      </c>
      <c r="L30" s="31">
        <v>0</v>
      </c>
      <c r="M30" s="67">
        <v>0</v>
      </c>
      <c r="N30" s="67">
        <v>0</v>
      </c>
      <c r="O30" s="67">
        <v>0</v>
      </c>
      <c r="P30" s="67">
        <v>0</v>
      </c>
      <c r="Q30" s="86">
        <v>0</v>
      </c>
      <c r="R30" s="286">
        <v>0</v>
      </c>
      <c r="S30" s="168">
        <v>0</v>
      </c>
      <c r="T30" s="113">
        <v>0</v>
      </c>
      <c r="U30" s="66" t="str">
        <f t="shared" si="1"/>
        <v>Normal</v>
      </c>
      <c r="V30" s="66" t="str">
        <f t="shared" si="2"/>
        <v>Normal</v>
      </c>
      <c r="W30" s="19">
        <f t="shared" si="3"/>
        <v>0</v>
      </c>
      <c r="X30" s="19">
        <f t="shared" si="4"/>
        <v>0</v>
      </c>
      <c r="Y30" s="369"/>
      <c r="Z30" s="369"/>
      <c r="AA30" s="369"/>
      <c r="AB30" s="369"/>
      <c r="AC30" s="369"/>
      <c r="AD30" s="369"/>
      <c r="AE30" s="369"/>
      <c r="AF30" s="369"/>
      <c r="AG30" s="369"/>
      <c r="AH30" s="369"/>
      <c r="AI30" s="369"/>
      <c r="AK30" s="32">
        <v>45202</v>
      </c>
      <c r="AL30" s="1">
        <v>2614</v>
      </c>
      <c r="AM30" s="94">
        <v>2198</v>
      </c>
    </row>
    <row r="31" spans="1:39" ht="14" customHeight="1">
      <c r="A31" s="27">
        <v>45046</v>
      </c>
      <c r="B31" s="410">
        <f>IF(YEAR(Table7[[#This Row],[Date]]) = 2023, WEEKNUM(Table7[[#This Row],[Date]])-13, WEEKNUM(Table7[[#This Row],[Date]])+40)</f>
        <v>5</v>
      </c>
      <c r="C31" s="34" t="s">
        <v>48</v>
      </c>
      <c r="D31" s="62" t="s">
        <v>94</v>
      </c>
      <c r="E31" s="1">
        <v>0</v>
      </c>
      <c r="F31" s="1">
        <v>0</v>
      </c>
      <c r="G31" s="64">
        <v>0</v>
      </c>
      <c r="H31" s="64">
        <v>0</v>
      </c>
      <c r="I31" s="1">
        <v>0</v>
      </c>
      <c r="J31" s="1">
        <v>0</v>
      </c>
      <c r="K31" s="1">
        <v>0</v>
      </c>
      <c r="L31" s="1">
        <v>0</v>
      </c>
      <c r="M31" s="66">
        <v>0</v>
      </c>
      <c r="N31" s="66">
        <v>0</v>
      </c>
      <c r="O31" s="66">
        <v>0</v>
      </c>
      <c r="P31" s="66">
        <v>0</v>
      </c>
      <c r="Q31" s="87">
        <v>0</v>
      </c>
      <c r="R31" s="285">
        <v>0</v>
      </c>
      <c r="S31" s="145">
        <v>0</v>
      </c>
      <c r="T31" s="113">
        <v>0</v>
      </c>
      <c r="U31" s="66" t="str">
        <f t="shared" si="1"/>
        <v>Normal</v>
      </c>
      <c r="V31" s="66" t="str">
        <f t="shared" si="2"/>
        <v>Normal</v>
      </c>
      <c r="W31" s="19">
        <f t="shared" si="3"/>
        <v>0</v>
      </c>
      <c r="X31" s="19">
        <f t="shared" si="4"/>
        <v>0</v>
      </c>
      <c r="Y31" s="369"/>
      <c r="Z31" s="369"/>
      <c r="AA31" s="369"/>
      <c r="AB31" s="369"/>
      <c r="AC31" s="369"/>
      <c r="AD31" s="369"/>
      <c r="AE31" s="369"/>
      <c r="AF31" s="369"/>
      <c r="AG31" s="369"/>
      <c r="AH31" s="369"/>
      <c r="AI31" s="369"/>
      <c r="AK31" s="32">
        <v>45209</v>
      </c>
      <c r="AL31" s="1">
        <v>2389</v>
      </c>
      <c r="AM31" s="94">
        <v>2055</v>
      </c>
    </row>
    <row r="32" spans="1:39" ht="14" customHeight="1">
      <c r="A32" s="27">
        <v>45047</v>
      </c>
      <c r="B32" s="410">
        <f>IF(YEAR(Table7[[#This Row],[Date]]) = 2023, WEEKNUM(Table7[[#This Row],[Date]])-13, WEEKNUM(Table7[[#This Row],[Date]])+40)</f>
        <v>5</v>
      </c>
      <c r="C32" s="33" t="s">
        <v>49</v>
      </c>
      <c r="D32" s="62" t="s">
        <v>94</v>
      </c>
      <c r="E32" s="31">
        <v>0</v>
      </c>
      <c r="F32" s="31">
        <v>0</v>
      </c>
      <c r="G32" s="63">
        <v>0</v>
      </c>
      <c r="H32" s="63">
        <v>0</v>
      </c>
      <c r="I32" s="31">
        <v>0</v>
      </c>
      <c r="J32" s="31">
        <v>0</v>
      </c>
      <c r="K32" s="31">
        <v>0</v>
      </c>
      <c r="L32" s="31">
        <v>0</v>
      </c>
      <c r="M32" s="67">
        <v>0</v>
      </c>
      <c r="N32" s="67">
        <v>0</v>
      </c>
      <c r="O32" s="67">
        <v>0</v>
      </c>
      <c r="P32" s="67">
        <v>0</v>
      </c>
      <c r="Q32" s="86">
        <v>0</v>
      </c>
      <c r="R32" s="286">
        <v>0</v>
      </c>
      <c r="S32" s="168">
        <v>0</v>
      </c>
      <c r="T32" s="113">
        <v>0</v>
      </c>
      <c r="U32" s="66" t="str">
        <f t="shared" si="1"/>
        <v>Normal</v>
      </c>
      <c r="V32" s="66" t="str">
        <f t="shared" si="2"/>
        <v>Normal</v>
      </c>
      <c r="W32" s="19">
        <f t="shared" si="3"/>
        <v>0</v>
      </c>
      <c r="X32" s="19">
        <f t="shared" si="4"/>
        <v>0</v>
      </c>
      <c r="Y32" s="369"/>
      <c r="Z32" s="369"/>
      <c r="AA32" s="369"/>
      <c r="AB32" s="369"/>
      <c r="AC32" s="369"/>
      <c r="AD32" s="369"/>
      <c r="AE32" s="369"/>
      <c r="AF32" s="369"/>
      <c r="AG32" s="369"/>
      <c r="AH32" s="369"/>
      <c r="AI32" s="369"/>
      <c r="AK32" s="32">
        <v>45216</v>
      </c>
      <c r="AL32" s="1">
        <v>2335</v>
      </c>
      <c r="AM32" s="94">
        <v>1949</v>
      </c>
    </row>
    <row r="33" spans="1:39" ht="14" customHeight="1">
      <c r="A33" s="27">
        <v>45048</v>
      </c>
      <c r="B33" s="410">
        <f>IF(YEAR(Table7[[#This Row],[Date]]) = 2023, WEEKNUM(Table7[[#This Row],[Date]])-13, WEEKNUM(Table7[[#This Row],[Date]])+40)</f>
        <v>5</v>
      </c>
      <c r="C33" s="34" t="s">
        <v>50</v>
      </c>
      <c r="D33" s="62" t="s">
        <v>94</v>
      </c>
      <c r="E33" s="1">
        <v>0</v>
      </c>
      <c r="F33" s="1">
        <v>0</v>
      </c>
      <c r="G33" s="64">
        <v>0</v>
      </c>
      <c r="H33" s="64">
        <v>0</v>
      </c>
      <c r="I33" s="1">
        <v>0</v>
      </c>
      <c r="J33" s="1">
        <v>0</v>
      </c>
      <c r="K33" s="1">
        <v>0</v>
      </c>
      <c r="L33" s="1">
        <v>0</v>
      </c>
      <c r="M33" s="66">
        <v>0</v>
      </c>
      <c r="N33" s="66">
        <v>0</v>
      </c>
      <c r="O33" s="66">
        <v>0</v>
      </c>
      <c r="P33" s="66">
        <v>0</v>
      </c>
      <c r="Q33" s="87">
        <v>0</v>
      </c>
      <c r="R33" s="285">
        <v>0</v>
      </c>
      <c r="S33" s="145">
        <v>0</v>
      </c>
      <c r="T33" s="113">
        <v>0</v>
      </c>
      <c r="U33" s="66" t="str">
        <f t="shared" si="1"/>
        <v>Normal</v>
      </c>
      <c r="V33" s="66" t="str">
        <f t="shared" si="2"/>
        <v>Normal</v>
      </c>
      <c r="W33" s="19">
        <f t="shared" si="3"/>
        <v>0</v>
      </c>
      <c r="X33" s="19">
        <f t="shared" si="4"/>
        <v>0</v>
      </c>
      <c r="Y33" s="369"/>
      <c r="Z33" s="369"/>
      <c r="AA33" s="369"/>
      <c r="AB33" s="369"/>
      <c r="AC33" s="369"/>
      <c r="AD33" s="369"/>
      <c r="AE33" s="369"/>
      <c r="AF33" s="369"/>
      <c r="AG33" s="369"/>
      <c r="AH33" s="369"/>
      <c r="AI33" s="369"/>
      <c r="AK33" s="32">
        <v>45223</v>
      </c>
      <c r="AL33" s="1">
        <v>2676</v>
      </c>
      <c r="AM33" s="94">
        <v>2279</v>
      </c>
    </row>
    <row r="34" spans="1:39" ht="14" customHeight="1">
      <c r="A34" s="27">
        <v>45049</v>
      </c>
      <c r="B34" s="410">
        <f>IF(YEAR(Table7[[#This Row],[Date]]) = 2023, WEEKNUM(Table7[[#This Row],[Date]])-13, WEEKNUM(Table7[[#This Row],[Date]])+40)</f>
        <v>5</v>
      </c>
      <c r="C34" s="33" t="s">
        <v>51</v>
      </c>
      <c r="D34" s="62" t="s">
        <v>94</v>
      </c>
      <c r="E34" s="31">
        <v>0</v>
      </c>
      <c r="F34" s="31">
        <v>0</v>
      </c>
      <c r="G34" s="63">
        <v>0</v>
      </c>
      <c r="H34" s="63">
        <v>0</v>
      </c>
      <c r="I34" s="31">
        <v>0</v>
      </c>
      <c r="J34" s="31">
        <v>0</v>
      </c>
      <c r="K34" s="31">
        <v>0</v>
      </c>
      <c r="L34" s="31">
        <v>0</v>
      </c>
      <c r="M34" s="67">
        <v>0</v>
      </c>
      <c r="N34" s="67">
        <v>0</v>
      </c>
      <c r="O34" s="67">
        <v>0</v>
      </c>
      <c r="P34" s="67">
        <v>0</v>
      </c>
      <c r="Q34" s="86">
        <v>0</v>
      </c>
      <c r="R34" s="286">
        <v>0</v>
      </c>
      <c r="S34" s="168">
        <v>0</v>
      </c>
      <c r="T34" s="113">
        <v>0</v>
      </c>
      <c r="U34" s="66" t="str">
        <f t="shared" si="1"/>
        <v>Normal</v>
      </c>
      <c r="V34" s="66" t="str">
        <f t="shared" si="2"/>
        <v>Normal</v>
      </c>
      <c r="W34" s="19">
        <f t="shared" si="3"/>
        <v>0</v>
      </c>
      <c r="X34" s="19">
        <f t="shared" si="4"/>
        <v>0</v>
      </c>
      <c r="Y34" s="369"/>
      <c r="Z34" s="369"/>
      <c r="AA34" s="369"/>
      <c r="AB34" s="369"/>
      <c r="AC34" s="369"/>
      <c r="AD34" s="369"/>
      <c r="AE34" s="369"/>
      <c r="AF34" s="369"/>
      <c r="AG34" s="369"/>
      <c r="AH34" s="369"/>
      <c r="AI34" s="369"/>
      <c r="AK34" s="32">
        <v>45230</v>
      </c>
      <c r="AL34" s="1">
        <v>405</v>
      </c>
      <c r="AM34" s="94">
        <v>388</v>
      </c>
    </row>
    <row r="35" spans="1:39" ht="14" customHeight="1">
      <c r="A35" s="27">
        <v>45050</v>
      </c>
      <c r="B35" s="410">
        <f>IF(YEAR(Table7[[#This Row],[Date]]) = 2023, WEEKNUM(Table7[[#This Row],[Date]])-13, WEEKNUM(Table7[[#This Row],[Date]])+40)</f>
        <v>5</v>
      </c>
      <c r="C35" s="34" t="s">
        <v>52</v>
      </c>
      <c r="D35" s="62" t="s">
        <v>94</v>
      </c>
      <c r="E35" s="1">
        <v>0</v>
      </c>
      <c r="F35" s="1">
        <v>0</v>
      </c>
      <c r="G35" s="64">
        <v>0</v>
      </c>
      <c r="H35" s="64">
        <v>0</v>
      </c>
      <c r="I35" s="1">
        <v>0</v>
      </c>
      <c r="J35" s="1">
        <v>0</v>
      </c>
      <c r="K35" s="1">
        <v>0</v>
      </c>
      <c r="L35" s="1">
        <v>0</v>
      </c>
      <c r="M35" s="66">
        <v>0</v>
      </c>
      <c r="N35" s="66">
        <v>0</v>
      </c>
      <c r="O35" s="66">
        <v>0</v>
      </c>
      <c r="P35" s="66">
        <v>0</v>
      </c>
      <c r="Q35" s="87">
        <v>0</v>
      </c>
      <c r="R35" s="285">
        <v>0</v>
      </c>
      <c r="S35" s="145">
        <v>0</v>
      </c>
      <c r="T35" s="113">
        <v>0</v>
      </c>
      <c r="U35" s="66" t="str">
        <f t="shared" si="1"/>
        <v>Normal</v>
      </c>
      <c r="V35" s="66" t="str">
        <f t="shared" si="2"/>
        <v>Normal</v>
      </c>
      <c r="W35" s="19">
        <f t="shared" si="3"/>
        <v>0</v>
      </c>
      <c r="X35" s="19">
        <f t="shared" si="4"/>
        <v>0</v>
      </c>
      <c r="Y35" s="369"/>
      <c r="Z35" s="369"/>
      <c r="AA35" s="369"/>
      <c r="AB35" s="369"/>
      <c r="AC35" s="369"/>
      <c r="AD35" s="369"/>
      <c r="AE35" s="369"/>
      <c r="AF35" s="369"/>
      <c r="AG35" s="369"/>
      <c r="AH35" s="369"/>
      <c r="AI35" s="369"/>
      <c r="AK35" s="32">
        <v>45237</v>
      </c>
      <c r="AL35" s="1">
        <v>0</v>
      </c>
      <c r="AM35" s="94">
        <v>0</v>
      </c>
    </row>
    <row r="36" spans="1:39" ht="14" customHeight="1">
      <c r="A36" s="27">
        <v>45051</v>
      </c>
      <c r="B36" s="410">
        <f>IF(YEAR(Table7[[#This Row],[Date]]) = 2023, WEEKNUM(Table7[[#This Row],[Date]])-13, WEEKNUM(Table7[[#This Row],[Date]])+40)</f>
        <v>5</v>
      </c>
      <c r="C36" s="33" t="s">
        <v>53</v>
      </c>
      <c r="D36" s="62" t="s">
        <v>94</v>
      </c>
      <c r="E36" s="31">
        <v>0</v>
      </c>
      <c r="F36" s="31">
        <v>0</v>
      </c>
      <c r="G36" s="63">
        <v>0</v>
      </c>
      <c r="H36" s="63">
        <v>0</v>
      </c>
      <c r="I36" s="31">
        <v>0</v>
      </c>
      <c r="J36" s="31">
        <v>0</v>
      </c>
      <c r="K36" s="31">
        <v>0</v>
      </c>
      <c r="L36" s="31">
        <v>0</v>
      </c>
      <c r="M36" s="67">
        <v>0</v>
      </c>
      <c r="N36" s="67">
        <v>0</v>
      </c>
      <c r="O36" s="67">
        <v>0</v>
      </c>
      <c r="P36" s="67">
        <v>0</v>
      </c>
      <c r="Q36" s="86">
        <v>0</v>
      </c>
      <c r="R36" s="286">
        <v>0</v>
      </c>
      <c r="S36" s="168">
        <v>0</v>
      </c>
      <c r="T36" s="113">
        <v>0</v>
      </c>
      <c r="U36" s="66" t="str">
        <f t="shared" si="1"/>
        <v>Normal</v>
      </c>
      <c r="V36" s="66" t="str">
        <f t="shared" si="2"/>
        <v>Normal</v>
      </c>
      <c r="W36" s="19">
        <f t="shared" si="3"/>
        <v>0</v>
      </c>
      <c r="X36" s="19">
        <f t="shared" si="4"/>
        <v>0</v>
      </c>
      <c r="Y36" s="369"/>
      <c r="Z36" s="369"/>
      <c r="AA36" s="369"/>
      <c r="AB36" s="369"/>
      <c r="AC36" s="369"/>
      <c r="AD36" s="369"/>
      <c r="AE36" s="369"/>
      <c r="AF36" s="369"/>
      <c r="AG36" s="369"/>
      <c r="AH36" s="369"/>
      <c r="AI36" s="369"/>
      <c r="AK36" s="32">
        <v>45244</v>
      </c>
      <c r="AL36" s="1">
        <v>0</v>
      </c>
      <c r="AM36" s="94">
        <v>0</v>
      </c>
    </row>
    <row r="37" spans="1:39" ht="14" customHeight="1">
      <c r="A37" s="27">
        <v>45052</v>
      </c>
      <c r="B37" s="410">
        <f>IF(YEAR(Table7[[#This Row],[Date]]) = 2023, WEEKNUM(Table7[[#This Row],[Date]])-13, WEEKNUM(Table7[[#This Row],[Date]])+40)</f>
        <v>5</v>
      </c>
      <c r="C37" s="34" t="s">
        <v>54</v>
      </c>
      <c r="D37" s="62" t="s">
        <v>94</v>
      </c>
      <c r="E37" s="1">
        <v>0</v>
      </c>
      <c r="F37" s="1">
        <v>0</v>
      </c>
      <c r="G37" s="64">
        <v>0</v>
      </c>
      <c r="H37" s="64">
        <v>0</v>
      </c>
      <c r="I37" s="1">
        <v>0</v>
      </c>
      <c r="J37" s="1">
        <v>0</v>
      </c>
      <c r="K37" s="1">
        <v>0</v>
      </c>
      <c r="L37" s="1">
        <v>0</v>
      </c>
      <c r="M37" s="66">
        <v>0</v>
      </c>
      <c r="N37" s="66">
        <v>0</v>
      </c>
      <c r="O37" s="66">
        <v>0</v>
      </c>
      <c r="P37" s="66">
        <v>0</v>
      </c>
      <c r="Q37" s="87">
        <v>0</v>
      </c>
      <c r="R37" s="285">
        <v>0</v>
      </c>
      <c r="S37" s="145">
        <v>0</v>
      </c>
      <c r="T37" s="113">
        <v>0</v>
      </c>
      <c r="U37" s="66" t="str">
        <f t="shared" si="1"/>
        <v>Normal</v>
      </c>
      <c r="V37" s="66" t="str">
        <f t="shared" si="2"/>
        <v>Normal</v>
      </c>
      <c r="W37" s="19">
        <f t="shared" si="3"/>
        <v>0</v>
      </c>
      <c r="X37" s="19">
        <f t="shared" si="4"/>
        <v>0</v>
      </c>
      <c r="Y37" s="369"/>
      <c r="Z37" s="369"/>
      <c r="AA37" s="369"/>
      <c r="AB37" s="369"/>
      <c r="AC37" s="369"/>
      <c r="AD37" s="369"/>
      <c r="AE37" s="369"/>
      <c r="AF37" s="369"/>
      <c r="AG37" s="369"/>
      <c r="AH37" s="369"/>
      <c r="AI37" s="369"/>
      <c r="AK37" s="32">
        <v>45251</v>
      </c>
      <c r="AL37" s="1">
        <v>0</v>
      </c>
      <c r="AM37" s="94">
        <v>0</v>
      </c>
    </row>
    <row r="38" spans="1:39" ht="14" customHeight="1">
      <c r="A38" s="27">
        <v>45053</v>
      </c>
      <c r="B38" s="410">
        <f>IF(YEAR(Table7[[#This Row],[Date]]) = 2023, WEEKNUM(Table7[[#This Row],[Date]])-13, WEEKNUM(Table7[[#This Row],[Date]])+40)</f>
        <v>6</v>
      </c>
      <c r="C38" s="33" t="s">
        <v>48</v>
      </c>
      <c r="D38" s="62" t="s">
        <v>94</v>
      </c>
      <c r="E38" s="31">
        <v>0</v>
      </c>
      <c r="F38" s="31">
        <v>0</v>
      </c>
      <c r="G38" s="63">
        <v>0</v>
      </c>
      <c r="H38" s="63">
        <v>0</v>
      </c>
      <c r="I38" s="31">
        <v>0</v>
      </c>
      <c r="J38" s="31">
        <v>0</v>
      </c>
      <c r="K38" s="31">
        <v>0</v>
      </c>
      <c r="L38" s="31">
        <v>0</v>
      </c>
      <c r="M38" s="67">
        <v>0</v>
      </c>
      <c r="N38" s="67">
        <v>0</v>
      </c>
      <c r="O38" s="67">
        <v>0</v>
      </c>
      <c r="P38" s="67">
        <v>0</v>
      </c>
      <c r="Q38" s="86">
        <v>0</v>
      </c>
      <c r="R38" s="286">
        <v>0</v>
      </c>
      <c r="S38" s="168">
        <v>0</v>
      </c>
      <c r="T38" s="113">
        <v>0</v>
      </c>
      <c r="U38" s="66" t="str">
        <f t="shared" si="1"/>
        <v>Normal</v>
      </c>
      <c r="V38" s="66" t="str">
        <f t="shared" si="2"/>
        <v>Normal</v>
      </c>
      <c r="W38" s="19">
        <f t="shared" si="3"/>
        <v>0</v>
      </c>
      <c r="X38" s="19">
        <f t="shared" si="4"/>
        <v>0</v>
      </c>
      <c r="Y38" s="369"/>
      <c r="Z38" s="369"/>
      <c r="AA38" s="369"/>
      <c r="AB38" s="369"/>
      <c r="AC38" s="369"/>
      <c r="AD38" s="369"/>
      <c r="AE38" s="369"/>
      <c r="AF38" s="369"/>
      <c r="AG38" s="369"/>
      <c r="AH38" s="369"/>
      <c r="AI38" s="369"/>
      <c r="AK38" s="32">
        <v>45258</v>
      </c>
      <c r="AL38" s="1">
        <v>0</v>
      </c>
      <c r="AM38" s="94">
        <v>0</v>
      </c>
    </row>
    <row r="39" spans="1:39" ht="14" customHeight="1">
      <c r="A39" s="27">
        <v>45054</v>
      </c>
      <c r="B39" s="410">
        <f>IF(YEAR(Table7[[#This Row],[Date]]) = 2023, WEEKNUM(Table7[[#This Row],[Date]])-13, WEEKNUM(Table7[[#This Row],[Date]])+40)</f>
        <v>6</v>
      </c>
      <c r="C39" s="34" t="s">
        <v>49</v>
      </c>
      <c r="D39" s="62" t="s">
        <v>94</v>
      </c>
      <c r="E39" s="1">
        <v>0</v>
      </c>
      <c r="F39" s="1">
        <v>0</v>
      </c>
      <c r="G39" s="64">
        <v>0</v>
      </c>
      <c r="H39" s="64">
        <v>0</v>
      </c>
      <c r="I39" s="1">
        <v>0</v>
      </c>
      <c r="J39" s="1">
        <v>0</v>
      </c>
      <c r="K39" s="1">
        <v>0</v>
      </c>
      <c r="L39" s="1">
        <v>0</v>
      </c>
      <c r="M39" s="66">
        <v>0</v>
      </c>
      <c r="N39" s="66">
        <v>0</v>
      </c>
      <c r="O39" s="66">
        <v>0</v>
      </c>
      <c r="P39" s="66">
        <v>0</v>
      </c>
      <c r="Q39" s="87">
        <v>0</v>
      </c>
      <c r="R39" s="285">
        <v>0</v>
      </c>
      <c r="S39" s="145">
        <v>0</v>
      </c>
      <c r="T39" s="113">
        <v>0</v>
      </c>
      <c r="U39" s="66" t="str">
        <f t="shared" si="1"/>
        <v>Normal</v>
      </c>
      <c r="V39" s="66" t="str">
        <f t="shared" si="2"/>
        <v>Normal</v>
      </c>
      <c r="W39" s="19">
        <f t="shared" si="3"/>
        <v>0</v>
      </c>
      <c r="X39" s="19">
        <f t="shared" si="4"/>
        <v>0</v>
      </c>
      <c r="Y39" s="369"/>
      <c r="Z39" s="369"/>
      <c r="AA39" s="369"/>
      <c r="AB39" s="369"/>
      <c r="AC39" s="369"/>
      <c r="AD39" s="369"/>
      <c r="AE39" s="369"/>
      <c r="AF39" s="369"/>
      <c r="AG39" s="369"/>
      <c r="AH39" s="369"/>
      <c r="AI39" s="369"/>
      <c r="AK39" s="32">
        <v>45265</v>
      </c>
      <c r="AL39" s="1">
        <v>0</v>
      </c>
      <c r="AM39" s="94">
        <v>0</v>
      </c>
    </row>
    <row r="40" spans="1:39" ht="14" customHeight="1">
      <c r="A40" s="27">
        <v>45055</v>
      </c>
      <c r="B40" s="410">
        <f>IF(YEAR(Table7[[#This Row],[Date]]) = 2023, WEEKNUM(Table7[[#This Row],[Date]])-13, WEEKNUM(Table7[[#This Row],[Date]])+40)</f>
        <v>6</v>
      </c>
      <c r="C40" s="33" t="s">
        <v>50</v>
      </c>
      <c r="D40" s="62" t="s">
        <v>94</v>
      </c>
      <c r="E40" s="31">
        <v>0</v>
      </c>
      <c r="F40" s="31">
        <v>0</v>
      </c>
      <c r="G40" s="63">
        <v>0</v>
      </c>
      <c r="H40" s="63">
        <v>0</v>
      </c>
      <c r="I40" s="31">
        <v>0</v>
      </c>
      <c r="J40" s="31">
        <v>0</v>
      </c>
      <c r="K40" s="31">
        <v>0</v>
      </c>
      <c r="L40" s="31">
        <v>0</v>
      </c>
      <c r="M40" s="67">
        <v>0</v>
      </c>
      <c r="N40" s="67">
        <v>0</v>
      </c>
      <c r="O40" s="67">
        <v>0</v>
      </c>
      <c r="P40" s="67">
        <v>0</v>
      </c>
      <c r="Q40" s="86">
        <v>0</v>
      </c>
      <c r="R40" s="286">
        <v>0</v>
      </c>
      <c r="S40" s="168">
        <v>0</v>
      </c>
      <c r="T40" s="113">
        <v>0</v>
      </c>
      <c r="U40" s="66" t="str">
        <f t="shared" si="1"/>
        <v>Normal</v>
      </c>
      <c r="V40" s="66" t="str">
        <f t="shared" si="2"/>
        <v>Normal</v>
      </c>
      <c r="W40" s="19">
        <f t="shared" si="3"/>
        <v>0</v>
      </c>
      <c r="X40" s="19">
        <f t="shared" si="4"/>
        <v>0</v>
      </c>
      <c r="Y40" s="369"/>
      <c r="Z40" s="369"/>
      <c r="AA40" s="369"/>
      <c r="AB40" s="369"/>
      <c r="AC40" s="369"/>
      <c r="AD40" s="369"/>
      <c r="AE40" s="369"/>
      <c r="AF40" s="369"/>
      <c r="AG40" s="369"/>
      <c r="AH40" s="369"/>
      <c r="AI40" s="369"/>
      <c r="AK40" s="32">
        <v>45272</v>
      </c>
      <c r="AL40" s="1">
        <v>0</v>
      </c>
      <c r="AM40" s="94">
        <v>0</v>
      </c>
    </row>
    <row r="41" spans="1:39" ht="14" customHeight="1">
      <c r="A41" s="27">
        <v>45056</v>
      </c>
      <c r="B41" s="410">
        <f>IF(YEAR(Table7[[#This Row],[Date]]) = 2023, WEEKNUM(Table7[[#This Row],[Date]])-13, WEEKNUM(Table7[[#This Row],[Date]])+40)</f>
        <v>6</v>
      </c>
      <c r="C41" s="34" t="s">
        <v>51</v>
      </c>
      <c r="D41" s="62" t="s">
        <v>94</v>
      </c>
      <c r="E41" s="1">
        <v>0</v>
      </c>
      <c r="F41" s="1">
        <v>0</v>
      </c>
      <c r="G41" s="64">
        <v>0</v>
      </c>
      <c r="H41" s="64">
        <v>0</v>
      </c>
      <c r="I41" s="1">
        <v>0</v>
      </c>
      <c r="J41" s="1">
        <v>0</v>
      </c>
      <c r="K41" s="1">
        <v>0</v>
      </c>
      <c r="L41" s="1">
        <v>0</v>
      </c>
      <c r="M41" s="66">
        <v>0</v>
      </c>
      <c r="N41" s="66">
        <v>0</v>
      </c>
      <c r="O41" s="66">
        <v>0</v>
      </c>
      <c r="P41" s="66">
        <v>0</v>
      </c>
      <c r="Q41" s="87">
        <v>0</v>
      </c>
      <c r="R41" s="285">
        <v>0</v>
      </c>
      <c r="S41" s="145">
        <v>0</v>
      </c>
      <c r="T41" s="113">
        <v>0</v>
      </c>
      <c r="U41" s="66" t="str">
        <f t="shared" si="1"/>
        <v>Normal</v>
      </c>
      <c r="V41" s="66" t="str">
        <f t="shared" si="2"/>
        <v>Normal</v>
      </c>
      <c r="W41" s="19">
        <f t="shared" si="3"/>
        <v>0</v>
      </c>
      <c r="X41" s="19">
        <f t="shared" si="4"/>
        <v>0</v>
      </c>
      <c r="Y41" s="369"/>
      <c r="Z41" s="369"/>
      <c r="AA41" s="369"/>
      <c r="AB41" s="369"/>
      <c r="AC41" s="369"/>
      <c r="AD41" s="369"/>
      <c r="AE41" s="369"/>
      <c r="AF41" s="369"/>
      <c r="AG41" s="369"/>
      <c r="AH41" s="369"/>
      <c r="AI41" s="369"/>
      <c r="AK41" s="32">
        <v>45279</v>
      </c>
      <c r="AL41" s="1">
        <v>0</v>
      </c>
      <c r="AM41" s="94">
        <v>0</v>
      </c>
    </row>
    <row r="42" spans="1:39" ht="14" customHeight="1">
      <c r="A42" s="27">
        <v>45057</v>
      </c>
      <c r="B42" s="410">
        <f>IF(YEAR(Table7[[#This Row],[Date]]) = 2023, WEEKNUM(Table7[[#This Row],[Date]])-13, WEEKNUM(Table7[[#This Row],[Date]])+40)</f>
        <v>6</v>
      </c>
      <c r="C42" s="33" t="s">
        <v>52</v>
      </c>
      <c r="D42" s="62" t="s">
        <v>94</v>
      </c>
      <c r="E42" s="31">
        <v>0</v>
      </c>
      <c r="F42" s="31">
        <v>0</v>
      </c>
      <c r="G42" s="63">
        <v>0</v>
      </c>
      <c r="H42" s="63">
        <v>0</v>
      </c>
      <c r="I42" s="31">
        <v>0</v>
      </c>
      <c r="J42" s="31">
        <v>0</v>
      </c>
      <c r="K42" s="31">
        <v>0</v>
      </c>
      <c r="L42" s="31">
        <v>0</v>
      </c>
      <c r="M42" s="67">
        <v>0</v>
      </c>
      <c r="N42" s="67">
        <v>0</v>
      </c>
      <c r="O42" s="67">
        <v>0</v>
      </c>
      <c r="P42" s="67">
        <v>0</v>
      </c>
      <c r="Q42" s="86">
        <v>0</v>
      </c>
      <c r="R42" s="286">
        <v>0</v>
      </c>
      <c r="S42" s="168">
        <v>0</v>
      </c>
      <c r="T42" s="113">
        <v>0</v>
      </c>
      <c r="U42" s="66" t="str">
        <f t="shared" si="1"/>
        <v>Normal</v>
      </c>
      <c r="V42" s="66" t="str">
        <f t="shared" si="2"/>
        <v>Normal</v>
      </c>
      <c r="W42" s="19">
        <f t="shared" si="3"/>
        <v>0</v>
      </c>
      <c r="X42" s="19">
        <f t="shared" si="4"/>
        <v>0</v>
      </c>
      <c r="Y42" s="369"/>
      <c r="Z42" s="369"/>
      <c r="AA42" s="369"/>
      <c r="AB42" s="369"/>
      <c r="AC42" s="369"/>
      <c r="AD42" s="369"/>
      <c r="AE42" s="369"/>
      <c r="AF42" s="369"/>
      <c r="AG42" s="369"/>
      <c r="AH42" s="369"/>
      <c r="AI42" s="369"/>
      <c r="AK42" s="32">
        <v>45286</v>
      </c>
      <c r="AL42" s="1">
        <v>0</v>
      </c>
      <c r="AM42" s="94">
        <v>0</v>
      </c>
    </row>
    <row r="43" spans="1:39" ht="14" customHeight="1">
      <c r="A43" s="27">
        <v>45058</v>
      </c>
      <c r="B43" s="410">
        <f>IF(YEAR(Table7[[#This Row],[Date]]) = 2023, WEEKNUM(Table7[[#This Row],[Date]])-13, WEEKNUM(Table7[[#This Row],[Date]])+40)</f>
        <v>6</v>
      </c>
      <c r="C43" s="34" t="s">
        <v>53</v>
      </c>
      <c r="D43" s="62" t="s">
        <v>94</v>
      </c>
      <c r="E43" s="1">
        <v>0</v>
      </c>
      <c r="F43" s="1">
        <v>0</v>
      </c>
      <c r="G43" s="64">
        <v>0</v>
      </c>
      <c r="H43" s="64">
        <v>0</v>
      </c>
      <c r="I43" s="1">
        <v>0</v>
      </c>
      <c r="J43" s="1">
        <v>0</v>
      </c>
      <c r="K43" s="1">
        <v>0</v>
      </c>
      <c r="L43" s="1">
        <v>0</v>
      </c>
      <c r="M43" s="66">
        <v>0</v>
      </c>
      <c r="N43" s="66">
        <v>0</v>
      </c>
      <c r="O43" s="66">
        <v>0</v>
      </c>
      <c r="P43" s="66">
        <v>0</v>
      </c>
      <c r="Q43" s="87">
        <v>0</v>
      </c>
      <c r="R43" s="285">
        <v>0</v>
      </c>
      <c r="S43" s="145">
        <v>0</v>
      </c>
      <c r="T43" s="113">
        <v>0</v>
      </c>
      <c r="U43" s="66" t="str">
        <f t="shared" si="1"/>
        <v>Normal</v>
      </c>
      <c r="V43" s="66" t="str">
        <f t="shared" si="2"/>
        <v>Normal</v>
      </c>
      <c r="W43" s="19">
        <f t="shared" si="3"/>
        <v>0</v>
      </c>
      <c r="X43" s="19">
        <f t="shared" si="4"/>
        <v>0</v>
      </c>
      <c r="Y43" s="369"/>
      <c r="Z43" s="369"/>
      <c r="AA43" s="369"/>
      <c r="AB43" s="369"/>
      <c r="AC43" s="369"/>
      <c r="AD43" s="369"/>
      <c r="AE43" s="369"/>
      <c r="AF43" s="369"/>
      <c r="AG43" s="369"/>
      <c r="AH43" s="369"/>
      <c r="AI43" s="369"/>
      <c r="AK43" s="32">
        <v>45293</v>
      </c>
      <c r="AL43" s="1">
        <v>0</v>
      </c>
      <c r="AM43" s="94">
        <v>0</v>
      </c>
    </row>
    <row r="44" spans="1:39" ht="14" customHeight="1">
      <c r="A44" s="27">
        <v>45059</v>
      </c>
      <c r="B44" s="410">
        <f>IF(YEAR(Table7[[#This Row],[Date]]) = 2023, WEEKNUM(Table7[[#This Row],[Date]])-13, WEEKNUM(Table7[[#This Row],[Date]])+40)</f>
        <v>6</v>
      </c>
      <c r="C44" s="33" t="s">
        <v>54</v>
      </c>
      <c r="D44" s="62" t="s">
        <v>94</v>
      </c>
      <c r="E44" s="31">
        <v>0</v>
      </c>
      <c r="F44" s="31">
        <v>0</v>
      </c>
      <c r="G44" s="63">
        <v>0</v>
      </c>
      <c r="H44" s="63">
        <v>0</v>
      </c>
      <c r="I44" s="31">
        <v>0</v>
      </c>
      <c r="J44" s="31">
        <v>0</v>
      </c>
      <c r="K44" s="31">
        <v>0</v>
      </c>
      <c r="L44" s="31">
        <v>0</v>
      </c>
      <c r="M44" s="67">
        <v>0</v>
      </c>
      <c r="N44" s="67">
        <v>0</v>
      </c>
      <c r="O44" s="67">
        <v>0</v>
      </c>
      <c r="P44" s="67">
        <v>0</v>
      </c>
      <c r="Q44" s="86">
        <v>0</v>
      </c>
      <c r="R44" s="286">
        <v>0</v>
      </c>
      <c r="S44" s="168">
        <v>0</v>
      </c>
      <c r="T44" s="113">
        <v>0</v>
      </c>
      <c r="U44" s="66" t="str">
        <f t="shared" si="1"/>
        <v>Normal</v>
      </c>
      <c r="V44" s="66" t="str">
        <f t="shared" si="2"/>
        <v>Normal</v>
      </c>
      <c r="W44" s="19">
        <f t="shared" si="3"/>
        <v>0</v>
      </c>
      <c r="X44" s="19">
        <f t="shared" si="4"/>
        <v>0</v>
      </c>
      <c r="Y44" s="369"/>
      <c r="Z44" s="369"/>
      <c r="AA44" s="369"/>
      <c r="AB44" s="369"/>
      <c r="AC44" s="369"/>
      <c r="AD44" s="369"/>
      <c r="AE44" s="369"/>
      <c r="AF44" s="369"/>
      <c r="AG44" s="369"/>
      <c r="AH44" s="369"/>
      <c r="AI44" s="369"/>
      <c r="AK44" s="32">
        <v>45300</v>
      </c>
      <c r="AL44" s="1">
        <v>0</v>
      </c>
      <c r="AM44" s="94">
        <v>0</v>
      </c>
    </row>
    <row r="45" spans="1:39" ht="14" customHeight="1">
      <c r="A45" s="27">
        <v>45060</v>
      </c>
      <c r="B45" s="410">
        <f>IF(YEAR(Table7[[#This Row],[Date]]) = 2023, WEEKNUM(Table7[[#This Row],[Date]])-13, WEEKNUM(Table7[[#This Row],[Date]])+40)</f>
        <v>7</v>
      </c>
      <c r="C45" s="34" t="s">
        <v>48</v>
      </c>
      <c r="D45" s="62" t="s">
        <v>94</v>
      </c>
      <c r="E45" s="1">
        <v>0</v>
      </c>
      <c r="F45" s="1">
        <v>0</v>
      </c>
      <c r="G45" s="64">
        <v>0</v>
      </c>
      <c r="H45" s="64">
        <v>0</v>
      </c>
      <c r="I45" s="1">
        <v>0</v>
      </c>
      <c r="J45" s="1">
        <v>0</v>
      </c>
      <c r="K45" s="1">
        <v>0</v>
      </c>
      <c r="L45" s="1">
        <v>0</v>
      </c>
      <c r="M45" s="66">
        <v>0</v>
      </c>
      <c r="N45" s="66">
        <v>0</v>
      </c>
      <c r="O45" s="66">
        <v>0</v>
      </c>
      <c r="P45" s="66">
        <v>0</v>
      </c>
      <c r="Q45" s="87">
        <v>0</v>
      </c>
      <c r="R45" s="285">
        <v>0</v>
      </c>
      <c r="S45" s="145">
        <v>0</v>
      </c>
      <c r="T45" s="113">
        <v>0</v>
      </c>
      <c r="U45" s="66" t="str">
        <f t="shared" si="1"/>
        <v>Normal</v>
      </c>
      <c r="V45" s="66" t="str">
        <f t="shared" si="2"/>
        <v>Normal</v>
      </c>
      <c r="W45" s="19">
        <f t="shared" si="3"/>
        <v>0</v>
      </c>
      <c r="X45" s="19">
        <f t="shared" si="4"/>
        <v>0</v>
      </c>
      <c r="Y45" s="369"/>
      <c r="Z45" s="369"/>
      <c r="AA45" s="369"/>
      <c r="AB45" s="369"/>
      <c r="AC45" s="369"/>
      <c r="AD45" s="369"/>
      <c r="AE45" s="369"/>
      <c r="AF45" s="369"/>
      <c r="AG45" s="369"/>
      <c r="AH45" s="369"/>
      <c r="AI45" s="369"/>
      <c r="AK45" s="32">
        <v>45307</v>
      </c>
      <c r="AL45" s="1">
        <v>0</v>
      </c>
      <c r="AM45" s="94">
        <v>0</v>
      </c>
    </row>
    <row r="46" spans="1:39" ht="14" customHeight="1">
      <c r="A46" s="27">
        <v>45061</v>
      </c>
      <c r="B46" s="410">
        <f>IF(YEAR(Table7[[#This Row],[Date]]) = 2023, WEEKNUM(Table7[[#This Row],[Date]])-13, WEEKNUM(Table7[[#This Row],[Date]])+40)</f>
        <v>7</v>
      </c>
      <c r="C46" s="33" t="s">
        <v>49</v>
      </c>
      <c r="D46" s="62" t="s">
        <v>94</v>
      </c>
      <c r="E46" s="31">
        <v>0</v>
      </c>
      <c r="F46" s="31">
        <v>0</v>
      </c>
      <c r="G46" s="63">
        <v>0</v>
      </c>
      <c r="H46" s="63">
        <v>0</v>
      </c>
      <c r="I46" s="31">
        <v>0</v>
      </c>
      <c r="J46" s="31">
        <v>0</v>
      </c>
      <c r="K46" s="31">
        <v>0</v>
      </c>
      <c r="L46" s="31">
        <v>0</v>
      </c>
      <c r="M46" s="67">
        <v>0</v>
      </c>
      <c r="N46" s="67">
        <v>0</v>
      </c>
      <c r="O46" s="67">
        <v>0</v>
      </c>
      <c r="P46" s="67">
        <v>0</v>
      </c>
      <c r="Q46" s="86">
        <v>0</v>
      </c>
      <c r="R46" s="286">
        <v>0</v>
      </c>
      <c r="S46" s="168">
        <v>0</v>
      </c>
      <c r="T46" s="113">
        <v>0</v>
      </c>
      <c r="U46" s="66" t="str">
        <f t="shared" si="1"/>
        <v>Normal</v>
      </c>
      <c r="V46" s="66" t="str">
        <f t="shared" si="2"/>
        <v>Normal</v>
      </c>
      <c r="W46" s="19">
        <f t="shared" si="3"/>
        <v>0</v>
      </c>
      <c r="X46" s="19">
        <f t="shared" si="4"/>
        <v>0</v>
      </c>
      <c r="Y46" s="369"/>
      <c r="Z46" s="369"/>
      <c r="AA46" s="369"/>
      <c r="AB46" s="369"/>
      <c r="AC46" s="369"/>
      <c r="AD46" s="369"/>
      <c r="AE46" s="369"/>
      <c r="AF46" s="369"/>
      <c r="AG46" s="369"/>
      <c r="AH46" s="369"/>
      <c r="AI46" s="369"/>
      <c r="AK46" s="32">
        <v>45314</v>
      </c>
      <c r="AL46" s="1">
        <v>0</v>
      </c>
      <c r="AM46" s="94">
        <v>0</v>
      </c>
    </row>
    <row r="47" spans="1:39" ht="14" customHeight="1">
      <c r="A47" s="27">
        <v>45062</v>
      </c>
      <c r="B47" s="410">
        <f>IF(YEAR(Table7[[#This Row],[Date]]) = 2023, WEEKNUM(Table7[[#This Row],[Date]])-13, WEEKNUM(Table7[[#This Row],[Date]])+40)</f>
        <v>7</v>
      </c>
      <c r="C47" s="34" t="s">
        <v>50</v>
      </c>
      <c r="D47" s="62" t="s">
        <v>94</v>
      </c>
      <c r="E47" s="1">
        <v>0</v>
      </c>
      <c r="F47" s="1">
        <v>0</v>
      </c>
      <c r="G47" s="64">
        <v>0</v>
      </c>
      <c r="H47" s="64">
        <v>0</v>
      </c>
      <c r="I47" s="1">
        <v>0</v>
      </c>
      <c r="J47" s="1">
        <v>0</v>
      </c>
      <c r="K47" s="1">
        <v>0</v>
      </c>
      <c r="L47" s="1">
        <v>0</v>
      </c>
      <c r="M47" s="66">
        <v>0</v>
      </c>
      <c r="N47" s="66">
        <v>0</v>
      </c>
      <c r="O47" s="66">
        <v>0</v>
      </c>
      <c r="P47" s="66">
        <v>0</v>
      </c>
      <c r="Q47" s="87">
        <v>0</v>
      </c>
      <c r="R47" s="285">
        <v>0</v>
      </c>
      <c r="S47" s="145">
        <v>0</v>
      </c>
      <c r="T47" s="113">
        <v>0</v>
      </c>
      <c r="U47" s="66" t="str">
        <f t="shared" si="1"/>
        <v>Normal</v>
      </c>
      <c r="V47" s="66" t="str">
        <f t="shared" si="2"/>
        <v>Normal</v>
      </c>
      <c r="W47" s="19">
        <f t="shared" si="3"/>
        <v>0</v>
      </c>
      <c r="X47" s="19">
        <f t="shared" si="4"/>
        <v>0</v>
      </c>
      <c r="Y47" s="369"/>
      <c r="Z47" s="369"/>
      <c r="AA47" s="369"/>
      <c r="AB47" s="369"/>
      <c r="AC47" s="369"/>
      <c r="AD47" s="369"/>
      <c r="AE47" s="369"/>
      <c r="AF47" s="369"/>
      <c r="AG47" s="369"/>
      <c r="AH47" s="369"/>
      <c r="AI47" s="369"/>
      <c r="AK47" s="32">
        <v>45321</v>
      </c>
      <c r="AL47" s="1">
        <v>0</v>
      </c>
      <c r="AM47" s="94">
        <v>0</v>
      </c>
    </row>
    <row r="48" spans="1:39">
      <c r="A48" s="27">
        <v>45063</v>
      </c>
      <c r="B48" s="410">
        <f>IF(YEAR(Table7[[#This Row],[Date]]) = 2023, WEEKNUM(Table7[[#This Row],[Date]])-13, WEEKNUM(Table7[[#This Row],[Date]])+40)</f>
        <v>7</v>
      </c>
      <c r="C48" s="33" t="s">
        <v>51</v>
      </c>
      <c r="D48" s="62" t="s">
        <v>94</v>
      </c>
      <c r="E48" s="31">
        <v>0</v>
      </c>
      <c r="F48" s="31">
        <v>0</v>
      </c>
      <c r="G48" s="63">
        <v>0</v>
      </c>
      <c r="H48" s="63">
        <v>0</v>
      </c>
      <c r="I48" s="31">
        <v>0</v>
      </c>
      <c r="J48" s="31">
        <v>0</v>
      </c>
      <c r="K48" s="31">
        <v>0</v>
      </c>
      <c r="L48" s="31">
        <v>0</v>
      </c>
      <c r="M48" s="67">
        <v>0</v>
      </c>
      <c r="N48" s="67">
        <v>0</v>
      </c>
      <c r="O48" s="67">
        <v>0</v>
      </c>
      <c r="P48" s="67">
        <v>0</v>
      </c>
      <c r="Q48" s="86">
        <v>0</v>
      </c>
      <c r="R48" s="286">
        <v>0</v>
      </c>
      <c r="S48" s="168">
        <v>0</v>
      </c>
      <c r="T48" s="113">
        <v>0</v>
      </c>
      <c r="U48" s="66" t="str">
        <f t="shared" si="1"/>
        <v>Normal</v>
      </c>
      <c r="V48" s="66" t="str">
        <f t="shared" si="2"/>
        <v>Normal</v>
      </c>
      <c r="W48" s="19">
        <f t="shared" si="3"/>
        <v>0</v>
      </c>
      <c r="X48" s="19">
        <f t="shared" si="4"/>
        <v>0</v>
      </c>
      <c r="Y48" s="369"/>
      <c r="Z48" s="369"/>
      <c r="AA48" s="369"/>
      <c r="AB48" s="369"/>
      <c r="AC48" s="369"/>
      <c r="AD48" s="369"/>
      <c r="AE48" s="369"/>
      <c r="AF48" s="369"/>
      <c r="AG48" s="369"/>
      <c r="AH48" s="369"/>
      <c r="AI48" s="369"/>
      <c r="AK48" s="32">
        <v>45328</v>
      </c>
      <c r="AL48" s="1">
        <v>0</v>
      </c>
      <c r="AM48" s="94">
        <v>0</v>
      </c>
    </row>
    <row r="49" spans="1:39">
      <c r="A49" s="27">
        <v>45064</v>
      </c>
      <c r="B49" s="410">
        <f>IF(YEAR(Table7[[#This Row],[Date]]) = 2023, WEEKNUM(Table7[[#This Row],[Date]])-13, WEEKNUM(Table7[[#This Row],[Date]])+40)</f>
        <v>7</v>
      </c>
      <c r="C49" s="34" t="s">
        <v>52</v>
      </c>
      <c r="D49" s="62" t="s">
        <v>94</v>
      </c>
      <c r="E49" s="1">
        <v>0</v>
      </c>
      <c r="F49" s="1">
        <v>0</v>
      </c>
      <c r="G49" s="64">
        <v>0</v>
      </c>
      <c r="H49" s="64">
        <v>0</v>
      </c>
      <c r="I49" s="1">
        <v>0</v>
      </c>
      <c r="J49" s="1">
        <v>0</v>
      </c>
      <c r="K49" s="1">
        <v>0</v>
      </c>
      <c r="L49" s="1">
        <v>0</v>
      </c>
      <c r="M49" s="66">
        <v>0</v>
      </c>
      <c r="N49" s="66">
        <v>0</v>
      </c>
      <c r="O49" s="66">
        <v>0</v>
      </c>
      <c r="P49" s="66">
        <v>0</v>
      </c>
      <c r="Q49" s="87">
        <v>0</v>
      </c>
      <c r="R49" s="285">
        <v>0</v>
      </c>
      <c r="S49" s="145">
        <v>0</v>
      </c>
      <c r="T49" s="113">
        <v>0</v>
      </c>
      <c r="U49" s="66" t="str">
        <f t="shared" si="1"/>
        <v>Normal</v>
      </c>
      <c r="V49" s="66" t="str">
        <f t="shared" si="2"/>
        <v>Normal</v>
      </c>
      <c r="W49" s="19">
        <f t="shared" si="3"/>
        <v>0</v>
      </c>
      <c r="X49" s="19">
        <f t="shared" si="4"/>
        <v>0</v>
      </c>
      <c r="Y49" s="369"/>
      <c r="Z49" s="369"/>
      <c r="AA49" s="369"/>
      <c r="AB49" s="369"/>
      <c r="AC49" s="369"/>
      <c r="AD49" s="369"/>
      <c r="AE49" s="369"/>
      <c r="AF49" s="369"/>
      <c r="AG49" s="369"/>
      <c r="AH49" s="369"/>
      <c r="AI49" s="369"/>
      <c r="AK49" s="32">
        <v>45335</v>
      </c>
      <c r="AL49" s="1">
        <v>0</v>
      </c>
      <c r="AM49" s="94">
        <v>0</v>
      </c>
    </row>
    <row r="50" spans="1:39">
      <c r="A50" s="27">
        <v>45065</v>
      </c>
      <c r="B50" s="410">
        <f>IF(YEAR(Table7[[#This Row],[Date]]) = 2023, WEEKNUM(Table7[[#This Row],[Date]])-13, WEEKNUM(Table7[[#This Row],[Date]])+40)</f>
        <v>7</v>
      </c>
      <c r="C50" s="33" t="s">
        <v>53</v>
      </c>
      <c r="D50" s="62" t="s">
        <v>94</v>
      </c>
      <c r="E50" s="31">
        <v>0</v>
      </c>
      <c r="F50" s="31">
        <v>0</v>
      </c>
      <c r="G50" s="63">
        <v>0</v>
      </c>
      <c r="H50" s="63">
        <v>0</v>
      </c>
      <c r="I50" s="31">
        <v>0</v>
      </c>
      <c r="J50" s="31">
        <v>0</v>
      </c>
      <c r="K50" s="31">
        <v>0</v>
      </c>
      <c r="L50" s="31">
        <v>0</v>
      </c>
      <c r="M50" s="67">
        <v>0</v>
      </c>
      <c r="N50" s="67">
        <v>0</v>
      </c>
      <c r="O50" s="67">
        <v>0</v>
      </c>
      <c r="P50" s="67">
        <v>0</v>
      </c>
      <c r="Q50" s="86">
        <v>0</v>
      </c>
      <c r="R50" s="286">
        <v>0</v>
      </c>
      <c r="S50" s="168">
        <v>0</v>
      </c>
      <c r="T50" s="113">
        <v>0</v>
      </c>
      <c r="U50" s="66" t="str">
        <f t="shared" si="1"/>
        <v>Normal</v>
      </c>
      <c r="V50" s="66" t="str">
        <f t="shared" si="2"/>
        <v>Normal</v>
      </c>
      <c r="W50" s="19">
        <f t="shared" si="3"/>
        <v>0</v>
      </c>
      <c r="X50" s="19">
        <f t="shared" si="4"/>
        <v>0</v>
      </c>
      <c r="Y50" s="369"/>
      <c r="Z50" s="369"/>
      <c r="AA50" s="369"/>
      <c r="AB50" s="369"/>
      <c r="AC50" s="369"/>
      <c r="AD50" s="369"/>
      <c r="AE50" s="369"/>
      <c r="AF50" s="369"/>
      <c r="AG50" s="369"/>
      <c r="AH50" s="369"/>
      <c r="AI50" s="369"/>
      <c r="AK50" s="32">
        <v>45342</v>
      </c>
      <c r="AL50" s="1">
        <v>0</v>
      </c>
      <c r="AM50" s="94">
        <v>0</v>
      </c>
    </row>
    <row r="51" spans="1:39">
      <c r="A51" s="27">
        <v>45066</v>
      </c>
      <c r="B51" s="410">
        <f>IF(YEAR(Table7[[#This Row],[Date]]) = 2023, WEEKNUM(Table7[[#This Row],[Date]])-13, WEEKNUM(Table7[[#This Row],[Date]])+40)</f>
        <v>7</v>
      </c>
      <c r="C51" s="34" t="s">
        <v>54</v>
      </c>
      <c r="D51" s="62" t="s">
        <v>94</v>
      </c>
      <c r="E51" s="1">
        <v>0</v>
      </c>
      <c r="F51" s="1">
        <v>0</v>
      </c>
      <c r="G51" s="64">
        <v>0</v>
      </c>
      <c r="H51" s="64">
        <v>0</v>
      </c>
      <c r="I51" s="1">
        <v>0</v>
      </c>
      <c r="J51" s="1">
        <v>0</v>
      </c>
      <c r="K51" s="1">
        <v>0</v>
      </c>
      <c r="L51" s="1">
        <v>0</v>
      </c>
      <c r="M51" s="66">
        <v>0</v>
      </c>
      <c r="N51" s="66">
        <v>0</v>
      </c>
      <c r="O51" s="66">
        <v>0</v>
      </c>
      <c r="P51" s="66">
        <v>0</v>
      </c>
      <c r="Q51" s="87">
        <v>0</v>
      </c>
      <c r="R51" s="285">
        <v>0</v>
      </c>
      <c r="S51" s="145">
        <v>0</v>
      </c>
      <c r="T51" s="113">
        <v>0</v>
      </c>
      <c r="U51" s="66" t="str">
        <f t="shared" si="1"/>
        <v>Normal</v>
      </c>
      <c r="V51" s="66" t="str">
        <f t="shared" si="2"/>
        <v>Normal</v>
      </c>
      <c r="W51" s="19">
        <f t="shared" si="3"/>
        <v>0</v>
      </c>
      <c r="X51" s="19">
        <f t="shared" si="4"/>
        <v>0</v>
      </c>
      <c r="Y51" s="369"/>
      <c r="Z51" s="369"/>
      <c r="AA51" s="369"/>
      <c r="AB51" s="369"/>
      <c r="AC51" s="369"/>
      <c r="AD51" s="369"/>
      <c r="AE51" s="369"/>
      <c r="AF51" s="369"/>
      <c r="AG51" s="369"/>
      <c r="AH51" s="369"/>
      <c r="AI51" s="369"/>
      <c r="AK51" s="32">
        <v>45349</v>
      </c>
      <c r="AL51" s="1">
        <v>0</v>
      </c>
      <c r="AM51" s="94">
        <v>0</v>
      </c>
    </row>
    <row r="52" spans="1:39">
      <c r="A52" s="27">
        <v>45067</v>
      </c>
      <c r="B52" s="410">
        <f>IF(YEAR(Table7[[#This Row],[Date]]) = 2023, WEEKNUM(Table7[[#This Row],[Date]])-13, WEEKNUM(Table7[[#This Row],[Date]])+40)</f>
        <v>8</v>
      </c>
      <c r="C52" s="33" t="s">
        <v>48</v>
      </c>
      <c r="D52" s="62" t="s">
        <v>94</v>
      </c>
      <c r="E52" s="31">
        <v>0</v>
      </c>
      <c r="F52" s="31">
        <v>0</v>
      </c>
      <c r="G52" s="63">
        <v>0</v>
      </c>
      <c r="H52" s="63">
        <v>0</v>
      </c>
      <c r="I52" s="31">
        <v>0</v>
      </c>
      <c r="J52" s="31">
        <v>0</v>
      </c>
      <c r="K52" s="31">
        <v>0</v>
      </c>
      <c r="L52" s="31">
        <v>0</v>
      </c>
      <c r="M52" s="67">
        <v>0</v>
      </c>
      <c r="N52" s="67">
        <v>0</v>
      </c>
      <c r="O52" s="67">
        <v>0</v>
      </c>
      <c r="P52" s="67">
        <v>0</v>
      </c>
      <c r="Q52" s="86">
        <v>0</v>
      </c>
      <c r="R52" s="286">
        <v>0</v>
      </c>
      <c r="S52" s="168">
        <v>0</v>
      </c>
      <c r="T52" s="113">
        <v>0</v>
      </c>
      <c r="U52" s="66" t="str">
        <f t="shared" si="1"/>
        <v>Normal</v>
      </c>
      <c r="V52" s="66" t="str">
        <f t="shared" si="2"/>
        <v>Normal</v>
      </c>
      <c r="W52" s="19">
        <f t="shared" si="3"/>
        <v>0</v>
      </c>
      <c r="X52" s="19">
        <f t="shared" si="4"/>
        <v>0</v>
      </c>
      <c r="Y52" s="369"/>
      <c r="Z52" s="369"/>
      <c r="AA52" s="369"/>
      <c r="AB52" s="369"/>
      <c r="AC52" s="369"/>
      <c r="AD52" s="369"/>
      <c r="AE52" s="369"/>
      <c r="AF52" s="369"/>
      <c r="AG52" s="369"/>
      <c r="AH52" s="369"/>
      <c r="AI52" s="369"/>
      <c r="AK52" s="32">
        <v>45356</v>
      </c>
      <c r="AL52" s="1">
        <v>0</v>
      </c>
      <c r="AM52" s="94">
        <v>0</v>
      </c>
    </row>
    <row r="53" spans="1:39">
      <c r="A53" s="27">
        <v>45068</v>
      </c>
      <c r="B53" s="410">
        <f>IF(YEAR(Table7[[#This Row],[Date]]) = 2023, WEEKNUM(Table7[[#This Row],[Date]])-13, WEEKNUM(Table7[[#This Row],[Date]])+40)</f>
        <v>8</v>
      </c>
      <c r="C53" s="34" t="s">
        <v>49</v>
      </c>
      <c r="D53" s="62" t="s">
        <v>94</v>
      </c>
      <c r="E53" s="1">
        <v>0</v>
      </c>
      <c r="F53" s="1">
        <v>0</v>
      </c>
      <c r="G53" s="64">
        <v>0</v>
      </c>
      <c r="H53" s="64">
        <v>0</v>
      </c>
      <c r="I53" s="1">
        <v>0</v>
      </c>
      <c r="J53" s="1">
        <v>0</v>
      </c>
      <c r="K53" s="1">
        <v>0</v>
      </c>
      <c r="L53" s="1">
        <v>0</v>
      </c>
      <c r="M53" s="66">
        <v>0</v>
      </c>
      <c r="N53" s="66">
        <v>0</v>
      </c>
      <c r="O53" s="66">
        <v>0</v>
      </c>
      <c r="P53" s="66">
        <v>0</v>
      </c>
      <c r="Q53" s="87">
        <v>0</v>
      </c>
      <c r="R53" s="285">
        <v>0</v>
      </c>
      <c r="S53" s="145">
        <v>0</v>
      </c>
      <c r="T53" s="113">
        <v>0</v>
      </c>
      <c r="U53" s="66" t="str">
        <f t="shared" si="1"/>
        <v>Normal</v>
      </c>
      <c r="V53" s="66" t="str">
        <f t="shared" si="2"/>
        <v>Normal</v>
      </c>
      <c r="W53" s="19">
        <f t="shared" si="3"/>
        <v>0</v>
      </c>
      <c r="X53" s="19">
        <f t="shared" si="4"/>
        <v>0</v>
      </c>
      <c r="Y53" s="369"/>
      <c r="Z53" s="369"/>
      <c r="AA53" s="369"/>
      <c r="AB53" s="369"/>
      <c r="AC53" s="369"/>
      <c r="AD53" s="369"/>
      <c r="AE53" s="369"/>
      <c r="AF53" s="369"/>
      <c r="AG53" s="369"/>
      <c r="AH53" s="369"/>
      <c r="AI53" s="369"/>
      <c r="AK53" s="32">
        <v>45363</v>
      </c>
      <c r="AL53" s="1">
        <v>0</v>
      </c>
      <c r="AM53" s="94">
        <v>0</v>
      </c>
    </row>
    <row r="54" spans="1:39">
      <c r="A54" s="27">
        <v>45069</v>
      </c>
      <c r="B54" s="410">
        <f>IF(YEAR(Table7[[#This Row],[Date]]) = 2023, WEEKNUM(Table7[[#This Row],[Date]])-13, WEEKNUM(Table7[[#This Row],[Date]])+40)</f>
        <v>8</v>
      </c>
      <c r="C54" s="33" t="s">
        <v>50</v>
      </c>
      <c r="D54" s="62" t="s">
        <v>94</v>
      </c>
      <c r="E54" s="31">
        <v>0</v>
      </c>
      <c r="F54" s="31">
        <v>0</v>
      </c>
      <c r="G54" s="63">
        <v>0</v>
      </c>
      <c r="H54" s="63">
        <v>0</v>
      </c>
      <c r="I54" s="31">
        <v>0</v>
      </c>
      <c r="J54" s="31">
        <v>0</v>
      </c>
      <c r="K54" s="31">
        <v>0</v>
      </c>
      <c r="L54" s="31">
        <v>0</v>
      </c>
      <c r="M54" s="67">
        <v>0</v>
      </c>
      <c r="N54" s="67">
        <v>0</v>
      </c>
      <c r="O54" s="67">
        <v>0</v>
      </c>
      <c r="P54" s="67">
        <v>0</v>
      </c>
      <c r="Q54" s="86">
        <v>0</v>
      </c>
      <c r="R54" s="286">
        <v>0</v>
      </c>
      <c r="S54" s="168">
        <v>0</v>
      </c>
      <c r="T54" s="113">
        <v>0</v>
      </c>
      <c r="U54" s="66" t="str">
        <f t="shared" si="1"/>
        <v>Normal</v>
      </c>
      <c r="V54" s="66" t="str">
        <f t="shared" si="2"/>
        <v>Normal</v>
      </c>
      <c r="W54" s="19">
        <f t="shared" si="3"/>
        <v>0</v>
      </c>
      <c r="X54" s="19">
        <f t="shared" si="4"/>
        <v>0</v>
      </c>
      <c r="Y54" s="369"/>
      <c r="Z54" s="369"/>
      <c r="AA54" s="369"/>
      <c r="AB54" s="369"/>
      <c r="AC54" s="369"/>
      <c r="AD54" s="369"/>
      <c r="AE54" s="369"/>
      <c r="AF54" s="369"/>
      <c r="AG54" s="369"/>
      <c r="AH54" s="369"/>
      <c r="AI54" s="369"/>
      <c r="AK54" s="32">
        <v>45370</v>
      </c>
      <c r="AL54" s="1">
        <v>0</v>
      </c>
      <c r="AM54" s="94">
        <v>0</v>
      </c>
    </row>
    <row r="55" spans="1:39">
      <c r="A55" s="27">
        <v>45070</v>
      </c>
      <c r="B55" s="410">
        <f>IF(YEAR(Table7[[#This Row],[Date]]) = 2023, WEEKNUM(Table7[[#This Row],[Date]])-13, WEEKNUM(Table7[[#This Row],[Date]])+40)</f>
        <v>8</v>
      </c>
      <c r="C55" s="34" t="s">
        <v>51</v>
      </c>
      <c r="D55" s="62" t="s">
        <v>94</v>
      </c>
      <c r="E55" s="1">
        <v>0</v>
      </c>
      <c r="F55" s="1">
        <v>0</v>
      </c>
      <c r="G55" s="64">
        <v>0</v>
      </c>
      <c r="H55" s="64">
        <v>0</v>
      </c>
      <c r="I55" s="1">
        <v>0</v>
      </c>
      <c r="J55" s="1">
        <v>0</v>
      </c>
      <c r="K55" s="1">
        <v>0</v>
      </c>
      <c r="L55" s="1">
        <v>0</v>
      </c>
      <c r="M55" s="66">
        <v>0</v>
      </c>
      <c r="N55" s="66">
        <v>0</v>
      </c>
      <c r="O55" s="66">
        <v>0</v>
      </c>
      <c r="P55" s="66">
        <v>0</v>
      </c>
      <c r="Q55" s="87">
        <v>0</v>
      </c>
      <c r="R55" s="285">
        <v>0</v>
      </c>
      <c r="S55" s="145">
        <v>0</v>
      </c>
      <c r="T55" s="113">
        <v>0</v>
      </c>
      <c r="U55" s="66" t="str">
        <f t="shared" si="1"/>
        <v>Normal</v>
      </c>
      <c r="V55" s="66" t="str">
        <f t="shared" si="2"/>
        <v>Normal</v>
      </c>
      <c r="W55" s="19">
        <f t="shared" si="3"/>
        <v>0</v>
      </c>
      <c r="X55" s="19">
        <f t="shared" si="4"/>
        <v>0</v>
      </c>
      <c r="Y55" s="369"/>
      <c r="Z55" s="369"/>
      <c r="AA55" s="369"/>
      <c r="AB55" s="369"/>
      <c r="AC55" s="369"/>
      <c r="AD55" s="369"/>
      <c r="AE55" s="369"/>
      <c r="AF55" s="369"/>
      <c r="AG55" s="369"/>
      <c r="AH55" s="369"/>
      <c r="AI55" s="369"/>
      <c r="AK55" s="32">
        <v>45377</v>
      </c>
      <c r="AL55" s="1">
        <v>0</v>
      </c>
      <c r="AM55" s="94">
        <v>0</v>
      </c>
    </row>
    <row r="56" spans="1:39">
      <c r="A56" s="27">
        <v>45071</v>
      </c>
      <c r="B56" s="410">
        <f>IF(YEAR(Table7[[#This Row],[Date]]) = 2023, WEEKNUM(Table7[[#This Row],[Date]])-13, WEEKNUM(Table7[[#This Row],[Date]])+40)</f>
        <v>8</v>
      </c>
      <c r="C56" s="33" t="s">
        <v>52</v>
      </c>
      <c r="D56" s="62" t="s">
        <v>94</v>
      </c>
      <c r="E56" s="31">
        <v>0</v>
      </c>
      <c r="F56" s="31">
        <v>0</v>
      </c>
      <c r="G56" s="63">
        <v>0</v>
      </c>
      <c r="H56" s="63">
        <v>0</v>
      </c>
      <c r="I56" s="31">
        <v>0</v>
      </c>
      <c r="J56" s="31">
        <v>0</v>
      </c>
      <c r="K56" s="31">
        <v>0</v>
      </c>
      <c r="L56" s="31">
        <v>0</v>
      </c>
      <c r="M56" s="67">
        <v>0</v>
      </c>
      <c r="N56" s="67">
        <v>0</v>
      </c>
      <c r="O56" s="67">
        <v>0</v>
      </c>
      <c r="P56" s="67">
        <v>0</v>
      </c>
      <c r="Q56" s="86">
        <v>0</v>
      </c>
      <c r="R56" s="286">
        <v>0</v>
      </c>
      <c r="S56" s="168">
        <v>0</v>
      </c>
      <c r="T56" s="113">
        <v>0</v>
      </c>
      <c r="U56" s="66" t="str">
        <f t="shared" si="1"/>
        <v>Normal</v>
      </c>
      <c r="V56" s="66" t="str">
        <f t="shared" si="2"/>
        <v>Normal</v>
      </c>
      <c r="W56" s="19">
        <f t="shared" si="3"/>
        <v>0</v>
      </c>
      <c r="X56" s="19">
        <f t="shared" si="4"/>
        <v>0</v>
      </c>
      <c r="Y56" s="369"/>
      <c r="Z56" s="369"/>
      <c r="AA56" s="369"/>
      <c r="AB56" s="369"/>
      <c r="AC56" s="369"/>
      <c r="AD56" s="369"/>
      <c r="AE56" s="369"/>
      <c r="AF56" s="369"/>
      <c r="AG56" s="369"/>
      <c r="AH56" s="369"/>
      <c r="AI56" s="369"/>
    </row>
    <row r="57" spans="1:39">
      <c r="A57" s="27">
        <v>45072</v>
      </c>
      <c r="B57" s="410">
        <f>IF(YEAR(Table7[[#This Row],[Date]]) = 2023, WEEKNUM(Table7[[#This Row],[Date]])-13, WEEKNUM(Table7[[#This Row],[Date]])+40)</f>
        <v>8</v>
      </c>
      <c r="C57" s="34" t="s">
        <v>53</v>
      </c>
      <c r="D57" s="62" t="s">
        <v>94</v>
      </c>
      <c r="E57" s="1">
        <v>0</v>
      </c>
      <c r="F57" s="1">
        <v>0</v>
      </c>
      <c r="G57" s="64">
        <v>0</v>
      </c>
      <c r="H57" s="64">
        <v>0</v>
      </c>
      <c r="I57" s="1">
        <v>0</v>
      </c>
      <c r="J57" s="1">
        <v>0</v>
      </c>
      <c r="K57" s="1">
        <v>0</v>
      </c>
      <c r="L57" s="1">
        <v>0</v>
      </c>
      <c r="M57" s="66">
        <v>0</v>
      </c>
      <c r="N57" s="66">
        <v>0</v>
      </c>
      <c r="O57" s="66">
        <v>0</v>
      </c>
      <c r="P57" s="66">
        <v>0</v>
      </c>
      <c r="Q57" s="87">
        <v>0</v>
      </c>
      <c r="R57" s="285">
        <v>0</v>
      </c>
      <c r="S57" s="145">
        <v>0</v>
      </c>
      <c r="T57" s="113">
        <v>0</v>
      </c>
      <c r="U57" s="66" t="str">
        <f t="shared" si="1"/>
        <v>Normal</v>
      </c>
      <c r="V57" s="66" t="str">
        <f t="shared" si="2"/>
        <v>Normal</v>
      </c>
      <c r="W57" s="19">
        <f t="shared" si="3"/>
        <v>0</v>
      </c>
      <c r="X57" s="19">
        <f t="shared" si="4"/>
        <v>0</v>
      </c>
      <c r="Y57" s="369"/>
      <c r="Z57" s="369"/>
      <c r="AA57" s="369"/>
      <c r="AB57" s="369"/>
      <c r="AC57" s="369"/>
      <c r="AD57" s="369"/>
      <c r="AE57" s="369"/>
      <c r="AF57" s="369"/>
      <c r="AG57" s="369"/>
      <c r="AH57" s="369"/>
      <c r="AI57" s="369"/>
    </row>
    <row r="58" spans="1:39">
      <c r="A58" s="27">
        <v>45073</v>
      </c>
      <c r="B58" s="410">
        <f>IF(YEAR(Table7[[#This Row],[Date]]) = 2023, WEEKNUM(Table7[[#This Row],[Date]])-13, WEEKNUM(Table7[[#This Row],[Date]])+40)</f>
        <v>8</v>
      </c>
      <c r="C58" s="33" t="s">
        <v>54</v>
      </c>
      <c r="D58" s="62" t="s">
        <v>94</v>
      </c>
      <c r="E58" s="31">
        <v>0</v>
      </c>
      <c r="F58" s="31">
        <v>0</v>
      </c>
      <c r="G58" s="63">
        <v>0</v>
      </c>
      <c r="H58" s="63">
        <v>0</v>
      </c>
      <c r="I58" s="31">
        <v>0</v>
      </c>
      <c r="J58" s="31">
        <v>0</v>
      </c>
      <c r="K58" s="31">
        <v>0</v>
      </c>
      <c r="L58" s="31">
        <v>0</v>
      </c>
      <c r="M58" s="67">
        <v>0</v>
      </c>
      <c r="N58" s="67">
        <v>0</v>
      </c>
      <c r="O58" s="67">
        <v>0</v>
      </c>
      <c r="P58" s="67">
        <v>0</v>
      </c>
      <c r="Q58" s="86">
        <v>0</v>
      </c>
      <c r="R58" s="286">
        <v>0</v>
      </c>
      <c r="S58" s="168">
        <v>0</v>
      </c>
      <c r="T58" s="113">
        <v>0</v>
      </c>
      <c r="U58" s="66" t="str">
        <f t="shared" si="1"/>
        <v>Normal</v>
      </c>
      <c r="V58" s="66" t="str">
        <f t="shared" si="2"/>
        <v>Normal</v>
      </c>
      <c r="W58" s="19">
        <f t="shared" si="3"/>
        <v>0</v>
      </c>
      <c r="X58" s="19">
        <f t="shared" si="4"/>
        <v>0</v>
      </c>
      <c r="Y58" s="369"/>
      <c r="Z58" s="369"/>
      <c r="AA58" s="369"/>
      <c r="AB58" s="369"/>
      <c r="AC58" s="369"/>
      <c r="AD58" s="369"/>
      <c r="AE58" s="369"/>
      <c r="AF58" s="369"/>
      <c r="AG58" s="369"/>
      <c r="AH58" s="369"/>
      <c r="AI58" s="369"/>
    </row>
    <row r="59" spans="1:39">
      <c r="A59" s="27">
        <v>45074</v>
      </c>
      <c r="B59" s="410">
        <f>IF(YEAR(Table7[[#This Row],[Date]]) = 2023, WEEKNUM(Table7[[#This Row],[Date]])-13, WEEKNUM(Table7[[#This Row],[Date]])+40)</f>
        <v>9</v>
      </c>
      <c r="C59" s="34" t="s">
        <v>48</v>
      </c>
      <c r="D59" s="62" t="s">
        <v>94</v>
      </c>
      <c r="E59" s="1">
        <v>0</v>
      </c>
      <c r="F59" s="1">
        <v>0</v>
      </c>
      <c r="G59" s="64">
        <v>0</v>
      </c>
      <c r="H59" s="64">
        <v>0</v>
      </c>
      <c r="I59" s="1">
        <v>0</v>
      </c>
      <c r="J59" s="1">
        <v>0</v>
      </c>
      <c r="K59" s="1">
        <v>0</v>
      </c>
      <c r="L59" s="1">
        <v>0</v>
      </c>
      <c r="M59" s="66">
        <v>0</v>
      </c>
      <c r="N59" s="66">
        <v>0</v>
      </c>
      <c r="O59" s="66">
        <v>0</v>
      </c>
      <c r="P59" s="66">
        <v>0</v>
      </c>
      <c r="Q59" s="87">
        <v>0</v>
      </c>
      <c r="R59" s="285">
        <v>0</v>
      </c>
      <c r="S59" s="145">
        <v>0</v>
      </c>
      <c r="T59" s="113">
        <v>0</v>
      </c>
      <c r="U59" s="66" t="str">
        <f t="shared" si="1"/>
        <v>Normal</v>
      </c>
      <c r="V59" s="66" t="str">
        <f t="shared" si="2"/>
        <v>Normal</v>
      </c>
      <c r="W59" s="19">
        <f t="shared" si="3"/>
        <v>0</v>
      </c>
      <c r="X59" s="19">
        <f t="shared" si="4"/>
        <v>0</v>
      </c>
      <c r="Y59" s="369"/>
      <c r="Z59" s="369"/>
      <c r="AA59" s="369"/>
      <c r="AB59" s="369"/>
      <c r="AC59" s="369"/>
      <c r="AD59" s="369"/>
      <c r="AE59" s="369"/>
      <c r="AF59" s="369"/>
      <c r="AG59" s="369"/>
      <c r="AH59" s="369"/>
      <c r="AI59" s="369"/>
    </row>
    <row r="60" spans="1:39">
      <c r="A60" s="27">
        <v>45075</v>
      </c>
      <c r="B60" s="410">
        <f>IF(YEAR(Table7[[#This Row],[Date]]) = 2023, WEEKNUM(Table7[[#This Row],[Date]])-13, WEEKNUM(Table7[[#This Row],[Date]])+40)</f>
        <v>9</v>
      </c>
      <c r="C60" s="33" t="s">
        <v>49</v>
      </c>
      <c r="D60" s="62" t="s">
        <v>94</v>
      </c>
      <c r="E60" s="31">
        <v>0</v>
      </c>
      <c r="F60" s="31">
        <v>0</v>
      </c>
      <c r="G60" s="63">
        <v>0</v>
      </c>
      <c r="H60" s="63">
        <v>0</v>
      </c>
      <c r="I60" s="31">
        <v>0</v>
      </c>
      <c r="J60" s="31">
        <v>0</v>
      </c>
      <c r="K60" s="31">
        <v>0</v>
      </c>
      <c r="L60" s="31">
        <v>0</v>
      </c>
      <c r="M60" s="67">
        <v>0</v>
      </c>
      <c r="N60" s="67">
        <v>0</v>
      </c>
      <c r="O60" s="67">
        <v>0</v>
      </c>
      <c r="P60" s="67">
        <v>0</v>
      </c>
      <c r="Q60" s="86">
        <v>0</v>
      </c>
      <c r="R60" s="286">
        <v>0</v>
      </c>
      <c r="S60" s="168">
        <v>0</v>
      </c>
      <c r="T60" s="113">
        <v>0</v>
      </c>
      <c r="U60" s="66" t="str">
        <f t="shared" si="1"/>
        <v>Normal</v>
      </c>
      <c r="V60" s="66" t="str">
        <f t="shared" si="2"/>
        <v>Normal</v>
      </c>
      <c r="W60" s="19">
        <f t="shared" si="3"/>
        <v>0</v>
      </c>
      <c r="X60" s="19">
        <f t="shared" si="4"/>
        <v>0</v>
      </c>
      <c r="Y60" s="369"/>
      <c r="Z60" s="369"/>
      <c r="AA60" s="369"/>
      <c r="AB60" s="369"/>
      <c r="AC60" s="369"/>
      <c r="AD60" s="369"/>
      <c r="AE60" s="369"/>
      <c r="AF60" s="369"/>
      <c r="AG60" s="369"/>
      <c r="AH60" s="369"/>
      <c r="AI60" s="369"/>
    </row>
    <row r="61" spans="1:39">
      <c r="A61" s="27">
        <v>45076</v>
      </c>
      <c r="B61" s="410">
        <f>IF(YEAR(Table7[[#This Row],[Date]]) = 2023, WEEKNUM(Table7[[#This Row],[Date]])-13, WEEKNUM(Table7[[#This Row],[Date]])+40)</f>
        <v>9</v>
      </c>
      <c r="C61" s="34" t="s">
        <v>50</v>
      </c>
      <c r="D61" s="62" t="s">
        <v>94</v>
      </c>
      <c r="E61" s="1">
        <v>0</v>
      </c>
      <c r="F61" s="1">
        <v>0</v>
      </c>
      <c r="G61" s="64">
        <v>0</v>
      </c>
      <c r="H61" s="64">
        <v>0</v>
      </c>
      <c r="I61" s="1">
        <v>0</v>
      </c>
      <c r="J61" s="1">
        <v>0</v>
      </c>
      <c r="K61" s="1">
        <v>0</v>
      </c>
      <c r="L61" s="1">
        <v>0</v>
      </c>
      <c r="M61" s="66">
        <v>0</v>
      </c>
      <c r="N61" s="66">
        <v>0</v>
      </c>
      <c r="O61" s="66">
        <v>0</v>
      </c>
      <c r="P61" s="66">
        <v>0</v>
      </c>
      <c r="Q61" s="87">
        <v>0</v>
      </c>
      <c r="R61" s="285">
        <v>0</v>
      </c>
      <c r="S61" s="145">
        <v>0</v>
      </c>
      <c r="T61" s="113">
        <v>0</v>
      </c>
      <c r="U61" s="66" t="str">
        <f t="shared" si="1"/>
        <v>Normal</v>
      </c>
      <c r="V61" s="66" t="str">
        <f t="shared" si="2"/>
        <v>Normal</v>
      </c>
      <c r="W61" s="19">
        <f t="shared" si="3"/>
        <v>0</v>
      </c>
      <c r="X61" s="19">
        <f t="shared" si="4"/>
        <v>0</v>
      </c>
      <c r="Y61" s="369"/>
      <c r="Z61" s="369"/>
      <c r="AA61" s="369"/>
      <c r="AB61" s="369"/>
      <c r="AC61" s="369"/>
      <c r="AD61" s="369"/>
      <c r="AE61" s="369"/>
      <c r="AF61" s="369"/>
      <c r="AG61" s="369"/>
      <c r="AH61" s="369"/>
      <c r="AI61" s="369"/>
    </row>
    <row r="62" spans="1:39">
      <c r="A62" s="27">
        <v>45077</v>
      </c>
      <c r="B62" s="410">
        <f>IF(YEAR(Table7[[#This Row],[Date]]) = 2023, WEEKNUM(Table7[[#This Row],[Date]])-13, WEEKNUM(Table7[[#This Row],[Date]])+40)</f>
        <v>9</v>
      </c>
      <c r="C62" s="33" t="s">
        <v>51</v>
      </c>
      <c r="D62" s="62" t="s">
        <v>94</v>
      </c>
      <c r="E62" s="31">
        <v>0</v>
      </c>
      <c r="F62" s="31">
        <v>0</v>
      </c>
      <c r="G62" s="63">
        <v>0</v>
      </c>
      <c r="H62" s="63">
        <v>0</v>
      </c>
      <c r="I62" s="31">
        <v>0</v>
      </c>
      <c r="J62" s="31">
        <v>0</v>
      </c>
      <c r="K62" s="31">
        <v>0</v>
      </c>
      <c r="L62" s="31">
        <v>0</v>
      </c>
      <c r="M62" s="67">
        <v>0</v>
      </c>
      <c r="N62" s="67">
        <v>0</v>
      </c>
      <c r="O62" s="67">
        <v>0</v>
      </c>
      <c r="P62" s="67">
        <v>0</v>
      </c>
      <c r="Q62" s="86">
        <v>0</v>
      </c>
      <c r="R62" s="286">
        <v>0</v>
      </c>
      <c r="S62" s="168">
        <v>0</v>
      </c>
      <c r="T62" s="113">
        <v>0</v>
      </c>
      <c r="U62" s="66" t="str">
        <f t="shared" si="1"/>
        <v>Normal</v>
      </c>
      <c r="V62" s="66" t="str">
        <f t="shared" si="2"/>
        <v>Normal</v>
      </c>
      <c r="W62" s="19">
        <f t="shared" si="3"/>
        <v>0</v>
      </c>
      <c r="X62" s="19">
        <f t="shared" si="4"/>
        <v>0</v>
      </c>
      <c r="Y62" s="369"/>
      <c r="Z62" s="369"/>
      <c r="AA62" s="369"/>
      <c r="AB62" s="369"/>
      <c r="AC62" s="369"/>
      <c r="AD62" s="369"/>
      <c r="AE62" s="369"/>
      <c r="AF62" s="369"/>
      <c r="AG62" s="369"/>
      <c r="AH62" s="369"/>
      <c r="AI62" s="369"/>
    </row>
    <row r="63" spans="1:39">
      <c r="A63" s="27">
        <v>45078</v>
      </c>
      <c r="B63" s="410">
        <f>IF(YEAR(Table7[[#This Row],[Date]]) = 2023, WEEKNUM(Table7[[#This Row],[Date]])-13, WEEKNUM(Table7[[#This Row],[Date]])+40)</f>
        <v>9</v>
      </c>
      <c r="C63" s="34" t="s">
        <v>52</v>
      </c>
      <c r="D63" s="62" t="s">
        <v>94</v>
      </c>
      <c r="E63" s="1">
        <v>0</v>
      </c>
      <c r="F63" s="1">
        <v>0</v>
      </c>
      <c r="G63" s="64">
        <v>0</v>
      </c>
      <c r="H63" s="64">
        <v>0</v>
      </c>
      <c r="I63" s="1">
        <v>0</v>
      </c>
      <c r="J63" s="1">
        <v>0</v>
      </c>
      <c r="K63" s="1">
        <v>0</v>
      </c>
      <c r="L63" s="1">
        <v>0</v>
      </c>
      <c r="M63" s="66">
        <v>0</v>
      </c>
      <c r="N63" s="66">
        <v>0</v>
      </c>
      <c r="O63" s="66">
        <v>0</v>
      </c>
      <c r="P63" s="66">
        <v>0</v>
      </c>
      <c r="Q63" s="87">
        <v>0</v>
      </c>
      <c r="R63" s="285">
        <v>0</v>
      </c>
      <c r="S63" s="145">
        <v>0</v>
      </c>
      <c r="T63" s="113">
        <v>0</v>
      </c>
      <c r="U63" s="66" t="str">
        <f t="shared" si="1"/>
        <v>Normal</v>
      </c>
      <c r="V63" s="66" t="str">
        <f t="shared" si="2"/>
        <v>Normal</v>
      </c>
      <c r="W63" s="19">
        <f t="shared" si="3"/>
        <v>0</v>
      </c>
      <c r="X63" s="19">
        <f t="shared" si="4"/>
        <v>0</v>
      </c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</row>
    <row r="64" spans="1:39">
      <c r="A64" s="27">
        <v>45079</v>
      </c>
      <c r="B64" s="410">
        <f>IF(YEAR(Table7[[#This Row],[Date]]) = 2023, WEEKNUM(Table7[[#This Row],[Date]])-13, WEEKNUM(Table7[[#This Row],[Date]])+40)</f>
        <v>9</v>
      </c>
      <c r="C64" s="33" t="s">
        <v>53</v>
      </c>
      <c r="D64" s="62" t="s">
        <v>94</v>
      </c>
      <c r="E64" s="31">
        <v>0</v>
      </c>
      <c r="F64" s="31">
        <v>0</v>
      </c>
      <c r="G64" s="63">
        <v>0</v>
      </c>
      <c r="H64" s="63">
        <v>0</v>
      </c>
      <c r="I64" s="31">
        <v>0</v>
      </c>
      <c r="J64" s="31">
        <v>0</v>
      </c>
      <c r="K64" s="31">
        <v>0</v>
      </c>
      <c r="L64" s="31">
        <v>0</v>
      </c>
      <c r="M64" s="67">
        <v>0</v>
      </c>
      <c r="N64" s="67">
        <v>0</v>
      </c>
      <c r="O64" s="67">
        <v>0</v>
      </c>
      <c r="P64" s="67">
        <v>0</v>
      </c>
      <c r="Q64" s="86">
        <v>0</v>
      </c>
      <c r="R64" s="286">
        <v>0</v>
      </c>
      <c r="S64" s="168">
        <v>0</v>
      </c>
      <c r="T64" s="113">
        <v>0</v>
      </c>
      <c r="U64" s="66" t="str">
        <f t="shared" si="1"/>
        <v>Normal</v>
      </c>
      <c r="V64" s="66" t="str">
        <f t="shared" si="2"/>
        <v>Normal</v>
      </c>
      <c r="W64" s="19">
        <f t="shared" si="3"/>
        <v>0</v>
      </c>
      <c r="X64" s="19">
        <f t="shared" si="4"/>
        <v>0</v>
      </c>
      <c r="Y64" s="369"/>
      <c r="Z64" s="369"/>
      <c r="AA64" s="369"/>
      <c r="AB64" s="369"/>
      <c r="AC64" s="369"/>
      <c r="AD64" s="369"/>
      <c r="AE64" s="369"/>
      <c r="AF64" s="369"/>
      <c r="AG64" s="369"/>
      <c r="AH64" s="369"/>
      <c r="AI64" s="369"/>
    </row>
    <row r="65" spans="1:35">
      <c r="A65" s="27">
        <v>45080</v>
      </c>
      <c r="B65" s="410">
        <f>IF(YEAR(Table7[[#This Row],[Date]]) = 2023, WEEKNUM(Table7[[#This Row],[Date]])-13, WEEKNUM(Table7[[#This Row],[Date]])+40)</f>
        <v>9</v>
      </c>
      <c r="C65" s="34" t="s">
        <v>54</v>
      </c>
      <c r="D65" s="62" t="s">
        <v>94</v>
      </c>
      <c r="E65" s="1">
        <v>0</v>
      </c>
      <c r="F65" s="1">
        <v>0</v>
      </c>
      <c r="G65" s="64">
        <v>0</v>
      </c>
      <c r="H65" s="64">
        <v>0</v>
      </c>
      <c r="I65" s="1">
        <v>0</v>
      </c>
      <c r="J65" s="1">
        <v>0</v>
      </c>
      <c r="K65" s="1">
        <v>0</v>
      </c>
      <c r="L65" s="1">
        <v>0</v>
      </c>
      <c r="M65" s="66">
        <v>0</v>
      </c>
      <c r="N65" s="66">
        <v>0</v>
      </c>
      <c r="O65" s="66">
        <v>0</v>
      </c>
      <c r="P65" s="66">
        <v>0</v>
      </c>
      <c r="Q65" s="87">
        <v>0</v>
      </c>
      <c r="R65" s="285">
        <v>0</v>
      </c>
      <c r="S65" s="145">
        <v>0</v>
      </c>
      <c r="T65" s="113">
        <v>0</v>
      </c>
      <c r="U65" s="66" t="str">
        <f t="shared" si="1"/>
        <v>Normal</v>
      </c>
      <c r="V65" s="66" t="str">
        <f t="shared" si="2"/>
        <v>Normal</v>
      </c>
      <c r="W65" s="19">
        <f t="shared" si="3"/>
        <v>0</v>
      </c>
      <c r="X65" s="19">
        <f t="shared" si="4"/>
        <v>0</v>
      </c>
      <c r="Y65" s="369"/>
      <c r="Z65" s="369"/>
      <c r="AA65" s="369"/>
      <c r="AB65" s="369"/>
      <c r="AC65" s="369"/>
      <c r="AD65" s="369"/>
      <c r="AE65" s="369"/>
      <c r="AF65" s="369"/>
      <c r="AG65" s="369"/>
      <c r="AH65" s="369"/>
      <c r="AI65" s="369"/>
    </row>
    <row r="66" spans="1:35">
      <c r="A66" s="27">
        <v>45081</v>
      </c>
      <c r="B66" s="410">
        <f>IF(YEAR(Table7[[#This Row],[Date]]) = 2023, WEEKNUM(Table7[[#This Row],[Date]])-13, WEEKNUM(Table7[[#This Row],[Date]])+40)</f>
        <v>10</v>
      </c>
      <c r="C66" s="33" t="s">
        <v>48</v>
      </c>
      <c r="D66" s="62" t="s">
        <v>94</v>
      </c>
      <c r="E66" s="31">
        <v>0</v>
      </c>
      <c r="F66" s="31">
        <v>0</v>
      </c>
      <c r="G66" s="63">
        <v>0</v>
      </c>
      <c r="H66" s="63">
        <v>0</v>
      </c>
      <c r="I66" s="31">
        <v>0</v>
      </c>
      <c r="J66" s="31">
        <v>0</v>
      </c>
      <c r="K66" s="31">
        <v>0</v>
      </c>
      <c r="L66" s="31">
        <v>0</v>
      </c>
      <c r="M66" s="67">
        <v>0</v>
      </c>
      <c r="N66" s="67">
        <v>0</v>
      </c>
      <c r="O66" s="67">
        <v>0</v>
      </c>
      <c r="P66" s="67">
        <v>0</v>
      </c>
      <c r="Q66" s="86">
        <v>0</v>
      </c>
      <c r="R66" s="286">
        <v>0</v>
      </c>
      <c r="S66" s="168">
        <v>0</v>
      </c>
      <c r="T66" s="113">
        <v>0</v>
      </c>
      <c r="U66" s="66" t="str">
        <f t="shared" si="1"/>
        <v>Normal</v>
      </c>
      <c r="V66" s="66" t="str">
        <f t="shared" si="2"/>
        <v>Normal</v>
      </c>
      <c r="W66" s="19">
        <f t="shared" si="3"/>
        <v>0</v>
      </c>
      <c r="X66" s="19">
        <f t="shared" si="4"/>
        <v>0</v>
      </c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</row>
    <row r="67" spans="1:35">
      <c r="A67" s="27">
        <v>45082</v>
      </c>
      <c r="B67" s="410">
        <f>IF(YEAR(Table7[[#This Row],[Date]]) = 2023, WEEKNUM(Table7[[#This Row],[Date]])-13, WEEKNUM(Table7[[#This Row],[Date]])+40)</f>
        <v>10</v>
      </c>
      <c r="C67" s="34" t="s">
        <v>49</v>
      </c>
      <c r="D67" s="62" t="s">
        <v>94</v>
      </c>
      <c r="E67" s="1">
        <v>0</v>
      </c>
      <c r="F67" s="1">
        <v>0</v>
      </c>
      <c r="G67" s="64">
        <v>0</v>
      </c>
      <c r="H67" s="64">
        <v>0</v>
      </c>
      <c r="I67" s="1">
        <v>0</v>
      </c>
      <c r="J67" s="1">
        <v>0</v>
      </c>
      <c r="K67" s="1">
        <v>0</v>
      </c>
      <c r="L67" s="1">
        <v>0</v>
      </c>
      <c r="M67" s="66">
        <v>0</v>
      </c>
      <c r="N67" s="66">
        <v>0</v>
      </c>
      <c r="O67" s="66">
        <v>0</v>
      </c>
      <c r="P67" s="66">
        <v>0</v>
      </c>
      <c r="Q67" s="87">
        <v>0</v>
      </c>
      <c r="R67" s="285">
        <v>0</v>
      </c>
      <c r="S67" s="145">
        <v>0</v>
      </c>
      <c r="T67" s="113">
        <v>0</v>
      </c>
      <c r="U67" s="66" t="str">
        <f t="shared" ref="U67:U130" si="20">IF(OR(H67&lt;$AJ$5,H67&gt;$AK$5), "Outlier", "Normal")</f>
        <v>Normal</v>
      </c>
      <c r="V67" s="66" t="str">
        <f t="shared" ref="V67:V130" si="21">IF(OR(I67&lt;$AJ$6,I67&gt;$AK$6), "Outlier", "Normal")</f>
        <v>Normal</v>
      </c>
      <c r="W67" s="19">
        <f t="shared" ref="W67:W92" si="22">IF(U67="Normal",$G67,IF($G67&lt;150%, $G67, $AA$9))</f>
        <v>0</v>
      </c>
      <c r="X67" s="19">
        <f t="shared" si="4"/>
        <v>0</v>
      </c>
      <c r="Y67" s="369"/>
      <c r="Z67" s="369"/>
      <c r="AA67" s="369"/>
      <c r="AB67" s="369"/>
      <c r="AC67" s="369"/>
      <c r="AD67" s="369"/>
      <c r="AE67" s="369"/>
      <c r="AF67" s="369"/>
      <c r="AG67" s="369"/>
      <c r="AH67" s="369"/>
      <c r="AI67" s="369"/>
    </row>
    <row r="68" spans="1:35">
      <c r="A68" s="27">
        <v>45083</v>
      </c>
      <c r="B68" s="410">
        <f>IF(YEAR(Table7[[#This Row],[Date]]) = 2023, WEEKNUM(Table7[[#This Row],[Date]])-13, WEEKNUM(Table7[[#This Row],[Date]])+40)</f>
        <v>10</v>
      </c>
      <c r="C68" s="33" t="s">
        <v>50</v>
      </c>
      <c r="D68" s="62" t="s">
        <v>94</v>
      </c>
      <c r="E68" s="31">
        <v>0</v>
      </c>
      <c r="F68" s="31">
        <v>0</v>
      </c>
      <c r="G68" s="63">
        <v>0</v>
      </c>
      <c r="H68" s="63">
        <v>0</v>
      </c>
      <c r="I68" s="31">
        <v>0</v>
      </c>
      <c r="J68" s="31">
        <v>0</v>
      </c>
      <c r="K68" s="31">
        <v>0</v>
      </c>
      <c r="L68" s="31">
        <v>0</v>
      </c>
      <c r="M68" s="67">
        <v>0</v>
      </c>
      <c r="N68" s="67">
        <v>0</v>
      </c>
      <c r="O68" s="67">
        <v>0</v>
      </c>
      <c r="P68" s="67">
        <v>0</v>
      </c>
      <c r="Q68" s="86">
        <v>0</v>
      </c>
      <c r="R68" s="286">
        <v>0</v>
      </c>
      <c r="S68" s="168">
        <v>0</v>
      </c>
      <c r="T68" s="113">
        <v>0</v>
      </c>
      <c r="U68" s="66" t="str">
        <f t="shared" si="20"/>
        <v>Normal</v>
      </c>
      <c r="V68" s="66" t="str">
        <f t="shared" si="21"/>
        <v>Normal</v>
      </c>
      <c r="W68" s="19">
        <f t="shared" si="22"/>
        <v>0</v>
      </c>
      <c r="X68" s="19">
        <f t="shared" si="4"/>
        <v>0</v>
      </c>
      <c r="Y68" s="369"/>
      <c r="Z68" s="369"/>
      <c r="AA68" s="369"/>
      <c r="AB68" s="369"/>
      <c r="AC68" s="369"/>
      <c r="AD68" s="369"/>
      <c r="AE68" s="369"/>
      <c r="AF68" s="369"/>
      <c r="AG68" s="369"/>
      <c r="AH68" s="369"/>
      <c r="AI68" s="369"/>
    </row>
    <row r="69" spans="1:35">
      <c r="A69" s="27">
        <v>45084</v>
      </c>
      <c r="B69" s="410">
        <f>IF(YEAR(Table7[[#This Row],[Date]]) = 2023, WEEKNUM(Table7[[#This Row],[Date]])-13, WEEKNUM(Table7[[#This Row],[Date]])+40)</f>
        <v>10</v>
      </c>
      <c r="C69" s="34" t="s">
        <v>51</v>
      </c>
      <c r="D69" s="62" t="s">
        <v>94</v>
      </c>
      <c r="E69" s="1">
        <v>0</v>
      </c>
      <c r="F69" s="1">
        <v>0</v>
      </c>
      <c r="G69" s="64">
        <v>0</v>
      </c>
      <c r="H69" s="64">
        <v>0</v>
      </c>
      <c r="I69" s="1">
        <v>0</v>
      </c>
      <c r="J69" s="1">
        <v>0</v>
      </c>
      <c r="K69" s="1">
        <v>0</v>
      </c>
      <c r="L69" s="1">
        <v>0</v>
      </c>
      <c r="M69" s="66">
        <v>0</v>
      </c>
      <c r="N69" s="66">
        <v>0</v>
      </c>
      <c r="O69" s="66">
        <v>0</v>
      </c>
      <c r="P69" s="66">
        <v>0</v>
      </c>
      <c r="Q69" s="87">
        <v>0</v>
      </c>
      <c r="R69" s="285">
        <v>0</v>
      </c>
      <c r="S69" s="145">
        <v>0</v>
      </c>
      <c r="T69" s="113">
        <v>0</v>
      </c>
      <c r="U69" s="66" t="str">
        <f t="shared" si="20"/>
        <v>Normal</v>
      </c>
      <c r="V69" s="66" t="str">
        <f t="shared" si="21"/>
        <v>Normal</v>
      </c>
      <c r="W69" s="19">
        <f t="shared" si="22"/>
        <v>0</v>
      </c>
      <c r="X69" s="19">
        <f t="shared" si="4"/>
        <v>0</v>
      </c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</row>
    <row r="70" spans="1:35">
      <c r="A70" s="27">
        <v>45085</v>
      </c>
      <c r="B70" s="410">
        <f>IF(YEAR(Table7[[#This Row],[Date]]) = 2023, WEEKNUM(Table7[[#This Row],[Date]])-13, WEEKNUM(Table7[[#This Row],[Date]])+40)</f>
        <v>10</v>
      </c>
      <c r="C70" s="33" t="s">
        <v>52</v>
      </c>
      <c r="D70" s="62" t="s">
        <v>94</v>
      </c>
      <c r="E70" s="31">
        <v>0</v>
      </c>
      <c r="F70" s="31">
        <v>0</v>
      </c>
      <c r="G70" s="63">
        <v>0</v>
      </c>
      <c r="H70" s="63">
        <v>0</v>
      </c>
      <c r="I70" s="31">
        <v>0</v>
      </c>
      <c r="J70" s="31">
        <v>0</v>
      </c>
      <c r="K70" s="31">
        <v>0</v>
      </c>
      <c r="L70" s="31">
        <v>0</v>
      </c>
      <c r="M70" s="67">
        <v>0</v>
      </c>
      <c r="N70" s="67">
        <v>0</v>
      </c>
      <c r="O70" s="67">
        <v>0</v>
      </c>
      <c r="P70" s="67">
        <v>0</v>
      </c>
      <c r="Q70" s="86">
        <v>0</v>
      </c>
      <c r="R70" s="286">
        <v>0</v>
      </c>
      <c r="S70" s="168">
        <v>0</v>
      </c>
      <c r="T70" s="113">
        <v>0</v>
      </c>
      <c r="U70" s="66" t="str">
        <f t="shared" si="20"/>
        <v>Normal</v>
      </c>
      <c r="V70" s="66" t="str">
        <f t="shared" si="21"/>
        <v>Normal</v>
      </c>
      <c r="W70" s="19">
        <f t="shared" si="22"/>
        <v>0</v>
      </c>
      <c r="X70" s="19">
        <f t="shared" si="4"/>
        <v>0</v>
      </c>
      <c r="Y70" s="369"/>
      <c r="Z70" s="369"/>
      <c r="AA70" s="369"/>
      <c r="AB70" s="369"/>
      <c r="AC70" s="369"/>
      <c r="AD70" s="369"/>
      <c r="AE70" s="369"/>
      <c r="AF70" s="369"/>
      <c r="AG70" s="369"/>
      <c r="AH70" s="369"/>
      <c r="AI70" s="369"/>
    </row>
    <row r="71" spans="1:35">
      <c r="A71" s="27">
        <v>45086</v>
      </c>
      <c r="B71" s="410">
        <f>IF(YEAR(Table7[[#This Row],[Date]]) = 2023, WEEKNUM(Table7[[#This Row],[Date]])-13, WEEKNUM(Table7[[#This Row],[Date]])+40)</f>
        <v>10</v>
      </c>
      <c r="C71" s="34" t="s">
        <v>53</v>
      </c>
      <c r="D71" s="62" t="s">
        <v>94</v>
      </c>
      <c r="E71" s="1">
        <v>0</v>
      </c>
      <c r="F71" s="1">
        <v>0</v>
      </c>
      <c r="G71" s="64">
        <v>0</v>
      </c>
      <c r="H71" s="64">
        <v>0</v>
      </c>
      <c r="I71" s="1">
        <v>0</v>
      </c>
      <c r="J71" s="1">
        <v>0</v>
      </c>
      <c r="K71" s="1">
        <v>0</v>
      </c>
      <c r="L71" s="1">
        <v>0</v>
      </c>
      <c r="M71" s="66">
        <v>0</v>
      </c>
      <c r="N71" s="66">
        <v>0</v>
      </c>
      <c r="O71" s="66">
        <v>0</v>
      </c>
      <c r="P71" s="66">
        <v>0</v>
      </c>
      <c r="Q71" s="87">
        <v>0</v>
      </c>
      <c r="R71" s="285">
        <v>0</v>
      </c>
      <c r="S71" s="145">
        <v>0</v>
      </c>
      <c r="T71" s="113">
        <v>0</v>
      </c>
      <c r="U71" s="66" t="str">
        <f t="shared" si="20"/>
        <v>Normal</v>
      </c>
      <c r="V71" s="66" t="str">
        <f t="shared" si="21"/>
        <v>Normal</v>
      </c>
      <c r="W71" s="19">
        <f t="shared" si="22"/>
        <v>0</v>
      </c>
      <c r="X71" s="19">
        <f t="shared" si="4"/>
        <v>0</v>
      </c>
      <c r="Y71" s="369"/>
      <c r="Z71" s="369"/>
      <c r="AA71" s="369"/>
      <c r="AB71" s="369"/>
      <c r="AC71" s="369"/>
      <c r="AD71" s="369"/>
      <c r="AE71" s="369"/>
      <c r="AF71" s="369"/>
      <c r="AG71" s="369"/>
      <c r="AH71" s="369"/>
      <c r="AI71" s="369"/>
    </row>
    <row r="72" spans="1:35">
      <c r="A72" s="27">
        <v>45087</v>
      </c>
      <c r="B72" s="410">
        <f>IF(YEAR(Table7[[#This Row],[Date]]) = 2023, WEEKNUM(Table7[[#This Row],[Date]])-13, WEEKNUM(Table7[[#This Row],[Date]])+40)</f>
        <v>10</v>
      </c>
      <c r="C72" s="33" t="s">
        <v>54</v>
      </c>
      <c r="D72" s="62" t="s">
        <v>94</v>
      </c>
      <c r="E72" s="31">
        <v>0</v>
      </c>
      <c r="F72" s="31">
        <v>0</v>
      </c>
      <c r="G72" s="63">
        <v>0</v>
      </c>
      <c r="H72" s="63">
        <v>0</v>
      </c>
      <c r="I72" s="31">
        <v>0</v>
      </c>
      <c r="J72" s="31">
        <v>0</v>
      </c>
      <c r="K72" s="31">
        <v>0</v>
      </c>
      <c r="L72" s="31">
        <v>0</v>
      </c>
      <c r="M72" s="67">
        <v>0</v>
      </c>
      <c r="N72" s="67">
        <v>0</v>
      </c>
      <c r="O72" s="67">
        <v>0</v>
      </c>
      <c r="P72" s="67">
        <v>0</v>
      </c>
      <c r="Q72" s="86">
        <v>0</v>
      </c>
      <c r="R72" s="286">
        <v>0</v>
      </c>
      <c r="S72" s="168">
        <v>0</v>
      </c>
      <c r="T72" s="113">
        <v>0</v>
      </c>
      <c r="U72" s="66" t="str">
        <f t="shared" si="20"/>
        <v>Normal</v>
      </c>
      <c r="V72" s="66" t="str">
        <f t="shared" si="21"/>
        <v>Normal</v>
      </c>
      <c r="W72" s="19">
        <f t="shared" si="22"/>
        <v>0</v>
      </c>
      <c r="X72" s="19">
        <f t="shared" si="4"/>
        <v>0</v>
      </c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</row>
    <row r="73" spans="1:35">
      <c r="A73" s="27">
        <v>45088</v>
      </c>
      <c r="B73" s="410">
        <f>IF(YEAR(Table7[[#This Row],[Date]]) = 2023, WEEKNUM(Table7[[#This Row],[Date]])-13, WEEKNUM(Table7[[#This Row],[Date]])+40)</f>
        <v>11</v>
      </c>
      <c r="C73" s="34" t="s">
        <v>48</v>
      </c>
      <c r="D73" s="62" t="s">
        <v>94</v>
      </c>
      <c r="E73" s="1">
        <v>0</v>
      </c>
      <c r="F73" s="1">
        <v>0</v>
      </c>
      <c r="G73" s="64">
        <v>0</v>
      </c>
      <c r="H73" s="64">
        <v>0</v>
      </c>
      <c r="I73" s="1">
        <v>0</v>
      </c>
      <c r="J73" s="1">
        <v>0</v>
      </c>
      <c r="K73" s="1">
        <v>0</v>
      </c>
      <c r="L73" s="1">
        <v>0</v>
      </c>
      <c r="M73" s="66">
        <v>0</v>
      </c>
      <c r="N73" s="66">
        <v>0</v>
      </c>
      <c r="O73" s="66">
        <v>0</v>
      </c>
      <c r="P73" s="66">
        <v>0</v>
      </c>
      <c r="Q73" s="87">
        <v>0</v>
      </c>
      <c r="R73" s="285">
        <v>0</v>
      </c>
      <c r="S73" s="145">
        <v>0</v>
      </c>
      <c r="T73" s="113">
        <v>0</v>
      </c>
      <c r="U73" s="66" t="str">
        <f t="shared" si="20"/>
        <v>Normal</v>
      </c>
      <c r="V73" s="66" t="str">
        <f t="shared" si="21"/>
        <v>Normal</v>
      </c>
      <c r="W73" s="19">
        <f t="shared" si="22"/>
        <v>0</v>
      </c>
      <c r="X73" s="19">
        <f t="shared" si="4"/>
        <v>0</v>
      </c>
      <c r="Y73" s="369"/>
      <c r="Z73" s="369"/>
      <c r="AA73" s="369"/>
      <c r="AB73" s="369"/>
      <c r="AC73" s="369"/>
      <c r="AD73" s="369"/>
      <c r="AE73" s="369"/>
      <c r="AF73" s="369"/>
      <c r="AG73" s="369"/>
      <c r="AH73" s="369"/>
      <c r="AI73" s="369"/>
    </row>
    <row r="74" spans="1:35">
      <c r="A74" s="27">
        <v>45089</v>
      </c>
      <c r="B74" s="410">
        <f>IF(YEAR(Table7[[#This Row],[Date]]) = 2023, WEEKNUM(Table7[[#This Row],[Date]])-13, WEEKNUM(Table7[[#This Row],[Date]])+40)</f>
        <v>11</v>
      </c>
      <c r="C74" s="33" t="s">
        <v>49</v>
      </c>
      <c r="D74" s="62" t="s">
        <v>94</v>
      </c>
      <c r="E74" s="31">
        <v>0</v>
      </c>
      <c r="F74" s="31">
        <v>0</v>
      </c>
      <c r="G74" s="63">
        <v>0</v>
      </c>
      <c r="H74" s="63">
        <v>0</v>
      </c>
      <c r="I74" s="31">
        <v>0</v>
      </c>
      <c r="J74" s="31">
        <v>0</v>
      </c>
      <c r="K74" s="31">
        <v>0</v>
      </c>
      <c r="L74" s="31">
        <v>0</v>
      </c>
      <c r="M74" s="67">
        <v>0</v>
      </c>
      <c r="N74" s="67">
        <v>0</v>
      </c>
      <c r="O74" s="67">
        <v>0</v>
      </c>
      <c r="P74" s="67">
        <v>0</v>
      </c>
      <c r="Q74" s="86">
        <v>0</v>
      </c>
      <c r="R74" s="286">
        <v>0</v>
      </c>
      <c r="S74" s="168">
        <v>0</v>
      </c>
      <c r="T74" s="113">
        <v>0</v>
      </c>
      <c r="U74" s="66" t="str">
        <f t="shared" si="20"/>
        <v>Normal</v>
      </c>
      <c r="V74" s="66" t="str">
        <f t="shared" si="21"/>
        <v>Normal</v>
      </c>
      <c r="W74" s="19">
        <f t="shared" si="22"/>
        <v>0</v>
      </c>
      <c r="X74" s="19">
        <f t="shared" si="4"/>
        <v>0</v>
      </c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</row>
    <row r="75" spans="1:35">
      <c r="A75" s="27">
        <v>45090</v>
      </c>
      <c r="B75" s="410">
        <f>IF(YEAR(Table7[[#This Row],[Date]]) = 2023, WEEKNUM(Table7[[#This Row],[Date]])-13, WEEKNUM(Table7[[#This Row],[Date]])+40)</f>
        <v>11</v>
      </c>
      <c r="C75" s="34" t="s">
        <v>50</v>
      </c>
      <c r="D75" s="62" t="s">
        <v>94</v>
      </c>
      <c r="E75" s="1">
        <v>0</v>
      </c>
      <c r="F75" s="1">
        <v>0</v>
      </c>
      <c r="G75" s="64">
        <v>0</v>
      </c>
      <c r="H75" s="64">
        <v>0</v>
      </c>
      <c r="I75" s="1">
        <v>0</v>
      </c>
      <c r="J75" s="1">
        <v>0</v>
      </c>
      <c r="K75" s="1">
        <v>0</v>
      </c>
      <c r="L75" s="1">
        <v>0</v>
      </c>
      <c r="M75" s="66">
        <v>0</v>
      </c>
      <c r="N75" s="66">
        <v>0</v>
      </c>
      <c r="O75" s="66">
        <v>0</v>
      </c>
      <c r="P75" s="66">
        <v>0</v>
      </c>
      <c r="Q75" s="87">
        <v>0</v>
      </c>
      <c r="R75" s="285">
        <v>0</v>
      </c>
      <c r="S75" s="145">
        <v>0</v>
      </c>
      <c r="T75" s="113">
        <v>0</v>
      </c>
      <c r="U75" s="66" t="str">
        <f t="shared" si="20"/>
        <v>Normal</v>
      </c>
      <c r="V75" s="66" t="str">
        <f t="shared" si="21"/>
        <v>Normal</v>
      </c>
      <c r="W75" s="19">
        <f t="shared" si="22"/>
        <v>0</v>
      </c>
      <c r="X75" s="19">
        <f t="shared" si="4"/>
        <v>0</v>
      </c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</row>
    <row r="76" spans="1:35">
      <c r="A76" s="27">
        <v>45091</v>
      </c>
      <c r="B76" s="410">
        <f>IF(YEAR(Table7[[#This Row],[Date]]) = 2023, WEEKNUM(Table7[[#This Row],[Date]])-13, WEEKNUM(Table7[[#This Row],[Date]])+40)</f>
        <v>11</v>
      </c>
      <c r="C76" s="33" t="s">
        <v>51</v>
      </c>
      <c r="D76" s="62" t="s">
        <v>94</v>
      </c>
      <c r="E76" s="31">
        <v>0</v>
      </c>
      <c r="F76" s="31">
        <v>0</v>
      </c>
      <c r="G76" s="63">
        <v>0</v>
      </c>
      <c r="H76" s="63">
        <v>0</v>
      </c>
      <c r="I76" s="31">
        <v>0</v>
      </c>
      <c r="J76" s="31">
        <v>0</v>
      </c>
      <c r="K76" s="31">
        <v>0</v>
      </c>
      <c r="L76" s="31">
        <v>0</v>
      </c>
      <c r="M76" s="67">
        <v>0</v>
      </c>
      <c r="N76" s="67">
        <v>0</v>
      </c>
      <c r="O76" s="67">
        <v>0</v>
      </c>
      <c r="P76" s="67">
        <v>0</v>
      </c>
      <c r="Q76" s="86">
        <v>0</v>
      </c>
      <c r="R76" s="286">
        <v>0</v>
      </c>
      <c r="S76" s="168">
        <v>0</v>
      </c>
      <c r="T76" s="113">
        <v>0</v>
      </c>
      <c r="U76" s="66" t="str">
        <f t="shared" si="20"/>
        <v>Normal</v>
      </c>
      <c r="V76" s="66" t="str">
        <f t="shared" si="21"/>
        <v>Normal</v>
      </c>
      <c r="W76" s="19">
        <f t="shared" si="22"/>
        <v>0</v>
      </c>
      <c r="X76" s="19">
        <f t="shared" si="4"/>
        <v>0</v>
      </c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</row>
    <row r="77" spans="1:35">
      <c r="A77" s="27">
        <v>45092</v>
      </c>
      <c r="B77" s="410">
        <f>IF(YEAR(Table7[[#This Row],[Date]]) = 2023, WEEKNUM(Table7[[#This Row],[Date]])-13, WEEKNUM(Table7[[#This Row],[Date]])+40)</f>
        <v>11</v>
      </c>
      <c r="C77" s="34" t="s">
        <v>52</v>
      </c>
      <c r="D77" s="62" t="s">
        <v>94</v>
      </c>
      <c r="E77" s="1">
        <v>0</v>
      </c>
      <c r="F77" s="1">
        <v>0</v>
      </c>
      <c r="G77" s="64">
        <v>0</v>
      </c>
      <c r="H77" s="64">
        <v>0</v>
      </c>
      <c r="I77" s="1">
        <v>0</v>
      </c>
      <c r="J77" s="1">
        <v>0</v>
      </c>
      <c r="K77" s="1">
        <v>0</v>
      </c>
      <c r="L77" s="1">
        <v>0</v>
      </c>
      <c r="M77" s="66">
        <v>0</v>
      </c>
      <c r="N77" s="66">
        <v>0</v>
      </c>
      <c r="O77" s="66">
        <v>0</v>
      </c>
      <c r="P77" s="66">
        <v>0</v>
      </c>
      <c r="Q77" s="87">
        <v>0</v>
      </c>
      <c r="R77" s="285">
        <v>0</v>
      </c>
      <c r="S77" s="145">
        <v>0</v>
      </c>
      <c r="T77" s="113">
        <v>0</v>
      </c>
      <c r="U77" s="66" t="str">
        <f t="shared" si="20"/>
        <v>Normal</v>
      </c>
      <c r="V77" s="66" t="str">
        <f t="shared" si="21"/>
        <v>Normal</v>
      </c>
      <c r="W77" s="19">
        <f t="shared" si="22"/>
        <v>0</v>
      </c>
      <c r="X77" s="19">
        <f t="shared" ref="X77:X140" si="23">IF(V77="Normal",$H77,IF($H77&lt;150%, $H77, $AN$9))</f>
        <v>0</v>
      </c>
      <c r="Y77" s="369"/>
      <c r="Z77" s="369"/>
      <c r="AA77" s="369"/>
      <c r="AB77" s="369"/>
      <c r="AC77" s="369"/>
      <c r="AD77" s="369"/>
      <c r="AE77" s="369"/>
      <c r="AF77" s="369"/>
      <c r="AG77" s="369"/>
      <c r="AH77" s="369"/>
      <c r="AI77" s="369"/>
    </row>
    <row r="78" spans="1:35">
      <c r="A78" s="27">
        <v>45093</v>
      </c>
      <c r="B78" s="410">
        <f>IF(YEAR(Table7[[#This Row],[Date]]) = 2023, WEEKNUM(Table7[[#This Row],[Date]])-13, WEEKNUM(Table7[[#This Row],[Date]])+40)</f>
        <v>11</v>
      </c>
      <c r="C78" s="33" t="s">
        <v>53</v>
      </c>
      <c r="D78" s="62" t="s">
        <v>94</v>
      </c>
      <c r="E78" s="31">
        <v>0</v>
      </c>
      <c r="F78" s="31">
        <v>0</v>
      </c>
      <c r="G78" s="63">
        <v>0</v>
      </c>
      <c r="H78" s="63">
        <v>0</v>
      </c>
      <c r="I78" s="31">
        <v>0</v>
      </c>
      <c r="J78" s="31">
        <v>0</v>
      </c>
      <c r="K78" s="31">
        <v>0</v>
      </c>
      <c r="L78" s="31">
        <v>0</v>
      </c>
      <c r="M78" s="67">
        <v>0</v>
      </c>
      <c r="N78" s="67">
        <v>0</v>
      </c>
      <c r="O78" s="67">
        <v>0</v>
      </c>
      <c r="P78" s="67">
        <v>0</v>
      </c>
      <c r="Q78" s="86">
        <v>0</v>
      </c>
      <c r="R78" s="286">
        <v>0</v>
      </c>
      <c r="S78" s="168">
        <v>0</v>
      </c>
      <c r="T78" s="113">
        <v>0</v>
      </c>
      <c r="U78" s="66" t="str">
        <f t="shared" si="20"/>
        <v>Normal</v>
      </c>
      <c r="V78" s="66" t="str">
        <f t="shared" si="21"/>
        <v>Normal</v>
      </c>
      <c r="W78" s="19">
        <f t="shared" si="22"/>
        <v>0</v>
      </c>
      <c r="X78" s="19">
        <f t="shared" si="23"/>
        <v>0</v>
      </c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</row>
    <row r="79" spans="1:35">
      <c r="A79" s="27">
        <v>45094</v>
      </c>
      <c r="B79" s="410">
        <f>IF(YEAR(Table7[[#This Row],[Date]]) = 2023, WEEKNUM(Table7[[#This Row],[Date]])-13, WEEKNUM(Table7[[#This Row],[Date]])+40)</f>
        <v>11</v>
      </c>
      <c r="C79" s="34" t="s">
        <v>54</v>
      </c>
      <c r="D79" s="62" t="s">
        <v>94</v>
      </c>
      <c r="E79" s="1">
        <v>0</v>
      </c>
      <c r="F79" s="1">
        <v>0</v>
      </c>
      <c r="G79" s="64">
        <v>0</v>
      </c>
      <c r="H79" s="64">
        <v>0</v>
      </c>
      <c r="I79" s="1">
        <v>0</v>
      </c>
      <c r="J79" s="1">
        <v>0</v>
      </c>
      <c r="K79" s="1">
        <v>0</v>
      </c>
      <c r="L79" s="1">
        <v>0</v>
      </c>
      <c r="M79" s="66">
        <v>0</v>
      </c>
      <c r="N79" s="66">
        <v>0</v>
      </c>
      <c r="O79" s="66">
        <v>0</v>
      </c>
      <c r="P79" s="66">
        <v>0</v>
      </c>
      <c r="Q79" s="87">
        <v>0</v>
      </c>
      <c r="R79" s="285">
        <v>0</v>
      </c>
      <c r="S79" s="145">
        <v>0</v>
      </c>
      <c r="T79" s="113">
        <v>0</v>
      </c>
      <c r="U79" s="66" t="str">
        <f t="shared" si="20"/>
        <v>Normal</v>
      </c>
      <c r="V79" s="66" t="str">
        <f t="shared" si="21"/>
        <v>Normal</v>
      </c>
      <c r="W79" s="19">
        <f t="shared" si="22"/>
        <v>0</v>
      </c>
      <c r="X79" s="19">
        <f t="shared" si="23"/>
        <v>0</v>
      </c>
      <c r="Y79" s="369"/>
      <c r="Z79" s="369"/>
      <c r="AA79" s="369"/>
      <c r="AB79" s="369"/>
      <c r="AC79" s="369"/>
      <c r="AD79" s="369"/>
      <c r="AE79" s="369"/>
      <c r="AF79" s="369"/>
      <c r="AG79" s="369"/>
      <c r="AH79" s="369"/>
      <c r="AI79" s="369"/>
    </row>
    <row r="80" spans="1:35">
      <c r="A80" s="27">
        <v>45095</v>
      </c>
      <c r="B80" s="410">
        <f>IF(YEAR(Table7[[#This Row],[Date]]) = 2023, WEEKNUM(Table7[[#This Row],[Date]])-13, WEEKNUM(Table7[[#This Row],[Date]])+40)</f>
        <v>12</v>
      </c>
      <c r="C80" s="33" t="s">
        <v>48</v>
      </c>
      <c r="D80" s="62" t="s">
        <v>94</v>
      </c>
      <c r="E80" s="31">
        <v>0</v>
      </c>
      <c r="F80" s="31">
        <v>0</v>
      </c>
      <c r="G80" s="63">
        <v>0</v>
      </c>
      <c r="H80" s="63">
        <v>0</v>
      </c>
      <c r="I80" s="31">
        <v>0</v>
      </c>
      <c r="J80" s="31">
        <v>0</v>
      </c>
      <c r="K80" s="31">
        <v>0</v>
      </c>
      <c r="L80" s="31">
        <v>0</v>
      </c>
      <c r="M80" s="67">
        <v>0</v>
      </c>
      <c r="N80" s="67">
        <v>0</v>
      </c>
      <c r="O80" s="67">
        <v>0</v>
      </c>
      <c r="P80" s="67">
        <v>0</v>
      </c>
      <c r="Q80" s="86">
        <v>0</v>
      </c>
      <c r="R80" s="286">
        <v>0</v>
      </c>
      <c r="S80" s="168">
        <v>0</v>
      </c>
      <c r="T80" s="113">
        <v>0</v>
      </c>
      <c r="U80" s="66" t="str">
        <f t="shared" si="20"/>
        <v>Normal</v>
      </c>
      <c r="V80" s="66" t="str">
        <f t="shared" si="21"/>
        <v>Normal</v>
      </c>
      <c r="W80" s="19">
        <f t="shared" si="22"/>
        <v>0</v>
      </c>
      <c r="X80" s="19">
        <f t="shared" si="23"/>
        <v>0</v>
      </c>
      <c r="Y80" s="369"/>
      <c r="Z80" s="369"/>
      <c r="AA80" s="369"/>
      <c r="AB80" s="369"/>
      <c r="AC80" s="369"/>
      <c r="AD80" s="369"/>
      <c r="AE80" s="369"/>
      <c r="AF80" s="369"/>
      <c r="AG80" s="369"/>
      <c r="AH80" s="369"/>
      <c r="AI80" s="369"/>
    </row>
    <row r="81" spans="1:35">
      <c r="A81" s="27">
        <v>45096</v>
      </c>
      <c r="B81" s="410">
        <f>IF(YEAR(Table7[[#This Row],[Date]]) = 2023, WEEKNUM(Table7[[#This Row],[Date]])-13, WEEKNUM(Table7[[#This Row],[Date]])+40)</f>
        <v>12</v>
      </c>
      <c r="C81" s="34" t="s">
        <v>49</v>
      </c>
      <c r="D81" s="62" t="s">
        <v>94</v>
      </c>
      <c r="E81" s="1">
        <v>0</v>
      </c>
      <c r="F81" s="1">
        <v>0</v>
      </c>
      <c r="G81" s="64">
        <v>0</v>
      </c>
      <c r="H81" s="64">
        <v>0</v>
      </c>
      <c r="I81" s="1">
        <v>0</v>
      </c>
      <c r="J81" s="1">
        <v>0</v>
      </c>
      <c r="K81" s="1">
        <v>0</v>
      </c>
      <c r="L81" s="1">
        <v>0</v>
      </c>
      <c r="M81" s="66">
        <v>0</v>
      </c>
      <c r="N81" s="66">
        <v>0</v>
      </c>
      <c r="O81" s="66">
        <v>0</v>
      </c>
      <c r="P81" s="66">
        <v>0</v>
      </c>
      <c r="Q81" s="87">
        <v>0</v>
      </c>
      <c r="R81" s="285">
        <v>0</v>
      </c>
      <c r="S81" s="145">
        <v>0</v>
      </c>
      <c r="T81" s="113">
        <v>0</v>
      </c>
      <c r="U81" s="66" t="str">
        <f t="shared" si="20"/>
        <v>Normal</v>
      </c>
      <c r="V81" s="66" t="str">
        <f t="shared" si="21"/>
        <v>Normal</v>
      </c>
      <c r="W81" s="19">
        <f t="shared" si="22"/>
        <v>0</v>
      </c>
      <c r="X81" s="19">
        <f t="shared" si="23"/>
        <v>0</v>
      </c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</row>
    <row r="82" spans="1:35">
      <c r="A82" s="27">
        <v>45097</v>
      </c>
      <c r="B82" s="410">
        <f>IF(YEAR(Table7[[#This Row],[Date]]) = 2023, WEEKNUM(Table7[[#This Row],[Date]])-13, WEEKNUM(Table7[[#This Row],[Date]])+40)</f>
        <v>12</v>
      </c>
      <c r="C82" s="33" t="s">
        <v>50</v>
      </c>
      <c r="D82" s="62" t="s">
        <v>94</v>
      </c>
      <c r="E82" s="31">
        <v>0</v>
      </c>
      <c r="F82" s="31">
        <v>0</v>
      </c>
      <c r="G82" s="63">
        <v>0</v>
      </c>
      <c r="H82" s="63">
        <v>0</v>
      </c>
      <c r="I82" s="31">
        <v>0</v>
      </c>
      <c r="J82" s="31">
        <v>0</v>
      </c>
      <c r="K82" s="31">
        <v>0</v>
      </c>
      <c r="L82" s="31">
        <v>0</v>
      </c>
      <c r="M82" s="67">
        <v>0</v>
      </c>
      <c r="N82" s="67">
        <v>0</v>
      </c>
      <c r="O82" s="67">
        <v>0</v>
      </c>
      <c r="P82" s="67">
        <v>0</v>
      </c>
      <c r="Q82" s="86">
        <v>0</v>
      </c>
      <c r="R82" s="286">
        <v>0</v>
      </c>
      <c r="S82" s="168">
        <v>0</v>
      </c>
      <c r="T82" s="113">
        <v>0</v>
      </c>
      <c r="U82" s="66" t="str">
        <f t="shared" si="20"/>
        <v>Normal</v>
      </c>
      <c r="V82" s="66" t="str">
        <f t="shared" si="21"/>
        <v>Normal</v>
      </c>
      <c r="W82" s="19">
        <f t="shared" si="22"/>
        <v>0</v>
      </c>
      <c r="X82" s="19">
        <f t="shared" si="23"/>
        <v>0</v>
      </c>
      <c r="Y82" s="369"/>
      <c r="Z82" s="369"/>
      <c r="AA82" s="369"/>
      <c r="AB82" s="369"/>
      <c r="AC82" s="369"/>
      <c r="AD82" s="369"/>
      <c r="AE82" s="369"/>
      <c r="AF82" s="369"/>
      <c r="AG82" s="369"/>
      <c r="AH82" s="369"/>
      <c r="AI82" s="369"/>
    </row>
    <row r="83" spans="1:35">
      <c r="A83" s="27">
        <v>45098</v>
      </c>
      <c r="B83" s="410">
        <f>IF(YEAR(Table7[[#This Row],[Date]]) = 2023, WEEKNUM(Table7[[#This Row],[Date]])-13, WEEKNUM(Table7[[#This Row],[Date]])+40)</f>
        <v>12</v>
      </c>
      <c r="C83" s="34" t="s">
        <v>51</v>
      </c>
      <c r="D83" s="62" t="s">
        <v>94</v>
      </c>
      <c r="E83" s="1">
        <v>0</v>
      </c>
      <c r="F83" s="1">
        <v>0</v>
      </c>
      <c r="G83" s="64">
        <v>0</v>
      </c>
      <c r="H83" s="64">
        <v>0</v>
      </c>
      <c r="I83" s="1">
        <v>0</v>
      </c>
      <c r="J83" s="1">
        <v>0</v>
      </c>
      <c r="K83" s="1">
        <v>0</v>
      </c>
      <c r="L83" s="1">
        <v>0</v>
      </c>
      <c r="M83" s="66">
        <v>0</v>
      </c>
      <c r="N83" s="66">
        <v>0</v>
      </c>
      <c r="O83" s="66">
        <v>0</v>
      </c>
      <c r="P83" s="66">
        <v>0</v>
      </c>
      <c r="Q83" s="87">
        <v>0</v>
      </c>
      <c r="R83" s="285">
        <v>0</v>
      </c>
      <c r="S83" s="145">
        <v>0</v>
      </c>
      <c r="T83" s="113">
        <v>0</v>
      </c>
      <c r="U83" s="66" t="str">
        <f t="shared" si="20"/>
        <v>Normal</v>
      </c>
      <c r="V83" s="66" t="str">
        <f t="shared" si="21"/>
        <v>Normal</v>
      </c>
      <c r="W83" s="19">
        <f t="shared" si="22"/>
        <v>0</v>
      </c>
      <c r="X83" s="19">
        <f t="shared" si="23"/>
        <v>0</v>
      </c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</row>
    <row r="84" spans="1:35">
      <c r="A84" s="27">
        <v>45099</v>
      </c>
      <c r="B84" s="410">
        <f>IF(YEAR(Table7[[#This Row],[Date]]) = 2023, WEEKNUM(Table7[[#This Row],[Date]])-13, WEEKNUM(Table7[[#This Row],[Date]])+40)</f>
        <v>12</v>
      </c>
      <c r="C84" s="33" t="s">
        <v>52</v>
      </c>
      <c r="D84" s="62" t="s">
        <v>94</v>
      </c>
      <c r="E84" s="31">
        <v>0</v>
      </c>
      <c r="F84" s="31">
        <v>0</v>
      </c>
      <c r="G84" s="63">
        <v>0</v>
      </c>
      <c r="H84" s="63">
        <v>0</v>
      </c>
      <c r="I84" s="31">
        <v>0</v>
      </c>
      <c r="J84" s="31">
        <v>0</v>
      </c>
      <c r="K84" s="31">
        <v>0</v>
      </c>
      <c r="L84" s="31">
        <v>0</v>
      </c>
      <c r="M84" s="67">
        <v>0</v>
      </c>
      <c r="N84" s="67">
        <v>0</v>
      </c>
      <c r="O84" s="67">
        <v>0</v>
      </c>
      <c r="P84" s="67">
        <v>0</v>
      </c>
      <c r="Q84" s="86">
        <v>0</v>
      </c>
      <c r="R84" s="286">
        <v>0</v>
      </c>
      <c r="S84" s="168">
        <v>0</v>
      </c>
      <c r="T84" s="113">
        <v>0</v>
      </c>
      <c r="U84" s="66" t="str">
        <f t="shared" si="20"/>
        <v>Normal</v>
      </c>
      <c r="V84" s="66" t="str">
        <f t="shared" si="21"/>
        <v>Normal</v>
      </c>
      <c r="W84" s="19">
        <f t="shared" si="22"/>
        <v>0</v>
      </c>
      <c r="X84" s="19">
        <f t="shared" si="23"/>
        <v>0</v>
      </c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</row>
    <row r="85" spans="1:35">
      <c r="A85" s="27">
        <v>45100</v>
      </c>
      <c r="B85" s="410">
        <f>IF(YEAR(Table7[[#This Row],[Date]]) = 2023, WEEKNUM(Table7[[#This Row],[Date]])-13, WEEKNUM(Table7[[#This Row],[Date]])+40)</f>
        <v>12</v>
      </c>
      <c r="C85" s="34" t="s">
        <v>53</v>
      </c>
      <c r="D85" s="62" t="s">
        <v>94</v>
      </c>
      <c r="E85" s="1">
        <v>0</v>
      </c>
      <c r="F85" s="1">
        <v>0</v>
      </c>
      <c r="G85" s="64">
        <v>0</v>
      </c>
      <c r="H85" s="64">
        <v>0</v>
      </c>
      <c r="I85" s="1">
        <v>0</v>
      </c>
      <c r="J85" s="1">
        <v>0</v>
      </c>
      <c r="K85" s="1">
        <v>0</v>
      </c>
      <c r="L85" s="1">
        <v>0</v>
      </c>
      <c r="M85" s="66">
        <v>0</v>
      </c>
      <c r="N85" s="66">
        <v>0</v>
      </c>
      <c r="O85" s="66">
        <v>0</v>
      </c>
      <c r="P85" s="66">
        <v>0</v>
      </c>
      <c r="Q85" s="87">
        <v>0</v>
      </c>
      <c r="R85" s="285">
        <v>0</v>
      </c>
      <c r="S85" s="145">
        <v>0</v>
      </c>
      <c r="T85" s="113">
        <v>0</v>
      </c>
      <c r="U85" s="66" t="str">
        <f t="shared" si="20"/>
        <v>Normal</v>
      </c>
      <c r="V85" s="66" t="str">
        <f t="shared" si="21"/>
        <v>Normal</v>
      </c>
      <c r="W85" s="19">
        <f t="shared" si="22"/>
        <v>0</v>
      </c>
      <c r="X85" s="19">
        <f t="shared" si="23"/>
        <v>0</v>
      </c>
      <c r="Y85" s="369"/>
      <c r="Z85" s="369"/>
      <c r="AA85" s="369"/>
      <c r="AB85" s="369"/>
      <c r="AC85" s="369"/>
      <c r="AD85" s="369"/>
      <c r="AE85" s="369"/>
      <c r="AF85" s="369"/>
      <c r="AG85" s="369"/>
      <c r="AH85" s="369"/>
      <c r="AI85" s="369"/>
    </row>
    <row r="86" spans="1:35">
      <c r="A86" s="27">
        <v>45101</v>
      </c>
      <c r="B86" s="410">
        <f>IF(YEAR(Table7[[#This Row],[Date]]) = 2023, WEEKNUM(Table7[[#This Row],[Date]])-13, WEEKNUM(Table7[[#This Row],[Date]])+40)</f>
        <v>12</v>
      </c>
      <c r="C86" s="33" t="s">
        <v>54</v>
      </c>
      <c r="D86" s="62" t="s">
        <v>94</v>
      </c>
      <c r="E86" s="31">
        <v>0</v>
      </c>
      <c r="F86" s="31">
        <v>0</v>
      </c>
      <c r="G86" s="63">
        <v>0</v>
      </c>
      <c r="H86" s="63">
        <v>0</v>
      </c>
      <c r="I86" s="31">
        <v>0</v>
      </c>
      <c r="J86" s="31">
        <v>0</v>
      </c>
      <c r="K86" s="31">
        <v>0</v>
      </c>
      <c r="L86" s="31">
        <v>0</v>
      </c>
      <c r="M86" s="67">
        <v>0</v>
      </c>
      <c r="N86" s="67">
        <v>0</v>
      </c>
      <c r="O86" s="67">
        <v>0</v>
      </c>
      <c r="P86" s="67">
        <v>0</v>
      </c>
      <c r="Q86" s="86">
        <v>0</v>
      </c>
      <c r="R86" s="286">
        <v>0</v>
      </c>
      <c r="S86" s="168">
        <v>0</v>
      </c>
      <c r="T86" s="113">
        <v>0</v>
      </c>
      <c r="U86" s="66" t="str">
        <f t="shared" si="20"/>
        <v>Normal</v>
      </c>
      <c r="V86" s="66" t="str">
        <f t="shared" si="21"/>
        <v>Normal</v>
      </c>
      <c r="W86" s="19">
        <f t="shared" si="22"/>
        <v>0</v>
      </c>
      <c r="X86" s="19">
        <f t="shared" si="23"/>
        <v>0</v>
      </c>
      <c r="Y86" s="369"/>
      <c r="Z86" s="369"/>
      <c r="AA86" s="369"/>
      <c r="AB86" s="369"/>
      <c r="AC86" s="369"/>
      <c r="AD86" s="369"/>
      <c r="AE86" s="369"/>
      <c r="AF86" s="369"/>
      <c r="AG86" s="369"/>
      <c r="AH86" s="369"/>
      <c r="AI86" s="369"/>
    </row>
    <row r="87" spans="1:35">
      <c r="A87" s="27">
        <v>45102</v>
      </c>
      <c r="B87" s="410">
        <f>IF(YEAR(Table7[[#This Row],[Date]]) = 2023, WEEKNUM(Table7[[#This Row],[Date]])-13, WEEKNUM(Table7[[#This Row],[Date]])+40)</f>
        <v>13</v>
      </c>
      <c r="C87" s="34" t="s">
        <v>48</v>
      </c>
      <c r="D87" s="62" t="s">
        <v>94</v>
      </c>
      <c r="E87" s="1">
        <v>0</v>
      </c>
      <c r="F87" s="1">
        <v>0</v>
      </c>
      <c r="G87" s="64">
        <v>0</v>
      </c>
      <c r="H87" s="64">
        <v>0</v>
      </c>
      <c r="I87" s="1">
        <v>0</v>
      </c>
      <c r="J87" s="1">
        <v>0</v>
      </c>
      <c r="K87" s="1">
        <v>0</v>
      </c>
      <c r="L87" s="1">
        <v>0</v>
      </c>
      <c r="M87" s="66">
        <v>0</v>
      </c>
      <c r="N87" s="66">
        <v>0</v>
      </c>
      <c r="O87" s="66">
        <v>0</v>
      </c>
      <c r="P87" s="66">
        <v>0</v>
      </c>
      <c r="Q87" s="87">
        <v>0</v>
      </c>
      <c r="R87" s="285">
        <v>0</v>
      </c>
      <c r="S87" s="145">
        <v>0</v>
      </c>
      <c r="T87" s="113">
        <v>0</v>
      </c>
      <c r="U87" s="66" t="str">
        <f t="shared" si="20"/>
        <v>Normal</v>
      </c>
      <c r="V87" s="66" t="str">
        <f t="shared" si="21"/>
        <v>Normal</v>
      </c>
      <c r="W87" s="19">
        <f t="shared" si="22"/>
        <v>0</v>
      </c>
      <c r="X87" s="19">
        <f t="shared" si="23"/>
        <v>0</v>
      </c>
      <c r="Y87" s="369"/>
      <c r="Z87" s="369"/>
      <c r="AA87" s="369"/>
      <c r="AB87" s="369"/>
      <c r="AC87" s="369"/>
      <c r="AD87" s="369"/>
      <c r="AE87" s="369"/>
      <c r="AF87" s="369"/>
      <c r="AG87" s="369"/>
      <c r="AH87" s="369"/>
      <c r="AI87" s="369"/>
    </row>
    <row r="88" spans="1:35">
      <c r="A88" s="27">
        <v>45103</v>
      </c>
      <c r="B88" s="410">
        <f>IF(YEAR(Table7[[#This Row],[Date]]) = 2023, WEEKNUM(Table7[[#This Row],[Date]])-13, WEEKNUM(Table7[[#This Row],[Date]])+40)</f>
        <v>13</v>
      </c>
      <c r="C88" s="33" t="s">
        <v>49</v>
      </c>
      <c r="D88" s="62" t="s">
        <v>94</v>
      </c>
      <c r="E88" s="31">
        <v>0</v>
      </c>
      <c r="F88" s="31">
        <v>0</v>
      </c>
      <c r="G88" s="63">
        <v>0</v>
      </c>
      <c r="H88" s="63">
        <v>0</v>
      </c>
      <c r="I88" s="31">
        <v>0</v>
      </c>
      <c r="J88" s="31">
        <v>0</v>
      </c>
      <c r="K88" s="31">
        <v>0</v>
      </c>
      <c r="L88" s="31">
        <v>0</v>
      </c>
      <c r="M88" s="67">
        <v>0</v>
      </c>
      <c r="N88" s="67">
        <v>0</v>
      </c>
      <c r="O88" s="67">
        <v>0</v>
      </c>
      <c r="P88" s="67">
        <v>0</v>
      </c>
      <c r="Q88" s="86">
        <v>0</v>
      </c>
      <c r="R88" s="286">
        <v>0</v>
      </c>
      <c r="S88" s="168">
        <v>0</v>
      </c>
      <c r="T88" s="113">
        <v>0</v>
      </c>
      <c r="U88" s="66" t="str">
        <f t="shared" si="20"/>
        <v>Normal</v>
      </c>
      <c r="V88" s="66" t="str">
        <f t="shared" si="21"/>
        <v>Normal</v>
      </c>
      <c r="W88" s="19">
        <f t="shared" si="22"/>
        <v>0</v>
      </c>
      <c r="X88" s="19">
        <f t="shared" si="23"/>
        <v>0</v>
      </c>
      <c r="Y88" s="369"/>
      <c r="Z88" s="369"/>
      <c r="AA88" s="369"/>
      <c r="AB88" s="369"/>
      <c r="AC88" s="369"/>
      <c r="AD88" s="369"/>
      <c r="AE88" s="369"/>
      <c r="AF88" s="369"/>
      <c r="AG88" s="369"/>
      <c r="AH88" s="369"/>
      <c r="AI88" s="369"/>
    </row>
    <row r="89" spans="1:35">
      <c r="A89" s="27">
        <v>45104</v>
      </c>
      <c r="B89" s="410">
        <f>IF(YEAR(Table7[[#This Row],[Date]]) = 2023, WEEKNUM(Table7[[#This Row],[Date]])-13, WEEKNUM(Table7[[#This Row],[Date]])+40)</f>
        <v>13</v>
      </c>
      <c r="C89" s="34" t="s">
        <v>50</v>
      </c>
      <c r="D89" s="62" t="s">
        <v>94</v>
      </c>
      <c r="E89" s="1">
        <v>0</v>
      </c>
      <c r="F89" s="1">
        <v>0</v>
      </c>
      <c r="G89" s="64">
        <v>0</v>
      </c>
      <c r="H89" s="64">
        <v>0</v>
      </c>
      <c r="I89" s="1">
        <v>0</v>
      </c>
      <c r="J89" s="1">
        <v>0</v>
      </c>
      <c r="K89" s="1">
        <v>0</v>
      </c>
      <c r="L89" s="1">
        <v>0</v>
      </c>
      <c r="M89" s="66">
        <v>0</v>
      </c>
      <c r="N89" s="66">
        <v>0</v>
      </c>
      <c r="O89" s="66">
        <v>0</v>
      </c>
      <c r="P89" s="66">
        <v>0</v>
      </c>
      <c r="Q89" s="87">
        <v>0</v>
      </c>
      <c r="R89" s="285">
        <v>0</v>
      </c>
      <c r="S89" s="145">
        <v>0</v>
      </c>
      <c r="T89" s="113">
        <v>0</v>
      </c>
      <c r="U89" s="66" t="str">
        <f t="shared" si="20"/>
        <v>Normal</v>
      </c>
      <c r="V89" s="66" t="str">
        <f t="shared" si="21"/>
        <v>Normal</v>
      </c>
      <c r="W89" s="19">
        <f t="shared" si="22"/>
        <v>0</v>
      </c>
      <c r="X89" s="19">
        <f t="shared" si="23"/>
        <v>0</v>
      </c>
      <c r="Y89" s="369"/>
      <c r="Z89" s="369"/>
      <c r="AA89" s="369"/>
      <c r="AB89" s="369"/>
      <c r="AC89" s="369"/>
      <c r="AD89" s="369"/>
      <c r="AE89" s="369"/>
      <c r="AF89" s="369"/>
      <c r="AG89" s="369"/>
      <c r="AH89" s="369"/>
      <c r="AI89" s="369"/>
    </row>
    <row r="90" spans="1:35">
      <c r="A90" s="27">
        <v>45105</v>
      </c>
      <c r="B90" s="410">
        <f>IF(YEAR(Table7[[#This Row],[Date]]) = 2023, WEEKNUM(Table7[[#This Row],[Date]])-13, WEEKNUM(Table7[[#This Row],[Date]])+40)</f>
        <v>13</v>
      </c>
      <c r="C90" s="33" t="s">
        <v>51</v>
      </c>
      <c r="D90" s="62" t="s">
        <v>94</v>
      </c>
      <c r="E90" s="31">
        <v>0</v>
      </c>
      <c r="F90" s="31">
        <v>0</v>
      </c>
      <c r="G90" s="63">
        <v>0</v>
      </c>
      <c r="H90" s="63">
        <v>0</v>
      </c>
      <c r="I90" s="31">
        <v>0</v>
      </c>
      <c r="J90" s="31">
        <v>0</v>
      </c>
      <c r="K90" s="31">
        <v>0</v>
      </c>
      <c r="L90" s="31">
        <v>0</v>
      </c>
      <c r="M90" s="67">
        <v>0</v>
      </c>
      <c r="N90" s="67">
        <v>0</v>
      </c>
      <c r="O90" s="67">
        <v>0</v>
      </c>
      <c r="P90" s="67">
        <v>0</v>
      </c>
      <c r="Q90" s="86">
        <v>0</v>
      </c>
      <c r="R90" s="286">
        <v>0</v>
      </c>
      <c r="S90" s="168">
        <v>0</v>
      </c>
      <c r="T90" s="113">
        <v>0</v>
      </c>
      <c r="U90" s="66" t="str">
        <f t="shared" si="20"/>
        <v>Normal</v>
      </c>
      <c r="V90" s="66" t="str">
        <f t="shared" si="21"/>
        <v>Normal</v>
      </c>
      <c r="W90" s="19">
        <f t="shared" si="22"/>
        <v>0</v>
      </c>
      <c r="X90" s="19">
        <f t="shared" si="23"/>
        <v>0</v>
      </c>
      <c r="Y90" s="369"/>
      <c r="Z90" s="369"/>
      <c r="AA90" s="369"/>
      <c r="AB90" s="369"/>
      <c r="AC90" s="369"/>
      <c r="AD90" s="369"/>
      <c r="AE90" s="369"/>
      <c r="AF90" s="369"/>
      <c r="AG90" s="369"/>
      <c r="AH90" s="369"/>
      <c r="AI90" s="369"/>
    </row>
    <row r="91" spans="1:35">
      <c r="A91" s="27">
        <v>45106</v>
      </c>
      <c r="B91" s="410">
        <f>IF(YEAR(Table7[[#This Row],[Date]]) = 2023, WEEKNUM(Table7[[#This Row],[Date]])-13, WEEKNUM(Table7[[#This Row],[Date]])+40)</f>
        <v>13</v>
      </c>
      <c r="C91" s="34" t="s">
        <v>52</v>
      </c>
      <c r="D91" s="62" t="s">
        <v>94</v>
      </c>
      <c r="E91" s="1">
        <v>0</v>
      </c>
      <c r="F91" s="1">
        <v>0</v>
      </c>
      <c r="G91" s="64">
        <v>0</v>
      </c>
      <c r="H91" s="64">
        <v>0</v>
      </c>
      <c r="I91" s="1">
        <v>0</v>
      </c>
      <c r="J91" s="1">
        <v>0</v>
      </c>
      <c r="K91" s="1">
        <v>0</v>
      </c>
      <c r="L91" s="1">
        <v>0</v>
      </c>
      <c r="M91" s="66">
        <v>0</v>
      </c>
      <c r="N91" s="66">
        <v>0</v>
      </c>
      <c r="O91" s="66">
        <v>0</v>
      </c>
      <c r="P91" s="66">
        <v>0</v>
      </c>
      <c r="Q91" s="87">
        <v>0</v>
      </c>
      <c r="R91" s="285">
        <v>0</v>
      </c>
      <c r="S91" s="145">
        <v>0</v>
      </c>
      <c r="T91" s="113">
        <v>0</v>
      </c>
      <c r="U91" s="66" t="str">
        <f t="shared" si="20"/>
        <v>Normal</v>
      </c>
      <c r="V91" s="66" t="str">
        <f t="shared" si="21"/>
        <v>Normal</v>
      </c>
      <c r="W91" s="19">
        <f t="shared" si="22"/>
        <v>0</v>
      </c>
      <c r="X91" s="19">
        <f t="shared" si="23"/>
        <v>0</v>
      </c>
      <c r="Y91" s="369"/>
      <c r="Z91" s="369"/>
      <c r="AA91" s="369"/>
      <c r="AB91" s="369"/>
      <c r="AC91" s="369"/>
      <c r="AD91" s="369"/>
      <c r="AE91" s="369"/>
      <c r="AF91" s="369"/>
      <c r="AG91" s="369"/>
      <c r="AH91" s="369"/>
      <c r="AI91" s="369"/>
    </row>
    <row r="92" spans="1:35">
      <c r="A92" s="27">
        <v>45107</v>
      </c>
      <c r="B92" s="410">
        <f>IF(YEAR(Table7[[#This Row],[Date]]) = 2023, WEEKNUM(Table7[[#This Row],[Date]])-13, WEEKNUM(Table7[[#This Row],[Date]])+40)</f>
        <v>13</v>
      </c>
      <c r="C92" s="33" t="s">
        <v>53</v>
      </c>
      <c r="D92" s="62" t="s">
        <v>94</v>
      </c>
      <c r="E92" s="31">
        <v>0</v>
      </c>
      <c r="F92" s="31">
        <v>0</v>
      </c>
      <c r="G92" s="63">
        <v>0</v>
      </c>
      <c r="H92" s="63">
        <v>0</v>
      </c>
      <c r="I92" s="31">
        <v>0</v>
      </c>
      <c r="J92" s="31">
        <v>0</v>
      </c>
      <c r="K92" s="31">
        <v>0</v>
      </c>
      <c r="L92" s="31">
        <v>0</v>
      </c>
      <c r="M92" s="67">
        <v>0</v>
      </c>
      <c r="N92" s="67">
        <v>0</v>
      </c>
      <c r="O92" s="67">
        <v>0</v>
      </c>
      <c r="P92" s="67">
        <v>0</v>
      </c>
      <c r="Q92" s="86">
        <v>0</v>
      </c>
      <c r="R92" s="286">
        <v>0</v>
      </c>
      <c r="S92" s="168">
        <v>0</v>
      </c>
      <c r="T92" s="113">
        <v>0</v>
      </c>
      <c r="U92" s="66" t="str">
        <f t="shared" si="20"/>
        <v>Normal</v>
      </c>
      <c r="V92" s="66" t="str">
        <f t="shared" si="21"/>
        <v>Normal</v>
      </c>
      <c r="W92" s="19">
        <f t="shared" si="22"/>
        <v>0</v>
      </c>
      <c r="X92" s="19">
        <f t="shared" si="23"/>
        <v>0</v>
      </c>
      <c r="Y92" s="369"/>
      <c r="Z92" s="369"/>
      <c r="AA92" s="369"/>
      <c r="AB92" s="369"/>
      <c r="AC92" s="369"/>
      <c r="AD92" s="369"/>
      <c r="AE92" s="369"/>
      <c r="AF92" s="369"/>
      <c r="AG92" s="369"/>
      <c r="AH92" s="369"/>
      <c r="AI92" s="369"/>
    </row>
    <row r="93" spans="1:35">
      <c r="A93" s="27">
        <v>45108</v>
      </c>
      <c r="B93" s="27">
        <f>IF(YEAR(Table7[[#This Row],[Date]]) = 2023, WEEKNUM(Table7[[#This Row],[Date]])-13, WEEKNUM(Table7[[#This Row],[Date]])+40)</f>
        <v>13</v>
      </c>
      <c r="C93" s="34" t="s">
        <v>54</v>
      </c>
      <c r="D93" s="62" t="s">
        <v>94</v>
      </c>
      <c r="E93" s="1">
        <v>0</v>
      </c>
      <c r="F93" s="1">
        <v>0</v>
      </c>
      <c r="G93" s="64">
        <v>0</v>
      </c>
      <c r="H93" s="64">
        <v>0</v>
      </c>
      <c r="I93" s="1">
        <v>0</v>
      </c>
      <c r="J93" s="1">
        <v>0</v>
      </c>
      <c r="K93" s="1">
        <v>0</v>
      </c>
      <c r="L93" s="1">
        <v>0</v>
      </c>
      <c r="M93" s="66">
        <v>0</v>
      </c>
      <c r="N93" s="66">
        <v>0</v>
      </c>
      <c r="O93" s="66">
        <v>0</v>
      </c>
      <c r="P93" s="66">
        <v>0</v>
      </c>
      <c r="Q93" s="87">
        <v>0</v>
      </c>
      <c r="R93" s="285">
        <v>0</v>
      </c>
      <c r="S93" s="145">
        <v>0</v>
      </c>
      <c r="T93" s="113">
        <v>0</v>
      </c>
      <c r="U93" s="66" t="str">
        <f t="shared" si="20"/>
        <v>Normal</v>
      </c>
      <c r="V93" s="66" t="str">
        <f t="shared" si="21"/>
        <v>Normal</v>
      </c>
      <c r="W93" s="19">
        <f t="shared" ref="W93:W156" si="24">IF(U93="Normal",$G93,IF($G93&lt;150%, $G93, $AJ$9))</f>
        <v>0</v>
      </c>
      <c r="X93" s="19">
        <f t="shared" si="23"/>
        <v>0</v>
      </c>
      <c r="Y93" s="369"/>
      <c r="Z93" s="369"/>
      <c r="AA93" s="369"/>
      <c r="AB93" s="369"/>
      <c r="AC93" s="369"/>
      <c r="AD93" s="369"/>
      <c r="AE93" s="369"/>
      <c r="AF93" s="369"/>
      <c r="AG93" s="369"/>
      <c r="AH93" s="369"/>
      <c r="AI93" s="369"/>
    </row>
    <row r="94" spans="1:35">
      <c r="A94" s="27">
        <v>45109</v>
      </c>
      <c r="B94" s="27">
        <f>IF(YEAR(Table7[[#This Row],[Date]]) = 2023, WEEKNUM(Table7[[#This Row],[Date]])-13, WEEKNUM(Table7[[#This Row],[Date]])+40)</f>
        <v>14</v>
      </c>
      <c r="C94" s="33" t="s">
        <v>48</v>
      </c>
      <c r="D94" s="62" t="s">
        <v>94</v>
      </c>
      <c r="E94" s="31">
        <v>0</v>
      </c>
      <c r="F94" s="31">
        <v>0</v>
      </c>
      <c r="G94" s="63">
        <v>0</v>
      </c>
      <c r="H94" s="63">
        <v>0</v>
      </c>
      <c r="I94" s="31">
        <v>0</v>
      </c>
      <c r="J94" s="31">
        <v>0</v>
      </c>
      <c r="K94" s="31">
        <v>0</v>
      </c>
      <c r="L94" s="31">
        <v>0</v>
      </c>
      <c r="M94" s="67">
        <v>0</v>
      </c>
      <c r="N94" s="67">
        <v>0</v>
      </c>
      <c r="O94" s="67">
        <v>0</v>
      </c>
      <c r="P94" s="67">
        <v>0</v>
      </c>
      <c r="Q94" s="86">
        <v>0</v>
      </c>
      <c r="R94" s="286">
        <v>0</v>
      </c>
      <c r="S94" s="168">
        <v>0</v>
      </c>
      <c r="T94" s="113">
        <v>0</v>
      </c>
      <c r="U94" s="66" t="str">
        <f t="shared" si="20"/>
        <v>Normal</v>
      </c>
      <c r="V94" s="66" t="str">
        <f t="shared" si="21"/>
        <v>Normal</v>
      </c>
      <c r="W94" s="19">
        <f t="shared" si="24"/>
        <v>0</v>
      </c>
      <c r="X94" s="19">
        <f t="shared" si="23"/>
        <v>0</v>
      </c>
      <c r="Y94" s="369"/>
      <c r="Z94" s="369"/>
      <c r="AA94" s="369"/>
      <c r="AB94" s="369"/>
      <c r="AC94" s="369"/>
      <c r="AD94" s="369"/>
      <c r="AE94" s="369"/>
      <c r="AF94" s="369"/>
      <c r="AG94" s="369"/>
      <c r="AH94" s="369"/>
      <c r="AI94" s="369"/>
    </row>
    <row r="95" spans="1:35">
      <c r="A95" s="27">
        <v>45110</v>
      </c>
      <c r="B95" s="27">
        <f>IF(YEAR(Table7[[#This Row],[Date]]) = 2023, WEEKNUM(Table7[[#This Row],[Date]])-13, WEEKNUM(Table7[[#This Row],[Date]])+40)</f>
        <v>14</v>
      </c>
      <c r="C95" s="34" t="s">
        <v>49</v>
      </c>
      <c r="D95" s="62" t="s">
        <v>94</v>
      </c>
      <c r="E95" s="1">
        <v>0</v>
      </c>
      <c r="F95" s="1">
        <v>0</v>
      </c>
      <c r="G95" s="64">
        <v>0</v>
      </c>
      <c r="H95" s="64">
        <v>0</v>
      </c>
      <c r="I95" s="1">
        <v>0</v>
      </c>
      <c r="J95" s="1">
        <v>0</v>
      </c>
      <c r="K95" s="1">
        <v>0</v>
      </c>
      <c r="L95" s="1">
        <v>0</v>
      </c>
      <c r="M95" s="66">
        <v>0</v>
      </c>
      <c r="N95" s="66">
        <v>0</v>
      </c>
      <c r="O95" s="66">
        <v>0</v>
      </c>
      <c r="P95" s="66">
        <v>0</v>
      </c>
      <c r="Q95" s="87">
        <v>0</v>
      </c>
      <c r="R95" s="285">
        <v>0</v>
      </c>
      <c r="S95" s="145">
        <v>0</v>
      </c>
      <c r="T95" s="113">
        <v>0</v>
      </c>
      <c r="U95" s="66" t="str">
        <f t="shared" si="20"/>
        <v>Normal</v>
      </c>
      <c r="V95" s="66" t="str">
        <f t="shared" si="21"/>
        <v>Normal</v>
      </c>
      <c r="W95" s="19">
        <f t="shared" si="24"/>
        <v>0</v>
      </c>
      <c r="X95" s="19">
        <f t="shared" si="23"/>
        <v>0</v>
      </c>
      <c r="Y95" s="369"/>
      <c r="Z95" s="369"/>
      <c r="AA95" s="369"/>
      <c r="AB95" s="369"/>
      <c r="AC95" s="369"/>
      <c r="AD95" s="369"/>
      <c r="AE95" s="369"/>
      <c r="AF95" s="369"/>
      <c r="AG95" s="369"/>
      <c r="AH95" s="369"/>
      <c r="AI95" s="369"/>
    </row>
    <row r="96" spans="1:35">
      <c r="A96" s="27">
        <v>45111</v>
      </c>
      <c r="B96" s="27">
        <f>IF(YEAR(Table7[[#This Row],[Date]]) = 2023, WEEKNUM(Table7[[#This Row],[Date]])-13, WEEKNUM(Table7[[#This Row],[Date]])+40)</f>
        <v>14</v>
      </c>
      <c r="C96" s="33" t="s">
        <v>50</v>
      </c>
      <c r="D96" s="62" t="s">
        <v>94</v>
      </c>
      <c r="E96" s="31">
        <v>0</v>
      </c>
      <c r="F96" s="31">
        <v>0</v>
      </c>
      <c r="G96" s="63">
        <v>0</v>
      </c>
      <c r="H96" s="63">
        <v>0</v>
      </c>
      <c r="I96" s="31">
        <v>0</v>
      </c>
      <c r="J96" s="31">
        <v>0</v>
      </c>
      <c r="K96" s="31">
        <v>0</v>
      </c>
      <c r="L96" s="31">
        <v>0</v>
      </c>
      <c r="M96" s="67">
        <v>0</v>
      </c>
      <c r="N96" s="67">
        <v>0</v>
      </c>
      <c r="O96" s="67">
        <v>0</v>
      </c>
      <c r="P96" s="67">
        <v>0</v>
      </c>
      <c r="Q96" s="86">
        <v>0</v>
      </c>
      <c r="R96" s="286">
        <v>0</v>
      </c>
      <c r="S96" s="168">
        <v>0</v>
      </c>
      <c r="T96" s="113">
        <v>0</v>
      </c>
      <c r="U96" s="66" t="str">
        <f t="shared" si="20"/>
        <v>Normal</v>
      </c>
      <c r="V96" s="66" t="str">
        <f t="shared" si="21"/>
        <v>Normal</v>
      </c>
      <c r="W96" s="19">
        <f t="shared" si="24"/>
        <v>0</v>
      </c>
      <c r="X96" s="19">
        <f t="shared" si="23"/>
        <v>0</v>
      </c>
      <c r="Y96" s="369"/>
      <c r="Z96" s="369"/>
      <c r="AA96" s="369"/>
      <c r="AB96" s="369"/>
      <c r="AC96" s="369"/>
      <c r="AD96" s="369"/>
      <c r="AE96" s="369"/>
      <c r="AF96" s="369"/>
      <c r="AG96" s="369"/>
      <c r="AH96" s="369"/>
      <c r="AI96" s="369"/>
    </row>
    <row r="97" spans="1:39">
      <c r="A97" s="27">
        <v>45112</v>
      </c>
      <c r="B97" s="27">
        <f>IF(YEAR(Table7[[#This Row],[Date]]) = 2023, WEEKNUM(Table7[[#This Row],[Date]])-13, WEEKNUM(Table7[[#This Row],[Date]])+40)</f>
        <v>14</v>
      </c>
      <c r="C97" s="34" t="s">
        <v>51</v>
      </c>
      <c r="D97" s="62" t="s">
        <v>94</v>
      </c>
      <c r="E97" s="1">
        <v>0</v>
      </c>
      <c r="F97" s="1">
        <v>0</v>
      </c>
      <c r="G97" s="64">
        <v>0</v>
      </c>
      <c r="H97" s="64">
        <v>0</v>
      </c>
      <c r="I97" s="1">
        <v>0</v>
      </c>
      <c r="J97" s="1">
        <v>0</v>
      </c>
      <c r="K97" s="1">
        <v>0</v>
      </c>
      <c r="L97" s="1">
        <v>0</v>
      </c>
      <c r="M97" s="66">
        <v>0</v>
      </c>
      <c r="N97" s="66">
        <v>0</v>
      </c>
      <c r="O97" s="66">
        <v>0</v>
      </c>
      <c r="P97" s="66">
        <v>0</v>
      </c>
      <c r="Q97" s="87">
        <v>0</v>
      </c>
      <c r="R97" s="285">
        <v>0</v>
      </c>
      <c r="S97" s="145">
        <v>0</v>
      </c>
      <c r="T97" s="113">
        <v>0</v>
      </c>
      <c r="U97" s="66" t="str">
        <f t="shared" si="20"/>
        <v>Normal</v>
      </c>
      <c r="V97" s="66" t="str">
        <f t="shared" si="21"/>
        <v>Normal</v>
      </c>
      <c r="W97" s="19">
        <f t="shared" si="24"/>
        <v>0</v>
      </c>
      <c r="X97" s="19">
        <f t="shared" si="23"/>
        <v>0</v>
      </c>
      <c r="Y97" s="369"/>
      <c r="Z97" s="369"/>
      <c r="AA97" s="369"/>
      <c r="AB97" s="369"/>
      <c r="AC97" s="369"/>
      <c r="AD97" s="369"/>
      <c r="AE97" s="369"/>
      <c r="AF97" s="369"/>
      <c r="AG97" s="369"/>
      <c r="AH97" s="369"/>
      <c r="AI97" s="369"/>
    </row>
    <row r="98" spans="1:39">
      <c r="A98" s="27">
        <v>45113</v>
      </c>
      <c r="B98" s="27">
        <f>IF(YEAR(Table7[[#This Row],[Date]]) = 2023, WEEKNUM(Table7[[#This Row],[Date]])-13, WEEKNUM(Table7[[#This Row],[Date]])+40)</f>
        <v>14</v>
      </c>
      <c r="C98" s="33" t="s">
        <v>52</v>
      </c>
      <c r="D98" s="62" t="s">
        <v>94</v>
      </c>
      <c r="E98" s="31">
        <v>0</v>
      </c>
      <c r="F98" s="31">
        <v>0</v>
      </c>
      <c r="G98" s="63">
        <v>0</v>
      </c>
      <c r="H98" s="63">
        <v>0</v>
      </c>
      <c r="I98" s="31">
        <v>0</v>
      </c>
      <c r="J98" s="31">
        <v>0</v>
      </c>
      <c r="K98" s="31">
        <v>0</v>
      </c>
      <c r="L98" s="31">
        <v>0</v>
      </c>
      <c r="M98" s="67">
        <v>0</v>
      </c>
      <c r="N98" s="67">
        <v>0</v>
      </c>
      <c r="O98" s="67">
        <v>0</v>
      </c>
      <c r="P98" s="67">
        <v>0</v>
      </c>
      <c r="Q98" s="86">
        <v>0</v>
      </c>
      <c r="R98" s="286">
        <v>0</v>
      </c>
      <c r="S98" s="168">
        <v>0</v>
      </c>
      <c r="T98" s="113">
        <v>0</v>
      </c>
      <c r="U98" s="66" t="str">
        <f t="shared" si="20"/>
        <v>Normal</v>
      </c>
      <c r="V98" s="66" t="str">
        <f t="shared" si="21"/>
        <v>Normal</v>
      </c>
      <c r="W98" s="19">
        <f t="shared" si="24"/>
        <v>0</v>
      </c>
      <c r="X98" s="19">
        <f t="shared" si="23"/>
        <v>0</v>
      </c>
      <c r="Y98" s="369"/>
      <c r="Z98" s="369"/>
      <c r="AA98" s="369"/>
      <c r="AB98" s="369"/>
      <c r="AC98" s="369"/>
      <c r="AD98" s="369"/>
      <c r="AE98" s="369"/>
      <c r="AF98" s="369"/>
      <c r="AG98" s="369"/>
      <c r="AH98" s="369"/>
      <c r="AI98" s="369"/>
    </row>
    <row r="99" spans="1:39">
      <c r="A99" s="27">
        <v>45114</v>
      </c>
      <c r="B99" s="27">
        <f>IF(YEAR(Table7[[#This Row],[Date]]) = 2023, WEEKNUM(Table7[[#This Row],[Date]])-13, WEEKNUM(Table7[[#This Row],[Date]])+40)</f>
        <v>14</v>
      </c>
      <c r="C99" s="34" t="s">
        <v>53</v>
      </c>
      <c r="D99" s="62" t="s">
        <v>94</v>
      </c>
      <c r="E99" s="1">
        <v>0</v>
      </c>
      <c r="F99" s="1">
        <v>0</v>
      </c>
      <c r="G99" s="64">
        <v>0</v>
      </c>
      <c r="H99" s="64">
        <v>0</v>
      </c>
      <c r="I99" s="1">
        <v>0</v>
      </c>
      <c r="J99" s="1">
        <v>0</v>
      </c>
      <c r="K99" s="1">
        <v>0</v>
      </c>
      <c r="L99" s="1">
        <v>0</v>
      </c>
      <c r="M99" s="66">
        <v>0</v>
      </c>
      <c r="N99" s="66">
        <v>0</v>
      </c>
      <c r="O99" s="66">
        <v>0</v>
      </c>
      <c r="P99" s="66">
        <v>0</v>
      </c>
      <c r="Q99" s="87">
        <v>0</v>
      </c>
      <c r="R99" s="285">
        <v>0</v>
      </c>
      <c r="S99" s="145">
        <v>0</v>
      </c>
      <c r="T99" s="113">
        <v>0</v>
      </c>
      <c r="U99" s="66" t="str">
        <f t="shared" si="20"/>
        <v>Normal</v>
      </c>
      <c r="V99" s="66" t="str">
        <f t="shared" si="21"/>
        <v>Normal</v>
      </c>
      <c r="W99" s="19">
        <f t="shared" si="24"/>
        <v>0</v>
      </c>
      <c r="X99" s="19">
        <f t="shared" si="23"/>
        <v>0</v>
      </c>
      <c r="Y99" s="369"/>
      <c r="Z99" s="369"/>
      <c r="AA99" s="369"/>
      <c r="AB99" s="369"/>
      <c r="AC99" s="369"/>
      <c r="AD99" s="369"/>
      <c r="AE99" s="369"/>
      <c r="AF99" s="369"/>
      <c r="AG99" s="369"/>
      <c r="AH99" s="369"/>
      <c r="AI99" s="369"/>
    </row>
    <row r="100" spans="1:39">
      <c r="A100" s="27">
        <v>45115</v>
      </c>
      <c r="B100" s="27">
        <f>IF(YEAR(Table7[[#This Row],[Date]]) = 2023, WEEKNUM(Table7[[#This Row],[Date]])-13, WEEKNUM(Table7[[#This Row],[Date]])+40)</f>
        <v>14</v>
      </c>
      <c r="C100" s="33" t="s">
        <v>54</v>
      </c>
      <c r="D100" s="62" t="s">
        <v>94</v>
      </c>
      <c r="E100" s="31">
        <v>0</v>
      </c>
      <c r="F100" s="31">
        <v>0</v>
      </c>
      <c r="G100" s="63">
        <v>0</v>
      </c>
      <c r="H100" s="63">
        <v>0</v>
      </c>
      <c r="I100" s="31">
        <v>0</v>
      </c>
      <c r="J100" s="31">
        <v>0</v>
      </c>
      <c r="K100" s="31">
        <v>0</v>
      </c>
      <c r="L100" s="31">
        <v>0</v>
      </c>
      <c r="M100" s="67">
        <v>0</v>
      </c>
      <c r="N100" s="67">
        <v>0</v>
      </c>
      <c r="O100" s="67">
        <v>0</v>
      </c>
      <c r="P100" s="67">
        <v>0</v>
      </c>
      <c r="Q100" s="86">
        <v>0</v>
      </c>
      <c r="R100" s="286">
        <v>0</v>
      </c>
      <c r="S100" s="168">
        <v>0</v>
      </c>
      <c r="T100" s="113">
        <v>0</v>
      </c>
      <c r="U100" s="66" t="str">
        <f t="shared" si="20"/>
        <v>Normal</v>
      </c>
      <c r="V100" s="66" t="str">
        <f t="shared" si="21"/>
        <v>Normal</v>
      </c>
      <c r="W100" s="19">
        <f t="shared" si="24"/>
        <v>0</v>
      </c>
      <c r="X100" s="19">
        <f t="shared" si="23"/>
        <v>0</v>
      </c>
      <c r="Y100" s="369"/>
      <c r="Z100" s="369"/>
      <c r="AA100" s="369"/>
      <c r="AB100" s="369"/>
      <c r="AC100" s="369"/>
      <c r="AD100" s="369"/>
      <c r="AE100" s="369"/>
      <c r="AF100" s="369"/>
      <c r="AG100" s="369"/>
      <c r="AH100" s="369"/>
      <c r="AI100" s="369"/>
    </row>
    <row r="101" spans="1:39">
      <c r="A101" s="27">
        <v>45116</v>
      </c>
      <c r="B101" s="27">
        <f>IF(YEAR(Table7[[#This Row],[Date]]) = 2023, WEEKNUM(Table7[[#This Row],[Date]])-13, WEEKNUM(Table7[[#This Row],[Date]])+40)</f>
        <v>15</v>
      </c>
      <c r="C101" s="34" t="s">
        <v>48</v>
      </c>
      <c r="D101" s="62" t="s">
        <v>94</v>
      </c>
      <c r="E101" s="1">
        <v>0</v>
      </c>
      <c r="F101" s="1">
        <v>0</v>
      </c>
      <c r="G101" s="64">
        <v>0</v>
      </c>
      <c r="H101" s="64">
        <v>0</v>
      </c>
      <c r="I101" s="1">
        <v>0</v>
      </c>
      <c r="J101" s="1">
        <v>0</v>
      </c>
      <c r="K101" s="1">
        <v>0</v>
      </c>
      <c r="L101" s="1">
        <v>0</v>
      </c>
      <c r="M101" s="66">
        <v>0</v>
      </c>
      <c r="N101" s="66">
        <v>0</v>
      </c>
      <c r="O101" s="66">
        <v>0</v>
      </c>
      <c r="P101" s="66">
        <v>0</v>
      </c>
      <c r="Q101" s="87">
        <v>0</v>
      </c>
      <c r="R101" s="285">
        <v>0</v>
      </c>
      <c r="S101" s="145">
        <v>0</v>
      </c>
      <c r="T101" s="113">
        <v>0</v>
      </c>
      <c r="U101" s="66" t="str">
        <f t="shared" si="20"/>
        <v>Normal</v>
      </c>
      <c r="V101" s="66" t="str">
        <f t="shared" si="21"/>
        <v>Normal</v>
      </c>
      <c r="W101" s="19">
        <f t="shared" si="24"/>
        <v>0</v>
      </c>
      <c r="X101" s="19">
        <f t="shared" si="23"/>
        <v>0</v>
      </c>
      <c r="Y101" s="369"/>
      <c r="Z101" s="369"/>
      <c r="AA101" s="369"/>
      <c r="AB101" s="369"/>
      <c r="AC101" s="369"/>
      <c r="AD101" s="369"/>
      <c r="AE101" s="369"/>
      <c r="AF101" s="369"/>
      <c r="AG101" s="369"/>
      <c r="AH101" s="369"/>
      <c r="AI101" s="369"/>
    </row>
    <row r="102" spans="1:39">
      <c r="A102" s="27">
        <v>45117</v>
      </c>
      <c r="B102" s="27">
        <f>IF(YEAR(Table7[[#This Row],[Date]]) = 2023, WEEKNUM(Table7[[#This Row],[Date]])-13, WEEKNUM(Table7[[#This Row],[Date]])+40)</f>
        <v>15</v>
      </c>
      <c r="C102" s="33" t="s">
        <v>49</v>
      </c>
      <c r="D102" s="62" t="s">
        <v>94</v>
      </c>
      <c r="E102" s="31">
        <v>0</v>
      </c>
      <c r="F102" s="31">
        <v>0</v>
      </c>
      <c r="G102" s="63">
        <v>0</v>
      </c>
      <c r="H102" s="63">
        <v>0</v>
      </c>
      <c r="I102" s="31">
        <v>0</v>
      </c>
      <c r="J102" s="31">
        <v>0</v>
      </c>
      <c r="K102" s="31">
        <v>0</v>
      </c>
      <c r="L102" s="31">
        <v>0</v>
      </c>
      <c r="M102" s="67">
        <v>0</v>
      </c>
      <c r="N102" s="67">
        <v>0</v>
      </c>
      <c r="O102" s="67">
        <v>0</v>
      </c>
      <c r="P102" s="67">
        <v>0</v>
      </c>
      <c r="Q102" s="86">
        <v>0</v>
      </c>
      <c r="R102" s="286">
        <v>0</v>
      </c>
      <c r="S102" s="168">
        <v>0</v>
      </c>
      <c r="T102" s="113">
        <v>0</v>
      </c>
      <c r="U102" s="66" t="str">
        <f t="shared" si="20"/>
        <v>Normal</v>
      </c>
      <c r="V102" s="66" t="str">
        <f t="shared" si="21"/>
        <v>Normal</v>
      </c>
      <c r="W102" s="19">
        <f t="shared" si="24"/>
        <v>0</v>
      </c>
      <c r="X102" s="19">
        <f t="shared" si="23"/>
        <v>0</v>
      </c>
      <c r="Y102" s="369"/>
      <c r="Z102" s="369"/>
      <c r="AA102" s="369"/>
      <c r="AB102" s="369"/>
      <c r="AC102" s="369"/>
      <c r="AD102" s="369"/>
      <c r="AE102" s="369"/>
      <c r="AF102" s="369"/>
      <c r="AG102" s="369"/>
      <c r="AH102" s="369"/>
      <c r="AI102" s="369"/>
    </row>
    <row r="103" spans="1:39">
      <c r="A103" s="27">
        <v>45118</v>
      </c>
      <c r="B103" s="27">
        <f>IF(YEAR(Table7[[#This Row],[Date]]) = 2023, WEEKNUM(Table7[[#This Row],[Date]])-13, WEEKNUM(Table7[[#This Row],[Date]])+40)</f>
        <v>15</v>
      </c>
      <c r="C103" s="34" t="s">
        <v>50</v>
      </c>
      <c r="D103" s="62" t="s">
        <v>94</v>
      </c>
      <c r="E103" s="1">
        <v>0</v>
      </c>
      <c r="F103" s="1">
        <v>0</v>
      </c>
      <c r="G103" s="64">
        <v>0</v>
      </c>
      <c r="H103" s="64">
        <v>0</v>
      </c>
      <c r="I103" s="1">
        <v>0</v>
      </c>
      <c r="J103" s="1">
        <v>0</v>
      </c>
      <c r="K103" s="1">
        <v>0</v>
      </c>
      <c r="L103" s="1">
        <v>0</v>
      </c>
      <c r="M103" s="66">
        <v>0</v>
      </c>
      <c r="N103" s="66">
        <v>0</v>
      </c>
      <c r="O103" s="66">
        <v>0</v>
      </c>
      <c r="P103" s="66">
        <v>0</v>
      </c>
      <c r="Q103" s="87">
        <v>0</v>
      </c>
      <c r="R103" s="285">
        <v>0</v>
      </c>
      <c r="S103" s="145">
        <v>0</v>
      </c>
      <c r="T103" s="113">
        <v>0</v>
      </c>
      <c r="U103" s="66" t="str">
        <f t="shared" si="20"/>
        <v>Normal</v>
      </c>
      <c r="V103" s="66" t="str">
        <f t="shared" si="21"/>
        <v>Normal</v>
      </c>
      <c r="W103" s="19">
        <f t="shared" si="24"/>
        <v>0</v>
      </c>
      <c r="X103" s="19">
        <f t="shared" si="23"/>
        <v>0</v>
      </c>
      <c r="Y103" s="369"/>
      <c r="Z103" s="369"/>
      <c r="AA103" s="369"/>
      <c r="AB103" s="369"/>
      <c r="AC103" s="369"/>
      <c r="AD103" s="369"/>
      <c r="AE103" s="369"/>
      <c r="AF103" s="369"/>
      <c r="AG103" s="369"/>
      <c r="AH103" s="369"/>
      <c r="AI103" s="369"/>
    </row>
    <row r="104" spans="1:39">
      <c r="A104" s="27">
        <v>45119</v>
      </c>
      <c r="B104" s="27">
        <f>IF(YEAR(Table7[[#This Row],[Date]]) = 2023, WEEKNUM(Table7[[#This Row],[Date]])-13, WEEKNUM(Table7[[#This Row],[Date]])+40)</f>
        <v>15</v>
      </c>
      <c r="C104" s="33" t="s">
        <v>51</v>
      </c>
      <c r="D104" s="62" t="s">
        <v>94</v>
      </c>
      <c r="E104" s="31">
        <v>0</v>
      </c>
      <c r="F104" s="31">
        <v>0</v>
      </c>
      <c r="G104" s="63">
        <v>0</v>
      </c>
      <c r="H104" s="63">
        <v>0</v>
      </c>
      <c r="I104" s="31">
        <v>0</v>
      </c>
      <c r="J104" s="31">
        <v>0</v>
      </c>
      <c r="K104" s="31">
        <v>0</v>
      </c>
      <c r="L104" s="31">
        <v>0</v>
      </c>
      <c r="M104" s="67">
        <v>0</v>
      </c>
      <c r="N104" s="67">
        <v>0</v>
      </c>
      <c r="O104" s="67">
        <v>0</v>
      </c>
      <c r="P104" s="67">
        <v>0</v>
      </c>
      <c r="Q104" s="86">
        <v>0</v>
      </c>
      <c r="R104" s="286">
        <v>0</v>
      </c>
      <c r="S104" s="168">
        <v>0</v>
      </c>
      <c r="T104" s="113">
        <v>0</v>
      </c>
      <c r="U104" s="66" t="str">
        <f t="shared" si="20"/>
        <v>Normal</v>
      </c>
      <c r="V104" s="66" t="str">
        <f t="shared" si="21"/>
        <v>Normal</v>
      </c>
      <c r="W104" s="19">
        <f t="shared" si="24"/>
        <v>0</v>
      </c>
      <c r="X104" s="19">
        <f t="shared" si="23"/>
        <v>0</v>
      </c>
      <c r="Y104" s="369"/>
      <c r="Z104" s="369"/>
      <c r="AA104" s="369"/>
      <c r="AB104" s="369"/>
      <c r="AC104" s="369"/>
      <c r="AD104" s="369"/>
      <c r="AE104" s="369"/>
      <c r="AF104" s="369"/>
      <c r="AG104" s="369"/>
      <c r="AH104" s="369"/>
      <c r="AI104" s="369"/>
    </row>
    <row r="105" spans="1:39">
      <c r="A105" s="27">
        <v>45120</v>
      </c>
      <c r="B105" s="27">
        <f>IF(YEAR(Table7[[#This Row],[Date]]) = 2023, WEEKNUM(Table7[[#This Row],[Date]])-13, WEEKNUM(Table7[[#This Row],[Date]])+40)</f>
        <v>15</v>
      </c>
      <c r="C105" s="34" t="s">
        <v>52</v>
      </c>
      <c r="D105" s="62" t="s">
        <v>94</v>
      </c>
      <c r="E105" s="1">
        <v>0</v>
      </c>
      <c r="F105" s="1">
        <v>0</v>
      </c>
      <c r="G105" s="64">
        <v>0</v>
      </c>
      <c r="H105" s="64">
        <v>0</v>
      </c>
      <c r="I105" s="1">
        <v>0</v>
      </c>
      <c r="J105" s="1">
        <v>0</v>
      </c>
      <c r="K105" s="1">
        <v>0</v>
      </c>
      <c r="L105" s="1">
        <v>0</v>
      </c>
      <c r="M105" s="66">
        <v>0</v>
      </c>
      <c r="N105" s="66">
        <v>0</v>
      </c>
      <c r="O105" s="66">
        <v>0</v>
      </c>
      <c r="P105" s="66">
        <v>0</v>
      </c>
      <c r="Q105" s="87">
        <v>0</v>
      </c>
      <c r="R105" s="285">
        <v>0</v>
      </c>
      <c r="S105" s="145">
        <v>0</v>
      </c>
      <c r="T105" s="113">
        <v>0</v>
      </c>
      <c r="U105" s="66" t="str">
        <f t="shared" si="20"/>
        <v>Normal</v>
      </c>
      <c r="V105" s="66" t="str">
        <f t="shared" si="21"/>
        <v>Normal</v>
      </c>
      <c r="W105" s="19">
        <f t="shared" si="24"/>
        <v>0</v>
      </c>
      <c r="X105" s="19">
        <f t="shared" si="23"/>
        <v>0</v>
      </c>
      <c r="Y105" s="369"/>
      <c r="Z105" s="369"/>
      <c r="AA105" s="369"/>
      <c r="AB105" s="369"/>
      <c r="AC105" s="369"/>
      <c r="AD105" s="369"/>
      <c r="AE105" s="369"/>
      <c r="AF105" s="369"/>
      <c r="AG105" s="369"/>
      <c r="AH105" s="369"/>
      <c r="AI105" s="369"/>
    </row>
    <row r="106" spans="1:39">
      <c r="A106" s="27">
        <v>45121</v>
      </c>
      <c r="B106" s="27">
        <f>IF(YEAR(Table7[[#This Row],[Date]]) = 2023, WEEKNUM(Table7[[#This Row],[Date]])-13, WEEKNUM(Table7[[#This Row],[Date]])+40)</f>
        <v>15</v>
      </c>
      <c r="C106" s="33" t="s">
        <v>53</v>
      </c>
      <c r="D106" s="62" t="s">
        <v>94</v>
      </c>
      <c r="E106" s="31">
        <v>0</v>
      </c>
      <c r="F106" s="31">
        <v>0</v>
      </c>
      <c r="G106" s="63">
        <v>0</v>
      </c>
      <c r="H106" s="63">
        <v>0</v>
      </c>
      <c r="I106" s="31">
        <v>0</v>
      </c>
      <c r="J106" s="31">
        <v>0</v>
      </c>
      <c r="K106" s="31">
        <v>0</v>
      </c>
      <c r="L106" s="31">
        <v>0</v>
      </c>
      <c r="M106" s="67">
        <v>0</v>
      </c>
      <c r="N106" s="67">
        <v>0</v>
      </c>
      <c r="O106" s="67">
        <v>0</v>
      </c>
      <c r="P106" s="67">
        <v>0</v>
      </c>
      <c r="Q106" s="86">
        <v>0</v>
      </c>
      <c r="R106" s="286">
        <v>0</v>
      </c>
      <c r="S106" s="168">
        <v>0</v>
      </c>
      <c r="T106" s="113">
        <v>0</v>
      </c>
      <c r="U106" s="66" t="str">
        <f t="shared" si="20"/>
        <v>Normal</v>
      </c>
      <c r="V106" s="66" t="str">
        <f t="shared" si="21"/>
        <v>Normal</v>
      </c>
      <c r="W106" s="19">
        <f t="shared" si="24"/>
        <v>0</v>
      </c>
      <c r="X106" s="19">
        <f t="shared" si="23"/>
        <v>0</v>
      </c>
      <c r="Y106" s="369"/>
      <c r="Z106" s="369"/>
      <c r="AA106" s="369"/>
      <c r="AB106" s="369"/>
      <c r="AC106" s="369"/>
      <c r="AD106" s="369"/>
      <c r="AE106" s="369"/>
      <c r="AF106" s="369"/>
      <c r="AG106" s="369"/>
      <c r="AH106" s="369"/>
      <c r="AI106" s="369"/>
    </row>
    <row r="107" spans="1:39">
      <c r="A107" s="27">
        <v>45122</v>
      </c>
      <c r="B107" s="27">
        <f>IF(YEAR(Table7[[#This Row],[Date]]) = 2023, WEEKNUM(Table7[[#This Row],[Date]])-13, WEEKNUM(Table7[[#This Row],[Date]])+40)</f>
        <v>15</v>
      </c>
      <c r="C107" s="34" t="s">
        <v>54</v>
      </c>
      <c r="D107" s="62" t="s">
        <v>94</v>
      </c>
      <c r="E107" s="1">
        <v>0</v>
      </c>
      <c r="F107" s="1">
        <v>0</v>
      </c>
      <c r="G107" s="64">
        <v>0</v>
      </c>
      <c r="H107" s="64">
        <v>0</v>
      </c>
      <c r="I107" s="1">
        <v>0</v>
      </c>
      <c r="J107" s="1">
        <v>0</v>
      </c>
      <c r="K107" s="1">
        <v>0</v>
      </c>
      <c r="L107" s="1">
        <v>0</v>
      </c>
      <c r="M107" s="66">
        <v>0</v>
      </c>
      <c r="N107" s="66">
        <v>0</v>
      </c>
      <c r="O107" s="66">
        <v>0</v>
      </c>
      <c r="P107" s="66">
        <v>0</v>
      </c>
      <c r="Q107" s="87">
        <v>0</v>
      </c>
      <c r="R107" s="285">
        <v>0</v>
      </c>
      <c r="S107" s="145">
        <v>0</v>
      </c>
      <c r="T107" s="113">
        <v>0</v>
      </c>
      <c r="U107" s="66" t="str">
        <f t="shared" si="20"/>
        <v>Normal</v>
      </c>
      <c r="V107" s="66" t="str">
        <f t="shared" si="21"/>
        <v>Normal</v>
      </c>
      <c r="W107" s="19">
        <f t="shared" si="24"/>
        <v>0</v>
      </c>
      <c r="X107" s="19">
        <f t="shared" si="23"/>
        <v>0</v>
      </c>
      <c r="Y107" s="369"/>
      <c r="Z107" s="369"/>
      <c r="AA107" s="369"/>
      <c r="AB107" s="369"/>
      <c r="AC107" s="369"/>
      <c r="AD107" s="369"/>
      <c r="AE107" s="369"/>
      <c r="AF107" s="369"/>
      <c r="AG107" s="369"/>
      <c r="AH107" s="369"/>
      <c r="AI107" s="369"/>
    </row>
    <row r="108" spans="1:39">
      <c r="A108" s="27">
        <v>45123</v>
      </c>
      <c r="B108" s="27">
        <f>IF(YEAR(Table7[[#This Row],[Date]]) = 2023, WEEKNUM(Table7[[#This Row],[Date]])-13, WEEKNUM(Table7[[#This Row],[Date]])+40)</f>
        <v>16</v>
      </c>
      <c r="C108" s="33" t="s">
        <v>48</v>
      </c>
      <c r="D108" s="62" t="s">
        <v>94</v>
      </c>
      <c r="E108" s="31">
        <v>0</v>
      </c>
      <c r="F108" s="31">
        <v>0</v>
      </c>
      <c r="G108" s="63">
        <v>0</v>
      </c>
      <c r="H108" s="63">
        <v>0</v>
      </c>
      <c r="I108" s="31">
        <v>0</v>
      </c>
      <c r="J108" s="31">
        <v>0</v>
      </c>
      <c r="K108" s="31">
        <v>0</v>
      </c>
      <c r="L108" s="31">
        <v>0</v>
      </c>
      <c r="M108" s="67">
        <v>0</v>
      </c>
      <c r="N108" s="67">
        <v>0</v>
      </c>
      <c r="O108" s="67">
        <v>0</v>
      </c>
      <c r="P108" s="67">
        <v>0</v>
      </c>
      <c r="Q108" s="86">
        <v>0</v>
      </c>
      <c r="R108" s="286">
        <v>0</v>
      </c>
      <c r="S108" s="168">
        <v>0</v>
      </c>
      <c r="T108" s="113">
        <v>0</v>
      </c>
      <c r="U108" s="66" t="str">
        <f t="shared" si="20"/>
        <v>Normal</v>
      </c>
      <c r="V108" s="66" t="str">
        <f t="shared" si="21"/>
        <v>Normal</v>
      </c>
      <c r="W108" s="19">
        <f t="shared" si="24"/>
        <v>0</v>
      </c>
      <c r="X108" s="19">
        <f t="shared" si="23"/>
        <v>0</v>
      </c>
      <c r="Y108" s="369"/>
      <c r="Z108" s="369"/>
      <c r="AA108" s="369"/>
      <c r="AB108" s="369"/>
      <c r="AC108" s="369"/>
      <c r="AD108" s="369"/>
      <c r="AE108" s="369"/>
      <c r="AF108" s="369"/>
      <c r="AG108" s="369"/>
      <c r="AH108" s="369"/>
      <c r="AI108" s="369"/>
    </row>
    <row r="109" spans="1:39">
      <c r="A109" s="27">
        <v>45124</v>
      </c>
      <c r="B109" s="32">
        <f>IF(YEAR(Table7[[#This Row],[Date]]) = 2023, WEEKNUM(Table7[[#This Row],[Date]])-13, WEEKNUM(Table7[[#This Row],[Date]])+40)</f>
        <v>16</v>
      </c>
      <c r="C109" s="89" t="s">
        <v>49</v>
      </c>
      <c r="D109" s="62" t="s">
        <v>94</v>
      </c>
      <c r="E109" s="37">
        <v>0</v>
      </c>
      <c r="F109" s="37">
        <v>0</v>
      </c>
      <c r="G109" s="80">
        <v>0</v>
      </c>
      <c r="H109" s="80">
        <v>0</v>
      </c>
      <c r="I109" s="37">
        <v>0</v>
      </c>
      <c r="J109" s="37">
        <v>0</v>
      </c>
      <c r="K109" s="37">
        <v>0</v>
      </c>
      <c r="L109" s="37">
        <v>0</v>
      </c>
      <c r="M109" s="90">
        <v>0</v>
      </c>
      <c r="N109" s="90">
        <v>0</v>
      </c>
      <c r="O109" s="90">
        <v>0</v>
      </c>
      <c r="P109" s="90">
        <v>0</v>
      </c>
      <c r="Q109" s="91">
        <v>0</v>
      </c>
      <c r="R109" s="288">
        <v>0</v>
      </c>
      <c r="S109" s="169">
        <v>0</v>
      </c>
      <c r="T109" s="113">
        <v>0</v>
      </c>
      <c r="U109" s="66" t="str">
        <f t="shared" si="20"/>
        <v>Normal</v>
      </c>
      <c r="V109" s="66" t="str">
        <f t="shared" si="21"/>
        <v>Normal</v>
      </c>
      <c r="W109" s="19">
        <f t="shared" si="24"/>
        <v>0</v>
      </c>
      <c r="X109" s="19">
        <f t="shared" si="23"/>
        <v>0</v>
      </c>
      <c r="Y109" s="369"/>
      <c r="Z109" s="369"/>
      <c r="AA109" s="369"/>
      <c r="AB109" s="369"/>
      <c r="AC109" s="369"/>
      <c r="AD109" s="369"/>
      <c r="AE109" s="369"/>
      <c r="AF109" s="369"/>
      <c r="AG109" s="369"/>
      <c r="AH109" s="369"/>
      <c r="AI109" s="369"/>
    </row>
    <row r="110" spans="1:39">
      <c r="A110" s="27">
        <v>45125</v>
      </c>
      <c r="B110" s="27">
        <f>IF(YEAR(Table7[[#This Row],[Date]]) = 2023, WEEKNUM(Table7[[#This Row],[Date]])-13, WEEKNUM(Table7[[#This Row],[Date]])+40)</f>
        <v>16</v>
      </c>
      <c r="C110" s="34" t="s">
        <v>50</v>
      </c>
      <c r="D110" s="62" t="s">
        <v>94</v>
      </c>
      <c r="E110" s="1">
        <v>0</v>
      </c>
      <c r="F110" s="1">
        <v>0</v>
      </c>
      <c r="G110" s="63">
        <v>0</v>
      </c>
      <c r="H110" s="63">
        <v>0</v>
      </c>
      <c r="I110" s="31">
        <v>0</v>
      </c>
      <c r="J110" s="31">
        <v>0</v>
      </c>
      <c r="K110" s="31">
        <v>0</v>
      </c>
      <c r="L110" s="31">
        <v>0</v>
      </c>
      <c r="M110" s="66">
        <v>0</v>
      </c>
      <c r="N110" s="66">
        <v>0</v>
      </c>
      <c r="O110" s="66">
        <v>0</v>
      </c>
      <c r="P110" s="66">
        <v>0</v>
      </c>
      <c r="Q110" s="91">
        <v>0</v>
      </c>
      <c r="R110" s="288">
        <v>0</v>
      </c>
      <c r="S110" s="169">
        <v>0</v>
      </c>
      <c r="T110" s="113">
        <v>0</v>
      </c>
      <c r="U110" s="66" t="str">
        <f t="shared" si="20"/>
        <v>Normal</v>
      </c>
      <c r="V110" s="66" t="str">
        <f t="shared" si="21"/>
        <v>Normal</v>
      </c>
      <c r="W110" s="19">
        <f t="shared" si="24"/>
        <v>0</v>
      </c>
      <c r="X110" s="19">
        <f t="shared" si="23"/>
        <v>0</v>
      </c>
      <c r="Y110" s="369"/>
      <c r="Z110" s="369"/>
      <c r="AA110" s="369"/>
      <c r="AB110" s="369"/>
      <c r="AC110" s="369"/>
      <c r="AD110" s="369"/>
      <c r="AE110" s="369"/>
      <c r="AF110" s="369"/>
      <c r="AG110" s="369"/>
      <c r="AH110" s="369"/>
      <c r="AI110" s="369"/>
      <c r="AK110" t="s">
        <v>62</v>
      </c>
      <c r="AL110" s="16">
        <v>44652</v>
      </c>
    </row>
    <row r="111" spans="1:39" s="48" customFormat="1">
      <c r="A111" s="27">
        <v>45126</v>
      </c>
      <c r="B111" s="27">
        <f>IF(YEAR(Table7[[#This Row],[Date]]) = 2023, WEEKNUM(Table7[[#This Row],[Date]])-13, WEEKNUM(Table7[[#This Row],[Date]])+40)</f>
        <v>16</v>
      </c>
      <c r="C111" s="34" t="s">
        <v>51</v>
      </c>
      <c r="D111" s="62" t="s">
        <v>94</v>
      </c>
      <c r="E111" s="1">
        <v>0</v>
      </c>
      <c r="F111" s="1">
        <v>0</v>
      </c>
      <c r="G111" s="64">
        <v>0</v>
      </c>
      <c r="H111" s="64">
        <v>0</v>
      </c>
      <c r="I111" s="1">
        <v>0</v>
      </c>
      <c r="J111" s="1">
        <v>0</v>
      </c>
      <c r="K111" s="1">
        <v>0</v>
      </c>
      <c r="L111" s="1">
        <v>0</v>
      </c>
      <c r="M111" s="66">
        <v>0</v>
      </c>
      <c r="N111" s="66">
        <v>0</v>
      </c>
      <c r="O111" s="66">
        <v>0</v>
      </c>
      <c r="P111" s="66">
        <v>0</v>
      </c>
      <c r="Q111" s="91">
        <v>0</v>
      </c>
      <c r="R111" s="288">
        <v>0</v>
      </c>
      <c r="S111" s="169">
        <v>0</v>
      </c>
      <c r="T111" s="149">
        <v>0</v>
      </c>
      <c r="U111" s="99" t="str">
        <f t="shared" si="20"/>
        <v>Normal</v>
      </c>
      <c r="V111" s="99" t="str">
        <f t="shared" si="21"/>
        <v>Normal</v>
      </c>
      <c r="W111" s="372">
        <f t="shared" si="24"/>
        <v>0</v>
      </c>
      <c r="X111" s="372">
        <f t="shared" si="23"/>
        <v>0</v>
      </c>
      <c r="Y111" s="369"/>
      <c r="Z111" s="369"/>
      <c r="AA111" s="369"/>
      <c r="AB111" s="369"/>
      <c r="AC111" s="369"/>
      <c r="AD111" s="369"/>
      <c r="AE111" s="369"/>
      <c r="AF111" s="369"/>
      <c r="AG111" s="369"/>
      <c r="AH111" s="369"/>
      <c r="AI111" s="369"/>
      <c r="AK111" t="s">
        <v>63</v>
      </c>
      <c r="AL111" s="16">
        <v>44681</v>
      </c>
      <c r="AM111"/>
    </row>
    <row r="112" spans="1:39">
      <c r="A112" s="27">
        <v>45127</v>
      </c>
      <c r="B112" s="27">
        <f>IF(YEAR(Table7[[#This Row],[Date]]) = 2023, WEEKNUM(Table7[[#This Row],[Date]])-13, WEEKNUM(Table7[[#This Row],[Date]])+40)</f>
        <v>16</v>
      </c>
      <c r="C112" s="34" t="s">
        <v>52</v>
      </c>
      <c r="D112" s="62" t="s">
        <v>94</v>
      </c>
      <c r="E112" s="1">
        <v>0</v>
      </c>
      <c r="F112" s="1">
        <v>0</v>
      </c>
      <c r="G112" s="64">
        <v>0</v>
      </c>
      <c r="H112" s="64">
        <v>0</v>
      </c>
      <c r="I112" s="1">
        <v>0</v>
      </c>
      <c r="J112" s="1">
        <v>0</v>
      </c>
      <c r="K112" s="1">
        <v>0</v>
      </c>
      <c r="L112" s="1">
        <v>0</v>
      </c>
      <c r="M112" s="66">
        <v>0</v>
      </c>
      <c r="N112" s="66">
        <v>0</v>
      </c>
      <c r="O112" s="66">
        <v>0</v>
      </c>
      <c r="P112" s="66">
        <v>0</v>
      </c>
      <c r="Q112" s="91">
        <v>0</v>
      </c>
      <c r="R112" s="288">
        <v>0</v>
      </c>
      <c r="S112" s="169">
        <v>0</v>
      </c>
      <c r="T112" s="113">
        <v>0</v>
      </c>
      <c r="U112" s="66" t="str">
        <f t="shared" si="20"/>
        <v>Normal</v>
      </c>
      <c r="V112" s="66" t="str">
        <f t="shared" si="21"/>
        <v>Normal</v>
      </c>
      <c r="W112" s="19">
        <f t="shared" si="24"/>
        <v>0</v>
      </c>
      <c r="X112" s="19">
        <f t="shared" si="23"/>
        <v>0</v>
      </c>
      <c r="Y112" s="369"/>
      <c r="Z112" s="369"/>
      <c r="AA112" s="369"/>
      <c r="AB112" s="369"/>
      <c r="AC112" s="369"/>
      <c r="AD112" s="369"/>
      <c r="AE112" s="369"/>
      <c r="AF112" s="369"/>
      <c r="AG112" s="369"/>
      <c r="AH112" s="369"/>
      <c r="AI112" s="369"/>
    </row>
    <row r="113" spans="1:35">
      <c r="A113" s="27">
        <v>45128</v>
      </c>
      <c r="B113" s="27">
        <f>IF(YEAR(Table7[[#This Row],[Date]]) = 2023, WEEKNUM(Table7[[#This Row],[Date]])-13, WEEKNUM(Table7[[#This Row],[Date]])+40)</f>
        <v>16</v>
      </c>
      <c r="C113" s="34" t="s">
        <v>53</v>
      </c>
      <c r="D113" s="62" t="s">
        <v>94</v>
      </c>
      <c r="E113" s="1">
        <v>0</v>
      </c>
      <c r="F113" s="1">
        <v>0</v>
      </c>
      <c r="G113" s="64">
        <v>0</v>
      </c>
      <c r="H113" s="64">
        <v>0</v>
      </c>
      <c r="I113" s="1">
        <v>0</v>
      </c>
      <c r="J113" s="1">
        <v>0</v>
      </c>
      <c r="K113" s="1">
        <v>0</v>
      </c>
      <c r="L113" s="1">
        <v>0</v>
      </c>
      <c r="M113" s="66">
        <v>0</v>
      </c>
      <c r="N113" s="66">
        <v>0</v>
      </c>
      <c r="O113" s="66">
        <v>0</v>
      </c>
      <c r="P113" s="66">
        <v>0</v>
      </c>
      <c r="Q113" s="91">
        <v>0</v>
      </c>
      <c r="R113" s="288">
        <v>0</v>
      </c>
      <c r="S113" s="169">
        <v>0</v>
      </c>
      <c r="T113" s="113">
        <v>0</v>
      </c>
      <c r="U113" s="66" t="str">
        <f t="shared" si="20"/>
        <v>Normal</v>
      </c>
      <c r="V113" s="66" t="str">
        <f t="shared" si="21"/>
        <v>Normal</v>
      </c>
      <c r="W113" s="19">
        <f t="shared" si="24"/>
        <v>0</v>
      </c>
      <c r="X113" s="19">
        <f t="shared" si="23"/>
        <v>0</v>
      </c>
      <c r="Y113" s="369"/>
      <c r="Z113" s="369"/>
      <c r="AA113" s="369"/>
      <c r="AB113" s="369"/>
      <c r="AC113" s="369"/>
      <c r="AD113" s="369"/>
      <c r="AE113" s="369"/>
      <c r="AF113" s="369"/>
      <c r="AG113" s="369"/>
      <c r="AH113" s="369"/>
      <c r="AI113" s="369"/>
    </row>
    <row r="114" spans="1:35">
      <c r="A114" s="27">
        <v>45129</v>
      </c>
      <c r="B114" s="27">
        <f>IF(YEAR(Table7[[#This Row],[Date]]) = 2023, WEEKNUM(Table7[[#This Row],[Date]])-13, WEEKNUM(Table7[[#This Row],[Date]])+40)</f>
        <v>16</v>
      </c>
      <c r="C114" s="34" t="s">
        <v>54</v>
      </c>
      <c r="D114" s="62" t="s">
        <v>94</v>
      </c>
      <c r="E114" s="1">
        <v>0</v>
      </c>
      <c r="F114" s="1">
        <v>0</v>
      </c>
      <c r="G114" s="64">
        <v>0</v>
      </c>
      <c r="H114" s="64">
        <v>0</v>
      </c>
      <c r="I114" s="1">
        <v>0</v>
      </c>
      <c r="J114" s="1">
        <v>0</v>
      </c>
      <c r="K114" s="1">
        <v>0</v>
      </c>
      <c r="L114" s="1">
        <v>0</v>
      </c>
      <c r="M114" s="66">
        <v>0</v>
      </c>
      <c r="N114" s="66">
        <v>0</v>
      </c>
      <c r="O114" s="66">
        <v>0</v>
      </c>
      <c r="P114" s="66">
        <v>0</v>
      </c>
      <c r="Q114" s="91">
        <v>0</v>
      </c>
      <c r="R114" s="288">
        <v>0</v>
      </c>
      <c r="S114" s="169">
        <v>0</v>
      </c>
      <c r="T114" s="113">
        <v>0</v>
      </c>
      <c r="U114" s="66" t="str">
        <f t="shared" si="20"/>
        <v>Normal</v>
      </c>
      <c r="V114" s="66" t="str">
        <f t="shared" si="21"/>
        <v>Normal</v>
      </c>
      <c r="W114" s="19">
        <f t="shared" si="24"/>
        <v>0</v>
      </c>
      <c r="X114" s="19">
        <f t="shared" si="23"/>
        <v>0</v>
      </c>
      <c r="Y114" s="369"/>
      <c r="Z114" s="369"/>
      <c r="AA114" s="369"/>
      <c r="AB114" s="369"/>
      <c r="AC114" s="369"/>
      <c r="AD114" s="369"/>
      <c r="AE114" s="369"/>
      <c r="AF114" s="369"/>
      <c r="AG114" s="369"/>
      <c r="AH114" s="369"/>
      <c r="AI114" s="369"/>
    </row>
    <row r="115" spans="1:35">
      <c r="A115" s="27">
        <v>45130</v>
      </c>
      <c r="B115" s="27">
        <f>IF(YEAR(Table7[[#This Row],[Date]]) = 2023, WEEKNUM(Table7[[#This Row],[Date]])-13, WEEKNUM(Table7[[#This Row],[Date]])+40)</f>
        <v>17</v>
      </c>
      <c r="C115" s="34" t="s">
        <v>48</v>
      </c>
      <c r="D115" s="62" t="s">
        <v>94</v>
      </c>
      <c r="E115" s="1">
        <v>0</v>
      </c>
      <c r="F115" s="1">
        <v>0</v>
      </c>
      <c r="G115" s="64">
        <v>0</v>
      </c>
      <c r="H115" s="64">
        <v>0</v>
      </c>
      <c r="I115" s="1">
        <v>0</v>
      </c>
      <c r="J115" s="1">
        <v>0</v>
      </c>
      <c r="K115" s="1">
        <v>0</v>
      </c>
      <c r="L115" s="1">
        <v>0</v>
      </c>
      <c r="M115" s="66">
        <v>0</v>
      </c>
      <c r="N115" s="66">
        <v>0</v>
      </c>
      <c r="O115" s="66">
        <v>0</v>
      </c>
      <c r="P115" s="66">
        <v>0</v>
      </c>
      <c r="Q115" s="91">
        <v>0</v>
      </c>
      <c r="R115" s="288">
        <v>0</v>
      </c>
      <c r="S115" s="169">
        <v>0</v>
      </c>
      <c r="T115" s="113">
        <v>0</v>
      </c>
      <c r="U115" s="66" t="str">
        <f t="shared" si="20"/>
        <v>Normal</v>
      </c>
      <c r="V115" s="66" t="str">
        <f t="shared" si="21"/>
        <v>Normal</v>
      </c>
      <c r="W115" s="19">
        <f t="shared" si="24"/>
        <v>0</v>
      </c>
      <c r="X115" s="19">
        <f t="shared" si="23"/>
        <v>0</v>
      </c>
      <c r="Y115" s="369"/>
      <c r="Z115" s="369"/>
      <c r="AA115" s="369"/>
      <c r="AB115" s="369"/>
      <c r="AC115" s="369"/>
      <c r="AD115" s="369"/>
      <c r="AE115" s="369"/>
      <c r="AF115" s="369"/>
      <c r="AG115" s="369"/>
      <c r="AH115" s="369"/>
      <c r="AI115" s="369"/>
    </row>
    <row r="116" spans="1:35">
      <c r="A116" s="27">
        <v>45131</v>
      </c>
      <c r="B116" s="27">
        <f>IF(YEAR(Table7[[#This Row],[Date]]) = 2023, WEEKNUM(Table7[[#This Row],[Date]])-13, WEEKNUM(Table7[[#This Row],[Date]])+40)</f>
        <v>17</v>
      </c>
      <c r="C116" s="34" t="s">
        <v>49</v>
      </c>
      <c r="D116" s="62" t="s">
        <v>94</v>
      </c>
      <c r="E116" s="1">
        <v>0</v>
      </c>
      <c r="F116" s="1">
        <v>0</v>
      </c>
      <c r="G116" s="64">
        <v>0</v>
      </c>
      <c r="H116" s="64">
        <v>0</v>
      </c>
      <c r="I116" s="1">
        <v>0</v>
      </c>
      <c r="J116" s="1">
        <v>0</v>
      </c>
      <c r="K116" s="1">
        <v>0</v>
      </c>
      <c r="L116" s="1">
        <v>0</v>
      </c>
      <c r="M116" s="66">
        <v>0</v>
      </c>
      <c r="N116" s="66">
        <v>0</v>
      </c>
      <c r="O116" s="66">
        <v>0</v>
      </c>
      <c r="P116" s="66">
        <v>0</v>
      </c>
      <c r="Q116" s="91">
        <v>0</v>
      </c>
      <c r="R116" s="288">
        <v>0</v>
      </c>
      <c r="S116" s="169">
        <v>0</v>
      </c>
      <c r="T116" s="113">
        <v>0</v>
      </c>
      <c r="U116" s="66" t="str">
        <f t="shared" si="20"/>
        <v>Normal</v>
      </c>
      <c r="V116" s="66" t="str">
        <f t="shared" si="21"/>
        <v>Normal</v>
      </c>
      <c r="W116" s="19">
        <f t="shared" si="24"/>
        <v>0</v>
      </c>
      <c r="X116" s="19">
        <f t="shared" si="23"/>
        <v>0</v>
      </c>
      <c r="Y116" s="369"/>
      <c r="Z116" s="369"/>
      <c r="AA116" s="369"/>
      <c r="AB116" s="369"/>
      <c r="AC116" s="369"/>
      <c r="AD116" s="369"/>
      <c r="AE116" s="369"/>
      <c r="AF116" s="369"/>
      <c r="AG116" s="369"/>
      <c r="AH116" s="369"/>
      <c r="AI116" s="369"/>
    </row>
    <row r="117" spans="1:35">
      <c r="A117" s="27">
        <v>45132</v>
      </c>
      <c r="B117" s="27">
        <f>IF(YEAR(Table7[[#This Row],[Date]]) = 2023, WEEKNUM(Table7[[#This Row],[Date]])-13, WEEKNUM(Table7[[#This Row],[Date]])+40)</f>
        <v>17</v>
      </c>
      <c r="C117" s="34" t="s">
        <v>50</v>
      </c>
      <c r="D117" s="62" t="s">
        <v>94</v>
      </c>
      <c r="E117" s="1">
        <v>0</v>
      </c>
      <c r="F117" s="1">
        <v>0</v>
      </c>
      <c r="G117" s="64">
        <v>0</v>
      </c>
      <c r="H117" s="64">
        <v>0</v>
      </c>
      <c r="I117" s="1">
        <v>0</v>
      </c>
      <c r="J117" s="1">
        <v>0</v>
      </c>
      <c r="K117" s="1">
        <v>0</v>
      </c>
      <c r="L117" s="1">
        <v>0</v>
      </c>
      <c r="M117" s="66">
        <v>0</v>
      </c>
      <c r="N117" s="66">
        <v>0</v>
      </c>
      <c r="O117" s="66">
        <v>0</v>
      </c>
      <c r="P117" s="66">
        <v>0</v>
      </c>
      <c r="Q117" s="91">
        <v>0</v>
      </c>
      <c r="R117" s="288">
        <v>0</v>
      </c>
      <c r="S117" s="169">
        <v>0</v>
      </c>
      <c r="T117" s="113">
        <v>0</v>
      </c>
      <c r="U117" s="66" t="str">
        <f t="shared" si="20"/>
        <v>Normal</v>
      </c>
      <c r="V117" s="66" t="str">
        <f t="shared" si="21"/>
        <v>Normal</v>
      </c>
      <c r="W117" s="19">
        <f t="shared" si="24"/>
        <v>0</v>
      </c>
      <c r="X117" s="19">
        <f t="shared" si="23"/>
        <v>0</v>
      </c>
      <c r="Y117" s="369"/>
      <c r="Z117" s="369"/>
      <c r="AA117" s="369"/>
      <c r="AB117" s="369"/>
      <c r="AC117" s="369"/>
      <c r="AD117" s="369"/>
      <c r="AE117" s="369"/>
      <c r="AF117" s="369"/>
      <c r="AG117" s="369"/>
      <c r="AH117" s="369"/>
      <c r="AI117" s="369"/>
    </row>
    <row r="118" spans="1:35">
      <c r="A118" s="27">
        <v>45133</v>
      </c>
      <c r="B118" s="27">
        <f>IF(YEAR(Table7[[#This Row],[Date]]) = 2023, WEEKNUM(Table7[[#This Row],[Date]])-13, WEEKNUM(Table7[[#This Row],[Date]])+40)</f>
        <v>17</v>
      </c>
      <c r="C118" s="34" t="s">
        <v>51</v>
      </c>
      <c r="D118" s="62" t="s">
        <v>94</v>
      </c>
      <c r="E118" s="1">
        <v>0</v>
      </c>
      <c r="F118" s="1">
        <v>0</v>
      </c>
      <c r="G118" s="64">
        <v>0</v>
      </c>
      <c r="H118" s="64">
        <v>0</v>
      </c>
      <c r="I118" s="1">
        <v>0</v>
      </c>
      <c r="J118" s="1">
        <v>0</v>
      </c>
      <c r="K118" s="1">
        <v>0</v>
      </c>
      <c r="L118" s="1">
        <v>0</v>
      </c>
      <c r="M118" s="66">
        <v>0</v>
      </c>
      <c r="N118" s="66">
        <v>0</v>
      </c>
      <c r="O118" s="66">
        <v>0</v>
      </c>
      <c r="P118" s="66">
        <v>0</v>
      </c>
      <c r="Q118" s="91">
        <v>0</v>
      </c>
      <c r="R118" s="288">
        <v>0</v>
      </c>
      <c r="S118" s="169">
        <v>0</v>
      </c>
      <c r="T118" s="113">
        <v>0</v>
      </c>
      <c r="U118" s="66" t="str">
        <f t="shared" si="20"/>
        <v>Normal</v>
      </c>
      <c r="V118" s="66" t="str">
        <f t="shared" si="21"/>
        <v>Normal</v>
      </c>
      <c r="W118" s="19">
        <f t="shared" si="24"/>
        <v>0</v>
      </c>
      <c r="X118" s="19">
        <f t="shared" si="23"/>
        <v>0</v>
      </c>
      <c r="Y118" s="369"/>
      <c r="Z118" s="369"/>
      <c r="AA118" s="369"/>
      <c r="AB118" s="369"/>
      <c r="AC118" s="369"/>
      <c r="AD118" s="369"/>
      <c r="AE118" s="369"/>
      <c r="AF118" s="369"/>
      <c r="AG118" s="369"/>
      <c r="AH118" s="369"/>
      <c r="AI118" s="369"/>
    </row>
    <row r="119" spans="1:35">
      <c r="A119" s="27">
        <v>45134</v>
      </c>
      <c r="B119" s="27">
        <f>IF(YEAR(Table7[[#This Row],[Date]]) = 2023, WEEKNUM(Table7[[#This Row],[Date]])-13, WEEKNUM(Table7[[#This Row],[Date]])+40)</f>
        <v>17</v>
      </c>
      <c r="C119" s="34" t="s">
        <v>52</v>
      </c>
      <c r="D119" s="62" t="s">
        <v>94</v>
      </c>
      <c r="E119" s="1">
        <v>0</v>
      </c>
      <c r="F119" s="1">
        <v>0</v>
      </c>
      <c r="G119" s="64">
        <v>0</v>
      </c>
      <c r="H119" s="64">
        <v>0</v>
      </c>
      <c r="I119" s="1">
        <v>0</v>
      </c>
      <c r="J119" s="1">
        <v>0</v>
      </c>
      <c r="K119" s="1">
        <v>0</v>
      </c>
      <c r="L119" s="1">
        <v>0</v>
      </c>
      <c r="M119" s="66">
        <v>0</v>
      </c>
      <c r="N119" s="66">
        <v>0</v>
      </c>
      <c r="O119" s="66">
        <v>0</v>
      </c>
      <c r="P119" s="66">
        <v>0</v>
      </c>
      <c r="Q119" s="91">
        <v>0</v>
      </c>
      <c r="R119" s="288">
        <v>0</v>
      </c>
      <c r="S119" s="169">
        <v>0</v>
      </c>
      <c r="T119" s="113">
        <v>0</v>
      </c>
      <c r="U119" s="66" t="str">
        <f t="shared" si="20"/>
        <v>Normal</v>
      </c>
      <c r="V119" s="66" t="str">
        <f t="shared" si="21"/>
        <v>Normal</v>
      </c>
      <c r="W119" s="19">
        <f t="shared" si="24"/>
        <v>0</v>
      </c>
      <c r="X119" s="19">
        <f t="shared" si="23"/>
        <v>0</v>
      </c>
      <c r="Y119" s="369"/>
      <c r="Z119" s="369"/>
      <c r="AA119" s="369"/>
      <c r="AB119" s="369"/>
      <c r="AC119" s="369"/>
      <c r="AD119" s="369"/>
      <c r="AE119" s="369"/>
      <c r="AF119" s="369"/>
      <c r="AG119" s="369"/>
      <c r="AH119" s="369"/>
      <c r="AI119" s="369"/>
    </row>
    <row r="120" spans="1:35">
      <c r="A120" s="27">
        <v>45135</v>
      </c>
      <c r="B120" s="27">
        <f>IF(YEAR(Table7[[#This Row],[Date]]) = 2023, WEEKNUM(Table7[[#This Row],[Date]])-13, WEEKNUM(Table7[[#This Row],[Date]])+40)</f>
        <v>17</v>
      </c>
      <c r="C120" s="34" t="s">
        <v>53</v>
      </c>
      <c r="D120" s="62" t="s">
        <v>94</v>
      </c>
      <c r="E120" s="1">
        <v>0</v>
      </c>
      <c r="F120" s="1">
        <v>0</v>
      </c>
      <c r="G120" s="64">
        <v>0</v>
      </c>
      <c r="H120" s="64">
        <v>0</v>
      </c>
      <c r="I120" s="1">
        <v>0</v>
      </c>
      <c r="J120" s="1">
        <v>0</v>
      </c>
      <c r="K120" s="1">
        <v>0</v>
      </c>
      <c r="L120" s="1">
        <v>0</v>
      </c>
      <c r="M120" s="66">
        <v>0</v>
      </c>
      <c r="N120" s="66">
        <v>0</v>
      </c>
      <c r="O120" s="66">
        <v>0</v>
      </c>
      <c r="P120" s="66">
        <v>0</v>
      </c>
      <c r="Q120" s="91">
        <v>0</v>
      </c>
      <c r="R120" s="288">
        <v>0</v>
      </c>
      <c r="S120" s="169">
        <v>0</v>
      </c>
      <c r="T120" s="113">
        <v>0</v>
      </c>
      <c r="U120" s="66" t="str">
        <f t="shared" si="20"/>
        <v>Normal</v>
      </c>
      <c r="V120" s="66" t="str">
        <f t="shared" si="21"/>
        <v>Normal</v>
      </c>
      <c r="W120" s="19">
        <f t="shared" si="24"/>
        <v>0</v>
      </c>
      <c r="X120" s="19">
        <f t="shared" si="23"/>
        <v>0</v>
      </c>
      <c r="Y120" s="369"/>
      <c r="Z120" s="369"/>
      <c r="AA120" s="369"/>
      <c r="AB120" s="369"/>
      <c r="AC120" s="369"/>
      <c r="AD120" s="369"/>
      <c r="AE120" s="369"/>
      <c r="AF120" s="369"/>
      <c r="AG120" s="369"/>
      <c r="AH120" s="369"/>
      <c r="AI120" s="369"/>
    </row>
    <row r="121" spans="1:35">
      <c r="A121" s="27">
        <v>45136</v>
      </c>
      <c r="B121" s="27">
        <f>IF(YEAR(Table7[[#This Row],[Date]]) = 2023, WEEKNUM(Table7[[#This Row],[Date]])-13, WEEKNUM(Table7[[#This Row],[Date]])+40)</f>
        <v>17</v>
      </c>
      <c r="C121" s="34" t="s">
        <v>54</v>
      </c>
      <c r="D121" s="62" t="s">
        <v>94</v>
      </c>
      <c r="E121" s="1">
        <v>0</v>
      </c>
      <c r="F121" s="1">
        <v>0</v>
      </c>
      <c r="G121" s="64">
        <v>0</v>
      </c>
      <c r="H121" s="64">
        <v>0</v>
      </c>
      <c r="I121" s="1">
        <v>0</v>
      </c>
      <c r="J121" s="1">
        <v>0</v>
      </c>
      <c r="K121" s="1">
        <v>0</v>
      </c>
      <c r="L121" s="1">
        <v>0</v>
      </c>
      <c r="M121" s="66">
        <v>0</v>
      </c>
      <c r="N121" s="66">
        <v>0</v>
      </c>
      <c r="O121" s="66">
        <v>0</v>
      </c>
      <c r="P121" s="66">
        <v>0</v>
      </c>
      <c r="Q121" s="87">
        <v>0</v>
      </c>
      <c r="R121" s="285">
        <v>0</v>
      </c>
      <c r="S121" s="145">
        <v>0</v>
      </c>
      <c r="T121" s="113">
        <v>0</v>
      </c>
      <c r="U121" s="66" t="str">
        <f t="shared" si="20"/>
        <v>Normal</v>
      </c>
      <c r="V121" s="66" t="str">
        <f t="shared" si="21"/>
        <v>Normal</v>
      </c>
      <c r="W121" s="19">
        <f t="shared" si="24"/>
        <v>0</v>
      </c>
      <c r="X121" s="19">
        <f t="shared" si="23"/>
        <v>0</v>
      </c>
      <c r="Y121" s="369"/>
      <c r="Z121" s="369"/>
      <c r="AA121" s="369"/>
      <c r="AB121" s="369"/>
      <c r="AC121" s="369"/>
      <c r="AD121" s="369"/>
      <c r="AE121" s="369"/>
      <c r="AF121" s="369"/>
      <c r="AG121" s="369"/>
      <c r="AH121" s="369"/>
      <c r="AI121" s="369"/>
    </row>
    <row r="122" spans="1:35">
      <c r="A122" s="27">
        <v>45137</v>
      </c>
      <c r="B122" s="27">
        <f>IF(YEAR(Table7[[#This Row],[Date]]) = 2023, WEEKNUM(Table7[[#This Row],[Date]])-13, WEEKNUM(Table7[[#This Row],[Date]])+40)</f>
        <v>18</v>
      </c>
      <c r="C122" s="34" t="s">
        <v>48</v>
      </c>
      <c r="D122" s="62" t="s">
        <v>94</v>
      </c>
      <c r="E122" s="1">
        <v>0</v>
      </c>
      <c r="F122" s="1">
        <v>0</v>
      </c>
      <c r="G122" s="64">
        <v>0</v>
      </c>
      <c r="H122" s="64">
        <v>0</v>
      </c>
      <c r="I122" s="1">
        <v>0</v>
      </c>
      <c r="J122" s="1">
        <v>0</v>
      </c>
      <c r="K122" s="1">
        <v>0</v>
      </c>
      <c r="L122" s="1">
        <v>0</v>
      </c>
      <c r="M122" s="66">
        <v>0</v>
      </c>
      <c r="N122" s="66">
        <v>0</v>
      </c>
      <c r="O122" s="66">
        <v>0</v>
      </c>
      <c r="P122" s="66">
        <v>0</v>
      </c>
      <c r="Q122" s="87">
        <v>0</v>
      </c>
      <c r="R122" s="285">
        <v>0</v>
      </c>
      <c r="S122" s="145">
        <v>0</v>
      </c>
      <c r="T122" s="113">
        <v>0</v>
      </c>
      <c r="U122" s="66" t="str">
        <f t="shared" si="20"/>
        <v>Normal</v>
      </c>
      <c r="V122" s="66" t="str">
        <f t="shared" si="21"/>
        <v>Normal</v>
      </c>
      <c r="W122" s="19">
        <f t="shared" si="24"/>
        <v>0</v>
      </c>
      <c r="X122" s="19">
        <f t="shared" si="23"/>
        <v>0</v>
      </c>
      <c r="Y122" s="369"/>
      <c r="Z122" s="369"/>
      <c r="AA122" s="369"/>
      <c r="AB122" s="369"/>
      <c r="AC122" s="369"/>
      <c r="AD122" s="369"/>
      <c r="AE122" s="369"/>
      <c r="AF122" s="369"/>
      <c r="AG122" s="369"/>
      <c r="AH122" s="369"/>
      <c r="AI122" s="369"/>
    </row>
    <row r="123" spans="1:35">
      <c r="A123" s="27">
        <v>45138</v>
      </c>
      <c r="B123" s="27">
        <f>IF(YEAR(Table7[[#This Row],[Date]]) = 2023, WEEKNUM(Table7[[#This Row],[Date]])-13, WEEKNUM(Table7[[#This Row],[Date]])+40)</f>
        <v>18</v>
      </c>
      <c r="C123" s="34" t="s">
        <v>49</v>
      </c>
      <c r="D123" s="62" t="s">
        <v>94</v>
      </c>
      <c r="E123" s="1">
        <v>0</v>
      </c>
      <c r="F123" s="1">
        <v>0</v>
      </c>
      <c r="G123" s="64">
        <v>0</v>
      </c>
      <c r="H123" s="64">
        <v>0</v>
      </c>
      <c r="I123" s="1">
        <v>0</v>
      </c>
      <c r="J123" s="1">
        <v>0</v>
      </c>
      <c r="K123" s="1">
        <v>0</v>
      </c>
      <c r="L123" s="1">
        <v>0</v>
      </c>
      <c r="M123" s="66">
        <v>0</v>
      </c>
      <c r="N123" s="66">
        <v>0</v>
      </c>
      <c r="O123" s="66">
        <v>0</v>
      </c>
      <c r="P123" s="66">
        <v>0</v>
      </c>
      <c r="Q123" s="87">
        <v>0</v>
      </c>
      <c r="R123" s="285">
        <v>0</v>
      </c>
      <c r="S123" s="145">
        <v>0</v>
      </c>
      <c r="T123" s="113">
        <v>0</v>
      </c>
      <c r="U123" s="66" t="str">
        <f t="shared" si="20"/>
        <v>Normal</v>
      </c>
      <c r="V123" s="66" t="str">
        <f t="shared" si="21"/>
        <v>Normal</v>
      </c>
      <c r="W123" s="19">
        <f t="shared" si="24"/>
        <v>0</v>
      </c>
      <c r="X123" s="19">
        <f t="shared" si="23"/>
        <v>0</v>
      </c>
      <c r="Y123" s="369"/>
      <c r="Z123" s="369"/>
      <c r="AA123" s="369"/>
      <c r="AB123" s="369"/>
      <c r="AC123" s="369"/>
      <c r="AD123" s="369"/>
      <c r="AE123" s="369"/>
      <c r="AF123" s="369"/>
      <c r="AG123" s="369"/>
      <c r="AH123" s="369"/>
      <c r="AI123" s="369"/>
    </row>
    <row r="124" spans="1:35">
      <c r="A124" s="27">
        <v>45139</v>
      </c>
      <c r="B124" s="27">
        <f>IF(YEAR(Table7[[#This Row],[Date]]) = 2023, WEEKNUM(Table7[[#This Row],[Date]])-13, WEEKNUM(Table7[[#This Row],[Date]])+40)</f>
        <v>18</v>
      </c>
      <c r="C124" s="49" t="s">
        <v>64</v>
      </c>
      <c r="D124" s="62" t="s">
        <v>94</v>
      </c>
      <c r="E124" s="50">
        <v>0</v>
      </c>
      <c r="F124" s="50">
        <v>0</v>
      </c>
      <c r="G124" s="78">
        <v>0</v>
      </c>
      <c r="H124" s="78">
        <v>0</v>
      </c>
      <c r="I124" s="50">
        <v>0</v>
      </c>
      <c r="J124" s="50">
        <v>0</v>
      </c>
      <c r="K124" s="50">
        <v>0</v>
      </c>
      <c r="L124" s="50">
        <v>0</v>
      </c>
      <c r="M124" s="99">
        <v>0</v>
      </c>
      <c r="N124" s="99">
        <v>0</v>
      </c>
      <c r="O124" s="99">
        <v>0</v>
      </c>
      <c r="P124" s="99">
        <v>0</v>
      </c>
      <c r="Q124" s="100">
        <v>0</v>
      </c>
      <c r="R124" s="289">
        <v>0</v>
      </c>
      <c r="S124" s="148">
        <v>0</v>
      </c>
      <c r="T124" s="113">
        <v>0</v>
      </c>
      <c r="U124" s="66" t="str">
        <f t="shared" si="20"/>
        <v>Normal</v>
      </c>
      <c r="V124" s="66" t="str">
        <f t="shared" si="21"/>
        <v>Normal</v>
      </c>
      <c r="W124" s="19">
        <f t="shared" si="24"/>
        <v>0</v>
      </c>
      <c r="X124" s="19">
        <f t="shared" si="23"/>
        <v>0</v>
      </c>
      <c r="Y124" s="369"/>
      <c r="Z124" s="369"/>
      <c r="AA124" s="369"/>
      <c r="AB124" s="369"/>
      <c r="AC124" s="369"/>
      <c r="AD124" s="369"/>
      <c r="AE124" s="369"/>
      <c r="AF124" s="369"/>
      <c r="AG124" s="369"/>
      <c r="AH124" s="369"/>
      <c r="AI124" s="369"/>
    </row>
    <row r="125" spans="1:35">
      <c r="A125" s="27">
        <v>45140</v>
      </c>
      <c r="B125" s="32">
        <f>IF(YEAR(Table7[[#This Row],[Date]]) = 2023, WEEKNUM(Table7[[#This Row],[Date]])-13, WEEKNUM(Table7[[#This Row],[Date]])+40)</f>
        <v>18</v>
      </c>
      <c r="C125" s="98" t="s">
        <v>51</v>
      </c>
      <c r="D125" s="62" t="s">
        <v>94</v>
      </c>
      <c r="E125" s="1">
        <v>747</v>
      </c>
      <c r="F125" s="1">
        <v>586</v>
      </c>
      <c r="G125" s="64">
        <v>0</v>
      </c>
      <c r="H125" s="64">
        <v>0</v>
      </c>
      <c r="I125" s="1">
        <f>Table3[[#This Row],[Calls Off]]</f>
        <v>747</v>
      </c>
      <c r="J125" s="1">
        <f>Table3[[#This Row],[Calls Ans]]</f>
        <v>586</v>
      </c>
      <c r="K125" s="1">
        <f>K28+E125</f>
        <v>13905</v>
      </c>
      <c r="L125" s="1">
        <f>L28+F125</f>
        <v>18488</v>
      </c>
      <c r="M125" s="66">
        <v>0.22</v>
      </c>
      <c r="N125" s="66">
        <v>0.35</v>
      </c>
      <c r="O125" s="66">
        <v>0.65</v>
      </c>
      <c r="P125" s="66">
        <v>0.67</v>
      </c>
      <c r="Q125" s="87">
        <v>0.98</v>
      </c>
      <c r="R125" s="285">
        <v>235</v>
      </c>
      <c r="S125" s="145">
        <v>0.27569444444444446</v>
      </c>
      <c r="T125" s="113">
        <v>5</v>
      </c>
      <c r="U125" s="66" t="str">
        <f t="shared" si="20"/>
        <v>Normal</v>
      </c>
      <c r="V125" s="66" t="str">
        <f t="shared" si="21"/>
        <v>Normal</v>
      </c>
      <c r="W125" s="19">
        <f t="shared" si="24"/>
        <v>0</v>
      </c>
      <c r="X125" s="19">
        <f t="shared" si="23"/>
        <v>0</v>
      </c>
      <c r="Y125" s="369"/>
      <c r="Z125" s="369"/>
      <c r="AA125" s="369"/>
      <c r="AB125" s="369"/>
      <c r="AC125" s="369"/>
      <c r="AD125" s="369"/>
      <c r="AE125" s="369"/>
      <c r="AF125" s="369"/>
      <c r="AG125" s="369"/>
      <c r="AH125" s="369"/>
      <c r="AI125" s="369"/>
    </row>
    <row r="126" spans="1:35">
      <c r="A126" s="27">
        <v>45141</v>
      </c>
      <c r="B126" s="27">
        <f>IF(YEAR(Table7[[#This Row],[Date]]) = 2023, WEEKNUM(Table7[[#This Row],[Date]])-13, WEEKNUM(Table7[[#This Row],[Date]])+40)</f>
        <v>18</v>
      </c>
      <c r="C126" s="101" t="s">
        <v>52</v>
      </c>
      <c r="D126" s="62" t="s">
        <v>94</v>
      </c>
      <c r="E126" s="102">
        <v>586</v>
      </c>
      <c r="F126" s="102">
        <v>405</v>
      </c>
      <c r="G126" s="103">
        <v>0</v>
      </c>
      <c r="H126" s="103">
        <v>0</v>
      </c>
      <c r="I126" s="102">
        <f>I125+E126</f>
        <v>1333</v>
      </c>
      <c r="J126" s="102">
        <f>J125+F126</f>
        <v>991</v>
      </c>
      <c r="K126" s="102">
        <f>K125+E126</f>
        <v>14491</v>
      </c>
      <c r="L126" s="102">
        <f>L125+F126</f>
        <v>18893</v>
      </c>
      <c r="M126" s="104">
        <v>0.34</v>
      </c>
      <c r="N126" s="104">
        <v>0.31</v>
      </c>
      <c r="O126" s="104">
        <v>0.69</v>
      </c>
      <c r="P126" s="104">
        <v>0.56000000000000005</v>
      </c>
      <c r="Q126" s="105">
        <v>0.98</v>
      </c>
      <c r="R126" s="290">
        <v>229</v>
      </c>
      <c r="S126" s="170">
        <v>0.31875000000000003</v>
      </c>
      <c r="T126" s="113">
        <v>5</v>
      </c>
      <c r="U126" s="66" t="str">
        <f t="shared" si="20"/>
        <v>Normal</v>
      </c>
      <c r="V126" s="66" t="str">
        <f t="shared" si="21"/>
        <v>Normal</v>
      </c>
      <c r="W126" s="19">
        <f t="shared" si="24"/>
        <v>0</v>
      </c>
      <c r="X126" s="19">
        <f t="shared" si="23"/>
        <v>0</v>
      </c>
      <c r="Y126" s="369"/>
      <c r="Z126" s="369"/>
      <c r="AA126" s="369"/>
      <c r="AB126" s="369"/>
      <c r="AC126" s="369"/>
      <c r="AD126" s="369"/>
      <c r="AE126" s="369"/>
      <c r="AF126" s="369"/>
      <c r="AG126" s="369"/>
      <c r="AH126" s="369"/>
      <c r="AI126" s="369"/>
    </row>
    <row r="127" spans="1:35">
      <c r="A127" s="27">
        <v>45142</v>
      </c>
      <c r="B127" s="27">
        <f>IF(YEAR(Table7[[#This Row],[Date]]) = 2023, WEEKNUM(Table7[[#This Row],[Date]])-13, WEEKNUM(Table7[[#This Row],[Date]])+40)</f>
        <v>18</v>
      </c>
      <c r="C127" s="34" t="s">
        <v>53</v>
      </c>
      <c r="D127" s="62" t="s">
        <v>94</v>
      </c>
      <c r="E127" s="1">
        <v>469</v>
      </c>
      <c r="F127" s="1">
        <v>383</v>
      </c>
      <c r="G127" s="64">
        <v>0</v>
      </c>
      <c r="H127" s="64">
        <v>0</v>
      </c>
      <c r="I127" s="1">
        <f t="shared" ref="I127:I128" si="25">I126+E127</f>
        <v>1802</v>
      </c>
      <c r="J127" s="1">
        <f t="shared" ref="J127:J128" si="26">J126+F127</f>
        <v>1374</v>
      </c>
      <c r="K127" s="1">
        <f t="shared" ref="K127:K128" si="27">K126+E127</f>
        <v>14960</v>
      </c>
      <c r="L127" s="1">
        <f t="shared" ref="L127:L128" si="28">L126+F127</f>
        <v>19276</v>
      </c>
      <c r="M127" s="66">
        <v>0.52</v>
      </c>
      <c r="N127" s="66">
        <v>0.18</v>
      </c>
      <c r="O127" s="66">
        <v>0.82</v>
      </c>
      <c r="P127" s="66">
        <v>0.53</v>
      </c>
      <c r="Q127" s="87">
        <v>0.97</v>
      </c>
      <c r="R127" s="285">
        <v>225</v>
      </c>
      <c r="S127" s="145">
        <v>0.14027777777777778</v>
      </c>
      <c r="T127" s="113">
        <v>5</v>
      </c>
      <c r="U127" s="66" t="str">
        <f t="shared" si="20"/>
        <v>Normal</v>
      </c>
      <c r="V127" s="66" t="str">
        <f t="shared" si="21"/>
        <v>Normal</v>
      </c>
      <c r="W127" s="19">
        <f t="shared" si="24"/>
        <v>0</v>
      </c>
      <c r="X127" s="19">
        <f t="shared" si="23"/>
        <v>0</v>
      </c>
      <c r="Y127" s="369"/>
      <c r="Z127" s="369"/>
      <c r="AA127" s="369"/>
      <c r="AB127" s="369"/>
      <c r="AC127" s="369"/>
      <c r="AD127" s="369"/>
      <c r="AE127" s="369"/>
      <c r="AF127" s="369"/>
      <c r="AG127" s="369"/>
      <c r="AH127" s="369"/>
      <c r="AI127" s="369"/>
    </row>
    <row r="128" spans="1:35">
      <c r="A128" s="27">
        <v>45143</v>
      </c>
      <c r="B128" s="27">
        <f>IF(YEAR(Table7[[#This Row],[Date]]) = 2023, WEEKNUM(Table7[[#This Row],[Date]])-13, WEEKNUM(Table7[[#This Row],[Date]])+40)</f>
        <v>18</v>
      </c>
      <c r="C128" s="34" t="s">
        <v>54</v>
      </c>
      <c r="D128" s="62" t="s">
        <v>94</v>
      </c>
      <c r="E128" s="1">
        <v>243</v>
      </c>
      <c r="F128" s="1">
        <v>218</v>
      </c>
      <c r="G128" s="64">
        <v>0</v>
      </c>
      <c r="H128" s="64">
        <v>0</v>
      </c>
      <c r="I128" s="1">
        <f t="shared" si="25"/>
        <v>2045</v>
      </c>
      <c r="J128" s="1">
        <f t="shared" si="26"/>
        <v>1592</v>
      </c>
      <c r="K128" s="1">
        <f t="shared" si="27"/>
        <v>15203</v>
      </c>
      <c r="L128" s="1">
        <f t="shared" si="28"/>
        <v>19494</v>
      </c>
      <c r="M128" s="66">
        <v>0.7</v>
      </c>
      <c r="N128" s="66">
        <v>0.1</v>
      </c>
      <c r="O128" s="66">
        <v>0.9</v>
      </c>
      <c r="P128" s="66">
        <v>0.66</v>
      </c>
      <c r="Q128" s="87">
        <v>0.97</v>
      </c>
      <c r="R128" s="285">
        <v>181</v>
      </c>
      <c r="S128" s="145">
        <v>5.0694444444444452E-2</v>
      </c>
      <c r="T128" s="113">
        <v>3</v>
      </c>
      <c r="U128" s="66" t="str">
        <f t="shared" si="20"/>
        <v>Normal</v>
      </c>
      <c r="V128" s="66" t="str">
        <f t="shared" si="21"/>
        <v>Normal</v>
      </c>
      <c r="W128" s="19">
        <f t="shared" si="24"/>
        <v>0</v>
      </c>
      <c r="X128" s="19">
        <f t="shared" si="23"/>
        <v>0</v>
      </c>
      <c r="Y128" s="369"/>
      <c r="Z128" s="369"/>
      <c r="AA128" s="369"/>
      <c r="AB128" s="369"/>
      <c r="AC128" s="369"/>
      <c r="AD128" s="369"/>
      <c r="AE128" s="369"/>
      <c r="AF128" s="369"/>
      <c r="AG128" s="369"/>
      <c r="AH128" s="369"/>
      <c r="AI128" s="369"/>
    </row>
    <row r="129" spans="1:35">
      <c r="A129" s="27">
        <v>45144</v>
      </c>
      <c r="B129" s="27">
        <f>IF(YEAR(Table7[[#This Row],[Date]]) = 2023, WEEKNUM(Table7[[#This Row],[Date]])-13, WEEKNUM(Table7[[#This Row],[Date]])+40)</f>
        <v>19</v>
      </c>
      <c r="C129" s="34" t="s">
        <v>48</v>
      </c>
      <c r="D129" s="62" t="s">
        <v>94</v>
      </c>
      <c r="E129" s="1">
        <v>0</v>
      </c>
      <c r="F129" s="1">
        <v>0</v>
      </c>
      <c r="G129" s="64">
        <v>0</v>
      </c>
      <c r="H129" s="64">
        <v>0</v>
      </c>
      <c r="I129" s="1">
        <v>0</v>
      </c>
      <c r="J129" s="1">
        <v>0</v>
      </c>
      <c r="K129" s="1">
        <v>0</v>
      </c>
      <c r="L129" s="1">
        <v>0</v>
      </c>
      <c r="M129" s="66">
        <v>0</v>
      </c>
      <c r="N129" s="66">
        <v>0</v>
      </c>
      <c r="O129" s="66">
        <v>0</v>
      </c>
      <c r="P129" s="66">
        <v>0</v>
      </c>
      <c r="Q129" s="87">
        <v>0</v>
      </c>
      <c r="R129" s="285">
        <v>0</v>
      </c>
      <c r="S129" s="145">
        <v>0</v>
      </c>
      <c r="T129" s="113">
        <v>0</v>
      </c>
      <c r="U129" s="66" t="str">
        <f t="shared" si="20"/>
        <v>Normal</v>
      </c>
      <c r="V129" s="66" t="str">
        <f t="shared" si="21"/>
        <v>Normal</v>
      </c>
      <c r="W129" s="19">
        <f t="shared" si="24"/>
        <v>0</v>
      </c>
      <c r="X129" s="19">
        <f t="shared" si="23"/>
        <v>0</v>
      </c>
      <c r="Y129" s="369"/>
      <c r="Z129" s="369"/>
      <c r="AA129" s="369"/>
      <c r="AB129" s="369"/>
      <c r="AC129" s="369"/>
      <c r="AD129" s="369"/>
      <c r="AE129" s="369"/>
      <c r="AF129" s="369"/>
      <c r="AG129" s="369"/>
      <c r="AH129" s="369"/>
      <c r="AI129" s="369"/>
    </row>
    <row r="130" spans="1:35">
      <c r="A130" s="27">
        <v>45145</v>
      </c>
      <c r="B130" s="27">
        <f>IF(YEAR(Table7[[#This Row],[Date]]) = 2023, WEEKNUM(Table7[[#This Row],[Date]])-13, WEEKNUM(Table7[[#This Row],[Date]])+40)</f>
        <v>19</v>
      </c>
      <c r="C130" s="34" t="s">
        <v>64</v>
      </c>
      <c r="D130" s="62" t="s">
        <v>94</v>
      </c>
      <c r="E130" s="1">
        <v>0</v>
      </c>
      <c r="F130" s="1">
        <v>0</v>
      </c>
      <c r="G130" s="64">
        <v>0</v>
      </c>
      <c r="H130" s="64">
        <v>0</v>
      </c>
      <c r="I130" s="1">
        <v>0</v>
      </c>
      <c r="J130" s="1">
        <v>0</v>
      </c>
      <c r="K130" s="1">
        <v>0</v>
      </c>
      <c r="L130" s="1">
        <v>0</v>
      </c>
      <c r="M130" s="66">
        <v>0</v>
      </c>
      <c r="N130" s="66">
        <v>0</v>
      </c>
      <c r="O130" s="66">
        <v>0</v>
      </c>
      <c r="P130" s="66">
        <v>0</v>
      </c>
      <c r="Q130" s="87">
        <v>0</v>
      </c>
      <c r="R130" s="285">
        <v>0</v>
      </c>
      <c r="S130" s="145">
        <v>0</v>
      </c>
      <c r="T130" s="113">
        <v>0</v>
      </c>
      <c r="U130" s="66" t="str">
        <f t="shared" si="20"/>
        <v>Normal</v>
      </c>
      <c r="V130" s="66" t="str">
        <f t="shared" si="21"/>
        <v>Normal</v>
      </c>
      <c r="W130" s="19">
        <f t="shared" si="24"/>
        <v>0</v>
      </c>
      <c r="X130" s="19">
        <f t="shared" si="23"/>
        <v>0</v>
      </c>
      <c r="Y130" s="369"/>
      <c r="Z130" s="369"/>
      <c r="AA130" s="369"/>
      <c r="AB130" s="369"/>
      <c r="AC130" s="369"/>
      <c r="AD130" s="369"/>
      <c r="AE130" s="369"/>
      <c r="AF130" s="369"/>
      <c r="AG130" s="369"/>
      <c r="AH130" s="369"/>
      <c r="AI130" s="369"/>
    </row>
    <row r="131" spans="1:35">
      <c r="A131" s="27">
        <v>45146</v>
      </c>
      <c r="B131" s="27">
        <f>IF(YEAR(Table7[[#This Row],[Date]]) = 2023, WEEKNUM(Table7[[#This Row],[Date]])-13, WEEKNUM(Table7[[#This Row],[Date]])+40)</f>
        <v>19</v>
      </c>
      <c r="C131" s="34" t="s">
        <v>50</v>
      </c>
      <c r="D131" s="62" t="s">
        <v>94</v>
      </c>
      <c r="E131" s="1">
        <v>690</v>
      </c>
      <c r="F131" s="1">
        <v>422</v>
      </c>
      <c r="G131" s="64">
        <v>0</v>
      </c>
      <c r="H131" s="64">
        <v>0</v>
      </c>
      <c r="I131" s="1">
        <f>I128+Table3[[#This Row],[Calls Off]]</f>
        <v>2735</v>
      </c>
      <c r="J131" s="1">
        <f>J128+Table3[[#This Row],[Calls Ans]]</f>
        <v>2014</v>
      </c>
      <c r="K131" s="1">
        <f>K128+Table3[[#This Row],[Calls Off]]</f>
        <v>15893</v>
      </c>
      <c r="L131" s="1">
        <f>L128+Table3[[#This Row],[Calls Ans]]</f>
        <v>19916</v>
      </c>
      <c r="M131" s="66">
        <v>0.24</v>
      </c>
      <c r="N131" s="66">
        <v>0.39</v>
      </c>
      <c r="O131" s="66">
        <v>0.61</v>
      </c>
      <c r="P131" s="66">
        <v>0.57999999999999996</v>
      </c>
      <c r="Q131" s="87">
        <v>0.97</v>
      </c>
      <c r="R131" s="285">
        <v>250</v>
      </c>
      <c r="S131" s="145">
        <v>0.28333333333333333</v>
      </c>
      <c r="T131" s="113">
        <v>5</v>
      </c>
      <c r="U131" s="66" t="str">
        <f t="shared" ref="U131:U194" si="29">IF(OR(H131&lt;$AJ$5,H131&gt;$AK$5), "Outlier", "Normal")</f>
        <v>Normal</v>
      </c>
      <c r="V131" s="66" t="str">
        <f t="shared" ref="V131:V194" si="30">IF(OR(I131&lt;$AJ$6,I131&gt;$AK$6), "Outlier", "Normal")</f>
        <v>Normal</v>
      </c>
      <c r="W131" s="19">
        <f t="shared" si="24"/>
        <v>0</v>
      </c>
      <c r="X131" s="19">
        <f t="shared" si="23"/>
        <v>0</v>
      </c>
      <c r="Y131" s="369"/>
      <c r="Z131" s="369"/>
      <c r="AA131" s="369"/>
      <c r="AB131" s="369"/>
      <c r="AC131" s="369"/>
      <c r="AD131" s="369"/>
      <c r="AE131" s="369"/>
      <c r="AF131" s="369"/>
      <c r="AG131" s="369"/>
      <c r="AH131" s="369"/>
      <c r="AI131" s="369"/>
    </row>
    <row r="132" spans="1:35">
      <c r="A132" s="27">
        <v>45147</v>
      </c>
      <c r="B132" s="27">
        <f>IF(YEAR(Table7[[#This Row],[Date]]) = 2023, WEEKNUM(Table7[[#This Row],[Date]])-13, WEEKNUM(Table7[[#This Row],[Date]])+40)</f>
        <v>19</v>
      </c>
      <c r="C132" s="34" t="s">
        <v>51</v>
      </c>
      <c r="D132" s="62" t="s">
        <v>94</v>
      </c>
      <c r="E132" s="1">
        <v>450</v>
      </c>
      <c r="F132" s="1">
        <v>394</v>
      </c>
      <c r="G132" s="64">
        <f>IFERROR((E132-E125)/E125,0%)</f>
        <v>-0.39759036144578314</v>
      </c>
      <c r="H132" s="64">
        <f>IFERROR((F132-F125)/F125,0%)</f>
        <v>-0.32764505119453924</v>
      </c>
      <c r="I132" s="1">
        <f>I131+E132</f>
        <v>3185</v>
      </c>
      <c r="J132" s="1">
        <f>J131+F132</f>
        <v>2408</v>
      </c>
      <c r="K132" s="1">
        <f>K131+E132</f>
        <v>16343</v>
      </c>
      <c r="L132" s="1">
        <f>L131+F132</f>
        <v>20310</v>
      </c>
      <c r="M132" s="66">
        <v>0.61</v>
      </c>
      <c r="N132" s="66">
        <v>0.12</v>
      </c>
      <c r="O132" s="66">
        <v>0.88</v>
      </c>
      <c r="P132" s="66">
        <v>0.54</v>
      </c>
      <c r="Q132" s="87">
        <v>0.96</v>
      </c>
      <c r="R132" s="285">
        <v>234</v>
      </c>
      <c r="S132" s="145">
        <v>0.14583333333333334</v>
      </c>
      <c r="T132" s="113">
        <v>5</v>
      </c>
      <c r="U132" s="66" t="str">
        <f t="shared" si="29"/>
        <v>Outlier</v>
      </c>
      <c r="V132" s="66" t="str">
        <f t="shared" si="30"/>
        <v>Normal</v>
      </c>
      <c r="W132" s="19">
        <f t="shared" si="24"/>
        <v>-0.39759036144578314</v>
      </c>
      <c r="X132" s="19">
        <f t="shared" si="23"/>
        <v>-0.32764505119453924</v>
      </c>
      <c r="Y132" s="369"/>
      <c r="Z132" s="369"/>
      <c r="AA132" s="369"/>
      <c r="AB132" s="369"/>
      <c r="AC132" s="369"/>
      <c r="AD132" s="369"/>
      <c r="AE132" s="369"/>
      <c r="AF132" s="369"/>
      <c r="AG132" s="369"/>
      <c r="AH132" s="369"/>
      <c r="AI132" s="369"/>
    </row>
    <row r="133" spans="1:35">
      <c r="A133" s="27">
        <v>45148</v>
      </c>
      <c r="B133" s="27">
        <f>IF(YEAR(Table7[[#This Row],[Date]]) = 2023, WEEKNUM(Table7[[#This Row],[Date]])-13, WEEKNUM(Table7[[#This Row],[Date]])+40)</f>
        <v>19</v>
      </c>
      <c r="C133" s="34" t="s">
        <v>52</v>
      </c>
      <c r="D133" s="62" t="s">
        <v>94</v>
      </c>
      <c r="E133" s="1">
        <v>369</v>
      </c>
      <c r="F133" s="1">
        <v>337</v>
      </c>
      <c r="G133" s="64">
        <f t="shared" ref="G133:H133" si="31">IFERROR((E133-E126)/E126,0%)</f>
        <v>-0.37030716723549489</v>
      </c>
      <c r="H133" s="64">
        <f t="shared" si="31"/>
        <v>-0.16790123456790124</v>
      </c>
      <c r="I133" s="1">
        <f t="shared" ref="I133:I135" si="32">I132+E133</f>
        <v>3554</v>
      </c>
      <c r="J133" s="1">
        <f t="shared" ref="J133:J135" si="33">J132+F133</f>
        <v>2745</v>
      </c>
      <c r="K133" s="1">
        <f t="shared" ref="K133:K135" si="34">K132+E133</f>
        <v>16712</v>
      </c>
      <c r="L133" s="1">
        <f t="shared" ref="L133:L135" si="35">L132+F133</f>
        <v>20647</v>
      </c>
      <c r="M133" s="66">
        <v>0.73</v>
      </c>
      <c r="N133" s="66">
        <v>0.08</v>
      </c>
      <c r="O133" s="66">
        <v>0.92</v>
      </c>
      <c r="P133" s="66">
        <v>0.46</v>
      </c>
      <c r="Q133" s="87">
        <v>0.97</v>
      </c>
      <c r="R133" s="285">
        <v>221</v>
      </c>
      <c r="S133" s="145">
        <v>4.2361111111111106E-2</v>
      </c>
      <c r="T133" s="113">
        <v>5</v>
      </c>
      <c r="U133" s="66" t="str">
        <f t="shared" si="29"/>
        <v>Outlier</v>
      </c>
      <c r="V133" s="66" t="str">
        <f t="shared" si="30"/>
        <v>Normal</v>
      </c>
      <c r="W133" s="19">
        <f t="shared" si="24"/>
        <v>-0.37030716723549489</v>
      </c>
      <c r="X133" s="19">
        <f t="shared" si="23"/>
        <v>-0.16790123456790124</v>
      </c>
      <c r="Y133" s="369"/>
      <c r="Z133" s="369"/>
      <c r="AA133" s="369"/>
      <c r="AB133" s="369"/>
      <c r="AC133" s="369"/>
      <c r="AD133" s="369"/>
      <c r="AE133" s="369"/>
      <c r="AF133" s="369"/>
      <c r="AG133" s="369"/>
      <c r="AH133" s="369"/>
      <c r="AI133" s="369"/>
    </row>
    <row r="134" spans="1:35">
      <c r="A134" s="27">
        <v>45149</v>
      </c>
      <c r="B134" s="27">
        <f>IF(YEAR(Table7[[#This Row],[Date]]) = 2023, WEEKNUM(Table7[[#This Row],[Date]])-13, WEEKNUM(Table7[[#This Row],[Date]])+40)</f>
        <v>19</v>
      </c>
      <c r="C134" s="34" t="s">
        <v>53</v>
      </c>
      <c r="D134" s="62" t="s">
        <v>94</v>
      </c>
      <c r="E134" s="1">
        <v>333</v>
      </c>
      <c r="F134" s="1">
        <v>243</v>
      </c>
      <c r="G134" s="64">
        <f t="shared" ref="G134:H134" si="36">IFERROR((E134-E127)/E127,0%)</f>
        <v>-0.28997867803837951</v>
      </c>
      <c r="H134" s="64">
        <f t="shared" si="36"/>
        <v>-0.36553524804177545</v>
      </c>
      <c r="I134" s="1">
        <f t="shared" si="32"/>
        <v>3887</v>
      </c>
      <c r="J134" s="1">
        <f t="shared" si="33"/>
        <v>2988</v>
      </c>
      <c r="K134" s="1">
        <f t="shared" si="34"/>
        <v>17045</v>
      </c>
      <c r="L134" s="1">
        <f t="shared" si="35"/>
        <v>20890</v>
      </c>
      <c r="M134" s="66">
        <v>0.32</v>
      </c>
      <c r="N134" s="66">
        <v>0.27</v>
      </c>
      <c r="O134" s="66">
        <v>0.73</v>
      </c>
      <c r="P134" s="66">
        <v>0.34</v>
      </c>
      <c r="Q134" s="87">
        <v>0.97</v>
      </c>
      <c r="R134" s="285">
        <v>235</v>
      </c>
      <c r="S134" s="145">
        <v>0.27708333333333335</v>
      </c>
      <c r="T134" s="113">
        <v>5</v>
      </c>
      <c r="U134" s="66" t="str">
        <f t="shared" si="29"/>
        <v>Outlier</v>
      </c>
      <c r="V134" s="66" t="str">
        <f t="shared" si="30"/>
        <v>Normal</v>
      </c>
      <c r="W134" s="19">
        <f t="shared" si="24"/>
        <v>-0.28997867803837951</v>
      </c>
      <c r="X134" s="19">
        <f t="shared" si="23"/>
        <v>-0.36553524804177545</v>
      </c>
      <c r="Y134" s="369"/>
      <c r="Z134" s="369"/>
      <c r="AA134" s="369"/>
      <c r="AB134" s="369"/>
      <c r="AC134" s="369"/>
      <c r="AD134" s="369"/>
      <c r="AE134" s="369"/>
      <c r="AF134" s="369"/>
      <c r="AG134" s="369"/>
      <c r="AH134" s="369"/>
      <c r="AI134" s="369"/>
    </row>
    <row r="135" spans="1:35">
      <c r="A135" s="27">
        <v>45150</v>
      </c>
      <c r="B135" s="27">
        <f>IF(YEAR(Table7[[#This Row],[Date]]) = 2023, WEEKNUM(Table7[[#This Row],[Date]])-13, WEEKNUM(Table7[[#This Row],[Date]])+40)</f>
        <v>19</v>
      </c>
      <c r="C135" s="34" t="s">
        <v>54</v>
      </c>
      <c r="D135" s="62" t="s">
        <v>94</v>
      </c>
      <c r="E135" s="1">
        <v>248</v>
      </c>
      <c r="F135" s="1">
        <v>225</v>
      </c>
      <c r="G135" s="64">
        <f t="shared" ref="G135:H135" si="37">IFERROR((E135-E128)/E128,0%)</f>
        <v>2.0576131687242798E-2</v>
      </c>
      <c r="H135" s="64">
        <f t="shared" si="37"/>
        <v>3.2110091743119268E-2</v>
      </c>
      <c r="I135" s="1">
        <f t="shared" si="32"/>
        <v>4135</v>
      </c>
      <c r="J135" s="1">
        <f t="shared" si="33"/>
        <v>3213</v>
      </c>
      <c r="K135" s="1">
        <f t="shared" si="34"/>
        <v>17293</v>
      </c>
      <c r="L135" s="1">
        <f t="shared" si="35"/>
        <v>21115</v>
      </c>
      <c r="M135" s="66">
        <v>0.75</v>
      </c>
      <c r="N135" s="66">
        <v>0.09</v>
      </c>
      <c r="O135" s="66">
        <v>0.91</v>
      </c>
      <c r="P135" s="66">
        <v>0.68</v>
      </c>
      <c r="Q135" s="87">
        <v>0.96</v>
      </c>
      <c r="R135" s="285">
        <v>220</v>
      </c>
      <c r="S135" s="145">
        <v>4.1666666666666664E-2</v>
      </c>
      <c r="T135" s="113">
        <v>3</v>
      </c>
      <c r="U135" s="66" t="str">
        <f t="shared" si="29"/>
        <v>Normal</v>
      </c>
      <c r="V135" s="66" t="str">
        <f t="shared" si="30"/>
        <v>Normal</v>
      </c>
      <c r="W135" s="19">
        <f t="shared" si="24"/>
        <v>2.0576131687242798E-2</v>
      </c>
      <c r="X135" s="19">
        <f t="shared" si="23"/>
        <v>3.2110091743119268E-2</v>
      </c>
      <c r="Y135" s="369"/>
      <c r="Z135" s="369"/>
      <c r="AA135" s="369"/>
      <c r="AB135" s="369"/>
      <c r="AC135" s="369"/>
      <c r="AD135" s="369"/>
      <c r="AE135" s="369"/>
      <c r="AF135" s="369"/>
      <c r="AG135" s="369"/>
      <c r="AH135" s="369"/>
      <c r="AI135" s="369"/>
    </row>
    <row r="136" spans="1:35">
      <c r="A136" s="27">
        <v>45151</v>
      </c>
      <c r="B136" s="27">
        <f>IF(YEAR(Table7[[#This Row],[Date]]) = 2023, WEEKNUM(Table7[[#This Row],[Date]])-13, WEEKNUM(Table7[[#This Row],[Date]])+40)</f>
        <v>20</v>
      </c>
      <c r="C136" s="34" t="s">
        <v>48</v>
      </c>
      <c r="D136" s="62" t="s">
        <v>94</v>
      </c>
      <c r="E136" s="1">
        <v>0</v>
      </c>
      <c r="F136" s="1">
        <v>0</v>
      </c>
      <c r="G136" s="64">
        <v>0</v>
      </c>
      <c r="H136" s="64">
        <v>0</v>
      </c>
      <c r="I136" s="1">
        <v>0</v>
      </c>
      <c r="J136" s="1">
        <v>0</v>
      </c>
      <c r="K136" s="1">
        <v>0</v>
      </c>
      <c r="L136" s="1">
        <v>0</v>
      </c>
      <c r="M136" s="66">
        <v>0</v>
      </c>
      <c r="N136" s="66">
        <v>0</v>
      </c>
      <c r="O136" s="66">
        <v>0</v>
      </c>
      <c r="P136" s="66">
        <v>0</v>
      </c>
      <c r="Q136" s="87">
        <v>0</v>
      </c>
      <c r="R136" s="285">
        <v>0</v>
      </c>
      <c r="S136" s="145">
        <v>0</v>
      </c>
      <c r="T136" s="113">
        <v>0</v>
      </c>
      <c r="U136" s="66" t="str">
        <f t="shared" si="29"/>
        <v>Normal</v>
      </c>
      <c r="V136" s="66" t="str">
        <f t="shared" si="30"/>
        <v>Normal</v>
      </c>
      <c r="W136" s="19">
        <f t="shared" si="24"/>
        <v>0</v>
      </c>
      <c r="X136" s="19">
        <f t="shared" si="23"/>
        <v>0</v>
      </c>
      <c r="Y136" s="369"/>
      <c r="Z136" s="369"/>
      <c r="AA136" s="369"/>
      <c r="AB136" s="369"/>
      <c r="AC136" s="369"/>
      <c r="AD136" s="369"/>
      <c r="AE136" s="369"/>
      <c r="AF136" s="369"/>
      <c r="AG136" s="369"/>
      <c r="AH136" s="369"/>
      <c r="AI136" s="369"/>
    </row>
    <row r="137" spans="1:35">
      <c r="A137" s="27">
        <v>45152</v>
      </c>
      <c r="B137" s="27">
        <f>IF(YEAR(Table7[[#This Row],[Date]]) = 2023, WEEKNUM(Table7[[#This Row],[Date]])-13, WEEKNUM(Table7[[#This Row],[Date]])+40)</f>
        <v>20</v>
      </c>
      <c r="C137" s="34" t="s">
        <v>49</v>
      </c>
      <c r="D137" s="62" t="s">
        <v>94</v>
      </c>
      <c r="E137" s="1">
        <v>503</v>
      </c>
      <c r="F137" s="1">
        <v>386</v>
      </c>
      <c r="G137" s="64">
        <f>IFERROR((E137-E130)/E130,0%)</f>
        <v>0</v>
      </c>
      <c r="H137" s="64">
        <f>IFERROR((F137-F130)/F130,0%)</f>
        <v>0</v>
      </c>
      <c r="I137" s="1"/>
      <c r="J137" s="1"/>
      <c r="K137" s="1"/>
      <c r="L137" s="1"/>
      <c r="M137" s="66">
        <v>0.39</v>
      </c>
      <c r="N137" s="66">
        <v>0.23</v>
      </c>
      <c r="O137" s="66">
        <v>0.77</v>
      </c>
      <c r="P137" s="66">
        <v>0.53</v>
      </c>
      <c r="Q137" s="87">
        <v>1</v>
      </c>
      <c r="R137" s="285">
        <v>225</v>
      </c>
      <c r="S137" s="145">
        <v>0.14166666666666666</v>
      </c>
      <c r="T137" s="113">
        <v>5</v>
      </c>
      <c r="U137" s="66" t="str">
        <f t="shared" si="29"/>
        <v>Normal</v>
      </c>
      <c r="V137" s="66" t="str">
        <f t="shared" si="30"/>
        <v>Normal</v>
      </c>
      <c r="W137" s="19">
        <f t="shared" si="24"/>
        <v>0</v>
      </c>
      <c r="X137" s="19">
        <f t="shared" si="23"/>
        <v>0</v>
      </c>
      <c r="Y137" s="369"/>
      <c r="Z137" s="369"/>
      <c r="AA137" s="369"/>
      <c r="AB137" s="369"/>
      <c r="AC137" s="369"/>
      <c r="AD137" s="369"/>
      <c r="AE137" s="369"/>
      <c r="AF137" s="369"/>
      <c r="AG137" s="369"/>
      <c r="AH137" s="369"/>
      <c r="AI137" s="369"/>
    </row>
    <row r="138" spans="1:35">
      <c r="A138" s="27">
        <v>45153</v>
      </c>
      <c r="B138" s="27">
        <f>IF(YEAR(Table7[[#This Row],[Date]]) = 2023, WEEKNUM(Table7[[#This Row],[Date]])-13, WEEKNUM(Table7[[#This Row],[Date]])+40)</f>
        <v>20</v>
      </c>
      <c r="C138" s="34" t="s">
        <v>50</v>
      </c>
      <c r="D138" s="62" t="s">
        <v>94</v>
      </c>
      <c r="E138" s="1">
        <v>518</v>
      </c>
      <c r="F138" s="1">
        <v>335</v>
      </c>
      <c r="G138" s="64">
        <f t="shared" ref="G138:G140" si="38">IFERROR((E138-E131)/E131,0%)</f>
        <v>-0.24927536231884059</v>
      </c>
      <c r="H138" s="64">
        <f t="shared" ref="H138:H140" si="39">IFERROR((F138-F131)/F131,0%)</f>
        <v>-0.20616113744075829</v>
      </c>
      <c r="I138" s="1"/>
      <c r="J138" s="1"/>
      <c r="K138" s="1"/>
      <c r="L138" s="1"/>
      <c r="M138" s="66">
        <v>0.26</v>
      </c>
      <c r="N138" s="66">
        <v>0.35</v>
      </c>
      <c r="O138" s="66">
        <v>0.65</v>
      </c>
      <c r="P138" s="66">
        <v>0.57999999999999996</v>
      </c>
      <c r="Q138" s="87">
        <v>0.95</v>
      </c>
      <c r="R138" s="285">
        <v>257</v>
      </c>
      <c r="S138" s="145">
        <v>0.25138888888888888</v>
      </c>
      <c r="T138" s="113">
        <v>4</v>
      </c>
      <c r="U138" s="66" t="str">
        <f t="shared" si="29"/>
        <v>Outlier</v>
      </c>
      <c r="V138" s="66" t="str">
        <f t="shared" si="30"/>
        <v>Normal</v>
      </c>
      <c r="W138" s="19">
        <f t="shared" si="24"/>
        <v>-0.24927536231884059</v>
      </c>
      <c r="X138" s="19">
        <f t="shared" si="23"/>
        <v>-0.20616113744075829</v>
      </c>
      <c r="Y138" s="369"/>
      <c r="Z138" s="369"/>
      <c r="AA138" s="369"/>
      <c r="AB138" s="369"/>
      <c r="AC138" s="369"/>
      <c r="AD138" s="369"/>
      <c r="AE138" s="369"/>
      <c r="AF138" s="369"/>
      <c r="AG138" s="369"/>
      <c r="AH138" s="369"/>
      <c r="AI138" s="369"/>
    </row>
    <row r="139" spans="1:35">
      <c r="A139" s="27">
        <v>45154</v>
      </c>
      <c r="B139" s="27">
        <f>IF(YEAR(Table7[[#This Row],[Date]]) = 2023, WEEKNUM(Table7[[#This Row],[Date]])-13, WEEKNUM(Table7[[#This Row],[Date]])+40)</f>
        <v>20</v>
      </c>
      <c r="C139" s="34" t="s">
        <v>51</v>
      </c>
      <c r="D139" s="62" t="s">
        <v>94</v>
      </c>
      <c r="E139" s="1">
        <v>511</v>
      </c>
      <c r="F139" s="1">
        <v>356</v>
      </c>
      <c r="G139" s="64">
        <f t="shared" si="38"/>
        <v>0.13555555555555557</v>
      </c>
      <c r="H139" s="64">
        <f t="shared" si="39"/>
        <v>-9.6446700507614211E-2</v>
      </c>
      <c r="I139" s="1"/>
      <c r="J139" s="1"/>
      <c r="K139" s="1"/>
      <c r="L139" s="1"/>
      <c r="M139" s="66">
        <v>0.33</v>
      </c>
      <c r="N139" s="66">
        <v>0.3</v>
      </c>
      <c r="O139" s="66">
        <v>0.7</v>
      </c>
      <c r="P139" s="66">
        <v>0.61</v>
      </c>
      <c r="Q139" s="87">
        <v>0.95</v>
      </c>
      <c r="R139" s="285">
        <v>225</v>
      </c>
      <c r="S139" s="145">
        <v>0.26597222222222222</v>
      </c>
      <c r="T139" s="113">
        <v>4</v>
      </c>
      <c r="U139" s="66" t="str">
        <f t="shared" si="29"/>
        <v>Outlier</v>
      </c>
      <c r="V139" s="66" t="str">
        <f t="shared" si="30"/>
        <v>Normal</v>
      </c>
      <c r="W139" s="19">
        <f t="shared" si="24"/>
        <v>0.13555555555555557</v>
      </c>
      <c r="X139" s="19">
        <f t="shared" si="23"/>
        <v>-9.6446700507614211E-2</v>
      </c>
      <c r="Y139" s="369"/>
      <c r="Z139" s="369"/>
      <c r="AA139" s="369"/>
      <c r="AB139" s="369"/>
      <c r="AC139" s="369"/>
      <c r="AD139" s="369"/>
      <c r="AE139" s="369"/>
      <c r="AF139" s="369"/>
      <c r="AG139" s="369"/>
      <c r="AH139" s="369"/>
      <c r="AI139" s="369"/>
    </row>
    <row r="140" spans="1:35">
      <c r="A140" s="27">
        <v>45155</v>
      </c>
      <c r="B140" s="27">
        <f>IF(YEAR(Table7[[#This Row],[Date]]) = 2023, WEEKNUM(Table7[[#This Row],[Date]])-13, WEEKNUM(Table7[[#This Row],[Date]])+40)</f>
        <v>20</v>
      </c>
      <c r="C140" s="34" t="s">
        <v>52</v>
      </c>
      <c r="D140" s="62" t="s">
        <v>94</v>
      </c>
      <c r="E140" s="1">
        <v>469</v>
      </c>
      <c r="F140" s="1">
        <v>384</v>
      </c>
      <c r="G140" s="64">
        <f t="shared" si="38"/>
        <v>0.27100271002710025</v>
      </c>
      <c r="H140" s="64">
        <f t="shared" si="39"/>
        <v>0.1394658753709199</v>
      </c>
      <c r="I140" s="1"/>
      <c r="J140" s="1"/>
      <c r="K140" s="1"/>
      <c r="L140" s="1"/>
      <c r="M140" s="66">
        <v>0.52</v>
      </c>
      <c r="N140" s="66">
        <v>0.18</v>
      </c>
      <c r="O140" s="66">
        <v>0.82</v>
      </c>
      <c r="P140" s="66">
        <v>0.66</v>
      </c>
      <c r="Q140" s="87">
        <v>0.96</v>
      </c>
      <c r="R140" s="285">
        <v>186</v>
      </c>
      <c r="S140" s="145">
        <v>0.12222222222222223</v>
      </c>
      <c r="T140" s="113">
        <v>4</v>
      </c>
      <c r="U140" s="66" t="str">
        <f t="shared" si="29"/>
        <v>Normal</v>
      </c>
      <c r="V140" s="66" t="str">
        <f t="shared" si="30"/>
        <v>Normal</v>
      </c>
      <c r="W140" s="19">
        <f t="shared" si="24"/>
        <v>0.27100271002710025</v>
      </c>
      <c r="X140" s="19">
        <f t="shared" si="23"/>
        <v>0.1394658753709199</v>
      </c>
      <c r="Y140" s="369"/>
      <c r="Z140" s="369"/>
      <c r="AA140" s="369"/>
      <c r="AB140" s="369"/>
      <c r="AC140" s="369"/>
      <c r="AD140" s="369"/>
      <c r="AE140" s="369"/>
      <c r="AF140" s="369"/>
      <c r="AG140" s="369"/>
      <c r="AH140" s="369"/>
      <c r="AI140" s="369"/>
    </row>
    <row r="141" spans="1:35">
      <c r="A141" s="27">
        <v>45156</v>
      </c>
      <c r="B141" s="27">
        <f>IF(YEAR(Table7[[#This Row],[Date]]) = 2023, WEEKNUM(Table7[[#This Row],[Date]])-13, WEEKNUM(Table7[[#This Row],[Date]])+40)</f>
        <v>20</v>
      </c>
      <c r="C141" s="34" t="s">
        <v>53</v>
      </c>
      <c r="D141" s="62" t="s">
        <v>94</v>
      </c>
      <c r="E141" s="1">
        <v>501</v>
      </c>
      <c r="F141" s="1">
        <v>391</v>
      </c>
      <c r="G141" s="64">
        <v>0</v>
      </c>
      <c r="H141" s="64">
        <v>0</v>
      </c>
      <c r="I141" s="1"/>
      <c r="J141" s="1"/>
      <c r="K141" s="1"/>
      <c r="L141" s="1"/>
      <c r="M141" s="66">
        <v>0.4</v>
      </c>
      <c r="N141" s="66">
        <v>0.22</v>
      </c>
      <c r="O141" s="66">
        <v>0.78</v>
      </c>
      <c r="P141" s="66">
        <v>0.67</v>
      </c>
      <c r="Q141" s="87">
        <v>0.94</v>
      </c>
      <c r="R141" s="285">
        <v>203</v>
      </c>
      <c r="S141" s="145">
        <v>0.13472222222222222</v>
      </c>
      <c r="T141" s="113">
        <v>4</v>
      </c>
      <c r="U141" s="66" t="str">
        <f t="shared" si="29"/>
        <v>Normal</v>
      </c>
      <c r="V141" s="66" t="str">
        <f t="shared" si="30"/>
        <v>Normal</v>
      </c>
      <c r="W141" s="19">
        <f t="shared" si="24"/>
        <v>0</v>
      </c>
      <c r="X141" s="19">
        <f t="shared" ref="X141:X204" si="40">IF(V141="Normal",$H141,IF($H141&lt;150%, $H141, $AN$9))</f>
        <v>0</v>
      </c>
      <c r="Y141" s="369"/>
      <c r="Z141" s="369"/>
      <c r="AA141" s="369"/>
      <c r="AB141" s="369"/>
      <c r="AC141" s="369"/>
      <c r="AD141" s="369"/>
      <c r="AE141" s="369"/>
      <c r="AF141" s="369"/>
      <c r="AG141" s="369"/>
      <c r="AH141" s="369"/>
      <c r="AI141" s="369"/>
    </row>
    <row r="142" spans="1:35">
      <c r="A142" s="27">
        <v>45157</v>
      </c>
      <c r="B142" s="27">
        <f>IF(YEAR(Table7[[#This Row],[Date]]) = 2023, WEEKNUM(Table7[[#This Row],[Date]])-13, WEEKNUM(Table7[[#This Row],[Date]])+40)</f>
        <v>20</v>
      </c>
      <c r="C142" s="34" t="s">
        <v>54</v>
      </c>
      <c r="D142" s="62" t="s">
        <v>94</v>
      </c>
      <c r="E142" s="1">
        <v>214</v>
      </c>
      <c r="F142" s="1">
        <v>187</v>
      </c>
      <c r="G142" s="64">
        <f t="shared" ref="G142:H142" si="41">IFERROR((E142-E135)/E135,0%)</f>
        <v>-0.13709677419354838</v>
      </c>
      <c r="H142" s="64">
        <f t="shared" si="41"/>
        <v>-0.16888888888888889</v>
      </c>
      <c r="I142" s="1"/>
      <c r="J142" s="1"/>
      <c r="K142" s="1"/>
      <c r="L142" s="1"/>
      <c r="M142" s="66">
        <v>0.64</v>
      </c>
      <c r="N142" s="66">
        <v>0.13</v>
      </c>
      <c r="O142" s="66">
        <v>0.87</v>
      </c>
      <c r="P142" s="66">
        <v>0.43</v>
      </c>
      <c r="Q142" s="87">
        <v>0.96</v>
      </c>
      <c r="R142" s="285">
        <v>205</v>
      </c>
      <c r="S142" s="145">
        <v>0.12569444444444444</v>
      </c>
      <c r="T142" s="113">
        <v>3</v>
      </c>
      <c r="U142" s="66" t="str">
        <f t="shared" si="29"/>
        <v>Outlier</v>
      </c>
      <c r="V142" s="66" t="str">
        <f t="shared" si="30"/>
        <v>Normal</v>
      </c>
      <c r="W142" s="19">
        <f t="shared" si="24"/>
        <v>-0.13709677419354838</v>
      </c>
      <c r="X142" s="19">
        <f t="shared" si="40"/>
        <v>-0.16888888888888889</v>
      </c>
      <c r="Y142" s="369"/>
      <c r="Z142" s="369"/>
      <c r="AA142" s="369"/>
      <c r="AB142" s="369"/>
      <c r="AC142" s="369"/>
      <c r="AD142" s="369"/>
      <c r="AE142" s="369"/>
      <c r="AF142" s="369"/>
      <c r="AG142" s="369"/>
      <c r="AH142" s="369"/>
      <c r="AI142" s="369"/>
    </row>
    <row r="143" spans="1:35">
      <c r="A143" s="27">
        <v>45158</v>
      </c>
      <c r="B143" s="27">
        <f>IF(YEAR(Table7[[#This Row],[Date]]) = 2023, WEEKNUM(Table7[[#This Row],[Date]])-13, WEEKNUM(Table7[[#This Row],[Date]])+40)</f>
        <v>21</v>
      </c>
      <c r="C143" s="34" t="s">
        <v>48</v>
      </c>
      <c r="D143" s="62" t="s">
        <v>94</v>
      </c>
      <c r="E143" s="1">
        <v>0</v>
      </c>
      <c r="F143" s="1">
        <v>0</v>
      </c>
      <c r="G143" s="64">
        <f t="shared" ref="G143:H143" si="42">IFERROR((E143-E136)/E136,0%)</f>
        <v>0</v>
      </c>
      <c r="H143" s="64">
        <f t="shared" si="42"/>
        <v>0</v>
      </c>
      <c r="I143" s="1">
        <v>0</v>
      </c>
      <c r="J143" s="1">
        <v>0</v>
      </c>
      <c r="K143" s="1">
        <v>0</v>
      </c>
      <c r="L143" s="1">
        <v>0</v>
      </c>
      <c r="M143" s="66">
        <v>0</v>
      </c>
      <c r="N143" s="66">
        <v>0</v>
      </c>
      <c r="O143" s="66">
        <v>0</v>
      </c>
      <c r="P143" s="66">
        <v>0</v>
      </c>
      <c r="Q143" s="87">
        <v>0</v>
      </c>
      <c r="R143" s="285">
        <v>0</v>
      </c>
      <c r="S143" s="145">
        <v>0</v>
      </c>
      <c r="T143" s="113">
        <v>0</v>
      </c>
      <c r="U143" s="66" t="str">
        <f t="shared" si="29"/>
        <v>Normal</v>
      </c>
      <c r="V143" s="66" t="str">
        <f t="shared" si="30"/>
        <v>Normal</v>
      </c>
      <c r="W143" s="19">
        <f t="shared" si="24"/>
        <v>0</v>
      </c>
      <c r="X143" s="19">
        <f t="shared" si="40"/>
        <v>0</v>
      </c>
      <c r="Y143" s="369"/>
      <c r="Z143" s="369"/>
      <c r="AA143" s="369"/>
      <c r="AB143" s="369"/>
      <c r="AC143" s="369"/>
      <c r="AD143" s="369"/>
      <c r="AE143" s="369"/>
      <c r="AF143" s="369"/>
      <c r="AG143" s="369"/>
      <c r="AH143" s="369"/>
      <c r="AI143" s="369"/>
    </row>
    <row r="144" spans="1:35">
      <c r="A144" s="27">
        <v>45159</v>
      </c>
      <c r="B144" s="27">
        <f>IF(YEAR(Table7[[#This Row],[Date]]) = 2023, WEEKNUM(Table7[[#This Row],[Date]])-13, WEEKNUM(Table7[[#This Row],[Date]])+40)</f>
        <v>21</v>
      </c>
      <c r="C144" s="34" t="s">
        <v>49</v>
      </c>
      <c r="D144" s="62" t="s">
        <v>94</v>
      </c>
      <c r="E144" s="1">
        <v>578</v>
      </c>
      <c r="F144" s="1">
        <v>353</v>
      </c>
      <c r="G144" s="64">
        <f t="shared" ref="G144:H144" si="43">IFERROR((E144-E137)/E137,0%)</f>
        <v>0.14910536779324055</v>
      </c>
      <c r="H144" s="64">
        <f t="shared" si="43"/>
        <v>-8.549222797927461E-2</v>
      </c>
      <c r="I144" s="1"/>
      <c r="J144" s="1"/>
      <c r="K144" s="1"/>
      <c r="L144" s="1"/>
      <c r="M144" s="66">
        <v>0.18</v>
      </c>
      <c r="N144" s="66">
        <v>0.39</v>
      </c>
      <c r="O144" s="66">
        <v>0.61</v>
      </c>
      <c r="P144" s="66">
        <v>0.61</v>
      </c>
      <c r="Q144" s="87">
        <v>0.97</v>
      </c>
      <c r="R144" s="285">
        <v>220</v>
      </c>
      <c r="S144" s="145">
        <v>0.36180555555555555</v>
      </c>
      <c r="T144" s="113">
        <v>4</v>
      </c>
      <c r="U144" s="66" t="str">
        <f t="shared" si="29"/>
        <v>Outlier</v>
      </c>
      <c r="V144" s="66" t="str">
        <f t="shared" si="30"/>
        <v>Normal</v>
      </c>
      <c r="W144" s="19">
        <f t="shared" si="24"/>
        <v>0.14910536779324055</v>
      </c>
      <c r="X144" s="19">
        <f t="shared" si="40"/>
        <v>-8.549222797927461E-2</v>
      </c>
      <c r="Y144" s="369"/>
      <c r="Z144" s="369"/>
      <c r="AA144" s="369"/>
      <c r="AB144" s="369"/>
      <c r="AC144" s="369"/>
      <c r="AD144" s="369"/>
      <c r="AE144" s="369"/>
      <c r="AF144" s="369"/>
      <c r="AG144" s="369"/>
      <c r="AH144" s="369"/>
      <c r="AI144" s="369"/>
    </row>
    <row r="145" spans="1:39">
      <c r="A145" s="27">
        <v>45160</v>
      </c>
      <c r="B145" s="27">
        <f>IF(YEAR(Table7[[#This Row],[Date]]) = 2023, WEEKNUM(Table7[[#This Row],[Date]])-13, WEEKNUM(Table7[[#This Row],[Date]])+40)</f>
        <v>21</v>
      </c>
      <c r="C145" s="34" t="s">
        <v>50</v>
      </c>
      <c r="D145" s="62" t="s">
        <v>94</v>
      </c>
      <c r="E145" s="1">
        <v>547</v>
      </c>
      <c r="F145" s="1">
        <v>393</v>
      </c>
      <c r="G145" s="64">
        <f t="shared" ref="G145:H145" si="44">IFERROR((E145-E138)/E138,0%)</f>
        <v>5.5984555984555984E-2</v>
      </c>
      <c r="H145" s="64">
        <f t="shared" si="44"/>
        <v>0.17313432835820897</v>
      </c>
      <c r="I145" s="1"/>
      <c r="J145" s="1"/>
      <c r="K145" s="1"/>
      <c r="L145" s="1"/>
      <c r="M145" s="66">
        <v>0.28999999999999998</v>
      </c>
      <c r="N145" s="66">
        <v>0.28000000000000003</v>
      </c>
      <c r="O145" s="66">
        <v>0.72</v>
      </c>
      <c r="P145" s="66">
        <v>0.68</v>
      </c>
      <c r="Q145" s="87">
        <v>0.97</v>
      </c>
      <c r="R145" s="288">
        <v>210</v>
      </c>
      <c r="S145" s="169">
        <v>0.19722222222222222</v>
      </c>
      <c r="T145" s="173">
        <v>4</v>
      </c>
      <c r="U145" s="66" t="str">
        <f t="shared" si="29"/>
        <v>Normal</v>
      </c>
      <c r="V145" s="66" t="str">
        <f t="shared" si="30"/>
        <v>Normal</v>
      </c>
      <c r="W145" s="19">
        <f t="shared" si="24"/>
        <v>5.5984555984555984E-2</v>
      </c>
      <c r="X145" s="19">
        <f t="shared" si="40"/>
        <v>0.17313432835820897</v>
      </c>
      <c r="Y145" s="369"/>
      <c r="Z145" s="369"/>
      <c r="AA145" s="369"/>
      <c r="AB145" s="369"/>
      <c r="AC145" s="369"/>
      <c r="AD145" s="369"/>
      <c r="AE145" s="369"/>
      <c r="AF145" s="369"/>
      <c r="AG145" s="369"/>
      <c r="AH145" s="369"/>
      <c r="AI145" s="369"/>
    </row>
    <row r="146" spans="1:39">
      <c r="A146" s="27">
        <v>45161</v>
      </c>
      <c r="B146" s="27">
        <f>IF(YEAR(Table7[[#This Row],[Date]]) = 2023, WEEKNUM(Table7[[#This Row],[Date]])-13, WEEKNUM(Table7[[#This Row],[Date]])+40)</f>
        <v>21</v>
      </c>
      <c r="C146" s="34" t="s">
        <v>51</v>
      </c>
      <c r="D146" s="62" t="s">
        <v>94</v>
      </c>
      <c r="E146" s="1">
        <v>415</v>
      </c>
      <c r="F146" s="1">
        <v>346</v>
      </c>
      <c r="G146" s="64">
        <f t="shared" ref="G146:H146" si="45">IFERROR((E146-E139)/E139,0%)</f>
        <v>-0.18786692759295498</v>
      </c>
      <c r="H146" s="64">
        <f t="shared" si="45"/>
        <v>-2.8089887640449437E-2</v>
      </c>
      <c r="I146" s="1"/>
      <c r="J146" s="1"/>
      <c r="K146" s="1"/>
      <c r="L146" s="1"/>
      <c r="M146" s="66">
        <v>0.54</v>
      </c>
      <c r="N146" s="66">
        <v>0.17</v>
      </c>
      <c r="O146" s="66">
        <v>0.83</v>
      </c>
      <c r="P146" s="66">
        <v>0.6</v>
      </c>
      <c r="Q146" s="87">
        <v>0.96</v>
      </c>
      <c r="R146" s="285">
        <v>226</v>
      </c>
      <c r="S146" s="145">
        <v>0.12569444444444444</v>
      </c>
      <c r="T146" s="113">
        <v>4</v>
      </c>
      <c r="U146" s="66" t="str">
        <f t="shared" si="29"/>
        <v>Outlier</v>
      </c>
      <c r="V146" s="66" t="str">
        <f t="shared" si="30"/>
        <v>Normal</v>
      </c>
      <c r="W146" s="19">
        <f t="shared" si="24"/>
        <v>-0.18786692759295498</v>
      </c>
      <c r="X146" s="19">
        <f t="shared" si="40"/>
        <v>-2.8089887640449437E-2</v>
      </c>
      <c r="Y146" s="369"/>
      <c r="Z146" s="369"/>
      <c r="AA146" s="369"/>
      <c r="AB146" s="369"/>
      <c r="AC146" s="369"/>
      <c r="AD146" s="369"/>
      <c r="AE146" s="369"/>
      <c r="AF146" s="369"/>
      <c r="AG146" s="369"/>
      <c r="AH146" s="369"/>
      <c r="AI146" s="369"/>
      <c r="AK146" s="48"/>
      <c r="AL146" s="48"/>
      <c r="AM146" s="48"/>
    </row>
    <row r="147" spans="1:39">
      <c r="A147" s="27">
        <v>45162</v>
      </c>
      <c r="B147" s="27">
        <f>IF(YEAR(Table7[[#This Row],[Date]]) = 2023, WEEKNUM(Table7[[#This Row],[Date]])-13, WEEKNUM(Table7[[#This Row],[Date]])+40)</f>
        <v>21</v>
      </c>
      <c r="C147" s="34" t="s">
        <v>52</v>
      </c>
      <c r="D147" s="62" t="s">
        <v>94</v>
      </c>
      <c r="E147" s="1">
        <v>598</v>
      </c>
      <c r="F147" s="1">
        <v>338</v>
      </c>
      <c r="G147" s="64">
        <f t="shared" ref="G147:H147" si="46">IFERROR((E147-E140)/E140,0%)</f>
        <v>0.27505330490405117</v>
      </c>
      <c r="H147" s="64">
        <f t="shared" si="46"/>
        <v>-0.11979166666666667</v>
      </c>
      <c r="I147" s="1"/>
      <c r="J147" s="1"/>
      <c r="K147" s="1"/>
      <c r="L147" s="1"/>
      <c r="M147" s="66">
        <v>0.17</v>
      </c>
      <c r="N147" s="66">
        <v>0.44</v>
      </c>
      <c r="O147" s="66">
        <v>0.56000000000000005</v>
      </c>
      <c r="P147" s="66">
        <v>0.57999999999999996</v>
      </c>
      <c r="Q147" s="87">
        <v>0.96</v>
      </c>
      <c r="R147" s="285">
        <v>249</v>
      </c>
      <c r="S147" s="145">
        <v>0.20833333333333334</v>
      </c>
      <c r="T147" s="113">
        <v>4</v>
      </c>
      <c r="U147" s="66" t="str">
        <f t="shared" si="29"/>
        <v>Outlier</v>
      </c>
      <c r="V147" s="66" t="str">
        <f t="shared" si="30"/>
        <v>Normal</v>
      </c>
      <c r="W147" s="19">
        <f t="shared" si="24"/>
        <v>0.27505330490405117</v>
      </c>
      <c r="X147" s="19">
        <f t="shared" si="40"/>
        <v>-0.11979166666666667</v>
      </c>
      <c r="Y147" s="369"/>
      <c r="Z147" s="369"/>
      <c r="AA147" s="369"/>
      <c r="AB147" s="369"/>
      <c r="AC147" s="369"/>
      <c r="AD147" s="369"/>
      <c r="AE147" s="369"/>
      <c r="AF147" s="369"/>
      <c r="AG147" s="369"/>
      <c r="AH147" s="369"/>
      <c r="AI147" s="369"/>
    </row>
    <row r="148" spans="1:39">
      <c r="A148" s="27">
        <v>45163</v>
      </c>
      <c r="B148" s="27">
        <f>IF(YEAR(Table7[[#This Row],[Date]]) = 2023, WEEKNUM(Table7[[#This Row],[Date]])-13, WEEKNUM(Table7[[#This Row],[Date]])+40)</f>
        <v>21</v>
      </c>
      <c r="C148" s="34" t="s">
        <v>53</v>
      </c>
      <c r="D148" s="62" t="s">
        <v>94</v>
      </c>
      <c r="E148" s="1">
        <v>425</v>
      </c>
      <c r="F148" s="1">
        <v>322</v>
      </c>
      <c r="G148" s="64">
        <f t="shared" ref="G148:H148" si="47">IFERROR((E148-E141)/E141,0%)</f>
        <v>-0.15169660678642716</v>
      </c>
      <c r="H148" s="64">
        <f t="shared" si="47"/>
        <v>-0.17647058823529413</v>
      </c>
      <c r="I148" s="1"/>
      <c r="J148" s="1"/>
      <c r="K148" s="1"/>
      <c r="L148" s="1"/>
      <c r="M148" s="66">
        <v>0.4</v>
      </c>
      <c r="N148" s="66">
        <v>0.24</v>
      </c>
      <c r="O148" s="66">
        <v>0.76</v>
      </c>
      <c r="P148" s="66">
        <v>0.56000000000000005</v>
      </c>
      <c r="Q148" s="87">
        <v>0.95</v>
      </c>
      <c r="R148" s="285">
        <v>218</v>
      </c>
      <c r="S148" s="145">
        <v>0.17986111111111111</v>
      </c>
      <c r="T148" s="113">
        <v>4</v>
      </c>
      <c r="U148" s="66" t="str">
        <f t="shared" si="29"/>
        <v>Outlier</v>
      </c>
      <c r="V148" s="66" t="str">
        <f t="shared" si="30"/>
        <v>Normal</v>
      </c>
      <c r="W148" s="19">
        <f t="shared" si="24"/>
        <v>-0.15169660678642716</v>
      </c>
      <c r="X148" s="19">
        <f t="shared" si="40"/>
        <v>-0.17647058823529413</v>
      </c>
      <c r="Y148" s="369"/>
      <c r="Z148" s="369"/>
      <c r="AA148" s="369"/>
      <c r="AB148" s="369"/>
      <c r="AC148" s="369"/>
      <c r="AD148" s="369"/>
      <c r="AE148" s="369"/>
      <c r="AF148" s="369"/>
      <c r="AG148" s="369"/>
      <c r="AH148" s="369"/>
      <c r="AI148" s="369"/>
    </row>
    <row r="149" spans="1:39">
      <c r="A149" s="27">
        <v>45164</v>
      </c>
      <c r="B149" s="27">
        <f>IF(YEAR(Table7[[#This Row],[Date]]) = 2023, WEEKNUM(Table7[[#This Row],[Date]])-13, WEEKNUM(Table7[[#This Row],[Date]])+40)</f>
        <v>21</v>
      </c>
      <c r="C149" s="34" t="s">
        <v>54</v>
      </c>
      <c r="D149" s="62" t="s">
        <v>94</v>
      </c>
      <c r="E149" s="1">
        <v>243</v>
      </c>
      <c r="F149" s="1">
        <v>187</v>
      </c>
      <c r="G149" s="64">
        <f t="shared" ref="G149:H149" si="48">IFERROR((E149-E142)/E142,0%)</f>
        <v>0.13551401869158877</v>
      </c>
      <c r="H149" s="64">
        <f t="shared" si="48"/>
        <v>0</v>
      </c>
      <c r="I149" s="1"/>
      <c r="J149" s="1"/>
      <c r="K149" s="1"/>
      <c r="L149" s="1"/>
      <c r="M149" s="66">
        <v>0.4</v>
      </c>
      <c r="N149" s="66">
        <v>0.23</v>
      </c>
      <c r="O149" s="66">
        <v>0.77</v>
      </c>
      <c r="P149" s="66">
        <v>0.56999999999999995</v>
      </c>
      <c r="Q149" s="87">
        <v>0.96</v>
      </c>
      <c r="R149" s="285">
        <v>198</v>
      </c>
      <c r="S149" s="145">
        <v>0.12986111111111112</v>
      </c>
      <c r="T149" s="113">
        <v>3</v>
      </c>
      <c r="U149" s="66" t="str">
        <f t="shared" si="29"/>
        <v>Normal</v>
      </c>
      <c r="V149" s="66" t="str">
        <f t="shared" si="30"/>
        <v>Normal</v>
      </c>
      <c r="W149" s="19">
        <f t="shared" si="24"/>
        <v>0.13551401869158877</v>
      </c>
      <c r="X149" s="19">
        <f t="shared" si="40"/>
        <v>0</v>
      </c>
      <c r="Y149" s="369"/>
      <c r="Z149" s="369"/>
      <c r="AA149" s="369"/>
      <c r="AB149" s="369"/>
      <c r="AC149" s="369"/>
      <c r="AD149" s="369"/>
      <c r="AE149" s="369"/>
      <c r="AF149" s="369"/>
      <c r="AG149" s="369"/>
      <c r="AH149" s="369"/>
      <c r="AI149" s="369"/>
    </row>
    <row r="150" spans="1:39">
      <c r="A150" s="27">
        <v>45165</v>
      </c>
      <c r="B150" s="27">
        <f>IF(YEAR(Table7[[#This Row],[Date]]) = 2023, WEEKNUM(Table7[[#This Row],[Date]])-13, WEEKNUM(Table7[[#This Row],[Date]])+40)</f>
        <v>22</v>
      </c>
      <c r="C150" s="34" t="s">
        <v>48</v>
      </c>
      <c r="D150" s="62" t="s">
        <v>94</v>
      </c>
      <c r="E150" s="1">
        <v>0</v>
      </c>
      <c r="F150" s="1">
        <v>0</v>
      </c>
      <c r="G150" s="64">
        <f t="shared" ref="G150:H156" si="49">IFERROR((E150-E143)/E143,0%)</f>
        <v>0</v>
      </c>
      <c r="H150" s="64">
        <f t="shared" si="49"/>
        <v>0</v>
      </c>
      <c r="I150" s="1">
        <v>0</v>
      </c>
      <c r="J150" s="1">
        <v>0</v>
      </c>
      <c r="K150" s="1">
        <v>0</v>
      </c>
      <c r="L150" s="1">
        <v>0</v>
      </c>
      <c r="M150" s="66">
        <v>0</v>
      </c>
      <c r="N150" s="66">
        <v>0</v>
      </c>
      <c r="O150" s="66">
        <v>0</v>
      </c>
      <c r="P150" s="66">
        <v>0</v>
      </c>
      <c r="Q150" s="87">
        <v>0</v>
      </c>
      <c r="R150" s="285">
        <v>0</v>
      </c>
      <c r="S150" s="145">
        <v>0</v>
      </c>
      <c r="T150" s="113">
        <v>0</v>
      </c>
      <c r="U150" s="66" t="str">
        <f t="shared" si="29"/>
        <v>Normal</v>
      </c>
      <c r="V150" s="66" t="str">
        <f t="shared" si="30"/>
        <v>Normal</v>
      </c>
      <c r="W150" s="19">
        <f t="shared" si="24"/>
        <v>0</v>
      </c>
      <c r="X150" s="19">
        <f t="shared" si="40"/>
        <v>0</v>
      </c>
      <c r="Y150" s="369"/>
      <c r="Z150" s="369"/>
      <c r="AA150" s="369"/>
      <c r="AB150" s="369"/>
      <c r="AC150" s="369"/>
      <c r="AD150" s="369"/>
      <c r="AE150" s="369"/>
      <c r="AF150" s="369"/>
      <c r="AG150" s="369"/>
      <c r="AH150" s="369"/>
      <c r="AI150" s="369"/>
    </row>
    <row r="151" spans="1:39">
      <c r="A151" s="27">
        <v>45166</v>
      </c>
      <c r="B151" s="27">
        <f>IF(YEAR(Table7[[#This Row],[Date]]) = 2023, WEEKNUM(Table7[[#This Row],[Date]])-13, WEEKNUM(Table7[[#This Row],[Date]])+40)</f>
        <v>22</v>
      </c>
      <c r="C151" s="34" t="s">
        <v>49</v>
      </c>
      <c r="D151" s="62" t="s">
        <v>94</v>
      </c>
      <c r="E151" s="1">
        <v>530</v>
      </c>
      <c r="F151" s="1">
        <v>391</v>
      </c>
      <c r="G151" s="64">
        <f t="shared" si="49"/>
        <v>-8.3044982698961933E-2</v>
      </c>
      <c r="H151" s="64">
        <f t="shared" si="49"/>
        <v>0.10764872521246459</v>
      </c>
      <c r="I151" s="1"/>
      <c r="J151" s="1"/>
      <c r="K151" s="1"/>
      <c r="L151" s="1"/>
      <c r="M151" s="66">
        <v>0.4</v>
      </c>
      <c r="N151" s="66">
        <v>0.26</v>
      </c>
      <c r="O151" s="66">
        <v>0.74</v>
      </c>
      <c r="P151" s="66">
        <v>0.54</v>
      </c>
      <c r="Q151" s="87">
        <v>0.96</v>
      </c>
      <c r="R151" s="285">
        <v>238</v>
      </c>
      <c r="S151" s="145">
        <v>0.19652777777777777</v>
      </c>
      <c r="T151" s="113">
        <v>5</v>
      </c>
      <c r="U151" s="66" t="str">
        <f t="shared" si="29"/>
        <v>Normal</v>
      </c>
      <c r="V151" s="66" t="str">
        <f t="shared" si="30"/>
        <v>Normal</v>
      </c>
      <c r="W151" s="19">
        <f t="shared" si="24"/>
        <v>-8.3044982698961933E-2</v>
      </c>
      <c r="X151" s="19">
        <f t="shared" si="40"/>
        <v>0.10764872521246459</v>
      </c>
      <c r="Y151" s="369"/>
      <c r="Z151" s="369"/>
      <c r="AA151" s="369"/>
      <c r="AB151" s="369"/>
      <c r="AC151" s="369"/>
      <c r="AD151" s="369"/>
      <c r="AE151" s="369"/>
      <c r="AF151" s="369"/>
      <c r="AG151" s="369"/>
      <c r="AH151" s="369"/>
      <c r="AI151" s="369"/>
    </row>
    <row r="152" spans="1:39">
      <c r="A152" s="27">
        <v>45167</v>
      </c>
      <c r="B152" s="27">
        <f>IF(YEAR(Table7[[#This Row],[Date]]) = 2023, WEEKNUM(Table7[[#This Row],[Date]])-13, WEEKNUM(Table7[[#This Row],[Date]])+40)</f>
        <v>22</v>
      </c>
      <c r="C152" s="34" t="s">
        <v>50</v>
      </c>
      <c r="D152" s="62" t="s">
        <v>94</v>
      </c>
      <c r="E152" s="1">
        <v>481</v>
      </c>
      <c r="F152" s="1">
        <v>370</v>
      </c>
      <c r="G152" s="64">
        <f t="shared" si="49"/>
        <v>-0.1206581352833638</v>
      </c>
      <c r="H152" s="64">
        <f t="shared" si="49"/>
        <v>-5.8524173027989825E-2</v>
      </c>
      <c r="I152" s="1"/>
      <c r="J152" s="1"/>
      <c r="K152" s="1"/>
      <c r="L152" s="1"/>
      <c r="M152" s="66">
        <v>0.39</v>
      </c>
      <c r="N152" s="66">
        <v>0.23</v>
      </c>
      <c r="O152" s="66">
        <v>0.77</v>
      </c>
      <c r="P152" s="66">
        <v>0.64</v>
      </c>
      <c r="Q152" s="87">
        <v>0.95</v>
      </c>
      <c r="R152" s="285">
        <v>215</v>
      </c>
      <c r="S152" s="145">
        <v>0.19999999999999998</v>
      </c>
      <c r="T152" s="113">
        <v>4</v>
      </c>
      <c r="U152" s="66" t="str">
        <f t="shared" si="29"/>
        <v>Outlier</v>
      </c>
      <c r="V152" s="66" t="str">
        <f t="shared" si="30"/>
        <v>Normal</v>
      </c>
      <c r="W152" s="19">
        <f t="shared" si="24"/>
        <v>-0.1206581352833638</v>
      </c>
      <c r="X152" s="19">
        <f t="shared" si="40"/>
        <v>-5.8524173027989825E-2</v>
      </c>
      <c r="Y152" s="369"/>
      <c r="Z152" s="369"/>
      <c r="AA152" s="369"/>
      <c r="AB152" s="369"/>
      <c r="AC152" s="369"/>
      <c r="AD152" s="369"/>
      <c r="AE152" s="369"/>
      <c r="AF152" s="369"/>
      <c r="AG152" s="369"/>
      <c r="AH152" s="369"/>
      <c r="AI152" s="369"/>
      <c r="AL152" s="430" t="s">
        <v>83</v>
      </c>
      <c r="AM152" s="430"/>
    </row>
    <row r="153" spans="1:39">
      <c r="A153" s="27">
        <v>45168</v>
      </c>
      <c r="B153" s="27">
        <f>IF(YEAR(Table7[[#This Row],[Date]]) = 2023, WEEKNUM(Table7[[#This Row],[Date]])-13, WEEKNUM(Table7[[#This Row],[Date]])+40)</f>
        <v>22</v>
      </c>
      <c r="C153" s="34" t="s">
        <v>51</v>
      </c>
      <c r="D153" s="62" t="s">
        <v>94</v>
      </c>
      <c r="E153" s="1">
        <v>533</v>
      </c>
      <c r="F153" s="1">
        <v>373</v>
      </c>
      <c r="G153" s="64">
        <f t="shared" si="49"/>
        <v>0.28433734939759037</v>
      </c>
      <c r="H153" s="64">
        <f t="shared" si="49"/>
        <v>7.8034682080924858E-2</v>
      </c>
      <c r="I153" s="1"/>
      <c r="J153" s="1"/>
      <c r="K153" s="1"/>
      <c r="L153" s="1"/>
      <c r="M153" s="66">
        <v>0.36</v>
      </c>
      <c r="N153" s="66">
        <v>0.3</v>
      </c>
      <c r="O153" s="66">
        <v>0.7</v>
      </c>
      <c r="P153" s="66">
        <v>0.64</v>
      </c>
      <c r="Q153" s="87">
        <v>0.96</v>
      </c>
      <c r="R153" s="285">
        <v>223</v>
      </c>
      <c r="S153" s="145">
        <v>0.24027777777777778</v>
      </c>
      <c r="T153" s="113">
        <v>4</v>
      </c>
      <c r="U153" s="66" t="str">
        <f t="shared" si="29"/>
        <v>Normal</v>
      </c>
      <c r="V153" s="66" t="str">
        <f t="shared" si="30"/>
        <v>Normal</v>
      </c>
      <c r="W153" s="19">
        <f t="shared" si="24"/>
        <v>0.28433734939759037</v>
      </c>
      <c r="X153" s="19">
        <f t="shared" si="40"/>
        <v>7.8034682080924858E-2</v>
      </c>
      <c r="Y153" s="369"/>
      <c r="Z153" s="369"/>
      <c r="AA153" s="369"/>
      <c r="AB153" s="369"/>
      <c r="AC153" s="369"/>
      <c r="AD153" s="369"/>
      <c r="AE153" s="369"/>
      <c r="AF153" s="369"/>
      <c r="AG153" s="369"/>
      <c r="AH153" s="369"/>
      <c r="AI153" s="369"/>
      <c r="AL153" t="s">
        <v>84</v>
      </c>
      <c r="AM153" t="s">
        <v>85</v>
      </c>
    </row>
    <row r="154" spans="1:39">
      <c r="A154" s="27">
        <v>45169</v>
      </c>
      <c r="B154" s="27">
        <f>IF(YEAR(Table7[[#This Row],[Date]]) = 2023, WEEKNUM(Table7[[#This Row],[Date]])-13, WEEKNUM(Table7[[#This Row],[Date]])+40)</f>
        <v>22</v>
      </c>
      <c r="C154" s="34" t="s">
        <v>52</v>
      </c>
      <c r="D154" s="62" t="s">
        <v>94</v>
      </c>
      <c r="E154" s="1">
        <v>508</v>
      </c>
      <c r="F154" s="1">
        <v>358</v>
      </c>
      <c r="G154" s="64">
        <f t="shared" si="49"/>
        <v>-0.15050167224080269</v>
      </c>
      <c r="H154" s="64">
        <f t="shared" si="49"/>
        <v>5.9171597633136092E-2</v>
      </c>
      <c r="I154" s="1"/>
      <c r="J154" s="1"/>
      <c r="K154" s="1"/>
      <c r="L154" s="1"/>
      <c r="M154" s="66">
        <v>0.31</v>
      </c>
      <c r="N154" s="66">
        <v>0.3</v>
      </c>
      <c r="O154" s="66">
        <v>0.7</v>
      </c>
      <c r="P154" s="66">
        <v>0.62</v>
      </c>
      <c r="Q154" s="87">
        <v>0.96</v>
      </c>
      <c r="R154" s="285">
        <v>243</v>
      </c>
      <c r="S154" s="145">
        <v>0.23402777777777781</v>
      </c>
      <c r="T154" s="113">
        <v>4</v>
      </c>
      <c r="U154" s="66" t="str">
        <f t="shared" si="29"/>
        <v>Normal</v>
      </c>
      <c r="V154" s="66" t="str">
        <f t="shared" si="30"/>
        <v>Normal</v>
      </c>
      <c r="W154" s="19">
        <f t="shared" si="24"/>
        <v>-0.15050167224080269</v>
      </c>
      <c r="X154" s="19">
        <f t="shared" si="40"/>
        <v>5.9171597633136092E-2</v>
      </c>
      <c r="Y154" s="369"/>
      <c r="Z154" s="369"/>
      <c r="AA154" s="369"/>
      <c r="AB154" s="369"/>
      <c r="AC154" s="369"/>
      <c r="AD154" s="369"/>
      <c r="AE154" s="369"/>
      <c r="AF154" s="369"/>
      <c r="AG154" s="369"/>
      <c r="AH154" s="369"/>
      <c r="AI154" s="369"/>
      <c r="AL154" t="s">
        <v>86</v>
      </c>
      <c r="AM154" s="147">
        <v>0</v>
      </c>
    </row>
    <row r="155" spans="1:39" s="47" customFormat="1">
      <c r="A155" s="281">
        <v>45170</v>
      </c>
      <c r="B155" s="281">
        <f>IF(YEAR(Table7[[#This Row],[Date]]) = 2023, WEEKNUM(Table7[[#This Row],[Date]])-13, WEEKNUM(Table7[[#This Row],[Date]])+40)</f>
        <v>22</v>
      </c>
      <c r="C155" s="76" t="s">
        <v>53</v>
      </c>
      <c r="D155" s="76" t="s">
        <v>94</v>
      </c>
      <c r="E155" s="65">
        <v>436</v>
      </c>
      <c r="F155" s="65">
        <v>337</v>
      </c>
      <c r="G155" s="79">
        <f t="shared" si="49"/>
        <v>2.5882352941176471E-2</v>
      </c>
      <c r="H155" s="79">
        <f t="shared" si="49"/>
        <v>4.6583850931677016E-2</v>
      </c>
      <c r="I155" s="65"/>
      <c r="J155" s="65"/>
      <c r="K155" s="65"/>
      <c r="L155" s="65"/>
      <c r="M155" s="138">
        <v>0.46</v>
      </c>
      <c r="N155" s="138">
        <v>0.23</v>
      </c>
      <c r="O155" s="138">
        <v>0.77</v>
      </c>
      <c r="P155" s="138">
        <v>0.57999999999999996</v>
      </c>
      <c r="Q155" s="139">
        <v>0.97</v>
      </c>
      <c r="R155" s="291">
        <v>230</v>
      </c>
      <c r="S155" s="171">
        <v>0.14166666666666666</v>
      </c>
      <c r="T155" s="282">
        <v>4</v>
      </c>
      <c r="U155" s="138" t="str">
        <f t="shared" si="29"/>
        <v>Normal</v>
      </c>
      <c r="V155" s="138" t="str">
        <f t="shared" si="30"/>
        <v>Normal</v>
      </c>
      <c r="W155" s="347">
        <f t="shared" si="24"/>
        <v>2.5882352941176471E-2</v>
      </c>
      <c r="X155" s="347">
        <f t="shared" si="40"/>
        <v>4.6583850931677016E-2</v>
      </c>
      <c r="Y155" s="370"/>
      <c r="Z155" s="370"/>
      <c r="AA155" s="370"/>
      <c r="AB155" s="370"/>
      <c r="AC155" s="370"/>
      <c r="AD155" s="370"/>
      <c r="AE155" s="370"/>
      <c r="AF155" s="370"/>
      <c r="AG155" s="370"/>
      <c r="AH155" s="370"/>
      <c r="AI155" s="370"/>
      <c r="AL155" s="47" t="s">
        <v>87</v>
      </c>
      <c r="AM155" s="283">
        <v>0.10416666666666667</v>
      </c>
    </row>
    <row r="156" spans="1:39">
      <c r="A156" s="27">
        <v>45171</v>
      </c>
      <c r="B156" s="27">
        <f>IF(YEAR(Table7[[#This Row],[Date]]) = 2023, WEEKNUM(Table7[[#This Row],[Date]])-13, WEEKNUM(Table7[[#This Row],[Date]])+40)</f>
        <v>22</v>
      </c>
      <c r="C156" s="34" t="s">
        <v>54</v>
      </c>
      <c r="D156" s="62" t="s">
        <v>94</v>
      </c>
      <c r="E156" s="1">
        <v>234</v>
      </c>
      <c r="F156" s="1">
        <v>213</v>
      </c>
      <c r="G156" s="64">
        <f t="shared" si="49"/>
        <v>-3.7037037037037035E-2</v>
      </c>
      <c r="H156" s="64">
        <f t="shared" si="49"/>
        <v>0.13903743315508021</v>
      </c>
      <c r="I156" s="1"/>
      <c r="J156" s="1"/>
      <c r="K156" s="1"/>
      <c r="L156" s="1"/>
      <c r="M156" s="66">
        <v>0.62</v>
      </c>
      <c r="N156" s="66">
        <v>0.09</v>
      </c>
      <c r="O156" s="66">
        <v>0.91</v>
      </c>
      <c r="P156" s="66">
        <v>0.49</v>
      </c>
      <c r="Q156" s="87">
        <v>0.96</v>
      </c>
      <c r="R156" s="285">
        <v>213</v>
      </c>
      <c r="S156" s="145">
        <v>0.10486111111111111</v>
      </c>
      <c r="T156" s="174">
        <v>3</v>
      </c>
      <c r="U156" s="66" t="str">
        <f t="shared" si="29"/>
        <v>Normal</v>
      </c>
      <c r="V156" s="66" t="str">
        <f t="shared" si="30"/>
        <v>Normal</v>
      </c>
      <c r="W156" s="19">
        <f t="shared" si="24"/>
        <v>-3.7037037037037035E-2</v>
      </c>
      <c r="X156" s="19">
        <f t="shared" si="40"/>
        <v>0.13903743315508021</v>
      </c>
      <c r="Y156" s="370"/>
      <c r="Z156" s="370"/>
      <c r="AA156" s="370"/>
      <c r="AB156" s="370"/>
      <c r="AC156" s="370"/>
      <c r="AD156" s="370"/>
      <c r="AE156" s="370"/>
      <c r="AF156" s="370"/>
      <c r="AG156" s="370"/>
      <c r="AH156" s="370"/>
      <c r="AI156" s="370"/>
      <c r="AL156" t="s">
        <v>88</v>
      </c>
      <c r="AM156" s="147">
        <v>0.10416666666666667</v>
      </c>
    </row>
    <row r="157" spans="1:39">
      <c r="A157" s="27">
        <v>45172</v>
      </c>
      <c r="B157" s="27">
        <f>IF(YEAR(Table7[[#This Row],[Date]]) = 2023, WEEKNUM(Table7[[#This Row],[Date]])-13, WEEKNUM(Table7[[#This Row],[Date]])+40)</f>
        <v>23</v>
      </c>
      <c r="C157" s="34" t="s">
        <v>48</v>
      </c>
      <c r="D157" s="62" t="s">
        <v>94</v>
      </c>
      <c r="E157" s="1">
        <v>0</v>
      </c>
      <c r="F157" s="1">
        <v>0</v>
      </c>
      <c r="G157" s="64">
        <f t="shared" ref="G157:G184" si="50">IFERROR((E157-E150)/E150,0%)</f>
        <v>0</v>
      </c>
      <c r="H157" s="64">
        <f t="shared" ref="H157:H184" si="51">IFERROR((F157-F150)/F150,0%)</f>
        <v>0</v>
      </c>
      <c r="I157" s="1">
        <v>0</v>
      </c>
      <c r="J157" s="1">
        <v>0</v>
      </c>
      <c r="K157" s="1">
        <v>0</v>
      </c>
      <c r="L157" s="1">
        <v>0</v>
      </c>
      <c r="M157" s="66">
        <v>0</v>
      </c>
      <c r="N157" s="66">
        <v>0</v>
      </c>
      <c r="O157" s="66">
        <v>0</v>
      </c>
      <c r="P157" s="66">
        <v>0</v>
      </c>
      <c r="Q157" s="87">
        <v>0</v>
      </c>
      <c r="R157" s="285">
        <v>0</v>
      </c>
      <c r="S157" s="145">
        <v>0</v>
      </c>
      <c r="T157" s="174">
        <v>0</v>
      </c>
      <c r="U157" s="66" t="str">
        <f t="shared" si="29"/>
        <v>Normal</v>
      </c>
      <c r="V157" s="66" t="str">
        <f t="shared" si="30"/>
        <v>Normal</v>
      </c>
      <c r="W157" s="19">
        <f t="shared" ref="W157:W220" si="52">IF(U157="Normal",$G157,IF($G157&lt;150%, $G157, $AJ$9))</f>
        <v>0</v>
      </c>
      <c r="X157" s="19">
        <f t="shared" si="40"/>
        <v>0</v>
      </c>
      <c r="Y157" s="370"/>
      <c r="Z157" s="370"/>
      <c r="AA157" s="370"/>
      <c r="AB157" s="370"/>
      <c r="AC157" s="370"/>
      <c r="AD157" s="370"/>
      <c r="AE157" s="370"/>
      <c r="AF157" s="370"/>
      <c r="AG157" s="370"/>
      <c r="AH157" s="370"/>
      <c r="AI157" s="370"/>
      <c r="AL157" t="s">
        <v>89</v>
      </c>
      <c r="AM157" s="147">
        <v>0.20833333333333334</v>
      </c>
    </row>
    <row r="158" spans="1:39">
      <c r="A158" s="27">
        <v>45173</v>
      </c>
      <c r="B158" s="27">
        <f>IF(YEAR(Table7[[#This Row],[Date]]) = 2023, WEEKNUM(Table7[[#This Row],[Date]])-13, WEEKNUM(Table7[[#This Row],[Date]])+40)</f>
        <v>23</v>
      </c>
      <c r="C158" s="34" t="s">
        <v>49</v>
      </c>
      <c r="D158" s="62" t="s">
        <v>94</v>
      </c>
      <c r="E158" s="1">
        <v>508</v>
      </c>
      <c r="F158" s="1">
        <v>446</v>
      </c>
      <c r="G158" s="64">
        <f t="shared" si="50"/>
        <v>-4.1509433962264149E-2</v>
      </c>
      <c r="H158" s="64">
        <f t="shared" si="51"/>
        <v>0.14066496163682865</v>
      </c>
      <c r="I158" s="1"/>
      <c r="J158" s="1"/>
      <c r="K158" s="1"/>
      <c r="L158" s="1"/>
      <c r="M158" s="66">
        <v>0.63</v>
      </c>
      <c r="N158" s="66">
        <v>0.12</v>
      </c>
      <c r="O158" s="66">
        <v>0.88</v>
      </c>
      <c r="P158" s="66">
        <v>0.51</v>
      </c>
      <c r="Q158" s="87">
        <v>0.95</v>
      </c>
      <c r="R158" s="285">
        <v>221</v>
      </c>
      <c r="S158" s="145">
        <v>0.12569444444444444</v>
      </c>
      <c r="T158" s="174">
        <v>6</v>
      </c>
      <c r="U158" s="66" t="str">
        <f t="shared" si="29"/>
        <v>Normal</v>
      </c>
      <c r="V158" s="66" t="str">
        <f t="shared" si="30"/>
        <v>Normal</v>
      </c>
      <c r="W158" s="19">
        <f t="shared" si="52"/>
        <v>-4.1509433962264149E-2</v>
      </c>
      <c r="X158" s="19">
        <f t="shared" si="40"/>
        <v>0.14066496163682865</v>
      </c>
      <c r="Y158" s="370"/>
      <c r="Z158" s="370"/>
      <c r="AA158" s="370"/>
      <c r="AB158" s="370"/>
      <c r="AC158" s="370"/>
      <c r="AD158" s="370"/>
      <c r="AE158" s="370"/>
      <c r="AF158" s="370"/>
      <c r="AG158" s="370"/>
      <c r="AH158" s="370"/>
      <c r="AI158" s="370"/>
      <c r="AL158" t="s">
        <v>85</v>
      </c>
      <c r="AM158" s="147" t="e">
        <v>#N/A</v>
      </c>
    </row>
    <row r="159" spans="1:39">
      <c r="A159" s="27">
        <v>45174</v>
      </c>
      <c r="B159" s="27">
        <f>IF(YEAR(Table7[[#This Row],[Date]]) = 2023, WEEKNUM(Table7[[#This Row],[Date]])-13, WEEKNUM(Table7[[#This Row],[Date]])+40)</f>
        <v>23</v>
      </c>
      <c r="C159" s="34" t="s">
        <v>50</v>
      </c>
      <c r="D159" s="62" t="s">
        <v>94</v>
      </c>
      <c r="E159" s="1">
        <v>508</v>
      </c>
      <c r="F159" s="1">
        <v>446</v>
      </c>
      <c r="G159" s="64">
        <f t="shared" si="50"/>
        <v>5.6133056133056136E-2</v>
      </c>
      <c r="H159" s="64">
        <f t="shared" si="51"/>
        <v>0.20540540540540542</v>
      </c>
      <c r="I159" s="1"/>
      <c r="J159" s="1"/>
      <c r="K159" s="1"/>
      <c r="L159" s="1"/>
      <c r="M159" s="66">
        <v>0.63</v>
      </c>
      <c r="N159" s="66">
        <v>0.12</v>
      </c>
      <c r="O159" s="66">
        <v>0.88</v>
      </c>
      <c r="P159" s="66">
        <v>0.51</v>
      </c>
      <c r="Q159" s="87">
        <v>0.95</v>
      </c>
      <c r="R159" s="285">
        <v>228</v>
      </c>
      <c r="S159" s="145">
        <v>0.19305555555555554</v>
      </c>
      <c r="T159" s="174">
        <v>6</v>
      </c>
      <c r="U159" s="66" t="str">
        <f t="shared" si="29"/>
        <v>Normal</v>
      </c>
      <c r="V159" s="66" t="str">
        <f t="shared" si="30"/>
        <v>Normal</v>
      </c>
      <c r="W159" s="19">
        <f t="shared" si="52"/>
        <v>5.6133056133056136E-2</v>
      </c>
      <c r="X159" s="19">
        <f t="shared" si="40"/>
        <v>0.20540540540540542</v>
      </c>
      <c r="Y159" s="370"/>
      <c r="Z159" s="370"/>
      <c r="AA159" s="370"/>
      <c r="AB159" s="370"/>
      <c r="AC159" s="370"/>
      <c r="AD159" s="370"/>
      <c r="AE159" s="370"/>
      <c r="AF159" s="370"/>
      <c r="AG159" s="370"/>
      <c r="AH159" s="370"/>
      <c r="AI159" s="370"/>
    </row>
    <row r="160" spans="1:39">
      <c r="A160" s="27">
        <v>45175</v>
      </c>
      <c r="B160" s="27">
        <f>IF(YEAR(Table7[[#This Row],[Date]]) = 2023, WEEKNUM(Table7[[#This Row],[Date]])-13, WEEKNUM(Table7[[#This Row],[Date]])+40)</f>
        <v>23</v>
      </c>
      <c r="C160" s="34" t="s">
        <v>51</v>
      </c>
      <c r="D160" s="62" t="s">
        <v>94</v>
      </c>
      <c r="E160" s="1">
        <v>357</v>
      </c>
      <c r="F160" s="1">
        <v>238</v>
      </c>
      <c r="G160" s="64">
        <f t="shared" si="50"/>
        <v>-0.33020637898686678</v>
      </c>
      <c r="H160" s="64">
        <f t="shared" si="51"/>
        <v>-0.36193029490616624</v>
      </c>
      <c r="I160" s="1"/>
      <c r="J160" s="1"/>
      <c r="K160" s="1"/>
      <c r="L160" s="1"/>
      <c r="M160" s="66">
        <v>0.25</v>
      </c>
      <c r="N160" s="66">
        <v>0.34</v>
      </c>
      <c r="O160" s="66">
        <v>0.66</v>
      </c>
      <c r="P160" s="66">
        <v>0.66</v>
      </c>
      <c r="Q160" s="87">
        <v>0.97</v>
      </c>
      <c r="R160" s="285">
        <v>260</v>
      </c>
      <c r="S160" s="145">
        <v>0.17986111111111111</v>
      </c>
      <c r="T160" s="174">
        <v>4</v>
      </c>
      <c r="U160" s="66" t="str">
        <f t="shared" si="29"/>
        <v>Outlier</v>
      </c>
      <c r="V160" s="66" t="str">
        <f t="shared" si="30"/>
        <v>Normal</v>
      </c>
      <c r="W160" s="19">
        <f t="shared" si="52"/>
        <v>-0.33020637898686678</v>
      </c>
      <c r="X160" s="19">
        <f t="shared" si="40"/>
        <v>-0.36193029490616624</v>
      </c>
      <c r="Y160" s="370"/>
      <c r="Z160" s="370"/>
      <c r="AA160" s="370"/>
      <c r="AB160" s="370"/>
      <c r="AC160" s="370"/>
      <c r="AD160" s="370"/>
      <c r="AE160" s="370"/>
      <c r="AF160" s="370"/>
      <c r="AG160" s="370"/>
      <c r="AH160" s="370"/>
      <c r="AI160" s="370"/>
    </row>
    <row r="161" spans="1:38">
      <c r="A161" s="27">
        <v>45176</v>
      </c>
      <c r="B161" s="27">
        <f>IF(YEAR(Table7[[#This Row],[Date]]) = 2023, WEEKNUM(Table7[[#This Row],[Date]])-13, WEEKNUM(Table7[[#This Row],[Date]])+40)</f>
        <v>23</v>
      </c>
      <c r="C161" s="34" t="s">
        <v>52</v>
      </c>
      <c r="D161" s="62" t="s">
        <v>94</v>
      </c>
      <c r="E161" s="1">
        <v>458</v>
      </c>
      <c r="F161" s="1">
        <v>391</v>
      </c>
      <c r="G161" s="64">
        <f t="shared" si="50"/>
        <v>-9.8425196850393706E-2</v>
      </c>
      <c r="H161" s="64">
        <f t="shared" si="51"/>
        <v>9.217877094972067E-2</v>
      </c>
      <c r="I161" s="1"/>
      <c r="J161" s="1"/>
      <c r="K161" s="1"/>
      <c r="L161" s="1"/>
      <c r="M161" s="66">
        <v>0.57999999999999996</v>
      </c>
      <c r="N161" s="66">
        <v>0.15</v>
      </c>
      <c r="O161" s="66">
        <v>0.85</v>
      </c>
      <c r="P161" s="66">
        <v>0.54</v>
      </c>
      <c r="Q161" s="87">
        <v>0.96</v>
      </c>
      <c r="R161" s="285">
        <v>223</v>
      </c>
      <c r="S161" s="145">
        <v>0.13541666666666666</v>
      </c>
      <c r="T161" s="174">
        <v>5</v>
      </c>
      <c r="U161" s="66" t="str">
        <f t="shared" si="29"/>
        <v>Normal</v>
      </c>
      <c r="V161" s="66" t="str">
        <f t="shared" si="30"/>
        <v>Normal</v>
      </c>
      <c r="W161" s="19">
        <f t="shared" si="52"/>
        <v>-9.8425196850393706E-2</v>
      </c>
      <c r="X161" s="19">
        <f t="shared" si="40"/>
        <v>9.217877094972067E-2</v>
      </c>
      <c r="Y161" s="370"/>
      <c r="Z161" s="370"/>
      <c r="AA161" s="370"/>
      <c r="AB161" s="370"/>
      <c r="AC161" s="370"/>
      <c r="AD161" s="370"/>
      <c r="AE161" s="370"/>
      <c r="AF161" s="370"/>
      <c r="AG161" s="370"/>
      <c r="AH161" s="370"/>
      <c r="AI161" s="370"/>
    </row>
    <row r="162" spans="1:38">
      <c r="A162" s="27">
        <v>45177</v>
      </c>
      <c r="B162" s="27">
        <f>IF(YEAR(Table7[[#This Row],[Date]]) = 2023, WEEKNUM(Table7[[#This Row],[Date]])-13, WEEKNUM(Table7[[#This Row],[Date]])+40)</f>
        <v>23</v>
      </c>
      <c r="C162" s="34" t="s">
        <v>53</v>
      </c>
      <c r="D162" s="62" t="s">
        <v>94</v>
      </c>
      <c r="E162" s="1">
        <v>515</v>
      </c>
      <c r="F162" s="1">
        <v>419</v>
      </c>
      <c r="G162" s="64">
        <f t="shared" si="50"/>
        <v>0.18119266055045871</v>
      </c>
      <c r="H162" s="64">
        <f t="shared" si="51"/>
        <v>0.24332344213649851</v>
      </c>
      <c r="I162" s="1"/>
      <c r="J162" s="1"/>
      <c r="K162" s="1"/>
      <c r="L162" s="1"/>
      <c r="M162" s="66">
        <v>0.49</v>
      </c>
      <c r="N162" s="66">
        <v>0.17</v>
      </c>
      <c r="O162" s="66">
        <v>0.83</v>
      </c>
      <c r="P162" s="66">
        <v>0.57999999999999996</v>
      </c>
      <c r="Q162" s="87">
        <v>0.96</v>
      </c>
      <c r="R162" s="285">
        <v>240</v>
      </c>
      <c r="S162" s="145">
        <v>0.11805555555555557</v>
      </c>
      <c r="T162" s="174">
        <v>5</v>
      </c>
      <c r="U162" s="66" t="str">
        <f t="shared" si="29"/>
        <v>Normal</v>
      </c>
      <c r="V162" s="66" t="str">
        <f t="shared" si="30"/>
        <v>Normal</v>
      </c>
      <c r="W162" s="19">
        <f t="shared" si="52"/>
        <v>0.18119266055045871</v>
      </c>
      <c r="X162" s="19">
        <f t="shared" si="40"/>
        <v>0.24332344213649851</v>
      </c>
      <c r="Y162" s="370"/>
      <c r="Z162" s="370"/>
      <c r="AA162" s="370"/>
      <c r="AB162" s="370"/>
      <c r="AC162" s="370"/>
      <c r="AD162" s="370"/>
      <c r="AE162" s="370"/>
      <c r="AF162" s="370"/>
      <c r="AG162" s="370"/>
      <c r="AH162" s="370"/>
      <c r="AI162" s="370"/>
    </row>
    <row r="163" spans="1:38">
      <c r="A163" s="27">
        <v>45178</v>
      </c>
      <c r="B163" s="27">
        <f>IF(YEAR(Table7[[#This Row],[Date]]) = 2023, WEEKNUM(Table7[[#This Row],[Date]])-13, WEEKNUM(Table7[[#This Row],[Date]])+40)</f>
        <v>23</v>
      </c>
      <c r="C163" s="34" t="s">
        <v>54</v>
      </c>
      <c r="D163" s="62" t="s">
        <v>94</v>
      </c>
      <c r="E163" s="1">
        <v>237</v>
      </c>
      <c r="F163" s="1">
        <v>207</v>
      </c>
      <c r="G163" s="64">
        <f t="shared" si="50"/>
        <v>1.282051282051282E-2</v>
      </c>
      <c r="H163" s="64">
        <f t="shared" si="51"/>
        <v>-2.8169014084507043E-2</v>
      </c>
      <c r="I163" s="1"/>
      <c r="J163" s="1"/>
      <c r="K163" s="1"/>
      <c r="L163" s="1"/>
      <c r="M163" s="66">
        <v>0.66</v>
      </c>
      <c r="N163" s="66">
        <v>0.13</v>
      </c>
      <c r="O163" s="66">
        <v>0.87</v>
      </c>
      <c r="P163" s="66">
        <v>0.55000000000000004</v>
      </c>
      <c r="Q163" s="87">
        <v>0.95</v>
      </c>
      <c r="R163" s="285">
        <v>205</v>
      </c>
      <c r="S163" s="145">
        <v>7.7083333333333337E-2</v>
      </c>
      <c r="T163" s="174">
        <v>3</v>
      </c>
      <c r="U163" s="66" t="str">
        <f t="shared" si="29"/>
        <v>Outlier</v>
      </c>
      <c r="V163" s="66" t="str">
        <f t="shared" si="30"/>
        <v>Normal</v>
      </c>
      <c r="W163" s="19">
        <f t="shared" si="52"/>
        <v>1.282051282051282E-2</v>
      </c>
      <c r="X163" s="19">
        <f t="shared" si="40"/>
        <v>-2.8169014084507043E-2</v>
      </c>
      <c r="Y163" s="370"/>
      <c r="Z163" s="370"/>
      <c r="AA163" s="370"/>
      <c r="AB163" s="370"/>
      <c r="AC163" s="370"/>
      <c r="AD163" s="370"/>
      <c r="AE163" s="370"/>
      <c r="AF163" s="370"/>
      <c r="AG163" s="370"/>
      <c r="AH163" s="370"/>
      <c r="AI163" s="370"/>
      <c r="AL163" t="s">
        <v>72</v>
      </c>
    </row>
    <row r="164" spans="1:38">
      <c r="A164" s="27">
        <v>45179</v>
      </c>
      <c r="B164" s="27">
        <f>IF(YEAR(Table7[[#This Row],[Date]]) = 2023, WEEKNUM(Table7[[#This Row],[Date]])-13, WEEKNUM(Table7[[#This Row],[Date]])+40)</f>
        <v>24</v>
      </c>
      <c r="C164" s="34" t="s">
        <v>48</v>
      </c>
      <c r="D164" s="62" t="s">
        <v>94</v>
      </c>
      <c r="E164" s="1">
        <v>0</v>
      </c>
      <c r="F164" s="1">
        <v>0</v>
      </c>
      <c r="G164" s="64">
        <f t="shared" si="50"/>
        <v>0</v>
      </c>
      <c r="H164" s="64">
        <f t="shared" si="51"/>
        <v>0</v>
      </c>
      <c r="I164" s="1">
        <v>0</v>
      </c>
      <c r="J164" s="1">
        <v>0</v>
      </c>
      <c r="K164" s="1">
        <v>0</v>
      </c>
      <c r="L164" s="1">
        <v>0</v>
      </c>
      <c r="M164" s="66">
        <v>0</v>
      </c>
      <c r="N164" s="66">
        <v>0</v>
      </c>
      <c r="O164" s="66">
        <v>0</v>
      </c>
      <c r="P164" s="66">
        <v>0</v>
      </c>
      <c r="Q164" s="87">
        <v>0</v>
      </c>
      <c r="R164" s="285">
        <v>0</v>
      </c>
      <c r="S164" s="145">
        <v>0</v>
      </c>
      <c r="T164" s="174">
        <v>0</v>
      </c>
      <c r="U164" s="66" t="str">
        <f t="shared" si="29"/>
        <v>Normal</v>
      </c>
      <c r="V164" s="66" t="str">
        <f t="shared" si="30"/>
        <v>Normal</v>
      </c>
      <c r="W164" s="19">
        <f t="shared" si="52"/>
        <v>0</v>
      </c>
      <c r="X164" s="19">
        <f t="shared" si="40"/>
        <v>0</v>
      </c>
      <c r="Y164" s="370"/>
      <c r="Z164" s="370"/>
      <c r="AA164" s="370"/>
      <c r="AB164" s="370"/>
      <c r="AC164" s="370"/>
      <c r="AD164" s="370"/>
      <c r="AE164" s="370"/>
      <c r="AF164" s="370"/>
      <c r="AG164" s="370"/>
      <c r="AH164" s="370"/>
      <c r="AI164" s="370"/>
    </row>
    <row r="165" spans="1:38">
      <c r="A165" s="27">
        <v>45180</v>
      </c>
      <c r="B165" s="27">
        <f>IF(YEAR(Table7[[#This Row],[Date]]) = 2023, WEEKNUM(Table7[[#This Row],[Date]])-13, WEEKNUM(Table7[[#This Row],[Date]])+40)</f>
        <v>24</v>
      </c>
      <c r="C165" s="34" t="s">
        <v>49</v>
      </c>
      <c r="D165" s="62" t="s">
        <v>94</v>
      </c>
      <c r="E165" s="1">
        <v>513</v>
      </c>
      <c r="F165" s="1">
        <v>402</v>
      </c>
      <c r="G165" s="64">
        <f t="shared" si="50"/>
        <v>9.8425196850393699E-3</v>
      </c>
      <c r="H165" s="64">
        <f t="shared" si="51"/>
        <v>-9.8654708520179366E-2</v>
      </c>
      <c r="I165" s="1"/>
      <c r="J165" s="1"/>
      <c r="K165" s="1"/>
      <c r="L165" s="1"/>
      <c r="M165" s="66">
        <v>0.45</v>
      </c>
      <c r="N165" s="66">
        <v>0.21</v>
      </c>
      <c r="O165" s="66">
        <v>0.79</v>
      </c>
      <c r="P165" s="66">
        <v>0.55000000000000004</v>
      </c>
      <c r="Q165" s="87">
        <v>0.95</v>
      </c>
      <c r="R165" s="285">
        <v>264</v>
      </c>
      <c r="S165" s="145">
        <v>0.1673611111111111</v>
      </c>
      <c r="T165" s="174">
        <v>5</v>
      </c>
      <c r="U165" s="66" t="str">
        <f t="shared" si="29"/>
        <v>Outlier</v>
      </c>
      <c r="V165" s="66" t="str">
        <f t="shared" si="30"/>
        <v>Normal</v>
      </c>
      <c r="W165" s="19">
        <f t="shared" si="52"/>
        <v>9.8425196850393699E-3</v>
      </c>
      <c r="X165" s="19">
        <f t="shared" si="40"/>
        <v>-9.8654708520179366E-2</v>
      </c>
      <c r="Y165" s="370"/>
      <c r="Z165" s="370"/>
      <c r="AA165" s="370"/>
      <c r="AB165" s="370"/>
      <c r="AC165" s="370"/>
      <c r="AD165" s="370"/>
      <c r="AE165" s="370"/>
      <c r="AF165" s="370"/>
      <c r="AG165" s="370"/>
      <c r="AH165" s="370"/>
      <c r="AI165" s="370"/>
    </row>
    <row r="166" spans="1:38">
      <c r="A166" s="27">
        <v>45181</v>
      </c>
      <c r="B166" s="27">
        <f>IF(YEAR(Table7[[#This Row],[Date]]) = 2023, WEEKNUM(Table7[[#This Row],[Date]])-13, WEEKNUM(Table7[[#This Row],[Date]])+40)</f>
        <v>24</v>
      </c>
      <c r="C166" s="34" t="s">
        <v>50</v>
      </c>
      <c r="D166" s="62" t="s">
        <v>94</v>
      </c>
      <c r="E166" s="1">
        <v>435</v>
      </c>
      <c r="F166" s="1">
        <v>353</v>
      </c>
      <c r="G166" s="64">
        <f t="shared" si="50"/>
        <v>-0.1437007874015748</v>
      </c>
      <c r="H166" s="64">
        <f t="shared" si="51"/>
        <v>-0.2085201793721973</v>
      </c>
      <c r="I166" s="1"/>
      <c r="J166" s="1"/>
      <c r="K166" s="1"/>
      <c r="L166" s="1"/>
      <c r="M166" s="66">
        <v>0.49</v>
      </c>
      <c r="N166" s="66">
        <v>0.19</v>
      </c>
      <c r="O166" s="66">
        <v>0.81</v>
      </c>
      <c r="P166" s="66">
        <v>0.49</v>
      </c>
      <c r="Q166" s="87">
        <v>0.96</v>
      </c>
      <c r="R166" s="285">
        <v>234</v>
      </c>
      <c r="S166" s="145">
        <v>0.10833333333333334</v>
      </c>
      <c r="T166" s="113">
        <v>5</v>
      </c>
      <c r="U166" s="66" t="str">
        <f t="shared" si="29"/>
        <v>Outlier</v>
      </c>
      <c r="V166" s="66" t="str">
        <f t="shared" si="30"/>
        <v>Normal</v>
      </c>
      <c r="W166" s="19">
        <f t="shared" si="52"/>
        <v>-0.1437007874015748</v>
      </c>
      <c r="X166" s="19">
        <f t="shared" si="40"/>
        <v>-0.2085201793721973</v>
      </c>
      <c r="Y166" s="369"/>
      <c r="Z166" s="369"/>
      <c r="AA166" s="369"/>
      <c r="AB166" s="369"/>
      <c r="AC166" s="369"/>
      <c r="AD166" s="369"/>
      <c r="AE166" s="369"/>
      <c r="AF166" s="369"/>
      <c r="AG166" s="369"/>
      <c r="AH166" s="369"/>
      <c r="AI166" s="369"/>
    </row>
    <row r="167" spans="1:38">
      <c r="A167" s="27">
        <v>45182</v>
      </c>
      <c r="B167" s="27">
        <f>IF(YEAR(Table7[[#This Row],[Date]]) = 2023, WEEKNUM(Table7[[#This Row],[Date]])-13, WEEKNUM(Table7[[#This Row],[Date]])+40)</f>
        <v>24</v>
      </c>
      <c r="C167" s="34" t="s">
        <v>51</v>
      </c>
      <c r="D167" s="62" t="s">
        <v>94</v>
      </c>
      <c r="E167" s="1">
        <v>502</v>
      </c>
      <c r="F167" s="1">
        <v>318</v>
      </c>
      <c r="G167" s="64">
        <f t="shared" si="50"/>
        <v>0.4061624649859944</v>
      </c>
      <c r="H167" s="64">
        <f t="shared" si="51"/>
        <v>0.33613445378151263</v>
      </c>
      <c r="I167" s="1"/>
      <c r="J167" s="1"/>
      <c r="K167" s="1"/>
      <c r="L167" s="1"/>
      <c r="M167" s="66">
        <v>0.28999999999999998</v>
      </c>
      <c r="N167" s="66">
        <v>0.37</v>
      </c>
      <c r="O167" s="66">
        <v>0.63</v>
      </c>
      <c r="P167" s="66">
        <v>0.44</v>
      </c>
      <c r="Q167" s="87">
        <v>0.95</v>
      </c>
      <c r="R167" s="285">
        <v>223</v>
      </c>
      <c r="S167" s="145">
        <v>0.26111111111111113</v>
      </c>
      <c r="T167" s="113">
        <v>5</v>
      </c>
      <c r="U167" s="66" t="str">
        <f t="shared" si="29"/>
        <v>Normal</v>
      </c>
      <c r="V167" s="66" t="str">
        <f t="shared" si="30"/>
        <v>Normal</v>
      </c>
      <c r="W167" s="19">
        <f t="shared" si="52"/>
        <v>0.4061624649859944</v>
      </c>
      <c r="X167" s="19">
        <f t="shared" si="40"/>
        <v>0.33613445378151263</v>
      </c>
      <c r="Y167" s="369"/>
      <c r="Z167" s="369"/>
      <c r="AA167" s="369"/>
      <c r="AB167" s="369"/>
      <c r="AC167" s="369"/>
      <c r="AD167" s="369"/>
      <c r="AE167" s="369"/>
      <c r="AF167" s="369"/>
      <c r="AG167" s="369"/>
      <c r="AH167" s="369"/>
      <c r="AI167" s="369"/>
    </row>
    <row r="168" spans="1:38">
      <c r="A168" s="27">
        <v>45183</v>
      </c>
      <c r="B168" s="27">
        <f>IF(YEAR(Table7[[#This Row],[Date]]) = 2023, WEEKNUM(Table7[[#This Row],[Date]])-13, WEEKNUM(Table7[[#This Row],[Date]])+40)</f>
        <v>24</v>
      </c>
      <c r="C168" s="34" t="s">
        <v>52</v>
      </c>
      <c r="D168" s="62" t="s">
        <v>94</v>
      </c>
      <c r="E168" s="1">
        <v>444</v>
      </c>
      <c r="F168" s="1">
        <v>324</v>
      </c>
      <c r="G168" s="64">
        <f t="shared" si="50"/>
        <v>-3.0567685589519649E-2</v>
      </c>
      <c r="H168" s="64">
        <f t="shared" si="51"/>
        <v>-0.17135549872122763</v>
      </c>
      <c r="I168" s="1"/>
      <c r="J168" s="1"/>
      <c r="K168" s="1"/>
      <c r="L168" s="1"/>
      <c r="M168" s="66">
        <v>0.43</v>
      </c>
      <c r="N168" s="66">
        <v>0.27</v>
      </c>
      <c r="O168" s="66">
        <v>0.73</v>
      </c>
      <c r="P168" s="66">
        <v>0.45</v>
      </c>
      <c r="Q168" s="87">
        <v>0.96</v>
      </c>
      <c r="R168" s="285">
        <v>240</v>
      </c>
      <c r="S168" s="145">
        <v>0.27152777777777776</v>
      </c>
      <c r="T168" s="113">
        <v>5</v>
      </c>
      <c r="U168" s="66" t="str">
        <f t="shared" si="29"/>
        <v>Outlier</v>
      </c>
      <c r="V168" s="66" t="str">
        <f t="shared" si="30"/>
        <v>Normal</v>
      </c>
      <c r="W168" s="19">
        <f t="shared" si="52"/>
        <v>-3.0567685589519649E-2</v>
      </c>
      <c r="X168" s="19">
        <f t="shared" si="40"/>
        <v>-0.17135549872122763</v>
      </c>
      <c r="Y168" s="369"/>
      <c r="Z168" s="369"/>
      <c r="AA168" s="369"/>
      <c r="AB168" s="369"/>
      <c r="AC168" s="369"/>
      <c r="AD168" s="369"/>
      <c r="AE168" s="369"/>
      <c r="AF168" s="369"/>
      <c r="AG168" s="369"/>
      <c r="AH168" s="369"/>
      <c r="AI168" s="369"/>
    </row>
    <row r="169" spans="1:38">
      <c r="A169" s="27">
        <v>45184</v>
      </c>
      <c r="B169" s="27">
        <f>IF(YEAR(Table7[[#This Row],[Date]]) = 2023, WEEKNUM(Table7[[#This Row],[Date]])-13, WEEKNUM(Table7[[#This Row],[Date]])+40)</f>
        <v>24</v>
      </c>
      <c r="C169" s="34" t="s">
        <v>53</v>
      </c>
      <c r="D169" s="62" t="s">
        <v>94</v>
      </c>
      <c r="E169" s="1">
        <v>366</v>
      </c>
      <c r="F169" s="1">
        <v>326</v>
      </c>
      <c r="G169" s="64">
        <f t="shared" si="50"/>
        <v>-0.28932038834951457</v>
      </c>
      <c r="H169" s="64">
        <f t="shared" si="51"/>
        <v>-0.22195704057279236</v>
      </c>
      <c r="I169" s="1"/>
      <c r="J169" s="1"/>
      <c r="K169" s="1"/>
      <c r="L169" s="1"/>
      <c r="M169" s="66">
        <v>0.74</v>
      </c>
      <c r="N169" s="66">
        <v>0.11</v>
      </c>
      <c r="O169" s="66">
        <v>0.89</v>
      </c>
      <c r="P169" s="66">
        <v>0.45</v>
      </c>
      <c r="Q169" s="87">
        <v>0.96</v>
      </c>
      <c r="R169" s="285">
        <v>239</v>
      </c>
      <c r="S169" s="145">
        <v>5.5555555555555552E-2</v>
      </c>
      <c r="T169" s="113">
        <v>5</v>
      </c>
      <c r="U169" s="66" t="str">
        <f t="shared" si="29"/>
        <v>Outlier</v>
      </c>
      <c r="V169" s="66" t="str">
        <f t="shared" si="30"/>
        <v>Normal</v>
      </c>
      <c r="W169" s="19">
        <f t="shared" si="52"/>
        <v>-0.28932038834951457</v>
      </c>
      <c r="X169" s="19">
        <f t="shared" si="40"/>
        <v>-0.22195704057279236</v>
      </c>
      <c r="Y169" s="369"/>
      <c r="Z169" s="369"/>
      <c r="AA169" s="369"/>
      <c r="AB169" s="369"/>
      <c r="AC169" s="369"/>
      <c r="AD169" s="369"/>
      <c r="AE169" s="369"/>
      <c r="AF169" s="369"/>
      <c r="AG169" s="369"/>
      <c r="AH169" s="369"/>
      <c r="AI169" s="369"/>
    </row>
    <row r="170" spans="1:38">
      <c r="A170" s="27">
        <v>45185</v>
      </c>
      <c r="B170" s="27">
        <f>IF(YEAR(Table7[[#This Row],[Date]]) = 2023, WEEKNUM(Table7[[#This Row],[Date]])-13, WEEKNUM(Table7[[#This Row],[Date]])+40)</f>
        <v>24</v>
      </c>
      <c r="C170" s="34" t="s">
        <v>54</v>
      </c>
      <c r="D170" s="62" t="s">
        <v>94</v>
      </c>
      <c r="E170" s="1">
        <v>255</v>
      </c>
      <c r="F170" s="1">
        <v>206</v>
      </c>
      <c r="G170" s="64">
        <f t="shared" si="50"/>
        <v>7.5949367088607597E-2</v>
      </c>
      <c r="H170" s="64">
        <f t="shared" si="51"/>
        <v>-4.830917874396135E-3</v>
      </c>
      <c r="I170" s="1"/>
      <c r="J170" s="1"/>
      <c r="K170" s="1"/>
      <c r="L170" s="1"/>
      <c r="M170" s="66">
        <v>0.57999999999999996</v>
      </c>
      <c r="N170" s="66">
        <v>0.19</v>
      </c>
      <c r="O170" s="66">
        <v>0.81</v>
      </c>
      <c r="P170" s="66">
        <v>0.36</v>
      </c>
      <c r="Q170" s="87">
        <v>0.95</v>
      </c>
      <c r="R170" s="285">
        <v>245</v>
      </c>
      <c r="S170" s="145">
        <v>7.4305555555555555E-2</v>
      </c>
      <c r="T170" s="113">
        <v>4</v>
      </c>
      <c r="U170" s="66" t="str">
        <f t="shared" si="29"/>
        <v>Outlier</v>
      </c>
      <c r="V170" s="66" t="str">
        <f t="shared" si="30"/>
        <v>Normal</v>
      </c>
      <c r="W170" s="19">
        <f t="shared" si="52"/>
        <v>7.5949367088607597E-2</v>
      </c>
      <c r="X170" s="19">
        <f t="shared" si="40"/>
        <v>-4.830917874396135E-3</v>
      </c>
      <c r="Y170" s="369"/>
      <c r="Z170" s="369"/>
      <c r="AA170" s="369"/>
      <c r="AB170" s="369"/>
      <c r="AC170" s="369"/>
      <c r="AD170" s="369"/>
      <c r="AE170" s="369"/>
      <c r="AF170" s="369"/>
      <c r="AG170" s="369"/>
      <c r="AH170" s="369"/>
      <c r="AI170" s="369"/>
    </row>
    <row r="171" spans="1:38">
      <c r="A171" s="27">
        <v>45186</v>
      </c>
      <c r="B171" s="27">
        <f>IF(YEAR(Table7[[#This Row],[Date]]) = 2023, WEEKNUM(Table7[[#This Row],[Date]])-13, WEEKNUM(Table7[[#This Row],[Date]])+40)</f>
        <v>25</v>
      </c>
      <c r="C171" s="34" t="s">
        <v>48</v>
      </c>
      <c r="D171" s="62" t="s">
        <v>94</v>
      </c>
      <c r="E171" s="1">
        <v>0</v>
      </c>
      <c r="F171" s="1">
        <v>0</v>
      </c>
      <c r="G171" s="64">
        <f t="shared" ref="G171" si="53">IFERROR((E171-E164)/E164,0%)</f>
        <v>0</v>
      </c>
      <c r="H171" s="64">
        <f t="shared" ref="H171" si="54">IFERROR((F171-F164)/F164,0%)</f>
        <v>0</v>
      </c>
      <c r="I171" s="1">
        <v>0</v>
      </c>
      <c r="J171" s="1">
        <v>0</v>
      </c>
      <c r="K171" s="1">
        <v>0</v>
      </c>
      <c r="L171" s="1">
        <v>0</v>
      </c>
      <c r="M171" s="66">
        <v>0</v>
      </c>
      <c r="N171" s="66">
        <v>0</v>
      </c>
      <c r="O171" s="66">
        <v>0</v>
      </c>
      <c r="P171" s="66">
        <v>0</v>
      </c>
      <c r="Q171" s="87">
        <v>0</v>
      </c>
      <c r="R171" s="285">
        <v>0</v>
      </c>
      <c r="S171" s="145">
        <v>0</v>
      </c>
      <c r="T171" s="113">
        <v>0</v>
      </c>
      <c r="U171" s="66" t="str">
        <f t="shared" si="29"/>
        <v>Normal</v>
      </c>
      <c r="V171" s="66" t="str">
        <f t="shared" si="30"/>
        <v>Normal</v>
      </c>
      <c r="W171" s="19">
        <f t="shared" si="52"/>
        <v>0</v>
      </c>
      <c r="X171" s="19">
        <f t="shared" si="40"/>
        <v>0</v>
      </c>
      <c r="Y171" s="369"/>
      <c r="Z171" s="369"/>
      <c r="AA171" s="369"/>
      <c r="AB171" s="369"/>
      <c r="AC171" s="369"/>
      <c r="AD171" s="369"/>
      <c r="AE171" s="369"/>
      <c r="AF171" s="369"/>
      <c r="AG171" s="369"/>
      <c r="AH171" s="369"/>
      <c r="AI171" s="369"/>
    </row>
    <row r="172" spans="1:38">
      <c r="A172" s="27">
        <v>45187</v>
      </c>
      <c r="B172" s="27">
        <f>IF(YEAR(Table7[[#This Row],[Date]]) = 2023, WEEKNUM(Table7[[#This Row],[Date]])-13, WEEKNUM(Table7[[#This Row],[Date]])+40)</f>
        <v>25</v>
      </c>
      <c r="C172" s="34" t="s">
        <v>49</v>
      </c>
      <c r="D172" s="62" t="s">
        <v>94</v>
      </c>
      <c r="E172" s="1">
        <v>480</v>
      </c>
      <c r="F172" s="1">
        <v>387</v>
      </c>
      <c r="G172" s="64">
        <f t="shared" si="50"/>
        <v>-6.4327485380116955E-2</v>
      </c>
      <c r="H172" s="64">
        <f t="shared" si="51"/>
        <v>-3.7313432835820892E-2</v>
      </c>
      <c r="I172" s="1"/>
      <c r="J172" s="1"/>
      <c r="K172" s="1"/>
      <c r="L172" s="1"/>
      <c r="M172" s="66">
        <v>0.48</v>
      </c>
      <c r="N172" s="66">
        <v>0.19</v>
      </c>
      <c r="O172" s="66">
        <v>0.81</v>
      </c>
      <c r="P172" s="66">
        <v>0.44</v>
      </c>
      <c r="Q172" s="87">
        <v>0.94</v>
      </c>
      <c r="R172" s="288">
        <v>248</v>
      </c>
      <c r="S172" s="169">
        <v>0.13680555555555554</v>
      </c>
      <c r="T172" s="173">
        <v>6</v>
      </c>
      <c r="U172" s="66" t="str">
        <f t="shared" si="29"/>
        <v>Outlier</v>
      </c>
      <c r="V172" s="66" t="str">
        <f t="shared" si="30"/>
        <v>Normal</v>
      </c>
      <c r="W172" s="19">
        <f t="shared" si="52"/>
        <v>-6.4327485380116955E-2</v>
      </c>
      <c r="X172" s="19">
        <f t="shared" si="40"/>
        <v>-3.7313432835820892E-2</v>
      </c>
      <c r="Y172" s="369"/>
      <c r="Z172" s="369"/>
      <c r="AA172" s="369"/>
      <c r="AB172" s="369"/>
      <c r="AC172" s="369"/>
      <c r="AD172" s="369"/>
      <c r="AE172" s="369"/>
      <c r="AF172" s="369"/>
      <c r="AG172" s="369"/>
      <c r="AH172" s="369"/>
      <c r="AI172" s="369"/>
    </row>
    <row r="173" spans="1:38">
      <c r="A173" s="27">
        <v>45188</v>
      </c>
      <c r="B173" s="27">
        <f>IF(YEAR(Table7[[#This Row],[Date]]) = 2023, WEEKNUM(Table7[[#This Row],[Date]])-13, WEEKNUM(Table7[[#This Row],[Date]])+40)</f>
        <v>25</v>
      </c>
      <c r="C173" s="34" t="s">
        <v>50</v>
      </c>
      <c r="D173" s="62" t="s">
        <v>94</v>
      </c>
      <c r="E173" s="1">
        <v>518</v>
      </c>
      <c r="F173" s="1">
        <v>442</v>
      </c>
      <c r="G173" s="64">
        <f t="shared" si="50"/>
        <v>0.19080459770114944</v>
      </c>
      <c r="H173" s="64">
        <f t="shared" si="51"/>
        <v>0.25212464589235128</v>
      </c>
      <c r="I173" s="1"/>
      <c r="J173" s="1"/>
      <c r="K173" s="1"/>
      <c r="L173" s="1"/>
      <c r="M173" s="66">
        <v>0.54</v>
      </c>
      <c r="N173" s="66">
        <v>0.15</v>
      </c>
      <c r="O173" s="66">
        <v>0.85</v>
      </c>
      <c r="P173" s="66">
        <v>0.61</v>
      </c>
      <c r="Q173" s="87">
        <v>0.92</v>
      </c>
      <c r="R173" s="285">
        <v>245</v>
      </c>
      <c r="S173" s="145">
        <v>0.10347222222222223</v>
      </c>
      <c r="T173" s="113">
        <v>5</v>
      </c>
      <c r="U173" s="66" t="str">
        <f t="shared" si="29"/>
        <v>Normal</v>
      </c>
      <c r="V173" s="66" t="str">
        <f t="shared" si="30"/>
        <v>Normal</v>
      </c>
      <c r="W173" s="19">
        <f t="shared" si="52"/>
        <v>0.19080459770114944</v>
      </c>
      <c r="X173" s="19">
        <f t="shared" si="40"/>
        <v>0.25212464589235128</v>
      </c>
      <c r="Y173" s="369"/>
      <c r="Z173" s="369"/>
      <c r="AA173" s="369"/>
      <c r="AB173" s="369"/>
      <c r="AC173" s="369"/>
      <c r="AD173" s="369"/>
      <c r="AE173" s="369"/>
      <c r="AF173" s="369"/>
      <c r="AG173" s="369"/>
      <c r="AH173" s="369"/>
      <c r="AI173" s="369"/>
      <c r="AL173">
        <v>0.87307692307692319</v>
      </c>
    </row>
    <row r="174" spans="1:38">
      <c r="A174" s="27">
        <v>45189</v>
      </c>
      <c r="B174" s="27">
        <f>IF(YEAR(Table7[[#This Row],[Date]]) = 2023, WEEKNUM(Table7[[#This Row],[Date]])-13, WEEKNUM(Table7[[#This Row],[Date]])+40)</f>
        <v>25</v>
      </c>
      <c r="C174" s="34" t="s">
        <v>51</v>
      </c>
      <c r="D174" s="62" t="s">
        <v>94</v>
      </c>
      <c r="E174" s="1">
        <v>438</v>
      </c>
      <c r="F174" s="1">
        <v>372</v>
      </c>
      <c r="G174" s="64">
        <f t="shared" si="50"/>
        <v>-0.12749003984063745</v>
      </c>
      <c r="H174" s="64">
        <f t="shared" si="51"/>
        <v>0.16981132075471697</v>
      </c>
      <c r="I174" s="1"/>
      <c r="J174" s="1"/>
      <c r="K174" s="1"/>
      <c r="L174" s="1"/>
      <c r="M174" s="66">
        <v>0.63</v>
      </c>
      <c r="N174" s="66">
        <v>0.15</v>
      </c>
      <c r="O174" s="66">
        <v>0.85</v>
      </c>
      <c r="P174" s="66">
        <v>0.51</v>
      </c>
      <c r="Q174" s="87">
        <v>0.95</v>
      </c>
      <c r="R174" s="285">
        <v>237</v>
      </c>
      <c r="S174" s="145">
        <v>9.7222222222222224E-2</v>
      </c>
      <c r="T174" s="113">
        <v>5</v>
      </c>
      <c r="U174" s="66" t="str">
        <f t="shared" si="29"/>
        <v>Normal</v>
      </c>
      <c r="V174" s="66" t="str">
        <f t="shared" si="30"/>
        <v>Normal</v>
      </c>
      <c r="W174" s="19">
        <f t="shared" si="52"/>
        <v>-0.12749003984063745</v>
      </c>
      <c r="X174" s="19">
        <f t="shared" si="40"/>
        <v>0.16981132075471697</v>
      </c>
      <c r="Y174" s="369"/>
      <c r="Z174" s="369"/>
      <c r="AA174" s="369"/>
      <c r="AB174" s="369"/>
      <c r="AC174" s="369"/>
      <c r="AD174" s="369"/>
      <c r="AE174" s="369"/>
      <c r="AF174" s="369"/>
      <c r="AG174" s="369"/>
      <c r="AH174" s="369"/>
      <c r="AI174" s="369"/>
    </row>
    <row r="175" spans="1:38">
      <c r="A175" s="27">
        <v>45190</v>
      </c>
      <c r="B175" s="27">
        <f>IF(YEAR(Table7[[#This Row],[Date]]) = 2023, WEEKNUM(Table7[[#This Row],[Date]])-13, WEEKNUM(Table7[[#This Row],[Date]])+40)</f>
        <v>25</v>
      </c>
      <c r="C175" s="34" t="s">
        <v>52</v>
      </c>
      <c r="D175" s="62" t="s">
        <v>94</v>
      </c>
      <c r="E175" s="1">
        <v>161</v>
      </c>
      <c r="F175" s="1">
        <v>138</v>
      </c>
      <c r="G175" s="64">
        <f t="shared" si="50"/>
        <v>-0.63738738738738743</v>
      </c>
      <c r="H175" s="64">
        <f t="shared" si="51"/>
        <v>-0.57407407407407407</v>
      </c>
      <c r="I175" s="1"/>
      <c r="J175" s="1"/>
      <c r="K175" s="1"/>
      <c r="L175" s="1"/>
      <c r="M175" s="66">
        <v>0.46</v>
      </c>
      <c r="N175" s="66">
        <v>0.14000000000000001</v>
      </c>
      <c r="O175" s="66">
        <v>0.86</v>
      </c>
      <c r="P175" s="66">
        <v>0.24</v>
      </c>
      <c r="Q175" s="87">
        <v>0.98</v>
      </c>
      <c r="R175" s="285">
        <v>285</v>
      </c>
      <c r="S175" s="145">
        <v>0.13402777777777777</v>
      </c>
      <c r="T175" s="113">
        <v>4</v>
      </c>
      <c r="U175" s="66" t="str">
        <f t="shared" si="29"/>
        <v>Outlier</v>
      </c>
      <c r="V175" s="66" t="str">
        <f t="shared" si="30"/>
        <v>Normal</v>
      </c>
      <c r="W175" s="19">
        <f t="shared" si="52"/>
        <v>-0.63738738738738743</v>
      </c>
      <c r="X175" s="19">
        <f t="shared" si="40"/>
        <v>-0.57407407407407407</v>
      </c>
      <c r="Y175" s="369"/>
      <c r="Z175" s="369"/>
      <c r="AA175" s="369"/>
      <c r="AB175" s="369"/>
      <c r="AC175" s="369"/>
      <c r="AD175" s="369"/>
      <c r="AE175" s="369"/>
      <c r="AF175" s="369"/>
      <c r="AG175" s="369"/>
      <c r="AH175" s="369"/>
      <c r="AI175" s="369"/>
    </row>
    <row r="176" spans="1:38">
      <c r="A176" s="27">
        <v>45191</v>
      </c>
      <c r="B176" s="27">
        <f>IF(YEAR(Table7[[#This Row],[Date]]) = 2023, WEEKNUM(Table7[[#This Row],[Date]])-13, WEEKNUM(Table7[[#This Row],[Date]])+40)</f>
        <v>25</v>
      </c>
      <c r="C176" s="34" t="s">
        <v>53</v>
      </c>
      <c r="D176" s="62" t="s">
        <v>94</v>
      </c>
      <c r="E176" s="1">
        <v>516</v>
      </c>
      <c r="F176" s="1">
        <v>418</v>
      </c>
      <c r="G176" s="64">
        <f t="shared" si="50"/>
        <v>0.4098360655737705</v>
      </c>
      <c r="H176" s="64">
        <f t="shared" si="51"/>
        <v>0.2822085889570552</v>
      </c>
      <c r="I176" s="1"/>
      <c r="J176" s="1"/>
      <c r="K176" s="1"/>
      <c r="L176" s="1"/>
      <c r="M176" s="66">
        <v>0.49</v>
      </c>
      <c r="N176" s="66">
        <v>0.19</v>
      </c>
      <c r="O176" s="66">
        <v>0.81</v>
      </c>
      <c r="P176" s="66">
        <v>0.57999999999999996</v>
      </c>
      <c r="Q176" s="87">
        <v>0.94</v>
      </c>
      <c r="R176" s="285">
        <v>250</v>
      </c>
      <c r="S176" s="145">
        <v>0.11388888888888889</v>
      </c>
      <c r="T176" s="113">
        <v>5</v>
      </c>
      <c r="U176" s="66" t="str">
        <f t="shared" si="29"/>
        <v>Normal</v>
      </c>
      <c r="V176" s="66" t="str">
        <f t="shared" si="30"/>
        <v>Normal</v>
      </c>
      <c r="W176" s="19">
        <f t="shared" si="52"/>
        <v>0.4098360655737705</v>
      </c>
      <c r="X176" s="19">
        <f t="shared" si="40"/>
        <v>0.2822085889570552</v>
      </c>
      <c r="Y176" s="369"/>
      <c r="Z176" s="369"/>
      <c r="AA176" s="369"/>
      <c r="AB176" s="369"/>
      <c r="AC176" s="369"/>
      <c r="AD176" s="369"/>
      <c r="AE176" s="369"/>
      <c r="AF176" s="369"/>
      <c r="AG176" s="369"/>
      <c r="AH176" s="369"/>
      <c r="AI176" s="369"/>
    </row>
    <row r="177" spans="1:38">
      <c r="A177" s="27">
        <v>45192</v>
      </c>
      <c r="B177" s="27">
        <f>IF(YEAR(Table7[[#This Row],[Date]]) = 2023, WEEKNUM(Table7[[#This Row],[Date]])-13, WEEKNUM(Table7[[#This Row],[Date]])+40)</f>
        <v>25</v>
      </c>
      <c r="C177" s="34" t="s">
        <v>54</v>
      </c>
      <c r="D177" s="62" t="s">
        <v>94</v>
      </c>
      <c r="E177" s="1">
        <v>353</v>
      </c>
      <c r="F177" s="1">
        <v>202</v>
      </c>
      <c r="G177" s="64">
        <f t="shared" si="50"/>
        <v>0.3843137254901961</v>
      </c>
      <c r="H177" s="64">
        <f t="shared" si="51"/>
        <v>-1.9417475728155338E-2</v>
      </c>
      <c r="I177" s="1"/>
      <c r="J177" s="1"/>
      <c r="K177" s="1"/>
      <c r="L177" s="1"/>
      <c r="M177" s="66">
        <v>0.16</v>
      </c>
      <c r="N177" s="66">
        <v>0.4</v>
      </c>
      <c r="O177" s="66">
        <v>0.6</v>
      </c>
      <c r="P177" s="66">
        <v>0.46</v>
      </c>
      <c r="Q177" s="87">
        <v>0.97</v>
      </c>
      <c r="R177" s="285">
        <v>252</v>
      </c>
      <c r="S177" s="145">
        <v>0.26319444444444445</v>
      </c>
      <c r="T177" s="113">
        <v>3</v>
      </c>
      <c r="U177" s="66" t="str">
        <f t="shared" si="29"/>
        <v>Outlier</v>
      </c>
      <c r="V177" s="66" t="str">
        <f t="shared" si="30"/>
        <v>Normal</v>
      </c>
      <c r="W177" s="19">
        <f t="shared" si="52"/>
        <v>0.3843137254901961</v>
      </c>
      <c r="X177" s="19">
        <f t="shared" si="40"/>
        <v>-1.9417475728155338E-2</v>
      </c>
      <c r="Y177" s="369"/>
      <c r="Z177" s="369"/>
      <c r="AA177" s="369"/>
      <c r="AB177" s="369"/>
      <c r="AC177" s="369"/>
      <c r="AD177" s="369"/>
      <c r="AE177" s="369"/>
      <c r="AF177" s="369"/>
      <c r="AG177" s="369"/>
      <c r="AH177" s="369"/>
      <c r="AI177" s="369"/>
    </row>
    <row r="178" spans="1:38">
      <c r="A178" s="27">
        <v>45193</v>
      </c>
      <c r="B178" s="27">
        <f>IF(YEAR(Table7[[#This Row],[Date]]) = 2023, WEEKNUM(Table7[[#This Row],[Date]])-13, WEEKNUM(Table7[[#This Row],[Date]])+40)</f>
        <v>26</v>
      </c>
      <c r="C178" s="34" t="s">
        <v>48</v>
      </c>
      <c r="D178" s="62" t="s">
        <v>94</v>
      </c>
      <c r="E178" s="1">
        <v>0</v>
      </c>
      <c r="F178" s="1">
        <v>0</v>
      </c>
      <c r="G178" s="64">
        <f t="shared" si="50"/>
        <v>0</v>
      </c>
      <c r="H178" s="64">
        <f t="shared" si="51"/>
        <v>0</v>
      </c>
      <c r="I178" s="1">
        <v>0</v>
      </c>
      <c r="J178" s="1">
        <v>0</v>
      </c>
      <c r="K178" s="1">
        <v>0</v>
      </c>
      <c r="L178" s="1">
        <v>0</v>
      </c>
      <c r="M178" s="66">
        <v>0</v>
      </c>
      <c r="N178" s="66">
        <v>0</v>
      </c>
      <c r="O178" s="66">
        <v>0</v>
      </c>
      <c r="P178" s="66">
        <v>0</v>
      </c>
      <c r="Q178" s="87">
        <v>0</v>
      </c>
      <c r="R178" s="285">
        <v>0</v>
      </c>
      <c r="S178" s="145">
        <v>0</v>
      </c>
      <c r="T178" s="113">
        <v>0</v>
      </c>
      <c r="U178" s="66" t="str">
        <f t="shared" si="29"/>
        <v>Normal</v>
      </c>
      <c r="V178" s="66" t="str">
        <f t="shared" si="30"/>
        <v>Normal</v>
      </c>
      <c r="W178" s="19">
        <f t="shared" si="52"/>
        <v>0</v>
      </c>
      <c r="X178" s="19">
        <f t="shared" si="40"/>
        <v>0</v>
      </c>
      <c r="Y178" s="369"/>
      <c r="Z178" s="369"/>
      <c r="AA178" s="369"/>
      <c r="AB178" s="369"/>
      <c r="AC178" s="369"/>
      <c r="AD178" s="369"/>
      <c r="AE178" s="369"/>
      <c r="AF178" s="369"/>
      <c r="AG178" s="369"/>
      <c r="AH178" s="369"/>
      <c r="AI178" s="369"/>
    </row>
    <row r="179" spans="1:38">
      <c r="A179" s="27">
        <v>45194</v>
      </c>
      <c r="B179" s="27">
        <f>IF(YEAR(Table7[[#This Row],[Date]]) = 2023, WEEKNUM(Table7[[#This Row],[Date]])-13, WEEKNUM(Table7[[#This Row],[Date]])+40)</f>
        <v>26</v>
      </c>
      <c r="C179" s="34" t="s">
        <v>49</v>
      </c>
      <c r="D179" s="62" t="s">
        <v>94</v>
      </c>
      <c r="E179" s="1">
        <v>717</v>
      </c>
      <c r="F179" s="1">
        <v>440</v>
      </c>
      <c r="G179" s="64">
        <f t="shared" si="50"/>
        <v>0.49375000000000002</v>
      </c>
      <c r="H179" s="64">
        <f t="shared" si="51"/>
        <v>0.13695090439276486</v>
      </c>
      <c r="I179" s="1"/>
      <c r="J179" s="1"/>
      <c r="K179" s="1"/>
      <c r="L179" s="1"/>
      <c r="M179" s="66">
        <v>0.18</v>
      </c>
      <c r="N179" s="66">
        <v>0.39</v>
      </c>
      <c r="O179" s="66">
        <v>0.61</v>
      </c>
      <c r="P179" s="66">
        <v>0.51</v>
      </c>
      <c r="Q179" s="87">
        <v>0.94</v>
      </c>
      <c r="R179" s="288">
        <v>297</v>
      </c>
      <c r="S179" s="169">
        <v>0.23680555555555557</v>
      </c>
      <c r="T179" s="173">
        <v>6</v>
      </c>
      <c r="U179" s="66" t="str">
        <f t="shared" si="29"/>
        <v>Normal</v>
      </c>
      <c r="V179" s="66" t="str">
        <f t="shared" si="30"/>
        <v>Normal</v>
      </c>
      <c r="W179" s="19">
        <f t="shared" si="52"/>
        <v>0.49375000000000002</v>
      </c>
      <c r="X179" s="19">
        <f t="shared" si="40"/>
        <v>0.13695090439276486</v>
      </c>
      <c r="Y179" s="369"/>
      <c r="Z179" s="369"/>
      <c r="AA179" s="369"/>
      <c r="AB179" s="369"/>
      <c r="AC179" s="369"/>
      <c r="AD179" s="369"/>
      <c r="AE179" s="369"/>
      <c r="AF179" s="369"/>
      <c r="AG179" s="369"/>
      <c r="AH179" s="369"/>
      <c r="AI179" s="369"/>
    </row>
    <row r="180" spans="1:38">
      <c r="A180" s="27">
        <v>45195</v>
      </c>
      <c r="B180" s="27">
        <f>IF(YEAR(Table7[[#This Row],[Date]]) = 2023, WEEKNUM(Table7[[#This Row],[Date]])-13, WEEKNUM(Table7[[#This Row],[Date]])+40)</f>
        <v>26</v>
      </c>
      <c r="C180" s="34" t="s">
        <v>50</v>
      </c>
      <c r="D180" s="62" t="s">
        <v>94</v>
      </c>
      <c r="E180" s="1">
        <v>522</v>
      </c>
      <c r="F180" s="1">
        <v>431</v>
      </c>
      <c r="G180" s="64">
        <f t="shared" si="50"/>
        <v>7.7220077220077222E-3</v>
      </c>
      <c r="H180" s="64">
        <f t="shared" si="51"/>
        <v>-2.4886877828054297E-2</v>
      </c>
      <c r="I180" s="1"/>
      <c r="J180" s="1"/>
      <c r="K180" s="1"/>
      <c r="L180" s="1"/>
      <c r="M180" s="66">
        <v>0.53</v>
      </c>
      <c r="N180" s="66">
        <v>0.17</v>
      </c>
      <c r="O180" s="66">
        <v>0.83</v>
      </c>
      <c r="P180" s="66">
        <v>0.78</v>
      </c>
      <c r="Q180" s="87">
        <v>0.96</v>
      </c>
      <c r="R180" s="285">
        <v>242</v>
      </c>
      <c r="S180" s="145">
        <v>9.4444444444444442E-2</v>
      </c>
      <c r="T180" s="113">
        <v>5</v>
      </c>
      <c r="U180" s="66" t="str">
        <f t="shared" si="29"/>
        <v>Outlier</v>
      </c>
      <c r="V180" s="66" t="str">
        <f t="shared" si="30"/>
        <v>Normal</v>
      </c>
      <c r="W180" s="19">
        <f t="shared" si="52"/>
        <v>7.7220077220077222E-3</v>
      </c>
      <c r="X180" s="19">
        <f t="shared" si="40"/>
        <v>-2.4886877828054297E-2</v>
      </c>
      <c r="Y180" s="369"/>
      <c r="Z180" s="369"/>
      <c r="AA180" s="369"/>
      <c r="AB180" s="369"/>
      <c r="AC180" s="369"/>
      <c r="AD180" s="369"/>
      <c r="AE180" s="369"/>
      <c r="AF180" s="369"/>
      <c r="AG180" s="369"/>
      <c r="AH180" s="369"/>
      <c r="AI180" s="369"/>
    </row>
    <row r="181" spans="1:38">
      <c r="A181" s="27">
        <v>45196</v>
      </c>
      <c r="B181" s="27">
        <f>IF(YEAR(Table7[[#This Row],[Date]]) = 2023, WEEKNUM(Table7[[#This Row],[Date]])-13, WEEKNUM(Table7[[#This Row],[Date]])+40)</f>
        <v>26</v>
      </c>
      <c r="C181" s="34" t="s">
        <v>51</v>
      </c>
      <c r="D181" s="62" t="s">
        <v>94</v>
      </c>
      <c r="E181" s="1">
        <v>551</v>
      </c>
      <c r="F181" s="1">
        <v>471</v>
      </c>
      <c r="G181" s="64">
        <f t="shared" si="50"/>
        <v>0.25799086757990869</v>
      </c>
      <c r="H181" s="64">
        <f t="shared" si="51"/>
        <v>0.2661290322580645</v>
      </c>
      <c r="I181" s="1"/>
      <c r="J181" s="1"/>
      <c r="K181" s="1"/>
      <c r="L181" s="1"/>
      <c r="M181" s="66">
        <v>0.55000000000000004</v>
      </c>
      <c r="N181" s="66">
        <v>0.15</v>
      </c>
      <c r="O181" s="66">
        <v>0.85</v>
      </c>
      <c r="P181" s="66">
        <v>0.65</v>
      </c>
      <c r="Q181" s="87">
        <v>0.95</v>
      </c>
      <c r="R181" s="285">
        <v>224</v>
      </c>
      <c r="S181" s="145">
        <v>7.5694444444444439E-2</v>
      </c>
      <c r="T181" s="113">
        <v>5</v>
      </c>
      <c r="U181" s="66" t="str">
        <f t="shared" si="29"/>
        <v>Normal</v>
      </c>
      <c r="V181" s="66" t="str">
        <f t="shared" si="30"/>
        <v>Normal</v>
      </c>
      <c r="W181" s="19">
        <f t="shared" si="52"/>
        <v>0.25799086757990869</v>
      </c>
      <c r="X181" s="19">
        <f t="shared" si="40"/>
        <v>0.2661290322580645</v>
      </c>
      <c r="Y181" s="369"/>
      <c r="Z181" s="369"/>
      <c r="AA181" s="369"/>
      <c r="AB181" s="369"/>
      <c r="AC181" s="369"/>
      <c r="AD181" s="369"/>
      <c r="AE181" s="369"/>
      <c r="AF181" s="369"/>
      <c r="AG181" s="369"/>
      <c r="AH181" s="369"/>
      <c r="AI181" s="369"/>
    </row>
    <row r="182" spans="1:38">
      <c r="A182" s="27">
        <v>45197</v>
      </c>
      <c r="B182" s="27">
        <f>IF(YEAR(Table7[[#This Row],[Date]]) = 2023, WEEKNUM(Table7[[#This Row],[Date]])-13, WEEKNUM(Table7[[#This Row],[Date]])+40)</f>
        <v>26</v>
      </c>
      <c r="C182" s="34" t="s">
        <v>52</v>
      </c>
      <c r="D182" s="62" t="s">
        <v>94</v>
      </c>
      <c r="E182" s="1">
        <v>483</v>
      </c>
      <c r="F182" s="1">
        <v>427</v>
      </c>
      <c r="G182" s="64">
        <f t="shared" si="50"/>
        <v>2</v>
      </c>
      <c r="H182" s="64">
        <f t="shared" si="51"/>
        <v>2.0942028985507246</v>
      </c>
      <c r="I182" s="1"/>
      <c r="J182" s="1"/>
      <c r="K182" s="1"/>
      <c r="L182" s="1"/>
      <c r="M182" s="66">
        <v>0.62</v>
      </c>
      <c r="N182" s="66">
        <v>0.12</v>
      </c>
      <c r="O182" s="66">
        <v>0.88</v>
      </c>
      <c r="P182" s="66">
        <v>0.59</v>
      </c>
      <c r="Q182" s="87">
        <v>0.95</v>
      </c>
      <c r="R182" s="285">
        <v>259</v>
      </c>
      <c r="S182" s="145">
        <v>0.22500000000000001</v>
      </c>
      <c r="T182" s="113">
        <v>5</v>
      </c>
      <c r="U182" s="66" t="str">
        <f t="shared" si="29"/>
        <v>Normal</v>
      </c>
      <c r="V182" s="66" t="str">
        <f t="shared" si="30"/>
        <v>Normal</v>
      </c>
      <c r="W182" s="19">
        <f t="shared" si="52"/>
        <v>2</v>
      </c>
      <c r="X182" s="19">
        <f t="shared" si="40"/>
        <v>2.0942028985507246</v>
      </c>
      <c r="Y182" s="369"/>
      <c r="Z182" s="369"/>
      <c r="AA182" s="369"/>
      <c r="AB182" s="369"/>
      <c r="AC182" s="369"/>
      <c r="AD182" s="369"/>
      <c r="AE182" s="369"/>
      <c r="AF182" s="369"/>
      <c r="AG182" s="369"/>
      <c r="AH182" s="369"/>
      <c r="AI182" s="369"/>
    </row>
    <row r="183" spans="1:38">
      <c r="A183" s="27">
        <v>45198</v>
      </c>
      <c r="B183" s="27">
        <f>IF(YEAR(Table7[[#This Row],[Date]]) = 2023, WEEKNUM(Table7[[#This Row],[Date]])-13, WEEKNUM(Table7[[#This Row],[Date]])+40)</f>
        <v>26</v>
      </c>
      <c r="C183" s="34" t="s">
        <v>53</v>
      </c>
      <c r="D183" s="62" t="s">
        <v>94</v>
      </c>
      <c r="E183" s="1">
        <v>656</v>
      </c>
      <c r="F183" s="1">
        <v>447</v>
      </c>
      <c r="G183" s="64">
        <f t="shared" si="50"/>
        <v>0.27131782945736432</v>
      </c>
      <c r="H183" s="64">
        <f t="shared" si="51"/>
        <v>6.9377990430622011E-2</v>
      </c>
      <c r="I183" s="1"/>
      <c r="J183" s="1"/>
      <c r="K183" s="1"/>
      <c r="L183" s="1"/>
      <c r="M183" s="66">
        <v>0.35</v>
      </c>
      <c r="N183" s="66">
        <v>0.32</v>
      </c>
      <c r="O183" s="66">
        <v>0.68</v>
      </c>
      <c r="P183" s="66">
        <v>0.62</v>
      </c>
      <c r="Q183" s="87">
        <v>0.94</v>
      </c>
      <c r="R183" s="285">
        <v>290</v>
      </c>
      <c r="S183" s="145">
        <v>0.32013888888888892</v>
      </c>
      <c r="T183" s="113">
        <v>4</v>
      </c>
      <c r="U183" s="66" t="str">
        <f t="shared" si="29"/>
        <v>Normal</v>
      </c>
      <c r="V183" s="66" t="str">
        <f t="shared" si="30"/>
        <v>Normal</v>
      </c>
      <c r="W183" s="19">
        <f t="shared" si="52"/>
        <v>0.27131782945736432</v>
      </c>
      <c r="X183" s="19">
        <f t="shared" si="40"/>
        <v>6.9377990430622011E-2</v>
      </c>
      <c r="Y183" s="369"/>
      <c r="Z183" s="369"/>
      <c r="AA183" s="369"/>
      <c r="AB183" s="369"/>
      <c r="AC183" s="369"/>
      <c r="AD183" s="369"/>
      <c r="AE183" s="369"/>
      <c r="AF183" s="369"/>
      <c r="AG183" s="369"/>
      <c r="AH183" s="369"/>
      <c r="AI183" s="369"/>
    </row>
    <row r="184" spans="1:38">
      <c r="A184" s="27">
        <v>45199</v>
      </c>
      <c r="B184" s="27">
        <f>IF(YEAR(Table7[[#This Row],[Date]]) = 2023, WEEKNUM(Table7[[#This Row],[Date]])-13, WEEKNUM(Table7[[#This Row],[Date]])+40)</f>
        <v>26</v>
      </c>
      <c r="C184" s="34" t="s">
        <v>54</v>
      </c>
      <c r="D184" s="62" t="s">
        <v>94</v>
      </c>
      <c r="E184" s="1">
        <v>389</v>
      </c>
      <c r="F184" s="1">
        <v>233</v>
      </c>
      <c r="G184" s="64">
        <f t="shared" si="50"/>
        <v>0.10198300283286119</v>
      </c>
      <c r="H184" s="64">
        <f t="shared" si="51"/>
        <v>0.15346534653465346</v>
      </c>
      <c r="I184" s="1"/>
      <c r="J184" s="1"/>
      <c r="K184" s="1"/>
      <c r="L184" s="1"/>
      <c r="M184" s="66">
        <v>0.21</v>
      </c>
      <c r="N184" s="66">
        <v>0.4</v>
      </c>
      <c r="O184" s="66">
        <v>0.6</v>
      </c>
      <c r="P184" s="66">
        <v>0.53</v>
      </c>
      <c r="Q184" s="87">
        <v>0.96</v>
      </c>
      <c r="R184" s="285">
        <v>258</v>
      </c>
      <c r="S184" s="145">
        <v>0.15208333333333332</v>
      </c>
      <c r="T184" s="113">
        <v>7</v>
      </c>
      <c r="U184" s="66" t="str">
        <f t="shared" si="29"/>
        <v>Normal</v>
      </c>
      <c r="V184" s="66" t="str">
        <f t="shared" si="30"/>
        <v>Normal</v>
      </c>
      <c r="W184" s="19">
        <f t="shared" si="52"/>
        <v>0.10198300283286119</v>
      </c>
      <c r="X184" s="19">
        <f t="shared" si="40"/>
        <v>0.15346534653465346</v>
      </c>
      <c r="Y184" s="369"/>
      <c r="Z184" s="369"/>
      <c r="AA184" s="369"/>
      <c r="AB184" s="369"/>
      <c r="AC184" s="369"/>
      <c r="AD184" s="369"/>
      <c r="AE184" s="369"/>
      <c r="AF184" s="369"/>
      <c r="AG184" s="369"/>
      <c r="AH184" s="369"/>
      <c r="AI184" s="369"/>
    </row>
    <row r="185" spans="1:38" s="47" customFormat="1">
      <c r="A185" s="281">
        <v>45200</v>
      </c>
      <c r="B185" s="281">
        <f>IF(YEAR(Table7[[#This Row],[Date]]) = 2023, WEEKNUM(Table7[[#This Row],[Date]])-13, WEEKNUM(Table7[[#This Row],[Date]])+40)</f>
        <v>27</v>
      </c>
      <c r="C185" s="76" t="s">
        <v>48</v>
      </c>
      <c r="D185" s="76" t="s">
        <v>94</v>
      </c>
      <c r="E185" s="65">
        <v>0</v>
      </c>
      <c r="F185" s="65">
        <v>0</v>
      </c>
      <c r="G185" s="79">
        <v>0</v>
      </c>
      <c r="H185" s="79">
        <v>0</v>
      </c>
      <c r="I185" s="65">
        <v>0</v>
      </c>
      <c r="J185" s="65">
        <v>0</v>
      </c>
      <c r="K185" s="65">
        <v>0</v>
      </c>
      <c r="L185" s="65">
        <v>0</v>
      </c>
      <c r="M185" s="138">
        <v>0</v>
      </c>
      <c r="N185" s="138">
        <v>0</v>
      </c>
      <c r="O185" s="138">
        <v>0</v>
      </c>
      <c r="P185" s="138">
        <v>0</v>
      </c>
      <c r="Q185" s="139">
        <v>0</v>
      </c>
      <c r="R185" s="291">
        <v>0</v>
      </c>
      <c r="S185" s="171">
        <v>0</v>
      </c>
      <c r="T185" s="140">
        <v>0</v>
      </c>
      <c r="U185" s="138" t="str">
        <f t="shared" si="29"/>
        <v>Normal</v>
      </c>
      <c r="V185" s="138" t="str">
        <f t="shared" si="30"/>
        <v>Normal</v>
      </c>
      <c r="W185" s="347">
        <f t="shared" si="52"/>
        <v>0</v>
      </c>
      <c r="X185" s="347">
        <f t="shared" si="40"/>
        <v>0</v>
      </c>
      <c r="Y185" s="369"/>
      <c r="Z185" s="369"/>
      <c r="AA185" s="369"/>
      <c r="AB185" s="369"/>
      <c r="AC185" s="369"/>
      <c r="AD185" s="369"/>
      <c r="AE185" s="369"/>
      <c r="AF185" s="369"/>
      <c r="AG185" s="369"/>
      <c r="AH185" s="369"/>
      <c r="AI185" s="369"/>
    </row>
    <row r="186" spans="1:38">
      <c r="A186" s="27">
        <v>45201</v>
      </c>
      <c r="B186" s="27">
        <f>IF(YEAR(Table7[[#This Row],[Date]]) = 2023, WEEKNUM(Table7[[#This Row],[Date]])-13, WEEKNUM(Table7[[#This Row],[Date]])+40)</f>
        <v>27</v>
      </c>
      <c r="C186" s="34" t="s">
        <v>49</v>
      </c>
      <c r="D186" s="62" t="s">
        <v>94</v>
      </c>
      <c r="E186" s="1">
        <v>437</v>
      </c>
      <c r="F186" s="1">
        <v>314</v>
      </c>
      <c r="G186" s="64">
        <f t="shared" ref="G186:G191" si="55">IFERROR((E186-E179)/E179,0%)</f>
        <v>-0.39051603905160392</v>
      </c>
      <c r="H186" s="64">
        <f t="shared" ref="H186:H191" si="56">IFERROR((F186-F179)/F179,0%)</f>
        <v>-0.28636363636363638</v>
      </c>
      <c r="I186" s="1"/>
      <c r="J186" s="1"/>
      <c r="K186" s="1"/>
      <c r="L186" s="1"/>
      <c r="M186" s="66">
        <v>0.5</v>
      </c>
      <c r="N186" s="66">
        <v>0.28000000000000003</v>
      </c>
      <c r="O186" s="66">
        <v>0.72</v>
      </c>
      <c r="P186" s="66">
        <v>0.31</v>
      </c>
      <c r="Q186" s="87">
        <v>0.96</v>
      </c>
      <c r="R186" s="288">
        <v>258</v>
      </c>
      <c r="S186" s="169">
        <v>0.15208333333333332</v>
      </c>
      <c r="T186" s="173">
        <v>7</v>
      </c>
      <c r="U186" s="66" t="str">
        <f t="shared" si="29"/>
        <v>Outlier</v>
      </c>
      <c r="V186" s="66" t="str">
        <f t="shared" si="30"/>
        <v>Normal</v>
      </c>
      <c r="W186" s="19">
        <f t="shared" si="52"/>
        <v>-0.39051603905160392</v>
      </c>
      <c r="X186" s="19">
        <f t="shared" si="40"/>
        <v>-0.28636363636363638</v>
      </c>
      <c r="Y186" s="369"/>
      <c r="Z186" s="369"/>
      <c r="AA186" s="369"/>
      <c r="AB186" s="369"/>
      <c r="AC186" s="369"/>
      <c r="AD186" s="369"/>
      <c r="AE186" s="369"/>
      <c r="AF186" s="369"/>
      <c r="AG186" s="369"/>
      <c r="AH186" s="369"/>
      <c r="AI186" s="369"/>
      <c r="AK186" t="s">
        <v>139</v>
      </c>
      <c r="AL186">
        <f>SUM($E$336:$E$3337)</f>
        <v>8721</v>
      </c>
    </row>
    <row r="187" spans="1:38">
      <c r="A187" s="27">
        <v>45202</v>
      </c>
      <c r="B187" s="27">
        <f>IF(YEAR(Table7[[#This Row],[Date]]) = 2023, WEEKNUM(Table7[[#This Row],[Date]])-13, WEEKNUM(Table7[[#This Row],[Date]])+40)</f>
        <v>27</v>
      </c>
      <c r="C187" s="34" t="s">
        <v>50</v>
      </c>
      <c r="D187" s="62" t="s">
        <v>94</v>
      </c>
      <c r="E187" s="1">
        <v>446</v>
      </c>
      <c r="F187" s="1">
        <v>419</v>
      </c>
      <c r="G187" s="64">
        <f t="shared" si="55"/>
        <v>-0.14559386973180077</v>
      </c>
      <c r="H187" s="64">
        <f t="shared" si="56"/>
        <v>-2.7842227378190254E-2</v>
      </c>
      <c r="I187" s="1"/>
      <c r="J187" s="1"/>
      <c r="K187" s="1"/>
      <c r="L187" s="1"/>
      <c r="M187" s="66">
        <v>0.83</v>
      </c>
      <c r="N187" s="66">
        <v>0.06</v>
      </c>
      <c r="O187" s="66">
        <v>0.94</v>
      </c>
      <c r="P187" s="66">
        <v>0.41</v>
      </c>
      <c r="Q187" s="87">
        <v>0.89</v>
      </c>
      <c r="R187" s="285">
        <v>257</v>
      </c>
      <c r="S187" s="145">
        <v>5.1388888888888894E-2</v>
      </c>
      <c r="T187" s="113">
        <v>7</v>
      </c>
      <c r="U187" s="66" t="str">
        <f t="shared" si="29"/>
        <v>Outlier</v>
      </c>
      <c r="V187" s="66" t="str">
        <f t="shared" si="30"/>
        <v>Normal</v>
      </c>
      <c r="W187" s="19">
        <f t="shared" si="52"/>
        <v>-0.14559386973180077</v>
      </c>
      <c r="X187" s="19">
        <f t="shared" si="40"/>
        <v>-2.7842227378190254E-2</v>
      </c>
      <c r="Y187" s="369"/>
      <c r="Z187" s="369"/>
      <c r="AA187" s="369"/>
      <c r="AB187" s="369"/>
      <c r="AC187" s="369"/>
      <c r="AD187" s="369"/>
      <c r="AE187" s="369"/>
      <c r="AF187" s="369"/>
      <c r="AG187" s="369"/>
      <c r="AH187" s="369"/>
      <c r="AI187" s="369"/>
      <c r="AK187" t="s">
        <v>140</v>
      </c>
      <c r="AL187">
        <f>SUM($F$337:$F$367)</f>
        <v>7724</v>
      </c>
    </row>
    <row r="188" spans="1:38">
      <c r="A188" s="27">
        <v>45203</v>
      </c>
      <c r="B188" s="27">
        <f>IF(YEAR(Table7[[#This Row],[Date]]) = 2023, WEEKNUM(Table7[[#This Row],[Date]])-13, WEEKNUM(Table7[[#This Row],[Date]])+40)</f>
        <v>27</v>
      </c>
      <c r="C188" s="34" t="s">
        <v>51</v>
      </c>
      <c r="D188" s="62" t="s">
        <v>94</v>
      </c>
      <c r="E188" s="1">
        <v>510</v>
      </c>
      <c r="F188" s="1">
        <v>400</v>
      </c>
      <c r="G188" s="64">
        <f t="shared" si="55"/>
        <v>-7.441016333938294E-2</v>
      </c>
      <c r="H188" s="64">
        <f t="shared" si="56"/>
        <v>-0.15074309978768577</v>
      </c>
      <c r="I188" s="1"/>
      <c r="J188" s="1"/>
      <c r="K188" s="1"/>
      <c r="L188" s="1"/>
      <c r="M188" s="66">
        <v>0.45</v>
      </c>
      <c r="N188" s="66">
        <v>0.22</v>
      </c>
      <c r="O188" s="66">
        <v>0.78</v>
      </c>
      <c r="P188" s="66">
        <v>0.55000000000000004</v>
      </c>
      <c r="Q188" s="87">
        <v>0.93</v>
      </c>
      <c r="R188" s="285">
        <v>289</v>
      </c>
      <c r="S188" s="145">
        <v>0.17152777777777775</v>
      </c>
      <c r="T188" s="113">
        <v>5</v>
      </c>
      <c r="U188" s="66" t="str">
        <f t="shared" si="29"/>
        <v>Outlier</v>
      </c>
      <c r="V188" s="66" t="str">
        <f t="shared" si="30"/>
        <v>Normal</v>
      </c>
      <c r="W188" s="19">
        <f t="shared" si="52"/>
        <v>-7.441016333938294E-2</v>
      </c>
      <c r="X188" s="19">
        <f t="shared" si="40"/>
        <v>-0.15074309978768577</v>
      </c>
      <c r="Y188" s="369"/>
      <c r="Z188" s="369"/>
      <c r="AA188" s="369"/>
      <c r="AB188" s="369"/>
      <c r="AC188" s="369"/>
      <c r="AD188" s="369"/>
      <c r="AE188" s="369"/>
      <c r="AF188" s="369"/>
      <c r="AG188" s="369"/>
      <c r="AH188" s="369"/>
      <c r="AI188" s="369"/>
      <c r="AK188" t="s">
        <v>3</v>
      </c>
      <c r="AL188" s="154">
        <f>AVERAGEIF($M$337:$M$367,"&lt;&gt;0")</f>
        <v>0.79039999999999988</v>
      </c>
    </row>
    <row r="189" spans="1:38">
      <c r="A189" s="27">
        <v>45204</v>
      </c>
      <c r="B189" s="27">
        <f>IF(YEAR(Table7[[#This Row],[Date]]) = 2023, WEEKNUM(Table7[[#This Row],[Date]])-13, WEEKNUM(Table7[[#This Row],[Date]])+40)</f>
        <v>27</v>
      </c>
      <c r="C189" s="34" t="s">
        <v>52</v>
      </c>
      <c r="D189" s="62" t="s">
        <v>94</v>
      </c>
      <c r="E189" s="1">
        <v>407</v>
      </c>
      <c r="F189" s="1">
        <v>378</v>
      </c>
      <c r="G189" s="64">
        <f t="shared" si="55"/>
        <v>-0.15734989648033126</v>
      </c>
      <c r="H189" s="64">
        <f t="shared" si="56"/>
        <v>-0.11475409836065574</v>
      </c>
      <c r="I189" s="1"/>
      <c r="J189" s="1"/>
      <c r="K189" s="1"/>
      <c r="L189" s="1"/>
      <c r="M189" s="66">
        <v>0.78</v>
      </c>
      <c r="N189" s="66">
        <v>7.0000000000000007E-2</v>
      </c>
      <c r="O189" s="66">
        <v>0.93</v>
      </c>
      <c r="P189" s="66">
        <v>0.37</v>
      </c>
      <c r="Q189" s="87">
        <v>0.92</v>
      </c>
      <c r="R189" s="285">
        <v>258</v>
      </c>
      <c r="S189" s="145">
        <v>6.25E-2</v>
      </c>
      <c r="T189" s="113">
        <v>7</v>
      </c>
      <c r="U189" s="66" t="str">
        <f t="shared" si="29"/>
        <v>Outlier</v>
      </c>
      <c r="V189" s="66" t="str">
        <f t="shared" si="30"/>
        <v>Normal</v>
      </c>
      <c r="W189" s="19">
        <f t="shared" si="52"/>
        <v>-0.15734989648033126</v>
      </c>
      <c r="X189" s="19">
        <f t="shared" si="40"/>
        <v>-0.11475409836065574</v>
      </c>
      <c r="Y189" s="369"/>
      <c r="Z189" s="369"/>
      <c r="AA189" s="369"/>
      <c r="AB189" s="369"/>
      <c r="AC189" s="369"/>
      <c r="AD189" s="369"/>
      <c r="AE189" s="369"/>
      <c r="AF189" s="369"/>
      <c r="AG189" s="369"/>
      <c r="AH189" s="369"/>
      <c r="AI189" s="369"/>
      <c r="AK189" t="s">
        <v>119</v>
      </c>
      <c r="AL189" s="154">
        <f>AVERAGEIF($P$337:$P$367,"&lt;&gt;0")</f>
        <v>0.48799999999999999</v>
      </c>
    </row>
    <row r="190" spans="1:38">
      <c r="A190" s="27">
        <v>45205</v>
      </c>
      <c r="B190" s="27">
        <f>IF(YEAR(Table7[[#This Row],[Date]]) = 2023, WEEKNUM(Table7[[#This Row],[Date]])-13, WEEKNUM(Table7[[#This Row],[Date]])+40)</f>
        <v>27</v>
      </c>
      <c r="C190" s="34" t="s">
        <v>53</v>
      </c>
      <c r="D190" s="62" t="s">
        <v>94</v>
      </c>
      <c r="E190" s="1">
        <v>418</v>
      </c>
      <c r="F190" s="1">
        <v>397</v>
      </c>
      <c r="G190" s="64">
        <f t="shared" si="55"/>
        <v>-0.36280487804878048</v>
      </c>
      <c r="H190" s="64">
        <f t="shared" si="56"/>
        <v>-0.11185682326621924</v>
      </c>
      <c r="I190" s="1"/>
      <c r="J190" s="1"/>
      <c r="K190" s="1"/>
      <c r="L190" s="1"/>
      <c r="M190" s="66">
        <v>0.8</v>
      </c>
      <c r="N190" s="66">
        <v>0.05</v>
      </c>
      <c r="O190" s="66">
        <v>0.95</v>
      </c>
      <c r="P190" s="66">
        <v>0.39</v>
      </c>
      <c r="Q190" s="87">
        <v>0.9</v>
      </c>
      <c r="R190" s="285">
        <v>260</v>
      </c>
      <c r="S190" s="145">
        <v>3.3333333333333333E-2</v>
      </c>
      <c r="T190" s="113">
        <v>7</v>
      </c>
      <c r="U190" s="66" t="str">
        <f t="shared" si="29"/>
        <v>Outlier</v>
      </c>
      <c r="V190" s="66" t="str">
        <f t="shared" si="30"/>
        <v>Normal</v>
      </c>
      <c r="W190" s="19">
        <f t="shared" si="52"/>
        <v>-0.36280487804878048</v>
      </c>
      <c r="X190" s="19">
        <f t="shared" si="40"/>
        <v>-0.11185682326621924</v>
      </c>
      <c r="Y190" s="369"/>
      <c r="Z190" s="369"/>
      <c r="AA190" s="369"/>
      <c r="AB190" s="369"/>
      <c r="AC190" s="369"/>
      <c r="AD190" s="369"/>
      <c r="AE190" s="369"/>
      <c r="AF190" s="369"/>
      <c r="AG190" s="369"/>
      <c r="AH190" s="369"/>
      <c r="AI190" s="369"/>
      <c r="AK190" t="s">
        <v>7</v>
      </c>
      <c r="AL190" s="154">
        <f>AVERAGEIF($Q$337:$Q367,"&lt;&gt;0")</f>
        <v>1</v>
      </c>
    </row>
    <row r="191" spans="1:38">
      <c r="A191" s="27">
        <v>45206</v>
      </c>
      <c r="B191" s="27">
        <f>IF(YEAR(Table7[[#This Row],[Date]]) = 2023, WEEKNUM(Table7[[#This Row],[Date]])-13, WEEKNUM(Table7[[#This Row],[Date]])+40)</f>
        <v>27</v>
      </c>
      <c r="C191" s="34" t="s">
        <v>54</v>
      </c>
      <c r="D191" s="62" t="s">
        <v>94</v>
      </c>
      <c r="E191" s="1">
        <v>224</v>
      </c>
      <c r="F191" s="1">
        <v>175</v>
      </c>
      <c r="G191" s="64">
        <f t="shared" si="55"/>
        <v>-0.4241645244215938</v>
      </c>
      <c r="H191" s="64">
        <f t="shared" si="56"/>
        <v>-0.24892703862660945</v>
      </c>
      <c r="I191" s="1"/>
      <c r="J191" s="1"/>
      <c r="K191" s="1"/>
      <c r="L191" s="1"/>
      <c r="M191" s="66">
        <v>0.5</v>
      </c>
      <c r="N191" s="66">
        <v>0.22</v>
      </c>
      <c r="O191" s="66">
        <v>0.78</v>
      </c>
      <c r="P191" s="66">
        <v>0.53</v>
      </c>
      <c r="Q191" s="87">
        <v>0.93</v>
      </c>
      <c r="R191" s="285">
        <v>287</v>
      </c>
      <c r="S191" s="145">
        <v>0.1173611111111111</v>
      </c>
      <c r="T191" s="113">
        <v>3</v>
      </c>
      <c r="U191" s="66" t="str">
        <f t="shared" si="29"/>
        <v>Outlier</v>
      </c>
      <c r="V191" s="66" t="str">
        <f t="shared" si="30"/>
        <v>Normal</v>
      </c>
      <c r="W191" s="19">
        <f t="shared" si="52"/>
        <v>-0.4241645244215938</v>
      </c>
      <c r="X191" s="19">
        <f t="shared" si="40"/>
        <v>-0.24892703862660945</v>
      </c>
      <c r="Y191" s="369"/>
      <c r="Z191" s="369"/>
      <c r="AA191" s="369"/>
      <c r="AB191" s="369"/>
      <c r="AC191" s="369"/>
      <c r="AD191" s="369"/>
      <c r="AE191" s="369"/>
      <c r="AF191" s="369"/>
      <c r="AG191" s="369"/>
      <c r="AH191" s="369"/>
      <c r="AI191" s="369"/>
    </row>
    <row r="192" spans="1:38">
      <c r="A192" s="27">
        <v>45207</v>
      </c>
      <c r="B192" s="27">
        <f>IF(YEAR(Table7[[#This Row],[Date]]) = 2023, WEEKNUM(Table7[[#This Row],[Date]])-13, WEEKNUM(Table7[[#This Row],[Date]])+40)</f>
        <v>28</v>
      </c>
      <c r="C192" s="34" t="s">
        <v>48</v>
      </c>
      <c r="D192" s="62" t="s">
        <v>94</v>
      </c>
      <c r="E192" s="1">
        <v>0</v>
      </c>
      <c r="F192" s="1">
        <v>0</v>
      </c>
      <c r="G192" s="64">
        <v>0</v>
      </c>
      <c r="H192" s="64">
        <v>0</v>
      </c>
      <c r="I192" s="1">
        <v>0</v>
      </c>
      <c r="J192" s="1">
        <v>0</v>
      </c>
      <c r="K192" s="1">
        <v>0</v>
      </c>
      <c r="L192" s="1">
        <v>0</v>
      </c>
      <c r="M192" s="66">
        <v>0</v>
      </c>
      <c r="N192" s="66">
        <v>0</v>
      </c>
      <c r="O192" s="66">
        <v>0</v>
      </c>
      <c r="P192" s="66">
        <v>0</v>
      </c>
      <c r="Q192" s="87">
        <v>0</v>
      </c>
      <c r="R192" s="285">
        <v>0</v>
      </c>
      <c r="S192" s="145">
        <v>0</v>
      </c>
      <c r="T192" s="113">
        <v>0</v>
      </c>
      <c r="U192" s="66" t="str">
        <f t="shared" si="29"/>
        <v>Normal</v>
      </c>
      <c r="V192" s="66" t="str">
        <f t="shared" si="30"/>
        <v>Normal</v>
      </c>
      <c r="W192" s="19">
        <f t="shared" si="52"/>
        <v>0</v>
      </c>
      <c r="X192" s="19">
        <f t="shared" si="40"/>
        <v>0</v>
      </c>
      <c r="Y192" s="369"/>
      <c r="Z192" s="369"/>
      <c r="AA192" s="369"/>
      <c r="AB192" s="369"/>
      <c r="AC192" s="369"/>
      <c r="AD192" s="369"/>
      <c r="AE192" s="369"/>
      <c r="AF192" s="369"/>
      <c r="AG192" s="369"/>
      <c r="AH192" s="369"/>
      <c r="AI192" s="369"/>
    </row>
    <row r="193" spans="1:35">
      <c r="A193" s="27">
        <v>45208</v>
      </c>
      <c r="B193" s="27">
        <f>IF(YEAR(Table7[[#This Row],[Date]]) = 2023, WEEKNUM(Table7[[#This Row],[Date]])-13, WEEKNUM(Table7[[#This Row],[Date]])+40)</f>
        <v>28</v>
      </c>
      <c r="C193" s="34" t="s">
        <v>49</v>
      </c>
      <c r="D193" s="62" t="s">
        <v>94</v>
      </c>
      <c r="E193" s="1">
        <v>609</v>
      </c>
      <c r="F193" s="1">
        <v>429</v>
      </c>
      <c r="G193" s="64">
        <f t="shared" ref="G193:G198" si="57">IFERROR((E193-E186)/E186,0%)</f>
        <v>0.39359267734553777</v>
      </c>
      <c r="H193" s="64">
        <f t="shared" ref="H193:H198" si="58">IFERROR((F193-F186)/F186,0%)</f>
        <v>0.36624203821656048</v>
      </c>
      <c r="I193" s="1"/>
      <c r="J193" s="1"/>
      <c r="K193" s="1"/>
      <c r="L193" s="1"/>
      <c r="M193" s="66">
        <v>0.39</v>
      </c>
      <c r="N193" s="66">
        <v>0.3</v>
      </c>
      <c r="O193" s="66">
        <v>0.7</v>
      </c>
      <c r="P193" s="66">
        <v>0.49</v>
      </c>
      <c r="Q193" s="87">
        <v>0.94</v>
      </c>
      <c r="R193" s="288">
        <v>270</v>
      </c>
      <c r="S193" s="169">
        <v>0.20138888888888887</v>
      </c>
      <c r="T193" s="173">
        <v>6</v>
      </c>
      <c r="U193" s="66" t="str">
        <f t="shared" si="29"/>
        <v>Normal</v>
      </c>
      <c r="V193" s="66" t="str">
        <f t="shared" si="30"/>
        <v>Normal</v>
      </c>
      <c r="W193" s="19">
        <f t="shared" si="52"/>
        <v>0.39359267734553777</v>
      </c>
      <c r="X193" s="19">
        <f t="shared" si="40"/>
        <v>0.36624203821656048</v>
      </c>
      <c r="Y193" s="369"/>
      <c r="Z193" s="369"/>
      <c r="AA193" s="369"/>
      <c r="AB193" s="369"/>
      <c r="AC193" s="369"/>
      <c r="AD193" s="369"/>
      <c r="AE193" s="369"/>
      <c r="AF193" s="369"/>
      <c r="AG193" s="369"/>
      <c r="AH193" s="369"/>
      <c r="AI193" s="369"/>
    </row>
    <row r="194" spans="1:35">
      <c r="A194" s="27">
        <v>45209</v>
      </c>
      <c r="B194" s="27">
        <f>IF(YEAR(Table7[[#This Row],[Date]]) = 2023, WEEKNUM(Table7[[#This Row],[Date]])-13, WEEKNUM(Table7[[#This Row],[Date]])+40)</f>
        <v>28</v>
      </c>
      <c r="C194" s="34" t="s">
        <v>50</v>
      </c>
      <c r="D194" s="62" t="s">
        <v>94</v>
      </c>
      <c r="E194" s="1">
        <v>452</v>
      </c>
      <c r="F194" s="1">
        <v>406</v>
      </c>
      <c r="G194" s="64">
        <f t="shared" si="57"/>
        <v>1.3452914798206279E-2</v>
      </c>
      <c r="H194" s="64">
        <f t="shared" si="58"/>
        <v>-3.1026252983293555E-2</v>
      </c>
      <c r="I194" s="1"/>
      <c r="J194" s="1"/>
      <c r="K194" s="1"/>
      <c r="L194" s="1"/>
      <c r="M194" s="66">
        <v>0.75</v>
      </c>
      <c r="N194" s="66">
        <v>0.1</v>
      </c>
      <c r="O194" s="66">
        <v>0.9</v>
      </c>
      <c r="P194" s="66">
        <v>0.47</v>
      </c>
      <c r="Q194" s="87">
        <v>1</v>
      </c>
      <c r="R194" s="285">
        <v>275</v>
      </c>
      <c r="S194" s="145">
        <v>6.3194444444444442E-2</v>
      </c>
      <c r="T194" s="113">
        <v>6</v>
      </c>
      <c r="U194" s="66" t="str">
        <f t="shared" si="29"/>
        <v>Outlier</v>
      </c>
      <c r="V194" s="66" t="str">
        <f t="shared" si="30"/>
        <v>Normal</v>
      </c>
      <c r="W194" s="19">
        <f t="shared" si="52"/>
        <v>1.3452914798206279E-2</v>
      </c>
      <c r="X194" s="19">
        <f t="shared" si="40"/>
        <v>-3.1026252983293555E-2</v>
      </c>
      <c r="Y194" s="369"/>
      <c r="Z194" s="369"/>
      <c r="AA194" s="369"/>
      <c r="AB194" s="369"/>
      <c r="AC194" s="369"/>
      <c r="AD194" s="369"/>
      <c r="AE194" s="369"/>
      <c r="AF194" s="369"/>
      <c r="AG194" s="369"/>
      <c r="AH194" s="369"/>
      <c r="AI194" s="369"/>
    </row>
    <row r="195" spans="1:35">
      <c r="A195" s="27">
        <v>45210</v>
      </c>
      <c r="B195" s="27">
        <f>IF(YEAR(Table7[[#This Row],[Date]]) = 2023, WEEKNUM(Table7[[#This Row],[Date]])-13, WEEKNUM(Table7[[#This Row],[Date]])+40)</f>
        <v>28</v>
      </c>
      <c r="C195" s="34" t="s">
        <v>51</v>
      </c>
      <c r="D195" s="62" t="s">
        <v>94</v>
      </c>
      <c r="E195" s="1">
        <v>400</v>
      </c>
      <c r="F195" s="1">
        <v>360</v>
      </c>
      <c r="G195" s="64">
        <f t="shared" si="57"/>
        <v>-0.21568627450980393</v>
      </c>
      <c r="H195" s="64">
        <f t="shared" si="58"/>
        <v>-0.1</v>
      </c>
      <c r="I195" s="1"/>
      <c r="J195" s="1"/>
      <c r="K195" s="1"/>
      <c r="L195" s="1"/>
      <c r="M195" s="66">
        <v>0.76</v>
      </c>
      <c r="N195" s="66">
        <v>0.1</v>
      </c>
      <c r="O195" s="66">
        <v>0.9</v>
      </c>
      <c r="P195" s="66">
        <v>0.41</v>
      </c>
      <c r="Q195" s="87">
        <v>1</v>
      </c>
      <c r="R195" s="285">
        <v>246</v>
      </c>
      <c r="S195" s="145">
        <v>5.2083333333333336E-2</v>
      </c>
      <c r="T195" s="113">
        <v>6</v>
      </c>
      <c r="U195" s="66" t="str">
        <f t="shared" ref="U195:U258" si="59">IF(OR(H195&lt;$AJ$5,H195&gt;$AK$5), "Outlier", "Normal")</f>
        <v>Outlier</v>
      </c>
      <c r="V195" s="66" t="str">
        <f t="shared" ref="V195:V258" si="60">IF(OR(I195&lt;$AJ$6,I195&gt;$AK$6), "Outlier", "Normal")</f>
        <v>Normal</v>
      </c>
      <c r="W195" s="19">
        <f t="shared" si="52"/>
        <v>-0.21568627450980393</v>
      </c>
      <c r="X195" s="19">
        <f t="shared" si="40"/>
        <v>-0.1</v>
      </c>
      <c r="Y195" s="369"/>
      <c r="Z195" s="369"/>
      <c r="AA195" s="369"/>
      <c r="AB195" s="369"/>
      <c r="AC195" s="369"/>
      <c r="AD195" s="369"/>
      <c r="AE195" s="369"/>
      <c r="AF195" s="369"/>
      <c r="AG195" s="369"/>
      <c r="AH195" s="369"/>
      <c r="AI195" s="369"/>
    </row>
    <row r="196" spans="1:35">
      <c r="A196" s="27">
        <v>45211</v>
      </c>
      <c r="B196" s="27">
        <f>IF(YEAR(Table7[[#This Row],[Date]]) = 2023, WEEKNUM(Table7[[#This Row],[Date]])-13, WEEKNUM(Table7[[#This Row],[Date]])+40)</f>
        <v>28</v>
      </c>
      <c r="C196" s="34" t="s">
        <v>52</v>
      </c>
      <c r="D196" s="62" t="s">
        <v>94</v>
      </c>
      <c r="E196" s="1">
        <v>311</v>
      </c>
      <c r="F196" s="1">
        <v>295</v>
      </c>
      <c r="G196" s="64">
        <f t="shared" si="57"/>
        <v>-0.23587223587223588</v>
      </c>
      <c r="H196" s="64">
        <f t="shared" si="58"/>
        <v>-0.21957671957671956</v>
      </c>
      <c r="I196" s="1"/>
      <c r="J196" s="1"/>
      <c r="K196" s="1"/>
      <c r="L196" s="1"/>
      <c r="M196" s="66">
        <v>0.84</v>
      </c>
      <c r="N196" s="66">
        <v>0.05</v>
      </c>
      <c r="O196" s="66">
        <v>0.95</v>
      </c>
      <c r="P196" s="66">
        <v>0.38</v>
      </c>
      <c r="Q196" s="87">
        <v>1</v>
      </c>
      <c r="R196" s="285">
        <v>250</v>
      </c>
      <c r="S196" s="145">
        <v>2.9861111111111113E-2</v>
      </c>
      <c r="T196" s="113">
        <v>7</v>
      </c>
      <c r="U196" s="66" t="str">
        <f t="shared" si="59"/>
        <v>Outlier</v>
      </c>
      <c r="V196" s="66" t="str">
        <f t="shared" si="60"/>
        <v>Normal</v>
      </c>
      <c r="W196" s="19">
        <f t="shared" si="52"/>
        <v>-0.23587223587223588</v>
      </c>
      <c r="X196" s="19">
        <f t="shared" si="40"/>
        <v>-0.21957671957671956</v>
      </c>
      <c r="Y196" s="369"/>
      <c r="Z196" s="369"/>
      <c r="AA196" s="369"/>
      <c r="AB196" s="369"/>
      <c r="AC196" s="369"/>
      <c r="AD196" s="369"/>
      <c r="AE196" s="369"/>
      <c r="AF196" s="369"/>
      <c r="AG196" s="369"/>
      <c r="AH196" s="369"/>
      <c r="AI196" s="369"/>
    </row>
    <row r="197" spans="1:35">
      <c r="A197" s="27">
        <v>45212</v>
      </c>
      <c r="B197" s="27">
        <f>IF(YEAR(Table7[[#This Row],[Date]]) = 2023, WEEKNUM(Table7[[#This Row],[Date]])-13, WEEKNUM(Table7[[#This Row],[Date]])+40)</f>
        <v>28</v>
      </c>
      <c r="C197" s="34" t="s">
        <v>53</v>
      </c>
      <c r="D197" s="62" t="s">
        <v>94</v>
      </c>
      <c r="E197" s="1">
        <v>457</v>
      </c>
      <c r="F197" s="1">
        <v>398</v>
      </c>
      <c r="G197" s="64">
        <f t="shared" si="57"/>
        <v>9.3301435406698566E-2</v>
      </c>
      <c r="H197" s="64">
        <f t="shared" si="58"/>
        <v>2.5188916876574307E-3</v>
      </c>
      <c r="I197" s="1"/>
      <c r="J197" s="1"/>
      <c r="K197" s="1"/>
      <c r="L197" s="1"/>
      <c r="M197" s="66">
        <v>0.71</v>
      </c>
      <c r="N197" s="66">
        <v>0.13</v>
      </c>
      <c r="O197" s="66">
        <v>0.87</v>
      </c>
      <c r="P197" s="66">
        <v>0.39</v>
      </c>
      <c r="Q197" s="87">
        <v>1</v>
      </c>
      <c r="R197" s="285">
        <v>272</v>
      </c>
      <c r="S197" s="145">
        <v>6.9444444444444434E-2</v>
      </c>
      <c r="T197" s="113">
        <v>7</v>
      </c>
      <c r="U197" s="66" t="str">
        <f t="shared" si="59"/>
        <v>Normal</v>
      </c>
      <c r="V197" s="66" t="str">
        <f t="shared" si="60"/>
        <v>Normal</v>
      </c>
      <c r="W197" s="19">
        <f t="shared" si="52"/>
        <v>9.3301435406698566E-2</v>
      </c>
      <c r="X197" s="19">
        <f t="shared" si="40"/>
        <v>2.5188916876574307E-3</v>
      </c>
      <c r="Y197" s="369"/>
      <c r="Z197" s="369"/>
      <c r="AA197" s="369"/>
      <c r="AB197" s="369"/>
      <c r="AC197" s="369"/>
      <c r="AD197" s="369"/>
      <c r="AE197" s="369"/>
      <c r="AF197" s="369"/>
      <c r="AG197" s="369"/>
      <c r="AH197" s="369"/>
      <c r="AI197" s="369"/>
    </row>
    <row r="198" spans="1:35">
      <c r="A198" s="27">
        <v>45213</v>
      </c>
      <c r="B198" s="27">
        <f>IF(YEAR(Table7[[#This Row],[Date]]) = 2023, WEEKNUM(Table7[[#This Row],[Date]])-13, WEEKNUM(Table7[[#This Row],[Date]])+40)</f>
        <v>28</v>
      </c>
      <c r="C198" s="34" t="s">
        <v>54</v>
      </c>
      <c r="D198" s="62" t="s">
        <v>94</v>
      </c>
      <c r="E198" s="1">
        <v>305</v>
      </c>
      <c r="F198" s="1">
        <v>226</v>
      </c>
      <c r="G198" s="64">
        <f t="shared" si="57"/>
        <v>0.36160714285714285</v>
      </c>
      <c r="H198" s="64">
        <f t="shared" si="58"/>
        <v>0.29142857142857143</v>
      </c>
      <c r="I198" s="1"/>
      <c r="J198" s="1"/>
      <c r="K198" s="1"/>
      <c r="L198" s="1"/>
      <c r="M198" s="66">
        <v>0.38</v>
      </c>
      <c r="N198" s="66">
        <v>0.26</v>
      </c>
      <c r="O198" s="66">
        <v>0.74</v>
      </c>
      <c r="P198" s="66">
        <v>0.51</v>
      </c>
      <c r="Q198" s="87">
        <v>1</v>
      </c>
      <c r="R198" s="285">
        <v>276</v>
      </c>
      <c r="S198" s="145">
        <v>0.25763888888888892</v>
      </c>
      <c r="T198" s="113">
        <v>4</v>
      </c>
      <c r="U198" s="66" t="str">
        <f t="shared" si="59"/>
        <v>Normal</v>
      </c>
      <c r="V198" s="66" t="str">
        <f t="shared" si="60"/>
        <v>Normal</v>
      </c>
      <c r="W198" s="19">
        <f t="shared" si="52"/>
        <v>0.36160714285714285</v>
      </c>
      <c r="X198" s="19">
        <f t="shared" si="40"/>
        <v>0.29142857142857143</v>
      </c>
      <c r="Y198" s="369"/>
      <c r="Z198" s="369"/>
      <c r="AA198" s="369"/>
      <c r="AB198" s="369"/>
      <c r="AC198" s="369"/>
      <c r="AD198" s="369"/>
      <c r="AE198" s="369"/>
      <c r="AF198" s="369"/>
      <c r="AG198" s="369"/>
      <c r="AH198" s="369"/>
      <c r="AI198" s="369"/>
    </row>
    <row r="199" spans="1:35">
      <c r="A199" s="27">
        <v>45214</v>
      </c>
      <c r="B199" s="27">
        <f>IF(YEAR(Table7[[#This Row],[Date]]) = 2023, WEEKNUM(Table7[[#This Row],[Date]])-13, WEEKNUM(Table7[[#This Row],[Date]])+40)</f>
        <v>29</v>
      </c>
      <c r="C199" s="34" t="s">
        <v>48</v>
      </c>
      <c r="D199" s="62" t="s">
        <v>94</v>
      </c>
      <c r="E199" s="1">
        <v>0</v>
      </c>
      <c r="F199" s="1">
        <v>0</v>
      </c>
      <c r="G199" s="64">
        <v>0</v>
      </c>
      <c r="H199" s="64">
        <v>0</v>
      </c>
      <c r="I199" s="1">
        <v>0</v>
      </c>
      <c r="J199" s="1">
        <v>0</v>
      </c>
      <c r="K199" s="1">
        <v>0</v>
      </c>
      <c r="L199" s="1">
        <v>0</v>
      </c>
      <c r="M199" s="66">
        <v>0</v>
      </c>
      <c r="N199" s="66">
        <v>0</v>
      </c>
      <c r="O199" s="66">
        <v>0</v>
      </c>
      <c r="P199" s="66">
        <v>0</v>
      </c>
      <c r="Q199" s="87">
        <v>0</v>
      </c>
      <c r="R199" s="285">
        <v>0</v>
      </c>
      <c r="S199" s="145">
        <v>0</v>
      </c>
      <c r="T199" s="113">
        <v>0</v>
      </c>
      <c r="U199" s="66" t="str">
        <f t="shared" si="59"/>
        <v>Normal</v>
      </c>
      <c r="V199" s="66" t="str">
        <f t="shared" si="60"/>
        <v>Normal</v>
      </c>
      <c r="W199" s="19">
        <f t="shared" si="52"/>
        <v>0</v>
      </c>
      <c r="X199" s="19">
        <f t="shared" si="40"/>
        <v>0</v>
      </c>
      <c r="Y199" s="369"/>
      <c r="Z199" s="369"/>
      <c r="AA199" s="369"/>
      <c r="AB199" s="369"/>
      <c r="AC199" s="369"/>
      <c r="AD199" s="369"/>
      <c r="AE199" s="369"/>
      <c r="AF199" s="369"/>
      <c r="AG199" s="369"/>
      <c r="AH199" s="369"/>
      <c r="AI199" s="369"/>
    </row>
    <row r="200" spans="1:35">
      <c r="A200" s="27">
        <v>45215</v>
      </c>
      <c r="B200" s="27">
        <f>IF(YEAR(Table7[[#This Row],[Date]]) = 2023, WEEKNUM(Table7[[#This Row],[Date]])-13, WEEKNUM(Table7[[#This Row],[Date]])+40)</f>
        <v>29</v>
      </c>
      <c r="C200" s="34" t="s">
        <v>49</v>
      </c>
      <c r="D200" s="62" t="s">
        <v>94</v>
      </c>
      <c r="E200" s="1">
        <v>464</v>
      </c>
      <c r="F200" s="1">
        <v>370</v>
      </c>
      <c r="G200" s="64">
        <f t="shared" ref="G200:G205" si="61">IFERROR((E200-E193)/E193,0%)</f>
        <v>-0.23809523809523808</v>
      </c>
      <c r="H200" s="64">
        <f t="shared" ref="H200:H205" si="62">IFERROR((F200-F193)/F193,0%)</f>
        <v>-0.13752913752913754</v>
      </c>
      <c r="I200" s="1"/>
      <c r="J200" s="1"/>
      <c r="K200" s="1"/>
      <c r="L200" s="1"/>
      <c r="M200" s="66">
        <v>0.56000000000000005</v>
      </c>
      <c r="N200" s="66">
        <v>0.2</v>
      </c>
      <c r="O200" s="66">
        <v>0.8</v>
      </c>
      <c r="P200" s="66">
        <v>0.36</v>
      </c>
      <c r="Q200" s="87">
        <v>1</v>
      </c>
      <c r="R200" s="288">
        <v>273</v>
      </c>
      <c r="S200" s="169">
        <v>0.11319444444444444</v>
      </c>
      <c r="T200" s="173">
        <v>7</v>
      </c>
      <c r="U200" s="66" t="str">
        <f t="shared" si="59"/>
        <v>Outlier</v>
      </c>
      <c r="V200" s="66" t="str">
        <f t="shared" si="60"/>
        <v>Normal</v>
      </c>
      <c r="W200" s="19">
        <f t="shared" si="52"/>
        <v>-0.23809523809523808</v>
      </c>
      <c r="X200" s="19">
        <f t="shared" si="40"/>
        <v>-0.13752913752913754</v>
      </c>
      <c r="Y200" s="369"/>
      <c r="Z200" s="369"/>
      <c r="AA200" s="369"/>
      <c r="AB200" s="369"/>
      <c r="AC200" s="369"/>
      <c r="AD200" s="369"/>
      <c r="AE200" s="369"/>
      <c r="AF200" s="369"/>
      <c r="AG200" s="369"/>
      <c r="AH200" s="369"/>
      <c r="AI200" s="369"/>
    </row>
    <row r="201" spans="1:35">
      <c r="A201" s="27">
        <v>45216</v>
      </c>
      <c r="B201" s="27">
        <f>IF(YEAR(Table7[[#This Row],[Date]]) = 2023, WEEKNUM(Table7[[#This Row],[Date]])-13, WEEKNUM(Table7[[#This Row],[Date]])+40)</f>
        <v>29</v>
      </c>
      <c r="C201" s="34" t="s">
        <v>50</v>
      </c>
      <c r="D201" s="62" t="s">
        <v>94</v>
      </c>
      <c r="E201" s="1">
        <v>436</v>
      </c>
      <c r="F201" s="1">
        <v>396</v>
      </c>
      <c r="G201" s="64">
        <f t="shared" si="61"/>
        <v>-3.5398230088495575E-2</v>
      </c>
      <c r="H201" s="64">
        <f t="shared" si="62"/>
        <v>-2.4630541871921183E-2</v>
      </c>
      <c r="I201" s="1"/>
      <c r="J201" s="1"/>
      <c r="K201" s="1"/>
      <c r="L201" s="1"/>
      <c r="M201" s="66">
        <v>0.75</v>
      </c>
      <c r="N201" s="66">
        <v>0.09</v>
      </c>
      <c r="O201" s="66">
        <v>0.91</v>
      </c>
      <c r="P201" s="66">
        <v>0.39</v>
      </c>
      <c r="Q201" s="87">
        <v>1</v>
      </c>
      <c r="R201" s="285">
        <v>253</v>
      </c>
      <c r="S201" s="145">
        <v>3.9583333333333331E-2</v>
      </c>
      <c r="T201" s="113">
        <v>7</v>
      </c>
      <c r="U201" s="66" t="str">
        <f t="shared" si="59"/>
        <v>Outlier</v>
      </c>
      <c r="V201" s="66" t="str">
        <f t="shared" si="60"/>
        <v>Normal</v>
      </c>
      <c r="W201" s="19">
        <f t="shared" si="52"/>
        <v>-3.5398230088495575E-2</v>
      </c>
      <c r="X201" s="19">
        <f t="shared" si="40"/>
        <v>-2.4630541871921183E-2</v>
      </c>
      <c r="Y201" s="369"/>
      <c r="Z201" s="369"/>
      <c r="AA201" s="369"/>
      <c r="AB201" s="369"/>
      <c r="AC201" s="369"/>
      <c r="AD201" s="369"/>
      <c r="AE201" s="369"/>
      <c r="AF201" s="369"/>
      <c r="AG201" s="369"/>
      <c r="AH201" s="369"/>
      <c r="AI201" s="369"/>
    </row>
    <row r="202" spans="1:35">
      <c r="A202" s="27">
        <v>45217</v>
      </c>
      <c r="B202" s="27">
        <f>IF(YEAR(Table7[[#This Row],[Date]]) = 2023, WEEKNUM(Table7[[#This Row],[Date]])-13, WEEKNUM(Table7[[#This Row],[Date]])+40)</f>
        <v>29</v>
      </c>
      <c r="C202" s="34" t="s">
        <v>51</v>
      </c>
      <c r="D202" s="62" t="s">
        <v>94</v>
      </c>
      <c r="E202" s="1">
        <v>370</v>
      </c>
      <c r="F202" s="1">
        <v>337</v>
      </c>
      <c r="G202" s="64">
        <f t="shared" si="61"/>
        <v>-7.4999999999999997E-2</v>
      </c>
      <c r="H202" s="64">
        <f t="shared" si="62"/>
        <v>-6.3888888888888884E-2</v>
      </c>
      <c r="I202" s="1"/>
      <c r="J202" s="1"/>
      <c r="K202" s="1"/>
      <c r="L202" s="1"/>
      <c r="M202" s="66">
        <v>0.79</v>
      </c>
      <c r="N202" s="66">
        <v>0.09</v>
      </c>
      <c r="O202" s="66">
        <v>0.91</v>
      </c>
      <c r="P202" s="66">
        <v>0.39</v>
      </c>
      <c r="Q202" s="87">
        <v>1</v>
      </c>
      <c r="R202" s="285">
        <v>233</v>
      </c>
      <c r="S202" s="145">
        <v>5.4166666666666669E-2</v>
      </c>
      <c r="T202" s="113">
        <v>5</v>
      </c>
      <c r="U202" s="66" t="str">
        <f t="shared" si="59"/>
        <v>Outlier</v>
      </c>
      <c r="V202" s="66" t="str">
        <f t="shared" si="60"/>
        <v>Normal</v>
      </c>
      <c r="W202" s="19">
        <f t="shared" si="52"/>
        <v>-7.4999999999999997E-2</v>
      </c>
      <c r="X202" s="19">
        <f t="shared" si="40"/>
        <v>-6.3888888888888884E-2</v>
      </c>
      <c r="Y202" s="369"/>
      <c r="Z202" s="369"/>
      <c r="AA202" s="369"/>
      <c r="AB202" s="369"/>
      <c r="AC202" s="369"/>
      <c r="AD202" s="369"/>
      <c r="AE202" s="369"/>
      <c r="AF202" s="369"/>
      <c r="AG202" s="369"/>
      <c r="AH202" s="369"/>
      <c r="AI202" s="369"/>
    </row>
    <row r="203" spans="1:35">
      <c r="A203" s="27">
        <v>45218</v>
      </c>
      <c r="B203" s="27">
        <f>IF(YEAR(Table7[[#This Row],[Date]]) = 2023, WEEKNUM(Table7[[#This Row],[Date]])-13, WEEKNUM(Table7[[#This Row],[Date]])+40)</f>
        <v>29</v>
      </c>
      <c r="C203" s="34" t="s">
        <v>52</v>
      </c>
      <c r="D203" s="62" t="s">
        <v>94</v>
      </c>
      <c r="E203" s="1">
        <v>377</v>
      </c>
      <c r="F203" s="1">
        <v>350</v>
      </c>
      <c r="G203" s="64">
        <f t="shared" si="61"/>
        <v>0.21221864951768488</v>
      </c>
      <c r="H203" s="64">
        <f t="shared" si="62"/>
        <v>0.1864406779661017</v>
      </c>
      <c r="I203" s="1"/>
      <c r="J203" s="1"/>
      <c r="K203" s="1"/>
      <c r="L203" s="1"/>
      <c r="M203" s="66">
        <v>0.81</v>
      </c>
      <c r="N203" s="66">
        <v>7.0000000000000007E-2</v>
      </c>
      <c r="O203" s="66">
        <v>0.93</v>
      </c>
      <c r="P203" s="66">
        <v>0.4</v>
      </c>
      <c r="Q203" s="87">
        <v>1</v>
      </c>
      <c r="R203" s="285">
        <v>275</v>
      </c>
      <c r="S203" s="145">
        <v>4.2361111111111106E-2</v>
      </c>
      <c r="T203" s="113">
        <v>6</v>
      </c>
      <c r="U203" s="66" t="str">
        <f t="shared" si="59"/>
        <v>Normal</v>
      </c>
      <c r="V203" s="66" t="str">
        <f t="shared" si="60"/>
        <v>Normal</v>
      </c>
      <c r="W203" s="19">
        <f t="shared" si="52"/>
        <v>0.21221864951768488</v>
      </c>
      <c r="X203" s="19">
        <f t="shared" si="40"/>
        <v>0.1864406779661017</v>
      </c>
      <c r="Y203" s="369"/>
      <c r="Z203" s="369"/>
      <c r="AA203" s="369"/>
      <c r="AB203" s="369"/>
      <c r="AC203" s="369"/>
      <c r="AD203" s="369"/>
      <c r="AE203" s="369"/>
      <c r="AF203" s="369"/>
      <c r="AG203" s="369"/>
      <c r="AH203" s="369"/>
      <c r="AI203" s="369"/>
    </row>
    <row r="204" spans="1:35">
      <c r="A204" s="27">
        <v>45219</v>
      </c>
      <c r="B204" s="27">
        <f>IF(YEAR(Table7[[#This Row],[Date]]) = 2023, WEEKNUM(Table7[[#This Row],[Date]])-13, WEEKNUM(Table7[[#This Row],[Date]])+40)</f>
        <v>29</v>
      </c>
      <c r="C204" s="34" t="s">
        <v>53</v>
      </c>
      <c r="D204" s="62" t="s">
        <v>94</v>
      </c>
      <c r="E204" s="1">
        <v>305</v>
      </c>
      <c r="F204" s="1">
        <v>289</v>
      </c>
      <c r="G204" s="64">
        <f t="shared" si="61"/>
        <v>-0.33260393873085337</v>
      </c>
      <c r="H204" s="64">
        <f t="shared" si="62"/>
        <v>-0.27386934673366836</v>
      </c>
      <c r="I204" s="1"/>
      <c r="J204" s="1"/>
      <c r="K204" s="1"/>
      <c r="L204" s="1"/>
      <c r="M204" s="66">
        <v>0.88</v>
      </c>
      <c r="N204" s="66">
        <v>0.05</v>
      </c>
      <c r="O204" s="66">
        <v>0.95</v>
      </c>
      <c r="P204" s="66">
        <v>0.33</v>
      </c>
      <c r="Q204" s="87">
        <v>1</v>
      </c>
      <c r="R204" s="285">
        <v>246</v>
      </c>
      <c r="S204" s="145">
        <v>3.125E-2</v>
      </c>
      <c r="T204" s="113">
        <v>6</v>
      </c>
      <c r="U204" s="66" t="str">
        <f t="shared" si="59"/>
        <v>Outlier</v>
      </c>
      <c r="V204" s="66" t="str">
        <f t="shared" si="60"/>
        <v>Normal</v>
      </c>
      <c r="W204" s="19">
        <f t="shared" si="52"/>
        <v>-0.33260393873085337</v>
      </c>
      <c r="X204" s="19">
        <f t="shared" si="40"/>
        <v>-0.27386934673366836</v>
      </c>
      <c r="Y204" s="369"/>
      <c r="Z204" s="369"/>
      <c r="AA204" s="369"/>
      <c r="AB204" s="369"/>
      <c r="AC204" s="369"/>
      <c r="AD204" s="369"/>
      <c r="AE204" s="369"/>
      <c r="AF204" s="369"/>
      <c r="AG204" s="369"/>
      <c r="AH204" s="369"/>
      <c r="AI204" s="369"/>
    </row>
    <row r="205" spans="1:35">
      <c r="A205" s="27">
        <v>45220</v>
      </c>
      <c r="B205" s="27">
        <f>IF(YEAR(Table7[[#This Row],[Date]]) = 2023, WEEKNUM(Table7[[#This Row],[Date]])-13, WEEKNUM(Table7[[#This Row],[Date]])+40)</f>
        <v>29</v>
      </c>
      <c r="C205" s="34" t="s">
        <v>54</v>
      </c>
      <c r="D205" s="62" t="s">
        <v>94</v>
      </c>
      <c r="E205" s="1">
        <v>181</v>
      </c>
      <c r="F205" s="1">
        <v>169</v>
      </c>
      <c r="G205" s="64">
        <f t="shared" si="61"/>
        <v>-0.40655737704918032</v>
      </c>
      <c r="H205" s="64">
        <f t="shared" si="62"/>
        <v>-0.25221238938053098</v>
      </c>
      <c r="I205" s="1"/>
      <c r="J205" s="1"/>
      <c r="K205" s="1"/>
      <c r="L205" s="1"/>
      <c r="M205" s="66">
        <v>0.73</v>
      </c>
      <c r="N205" s="66">
        <v>7.0000000000000007E-2</v>
      </c>
      <c r="O205" s="66">
        <v>0.93</v>
      </c>
      <c r="P205" s="66">
        <v>0.39</v>
      </c>
      <c r="Q205" s="87">
        <v>0.61</v>
      </c>
      <c r="R205" s="285">
        <v>229</v>
      </c>
      <c r="S205" s="145">
        <v>5.6250000000000001E-2</v>
      </c>
      <c r="T205" s="113">
        <v>3</v>
      </c>
      <c r="U205" s="66" t="str">
        <f t="shared" si="59"/>
        <v>Outlier</v>
      </c>
      <c r="V205" s="66" t="str">
        <f t="shared" si="60"/>
        <v>Normal</v>
      </c>
      <c r="W205" s="19">
        <f t="shared" si="52"/>
        <v>-0.40655737704918032</v>
      </c>
      <c r="X205" s="19">
        <f t="shared" ref="X205:X268" si="63">IF(V205="Normal",$H205,IF($H205&lt;150%, $H205, $AN$9))</f>
        <v>-0.25221238938053098</v>
      </c>
      <c r="Y205" s="369"/>
      <c r="Z205" s="369"/>
      <c r="AA205" s="369"/>
      <c r="AB205" s="369"/>
      <c r="AC205" s="369"/>
      <c r="AD205" s="369"/>
      <c r="AE205" s="369"/>
      <c r="AF205" s="369"/>
      <c r="AG205" s="369"/>
      <c r="AH205" s="369"/>
      <c r="AI205" s="369"/>
    </row>
    <row r="206" spans="1:35">
      <c r="A206" s="27">
        <v>45221</v>
      </c>
      <c r="B206" s="27">
        <f>IF(YEAR(Table7[[#This Row],[Date]]) = 2023, WEEKNUM(Table7[[#This Row],[Date]])-13, WEEKNUM(Table7[[#This Row],[Date]])+40)</f>
        <v>30</v>
      </c>
      <c r="C206" s="34" t="s">
        <v>48</v>
      </c>
      <c r="D206" s="62" t="s">
        <v>94</v>
      </c>
      <c r="E206" s="1">
        <v>0</v>
      </c>
      <c r="F206" s="1">
        <v>0</v>
      </c>
      <c r="G206" s="64">
        <v>0</v>
      </c>
      <c r="H206" s="64">
        <v>0</v>
      </c>
      <c r="I206" s="1">
        <v>0</v>
      </c>
      <c r="J206" s="1">
        <v>0</v>
      </c>
      <c r="K206" s="1">
        <v>0</v>
      </c>
      <c r="L206" s="1">
        <v>0</v>
      </c>
      <c r="M206" s="66">
        <v>0</v>
      </c>
      <c r="N206" s="66">
        <v>0</v>
      </c>
      <c r="O206" s="66">
        <v>0</v>
      </c>
      <c r="P206" s="66">
        <v>0</v>
      </c>
      <c r="Q206" s="87">
        <v>0</v>
      </c>
      <c r="R206" s="285">
        <v>0</v>
      </c>
      <c r="S206" s="145">
        <v>0</v>
      </c>
      <c r="T206" s="113">
        <v>0</v>
      </c>
      <c r="U206" s="66" t="str">
        <f t="shared" si="59"/>
        <v>Normal</v>
      </c>
      <c r="V206" s="66" t="str">
        <f t="shared" si="60"/>
        <v>Normal</v>
      </c>
      <c r="W206" s="19">
        <f t="shared" si="52"/>
        <v>0</v>
      </c>
      <c r="X206" s="19">
        <f t="shared" si="63"/>
        <v>0</v>
      </c>
      <c r="Y206" s="369"/>
      <c r="Z206" s="369"/>
      <c r="AA206" s="369"/>
      <c r="AB206" s="369"/>
      <c r="AC206" s="369"/>
      <c r="AD206" s="369"/>
      <c r="AE206" s="369"/>
      <c r="AF206" s="369"/>
      <c r="AG206" s="369"/>
      <c r="AH206" s="369"/>
      <c r="AI206" s="369"/>
    </row>
    <row r="207" spans="1:35">
      <c r="A207" s="27">
        <v>45222</v>
      </c>
      <c r="B207" s="27">
        <f>IF(YEAR(Table7[[#This Row],[Date]]) = 2023, WEEKNUM(Table7[[#This Row],[Date]])-13, WEEKNUM(Table7[[#This Row],[Date]])+40)</f>
        <v>30</v>
      </c>
      <c r="C207" s="34" t="s">
        <v>49</v>
      </c>
      <c r="D207" s="62" t="s">
        <v>94</v>
      </c>
      <c r="E207" s="1">
        <v>666</v>
      </c>
      <c r="F207" s="1">
        <v>408</v>
      </c>
      <c r="G207" s="64">
        <f t="shared" ref="G207:G212" si="64">IFERROR((E207-E200)/E200,0%)</f>
        <v>0.43534482758620691</v>
      </c>
      <c r="H207" s="64">
        <f t="shared" ref="H207:H212" si="65">IFERROR((F207-F200)/F200,0%)</f>
        <v>0.10270270270270271</v>
      </c>
      <c r="I207" s="1"/>
      <c r="J207" s="1"/>
      <c r="K207" s="1"/>
      <c r="L207" s="1"/>
      <c r="M207" s="66">
        <v>0.28000000000000003</v>
      </c>
      <c r="N207" s="66">
        <v>0.39</v>
      </c>
      <c r="O207" s="66">
        <v>0.61</v>
      </c>
      <c r="P207" s="66">
        <v>0.47</v>
      </c>
      <c r="Q207" s="87">
        <v>1</v>
      </c>
      <c r="R207" s="285">
        <v>298</v>
      </c>
      <c r="S207" s="145">
        <v>0.3430555555555555</v>
      </c>
      <c r="T207" s="113">
        <v>6</v>
      </c>
      <c r="U207" s="66" t="str">
        <f t="shared" si="59"/>
        <v>Normal</v>
      </c>
      <c r="V207" s="66" t="str">
        <f t="shared" si="60"/>
        <v>Normal</v>
      </c>
      <c r="W207" s="19">
        <f t="shared" si="52"/>
        <v>0.43534482758620691</v>
      </c>
      <c r="X207" s="19">
        <f t="shared" si="63"/>
        <v>0.10270270270270271</v>
      </c>
      <c r="Y207" s="369"/>
      <c r="Z207" s="369"/>
      <c r="AA207" s="369"/>
      <c r="AB207" s="369"/>
      <c r="AC207" s="369"/>
      <c r="AD207" s="369"/>
      <c r="AE207" s="369"/>
      <c r="AF207" s="369"/>
      <c r="AG207" s="369"/>
      <c r="AH207" s="369"/>
      <c r="AI207" s="369"/>
    </row>
    <row r="208" spans="1:35">
      <c r="A208" s="27">
        <v>45223</v>
      </c>
      <c r="B208" s="27">
        <f>IF(YEAR(Table7[[#This Row],[Date]]) = 2023, WEEKNUM(Table7[[#This Row],[Date]])-13, WEEKNUM(Table7[[#This Row],[Date]])+40)</f>
        <v>30</v>
      </c>
      <c r="C208" s="34" t="s">
        <v>50</v>
      </c>
      <c r="D208" s="62" t="s">
        <v>94</v>
      </c>
      <c r="E208" s="1">
        <v>464</v>
      </c>
      <c r="F208" s="1">
        <v>415</v>
      </c>
      <c r="G208" s="64">
        <f t="shared" si="64"/>
        <v>6.4220183486238536E-2</v>
      </c>
      <c r="H208" s="64">
        <f t="shared" si="65"/>
        <v>4.7979797979797977E-2</v>
      </c>
      <c r="I208" s="1"/>
      <c r="J208" s="1"/>
      <c r="K208" s="1"/>
      <c r="L208" s="1"/>
      <c r="M208" s="66">
        <v>0.65</v>
      </c>
      <c r="N208" s="66">
        <v>0.11</v>
      </c>
      <c r="O208" s="66">
        <v>0.89</v>
      </c>
      <c r="P208" s="66">
        <v>0.48</v>
      </c>
      <c r="Q208" s="87">
        <v>1</v>
      </c>
      <c r="R208" s="285">
        <v>240</v>
      </c>
      <c r="S208" s="145">
        <v>0.10486111111111111</v>
      </c>
      <c r="T208" s="113">
        <v>6</v>
      </c>
      <c r="U208" s="66" t="str">
        <f t="shared" si="59"/>
        <v>Normal</v>
      </c>
      <c r="V208" s="66" t="str">
        <f t="shared" si="60"/>
        <v>Normal</v>
      </c>
      <c r="W208" s="19">
        <f t="shared" si="52"/>
        <v>6.4220183486238536E-2</v>
      </c>
      <c r="X208" s="19">
        <f t="shared" si="63"/>
        <v>4.7979797979797977E-2</v>
      </c>
      <c r="Y208" s="369"/>
      <c r="Z208" s="369"/>
      <c r="AA208" s="369"/>
      <c r="AB208" s="369"/>
      <c r="AC208" s="369"/>
      <c r="AD208" s="369"/>
      <c r="AE208" s="369"/>
      <c r="AF208" s="369"/>
      <c r="AG208" s="369"/>
      <c r="AH208" s="369"/>
      <c r="AI208" s="369"/>
    </row>
    <row r="209" spans="1:39">
      <c r="A209" s="27">
        <v>45224</v>
      </c>
      <c r="B209" s="27">
        <f>IF(YEAR(Table7[[#This Row],[Date]]) = 2023, WEEKNUM(Table7[[#This Row],[Date]])-13, WEEKNUM(Table7[[#This Row],[Date]])+40)</f>
        <v>30</v>
      </c>
      <c r="C209" s="34" t="s">
        <v>51</v>
      </c>
      <c r="D209" s="62" t="s">
        <v>94</v>
      </c>
      <c r="E209" s="1">
        <v>487</v>
      </c>
      <c r="F209" s="1">
        <v>403</v>
      </c>
      <c r="G209" s="64">
        <f t="shared" si="64"/>
        <v>0.31621621621621621</v>
      </c>
      <c r="H209" s="64">
        <f t="shared" si="65"/>
        <v>0.19584569732937684</v>
      </c>
      <c r="I209" s="1"/>
      <c r="J209" s="1"/>
      <c r="K209" s="1"/>
      <c r="L209" s="1"/>
      <c r="M209" s="66">
        <v>0.55000000000000004</v>
      </c>
      <c r="N209" s="66">
        <v>0.17</v>
      </c>
      <c r="O209" s="66">
        <v>0.83</v>
      </c>
      <c r="P209" s="66">
        <v>0.46</v>
      </c>
      <c r="Q209" s="87">
        <v>1</v>
      </c>
      <c r="R209" s="285">
        <v>232</v>
      </c>
      <c r="S209" s="145">
        <v>0.10625</v>
      </c>
      <c r="T209" s="113">
        <v>6</v>
      </c>
      <c r="U209" s="66" t="str">
        <f t="shared" si="59"/>
        <v>Normal</v>
      </c>
      <c r="V209" s="66" t="str">
        <f t="shared" si="60"/>
        <v>Normal</v>
      </c>
      <c r="W209" s="19">
        <f t="shared" si="52"/>
        <v>0.31621621621621621</v>
      </c>
      <c r="X209" s="19">
        <f t="shared" si="63"/>
        <v>0.19584569732937684</v>
      </c>
      <c r="Y209" s="369"/>
      <c r="Z209" s="369"/>
      <c r="AA209" s="369"/>
      <c r="AB209" s="369"/>
      <c r="AC209" s="369"/>
      <c r="AD209" s="369"/>
      <c r="AE209" s="369"/>
      <c r="AF209" s="369"/>
      <c r="AG209" s="369"/>
      <c r="AH209" s="369"/>
      <c r="AI209" s="369"/>
    </row>
    <row r="210" spans="1:39">
      <c r="A210" s="27">
        <v>45225</v>
      </c>
      <c r="B210" s="27">
        <f>IF(YEAR(Table7[[#This Row],[Date]]) = 2023, WEEKNUM(Table7[[#This Row],[Date]])-13, WEEKNUM(Table7[[#This Row],[Date]])+40)</f>
        <v>30</v>
      </c>
      <c r="C210" s="34" t="s">
        <v>52</v>
      </c>
      <c r="D210" s="62" t="s">
        <v>94</v>
      </c>
      <c r="E210" s="1">
        <v>331</v>
      </c>
      <c r="F210" s="1">
        <v>308</v>
      </c>
      <c r="G210" s="64">
        <f t="shared" si="64"/>
        <v>-0.1220159151193634</v>
      </c>
      <c r="H210" s="64">
        <f t="shared" si="65"/>
        <v>-0.12</v>
      </c>
      <c r="I210" s="1"/>
      <c r="J210" s="1"/>
      <c r="K210" s="1"/>
      <c r="L210" s="1"/>
      <c r="M210" s="66">
        <v>0.78</v>
      </c>
      <c r="N210" s="66">
        <v>7.0000000000000007E-2</v>
      </c>
      <c r="O210" s="66">
        <v>0.93</v>
      </c>
      <c r="P210" s="66">
        <v>0.42</v>
      </c>
      <c r="Q210" s="87">
        <v>1</v>
      </c>
      <c r="R210" s="285">
        <v>217</v>
      </c>
      <c r="S210" s="145">
        <v>3.6805555555555557E-2</v>
      </c>
      <c r="T210" s="113">
        <v>5</v>
      </c>
      <c r="U210" s="66" t="str">
        <f t="shared" si="59"/>
        <v>Outlier</v>
      </c>
      <c r="V210" s="66" t="str">
        <f t="shared" si="60"/>
        <v>Normal</v>
      </c>
      <c r="W210" s="19">
        <f t="shared" si="52"/>
        <v>-0.1220159151193634</v>
      </c>
      <c r="X210" s="19">
        <f t="shared" si="63"/>
        <v>-0.12</v>
      </c>
      <c r="Y210" s="369"/>
      <c r="Z210" s="369"/>
      <c r="AA210" s="369"/>
      <c r="AB210" s="369"/>
      <c r="AC210" s="369"/>
      <c r="AD210" s="369"/>
      <c r="AE210" s="369"/>
      <c r="AF210" s="369"/>
      <c r="AG210" s="369"/>
      <c r="AH210" s="369"/>
      <c r="AI210" s="369"/>
    </row>
    <row r="211" spans="1:39">
      <c r="A211" s="27">
        <v>45226</v>
      </c>
      <c r="B211" s="27">
        <f>IF(YEAR(Table7[[#This Row],[Date]]) = 2023, WEEKNUM(Table7[[#This Row],[Date]])-13, WEEKNUM(Table7[[#This Row],[Date]])+40)</f>
        <v>30</v>
      </c>
      <c r="C211" s="34" t="s">
        <v>53</v>
      </c>
      <c r="D211" s="62" t="s">
        <v>94</v>
      </c>
      <c r="E211" s="1">
        <v>526</v>
      </c>
      <c r="F211" s="1">
        <v>440</v>
      </c>
      <c r="G211" s="64">
        <f t="shared" si="64"/>
        <v>0.72459016393442621</v>
      </c>
      <c r="H211" s="64">
        <f t="shared" si="65"/>
        <v>0.52249134948096887</v>
      </c>
      <c r="I211" s="1"/>
      <c r="J211" s="1"/>
      <c r="K211" s="1"/>
      <c r="L211" s="1"/>
      <c r="M211" s="66">
        <v>0.56000000000000005</v>
      </c>
      <c r="N211" s="66">
        <v>0.16</v>
      </c>
      <c r="O211" s="66">
        <v>0.84</v>
      </c>
      <c r="P211" s="66">
        <v>0.61</v>
      </c>
      <c r="Q211" s="87">
        <v>1</v>
      </c>
      <c r="R211" s="285">
        <v>228</v>
      </c>
      <c r="S211" s="145">
        <v>8.1250000000000003E-2</v>
      </c>
      <c r="T211" s="113">
        <v>5</v>
      </c>
      <c r="U211" s="66" t="str">
        <f t="shared" si="59"/>
        <v>Normal</v>
      </c>
      <c r="V211" s="66" t="str">
        <f t="shared" si="60"/>
        <v>Normal</v>
      </c>
      <c r="W211" s="19">
        <f t="shared" si="52"/>
        <v>0.72459016393442621</v>
      </c>
      <c r="X211" s="19">
        <f t="shared" si="63"/>
        <v>0.52249134948096887</v>
      </c>
      <c r="Y211" s="369"/>
      <c r="Z211" s="369"/>
      <c r="AA211" s="369"/>
      <c r="AB211" s="369"/>
      <c r="AC211" s="369"/>
      <c r="AD211" s="369"/>
      <c r="AE211" s="369"/>
      <c r="AF211" s="369"/>
      <c r="AG211" s="369"/>
      <c r="AH211" s="369"/>
      <c r="AI211" s="369"/>
    </row>
    <row r="212" spans="1:39">
      <c r="A212" s="27">
        <v>45227</v>
      </c>
      <c r="B212" s="27">
        <f>IF(YEAR(Table7[[#This Row],[Date]]) = 2023, WEEKNUM(Table7[[#This Row],[Date]])-13, WEEKNUM(Table7[[#This Row],[Date]])+40)</f>
        <v>30</v>
      </c>
      <c r="C212" s="34" t="s">
        <v>54</v>
      </c>
      <c r="D212" s="62" t="s">
        <v>94</v>
      </c>
      <c r="E212" s="1">
        <v>306</v>
      </c>
      <c r="F212" s="1">
        <v>204</v>
      </c>
      <c r="G212" s="64">
        <f t="shared" si="64"/>
        <v>0.69060773480662985</v>
      </c>
      <c r="H212" s="64">
        <f t="shared" si="65"/>
        <v>0.20710059171597633</v>
      </c>
      <c r="I212" s="1"/>
      <c r="J212" s="1"/>
      <c r="K212" s="1"/>
      <c r="L212" s="1"/>
      <c r="M212" s="66">
        <v>0.24</v>
      </c>
      <c r="N212" s="66">
        <v>0.33</v>
      </c>
      <c r="O212" s="66">
        <v>0.67</v>
      </c>
      <c r="P212" s="66">
        <v>0.47</v>
      </c>
      <c r="Q212" s="87">
        <v>1</v>
      </c>
      <c r="R212" s="285">
        <v>241</v>
      </c>
      <c r="S212" s="145">
        <v>0.24097222222222223</v>
      </c>
      <c r="T212" s="113">
        <v>3</v>
      </c>
      <c r="U212" s="66" t="str">
        <f t="shared" si="59"/>
        <v>Normal</v>
      </c>
      <c r="V212" s="66" t="str">
        <f t="shared" si="60"/>
        <v>Normal</v>
      </c>
      <c r="W212" s="19">
        <f t="shared" si="52"/>
        <v>0.69060773480662985</v>
      </c>
      <c r="X212" s="19">
        <f t="shared" si="63"/>
        <v>0.20710059171597633</v>
      </c>
      <c r="Y212" s="369"/>
      <c r="Z212" s="369"/>
      <c r="AA212" s="369"/>
      <c r="AB212" s="369"/>
      <c r="AC212" s="369"/>
      <c r="AD212" s="369"/>
      <c r="AE212" s="369"/>
      <c r="AF212" s="369"/>
      <c r="AG212" s="369"/>
      <c r="AH212" s="369"/>
      <c r="AI212" s="369"/>
    </row>
    <row r="213" spans="1:39">
      <c r="A213" s="27">
        <v>45228</v>
      </c>
      <c r="B213" s="27">
        <f>IF(YEAR(Table7[[#This Row],[Date]]) = 2023, WEEKNUM(Table7[[#This Row],[Date]])-13, WEEKNUM(Table7[[#This Row],[Date]])+40)</f>
        <v>31</v>
      </c>
      <c r="C213" s="34" t="s">
        <v>48</v>
      </c>
      <c r="D213" s="62" t="s">
        <v>94</v>
      </c>
      <c r="E213" s="1">
        <v>0</v>
      </c>
      <c r="F213" s="1">
        <v>0</v>
      </c>
      <c r="G213" s="64">
        <v>0</v>
      </c>
      <c r="H213" s="64">
        <v>0</v>
      </c>
      <c r="I213" s="1">
        <v>0</v>
      </c>
      <c r="J213" s="1">
        <v>0</v>
      </c>
      <c r="K213" s="1">
        <v>0</v>
      </c>
      <c r="L213" s="1">
        <v>0</v>
      </c>
      <c r="M213" s="66">
        <v>0</v>
      </c>
      <c r="N213" s="66">
        <v>0</v>
      </c>
      <c r="O213" s="66">
        <v>0</v>
      </c>
      <c r="P213" s="66">
        <v>0</v>
      </c>
      <c r="Q213" s="87">
        <v>0</v>
      </c>
      <c r="R213" s="285">
        <v>0</v>
      </c>
      <c r="S213" s="145">
        <v>0</v>
      </c>
      <c r="T213" s="113">
        <v>0</v>
      </c>
      <c r="U213" s="66" t="str">
        <f t="shared" si="59"/>
        <v>Normal</v>
      </c>
      <c r="V213" s="66" t="str">
        <f t="shared" si="60"/>
        <v>Normal</v>
      </c>
      <c r="W213" s="19">
        <f t="shared" si="52"/>
        <v>0</v>
      </c>
      <c r="X213" s="19">
        <f t="shared" si="63"/>
        <v>0</v>
      </c>
      <c r="Y213" s="369"/>
      <c r="Z213" s="369"/>
      <c r="AA213" s="369"/>
      <c r="AB213" s="369"/>
      <c r="AC213" s="369"/>
      <c r="AD213" s="369"/>
      <c r="AE213" s="369"/>
      <c r="AF213" s="369"/>
      <c r="AG213" s="369"/>
      <c r="AH213" s="369"/>
      <c r="AI213" s="369"/>
    </row>
    <row r="214" spans="1:39">
      <c r="A214" s="27">
        <v>45229</v>
      </c>
      <c r="B214" s="27">
        <f>IF(YEAR(Table7[[#This Row],[Date]]) = 2023, WEEKNUM(Table7[[#This Row],[Date]])-13, WEEKNUM(Table7[[#This Row],[Date]])+40)</f>
        <v>31</v>
      </c>
      <c r="C214" s="34" t="s">
        <v>49</v>
      </c>
      <c r="D214" s="62" t="s">
        <v>94</v>
      </c>
      <c r="E214" s="1">
        <v>562</v>
      </c>
      <c r="F214" s="1">
        <v>509</v>
      </c>
      <c r="G214" s="64">
        <f t="shared" ref="G214:G219" si="66">IFERROR((E214-E207)/E207,0%)</f>
        <v>-0.15615615615615616</v>
      </c>
      <c r="H214" s="64">
        <f t="shared" ref="H214:H219" si="67">IFERROR((F214-F207)/F207,0%)</f>
        <v>0.24754901960784315</v>
      </c>
      <c r="I214" s="1"/>
      <c r="J214" s="1"/>
      <c r="K214" s="1"/>
      <c r="L214" s="1"/>
      <c r="M214" s="66">
        <v>0.71</v>
      </c>
      <c r="N214" s="66">
        <v>0.09</v>
      </c>
      <c r="O214" s="66">
        <v>0.91</v>
      </c>
      <c r="P214" s="66">
        <v>0.44</v>
      </c>
      <c r="Q214" s="87">
        <v>1</v>
      </c>
      <c r="R214" s="285">
        <v>229</v>
      </c>
      <c r="S214" s="145">
        <v>9.930555555555555E-2</v>
      </c>
      <c r="T214" s="113">
        <v>8</v>
      </c>
      <c r="U214" s="66" t="str">
        <f t="shared" si="59"/>
        <v>Normal</v>
      </c>
      <c r="V214" s="66" t="str">
        <f t="shared" si="60"/>
        <v>Normal</v>
      </c>
      <c r="W214" s="19">
        <f t="shared" si="52"/>
        <v>-0.15615615615615616</v>
      </c>
      <c r="X214" s="19">
        <f t="shared" si="63"/>
        <v>0.24754901960784315</v>
      </c>
      <c r="Y214" s="369"/>
      <c r="Z214" s="369"/>
      <c r="AA214" s="369"/>
      <c r="AB214" s="369"/>
      <c r="AC214" s="369"/>
      <c r="AD214" s="369"/>
      <c r="AE214" s="369"/>
      <c r="AF214" s="369"/>
      <c r="AG214" s="369"/>
      <c r="AH214" s="369"/>
      <c r="AI214" s="369"/>
    </row>
    <row r="215" spans="1:39" s="48" customFormat="1">
      <c r="A215" s="27">
        <v>45230</v>
      </c>
      <c r="B215" s="27">
        <f>IF(YEAR(Table7[[#This Row],[Date]]) = 2023, WEEKNUM(Table7[[#This Row],[Date]])-13, WEEKNUM(Table7[[#This Row],[Date]])+40)</f>
        <v>31</v>
      </c>
      <c r="C215" s="49" t="s">
        <v>50</v>
      </c>
      <c r="D215" s="62" t="s">
        <v>94</v>
      </c>
      <c r="E215" s="50">
        <v>405</v>
      </c>
      <c r="F215" s="50">
        <v>388</v>
      </c>
      <c r="G215" s="78">
        <f t="shared" si="66"/>
        <v>-0.12715517241379309</v>
      </c>
      <c r="H215" s="78">
        <f t="shared" si="67"/>
        <v>-6.5060240963855417E-2</v>
      </c>
      <c r="I215" s="50"/>
      <c r="J215" s="50"/>
      <c r="K215" s="50"/>
      <c r="L215" s="50"/>
      <c r="M215" s="99">
        <v>0.9</v>
      </c>
      <c r="N215" s="99">
        <v>0.04</v>
      </c>
      <c r="O215" s="99">
        <v>0.96</v>
      </c>
      <c r="P215" s="99">
        <v>0.38</v>
      </c>
      <c r="Q215" s="100">
        <v>1</v>
      </c>
      <c r="R215" s="289">
        <v>219</v>
      </c>
      <c r="S215" s="148">
        <v>2.361111111111111E-2</v>
      </c>
      <c r="T215" s="149">
        <v>7</v>
      </c>
      <c r="U215" s="99" t="str">
        <f t="shared" si="59"/>
        <v>Outlier</v>
      </c>
      <c r="V215" s="99" t="str">
        <f t="shared" si="60"/>
        <v>Normal</v>
      </c>
      <c r="W215" s="372">
        <f t="shared" si="52"/>
        <v>-0.12715517241379309</v>
      </c>
      <c r="X215" s="372">
        <f t="shared" si="63"/>
        <v>-6.5060240963855417E-2</v>
      </c>
      <c r="Y215" s="369"/>
      <c r="Z215" s="369"/>
      <c r="AA215" s="369"/>
      <c r="AB215" s="369"/>
      <c r="AC215" s="369"/>
      <c r="AD215" s="369"/>
      <c r="AE215" s="369"/>
      <c r="AF215" s="369"/>
      <c r="AG215" s="369"/>
      <c r="AH215" s="369"/>
      <c r="AI215" s="369"/>
      <c r="AK215"/>
      <c r="AL215"/>
      <c r="AM215"/>
    </row>
    <row r="216" spans="1:39">
      <c r="A216" s="27">
        <v>45231</v>
      </c>
      <c r="B216" s="32">
        <f>IF(YEAR(Table7[[#This Row],[Date]]) = 2023, WEEKNUM(Table7[[#This Row],[Date]])-13, WEEKNUM(Table7[[#This Row],[Date]])+40)</f>
        <v>31</v>
      </c>
      <c r="C216" s="89" t="s">
        <v>51</v>
      </c>
      <c r="D216" s="62" t="s">
        <v>94</v>
      </c>
      <c r="E216" s="37">
        <v>393</v>
      </c>
      <c r="F216" s="37">
        <v>380</v>
      </c>
      <c r="G216" s="64">
        <f t="shared" si="66"/>
        <v>-0.19301848049281314</v>
      </c>
      <c r="H216" s="64">
        <f t="shared" si="67"/>
        <v>-5.7071960297766747E-2</v>
      </c>
      <c r="I216" s="1"/>
      <c r="J216" s="1"/>
      <c r="K216" s="1"/>
      <c r="L216" s="1"/>
      <c r="M216" s="90">
        <v>0.88</v>
      </c>
      <c r="N216" s="90">
        <v>0.03</v>
      </c>
      <c r="O216" s="90">
        <v>0.97</v>
      </c>
      <c r="P216" s="90">
        <v>0.44</v>
      </c>
      <c r="Q216" s="91">
        <v>1</v>
      </c>
      <c r="R216" s="288">
        <v>210</v>
      </c>
      <c r="S216" s="169">
        <v>2.1527777777777781E-2</v>
      </c>
      <c r="T216" s="113">
        <v>6</v>
      </c>
      <c r="U216" s="66" t="str">
        <f t="shared" si="59"/>
        <v>Outlier</v>
      </c>
      <c r="V216" s="66" t="str">
        <f t="shared" si="60"/>
        <v>Normal</v>
      </c>
      <c r="W216" s="19">
        <f t="shared" si="52"/>
        <v>-0.19301848049281314</v>
      </c>
      <c r="X216" s="19">
        <f t="shared" si="63"/>
        <v>-5.7071960297766747E-2</v>
      </c>
      <c r="Y216" s="369"/>
      <c r="Z216" s="369"/>
      <c r="AA216" s="369"/>
      <c r="AB216" s="369"/>
      <c r="AC216" s="369"/>
      <c r="AD216" s="369"/>
      <c r="AE216" s="369"/>
      <c r="AF216" s="369"/>
      <c r="AG216" s="369"/>
      <c r="AH216" s="369"/>
      <c r="AI216" s="369"/>
    </row>
    <row r="217" spans="1:39">
      <c r="A217" s="27">
        <v>45232</v>
      </c>
      <c r="B217" s="27">
        <f>IF(YEAR(Table7[[#This Row],[Date]]) = 2023, WEEKNUM(Table7[[#This Row],[Date]])-13, WEEKNUM(Table7[[#This Row],[Date]])+40)</f>
        <v>31</v>
      </c>
      <c r="C217" s="34" t="s">
        <v>52</v>
      </c>
      <c r="D217" s="62" t="s">
        <v>94</v>
      </c>
      <c r="E217" s="1">
        <v>402</v>
      </c>
      <c r="F217" s="1">
        <v>384</v>
      </c>
      <c r="G217" s="64">
        <f t="shared" si="66"/>
        <v>0.21450151057401812</v>
      </c>
      <c r="H217" s="64">
        <f t="shared" si="67"/>
        <v>0.24675324675324675</v>
      </c>
      <c r="I217" s="1"/>
      <c r="J217" s="1"/>
      <c r="K217" s="1"/>
      <c r="L217" s="1"/>
      <c r="M217" s="66">
        <v>0.87</v>
      </c>
      <c r="N217" s="66">
        <v>0.04</v>
      </c>
      <c r="O217" s="66">
        <v>0.96</v>
      </c>
      <c r="P217" s="66">
        <v>0.38</v>
      </c>
      <c r="Q217" s="87">
        <v>1</v>
      </c>
      <c r="R217" s="285">
        <v>234</v>
      </c>
      <c r="S217" s="145">
        <v>3.3333333333333333E-2</v>
      </c>
      <c r="T217" s="113">
        <v>7</v>
      </c>
      <c r="U217" s="66" t="str">
        <f t="shared" si="59"/>
        <v>Normal</v>
      </c>
      <c r="V217" s="66" t="str">
        <f t="shared" si="60"/>
        <v>Normal</v>
      </c>
      <c r="W217" s="19">
        <f t="shared" si="52"/>
        <v>0.21450151057401812</v>
      </c>
      <c r="X217" s="19">
        <f t="shared" si="63"/>
        <v>0.24675324675324675</v>
      </c>
      <c r="Y217" s="369"/>
      <c r="Z217" s="369"/>
      <c r="AA217" s="369"/>
      <c r="AB217" s="369"/>
      <c r="AC217" s="369"/>
      <c r="AD217" s="369"/>
      <c r="AE217" s="369"/>
      <c r="AF217" s="369"/>
      <c r="AG217" s="369"/>
      <c r="AH217" s="369"/>
      <c r="AI217" s="369"/>
    </row>
    <row r="218" spans="1:39">
      <c r="A218" s="27">
        <v>45233</v>
      </c>
      <c r="B218" s="27">
        <f>IF(YEAR(Table7[[#This Row],[Date]]) = 2023, WEEKNUM(Table7[[#This Row],[Date]])-13, WEEKNUM(Table7[[#This Row],[Date]])+40)</f>
        <v>31</v>
      </c>
      <c r="C218" s="34" t="s">
        <v>53</v>
      </c>
      <c r="D218" s="62" t="s">
        <v>94</v>
      </c>
      <c r="E218" s="1">
        <v>408</v>
      </c>
      <c r="F218" s="1">
        <v>389</v>
      </c>
      <c r="G218" s="64">
        <f t="shared" si="66"/>
        <v>-0.22433460076045628</v>
      </c>
      <c r="H218" s="64">
        <f t="shared" si="67"/>
        <v>-0.11590909090909091</v>
      </c>
      <c r="I218" s="1"/>
      <c r="J218" s="1"/>
      <c r="K218" s="1"/>
      <c r="L218" s="1"/>
      <c r="M218" s="66">
        <v>0.84</v>
      </c>
      <c r="N218" s="66">
        <v>0.05</v>
      </c>
      <c r="O218" s="66">
        <v>0.95</v>
      </c>
      <c r="P218" s="66">
        <v>0.38</v>
      </c>
      <c r="Q218" s="87">
        <v>1</v>
      </c>
      <c r="R218" s="285">
        <v>217</v>
      </c>
      <c r="S218" s="145">
        <v>3.8194444444444441E-2</v>
      </c>
      <c r="T218" s="113">
        <v>7</v>
      </c>
      <c r="U218" s="66" t="str">
        <f t="shared" si="59"/>
        <v>Outlier</v>
      </c>
      <c r="V218" s="66" t="str">
        <f t="shared" si="60"/>
        <v>Normal</v>
      </c>
      <c r="W218" s="19">
        <f t="shared" si="52"/>
        <v>-0.22433460076045628</v>
      </c>
      <c r="X218" s="19">
        <f t="shared" si="63"/>
        <v>-0.11590909090909091</v>
      </c>
      <c r="Y218" s="369"/>
      <c r="Z218" s="369"/>
      <c r="AA218" s="369"/>
      <c r="AB218" s="369"/>
      <c r="AC218" s="369"/>
      <c r="AD218" s="369"/>
      <c r="AE218" s="369"/>
      <c r="AF218" s="369"/>
      <c r="AG218" s="369"/>
      <c r="AH218" s="369"/>
      <c r="AI218" s="369"/>
    </row>
    <row r="219" spans="1:39">
      <c r="A219" s="27">
        <v>45234</v>
      </c>
      <c r="B219" s="27">
        <f>IF(YEAR(Table7[[#This Row],[Date]]) = 2023, WEEKNUM(Table7[[#This Row],[Date]])-13, WEEKNUM(Table7[[#This Row],[Date]])+40)</f>
        <v>31</v>
      </c>
      <c r="C219" s="34" t="s">
        <v>54</v>
      </c>
      <c r="D219" s="62" t="s">
        <v>94</v>
      </c>
      <c r="E219" s="1">
        <v>231</v>
      </c>
      <c r="F219" s="1">
        <v>215</v>
      </c>
      <c r="G219" s="64">
        <f t="shared" si="66"/>
        <v>-0.24509803921568626</v>
      </c>
      <c r="H219" s="64">
        <f t="shared" si="67"/>
        <v>5.3921568627450983E-2</v>
      </c>
      <c r="I219" s="1"/>
      <c r="J219" s="1"/>
      <c r="K219" s="1"/>
      <c r="L219" s="1"/>
      <c r="M219" s="66">
        <v>0.71</v>
      </c>
      <c r="N219" s="66">
        <v>7.0000000000000007E-2</v>
      </c>
      <c r="O219" s="66">
        <v>0.93</v>
      </c>
      <c r="P219" s="66">
        <v>0.49</v>
      </c>
      <c r="Q219" s="87">
        <v>1</v>
      </c>
      <c r="R219" s="285">
        <v>196</v>
      </c>
      <c r="S219" s="145">
        <v>5.0694444444444452E-2</v>
      </c>
      <c r="T219" s="113">
        <v>4</v>
      </c>
      <c r="U219" s="66" t="str">
        <f t="shared" si="59"/>
        <v>Normal</v>
      </c>
      <c r="V219" s="66" t="str">
        <f t="shared" si="60"/>
        <v>Normal</v>
      </c>
      <c r="W219" s="19">
        <f t="shared" si="52"/>
        <v>-0.24509803921568626</v>
      </c>
      <c r="X219" s="19">
        <f t="shared" si="63"/>
        <v>5.3921568627450983E-2</v>
      </c>
      <c r="Y219" s="369"/>
      <c r="Z219" s="369"/>
      <c r="AA219" s="369"/>
      <c r="AB219" s="369"/>
      <c r="AC219" s="369"/>
      <c r="AD219" s="369"/>
      <c r="AE219" s="369"/>
      <c r="AF219" s="369"/>
      <c r="AG219" s="369"/>
      <c r="AH219" s="369"/>
      <c r="AI219" s="369"/>
    </row>
    <row r="220" spans="1:39">
      <c r="A220" s="27">
        <v>45235</v>
      </c>
      <c r="B220" s="27">
        <f>IF(YEAR(Table7[[#This Row],[Date]]) = 2023, WEEKNUM(Table7[[#This Row],[Date]])-13, WEEKNUM(Table7[[#This Row],[Date]])+40)</f>
        <v>32</v>
      </c>
      <c r="C220" s="34" t="s">
        <v>48</v>
      </c>
      <c r="D220" s="62" t="s">
        <v>94</v>
      </c>
      <c r="E220" s="1">
        <v>0</v>
      </c>
      <c r="F220" s="1">
        <v>0</v>
      </c>
      <c r="G220" s="64">
        <f t="shared" ref="G220:G283" si="68">IFERROR((E220-E213)/E213,0%)</f>
        <v>0</v>
      </c>
      <c r="H220" s="64">
        <f t="shared" ref="H220:H283" si="69">IFERROR((F220-F213)/F213,0%)</f>
        <v>0</v>
      </c>
      <c r="I220" s="1">
        <v>0</v>
      </c>
      <c r="J220" s="1">
        <v>0</v>
      </c>
      <c r="K220" s="1">
        <v>0</v>
      </c>
      <c r="L220" s="1">
        <v>0</v>
      </c>
      <c r="M220" s="66">
        <v>0</v>
      </c>
      <c r="N220" s="87">
        <v>0</v>
      </c>
      <c r="O220" s="66">
        <v>0</v>
      </c>
      <c r="P220" s="66">
        <v>0</v>
      </c>
      <c r="Q220" s="87">
        <v>0</v>
      </c>
      <c r="R220" s="285">
        <v>0</v>
      </c>
      <c r="S220" s="145">
        <v>0</v>
      </c>
      <c r="T220" s="113">
        <v>0</v>
      </c>
      <c r="U220" s="66" t="str">
        <f t="shared" si="59"/>
        <v>Normal</v>
      </c>
      <c r="V220" s="66" t="str">
        <f t="shared" si="60"/>
        <v>Normal</v>
      </c>
      <c r="W220" s="19">
        <f t="shared" si="52"/>
        <v>0</v>
      </c>
      <c r="X220" s="19">
        <f t="shared" si="63"/>
        <v>0</v>
      </c>
      <c r="Y220" s="369"/>
      <c r="Z220" s="369"/>
      <c r="AA220" s="369"/>
      <c r="AB220" s="369"/>
      <c r="AC220" s="369"/>
      <c r="AD220" s="369"/>
      <c r="AE220" s="369"/>
      <c r="AF220" s="369"/>
      <c r="AG220" s="369"/>
      <c r="AH220" s="369"/>
      <c r="AI220" s="369"/>
    </row>
    <row r="221" spans="1:39">
      <c r="A221" s="27">
        <v>45236</v>
      </c>
      <c r="B221" s="27">
        <f>IF(YEAR(Table7[[#This Row],[Date]]) = 2023, WEEKNUM(Table7[[#This Row],[Date]])-13, WEEKNUM(Table7[[#This Row],[Date]])+40)</f>
        <v>32</v>
      </c>
      <c r="C221" s="34" t="s">
        <v>49</v>
      </c>
      <c r="D221" s="62" t="s">
        <v>94</v>
      </c>
      <c r="E221" s="1">
        <v>508</v>
      </c>
      <c r="F221" s="1">
        <v>482</v>
      </c>
      <c r="G221" s="64">
        <f t="shared" si="68"/>
        <v>-9.6085409252669035E-2</v>
      </c>
      <c r="H221" s="64">
        <f t="shared" si="69"/>
        <v>-5.304518664047151E-2</v>
      </c>
      <c r="I221" s="1"/>
      <c r="J221" s="1"/>
      <c r="K221" s="1"/>
      <c r="L221" s="1"/>
      <c r="M221" s="66">
        <v>0.85</v>
      </c>
      <c r="N221" s="66">
        <v>0.05</v>
      </c>
      <c r="O221" s="66">
        <v>0.95</v>
      </c>
      <c r="P221" s="66">
        <v>0.55000000000000004</v>
      </c>
      <c r="Q221" s="87">
        <v>1</v>
      </c>
      <c r="R221" s="285">
        <v>227</v>
      </c>
      <c r="S221" s="145">
        <v>2.2916666666666669E-2</v>
      </c>
      <c r="T221" s="113">
        <v>8</v>
      </c>
      <c r="U221" s="66" t="str">
        <f t="shared" si="59"/>
        <v>Outlier</v>
      </c>
      <c r="V221" s="66" t="str">
        <f t="shared" si="60"/>
        <v>Normal</v>
      </c>
      <c r="W221" s="19">
        <f t="shared" ref="W221:W284" si="70">IF(U221="Normal",$G221,IF($G221&lt;150%, $G221, $AJ$9))</f>
        <v>-9.6085409252669035E-2</v>
      </c>
      <c r="X221" s="19">
        <f t="shared" si="63"/>
        <v>-5.304518664047151E-2</v>
      </c>
      <c r="Y221" s="369"/>
      <c r="Z221" s="369"/>
      <c r="AA221" s="369"/>
      <c r="AB221" s="369"/>
      <c r="AC221" s="369"/>
      <c r="AD221" s="369"/>
      <c r="AE221" s="369"/>
      <c r="AF221" s="369"/>
      <c r="AG221" s="369"/>
      <c r="AH221" s="369"/>
      <c r="AI221" s="369"/>
    </row>
    <row r="222" spans="1:39">
      <c r="A222" s="27">
        <v>45237</v>
      </c>
      <c r="B222" s="27">
        <f>IF(YEAR(Table7[[#This Row],[Date]]) = 2023, WEEKNUM(Table7[[#This Row],[Date]])-13, WEEKNUM(Table7[[#This Row],[Date]])+40)</f>
        <v>32</v>
      </c>
      <c r="C222" s="34" t="s">
        <v>64</v>
      </c>
      <c r="D222" s="62" t="s">
        <v>94</v>
      </c>
      <c r="E222" s="1">
        <v>0</v>
      </c>
      <c r="F222" s="1">
        <v>0</v>
      </c>
      <c r="G222" s="64">
        <f t="shared" si="68"/>
        <v>-1</v>
      </c>
      <c r="H222" s="64">
        <f t="shared" si="69"/>
        <v>-1</v>
      </c>
      <c r="I222" s="1">
        <v>0</v>
      </c>
      <c r="J222" s="1">
        <v>0</v>
      </c>
      <c r="K222" s="1">
        <v>0</v>
      </c>
      <c r="L222" s="1">
        <v>0</v>
      </c>
      <c r="M222" s="66">
        <v>0</v>
      </c>
      <c r="N222" s="66">
        <v>0</v>
      </c>
      <c r="O222" s="66">
        <v>0</v>
      </c>
      <c r="P222" s="66">
        <v>0</v>
      </c>
      <c r="Q222" s="87">
        <v>0</v>
      </c>
      <c r="R222" s="285">
        <v>0</v>
      </c>
      <c r="S222" s="145">
        <v>0</v>
      </c>
      <c r="T222" s="113">
        <v>0</v>
      </c>
      <c r="U222" s="66" t="str">
        <f t="shared" si="59"/>
        <v>Outlier</v>
      </c>
      <c r="V222" s="66" t="str">
        <f t="shared" si="60"/>
        <v>Normal</v>
      </c>
      <c r="W222" s="19">
        <f t="shared" si="70"/>
        <v>-1</v>
      </c>
      <c r="X222" s="19">
        <f t="shared" si="63"/>
        <v>-1</v>
      </c>
      <c r="Y222" s="369"/>
      <c r="Z222" s="369"/>
      <c r="AA222" s="369"/>
      <c r="AB222" s="369"/>
      <c r="AC222" s="369"/>
      <c r="AD222" s="369"/>
      <c r="AE222" s="369"/>
      <c r="AF222" s="369"/>
      <c r="AG222" s="369"/>
      <c r="AH222" s="369"/>
      <c r="AI222" s="369"/>
    </row>
    <row r="223" spans="1:39">
      <c r="A223" s="27">
        <v>45238</v>
      </c>
      <c r="B223" s="27">
        <f>IF(YEAR(Table7[[#This Row],[Date]]) = 2023, WEEKNUM(Table7[[#This Row],[Date]])-13, WEEKNUM(Table7[[#This Row],[Date]])+40)</f>
        <v>32</v>
      </c>
      <c r="C223" s="34" t="s">
        <v>51</v>
      </c>
      <c r="D223" s="62" t="s">
        <v>94</v>
      </c>
      <c r="E223" s="1">
        <v>665</v>
      </c>
      <c r="F223" s="1">
        <v>379</v>
      </c>
      <c r="G223" s="64">
        <f t="shared" si="68"/>
        <v>0.69211195928753177</v>
      </c>
      <c r="H223" s="64">
        <f t="shared" si="69"/>
        <v>-2.631578947368421E-3</v>
      </c>
      <c r="I223" s="1"/>
      <c r="J223" s="1"/>
      <c r="K223" s="1"/>
      <c r="L223" s="1"/>
      <c r="M223" s="66">
        <v>0.19</v>
      </c>
      <c r="N223" s="66">
        <v>0.43</v>
      </c>
      <c r="O223" s="66">
        <v>0.56999999999999995</v>
      </c>
      <c r="P223" s="66">
        <v>0.52</v>
      </c>
      <c r="Q223" s="87">
        <v>1</v>
      </c>
      <c r="R223" s="285">
        <v>262</v>
      </c>
      <c r="S223" s="145">
        <v>0.31875000000000003</v>
      </c>
      <c r="T223" s="113">
        <v>5</v>
      </c>
      <c r="U223" s="66" t="str">
        <f t="shared" si="59"/>
        <v>Outlier</v>
      </c>
      <c r="V223" s="66" t="str">
        <f t="shared" si="60"/>
        <v>Normal</v>
      </c>
      <c r="W223" s="19">
        <f t="shared" si="70"/>
        <v>0.69211195928753177</v>
      </c>
      <c r="X223" s="19">
        <f t="shared" si="63"/>
        <v>-2.631578947368421E-3</v>
      </c>
      <c r="Y223" s="369"/>
      <c r="Z223" s="369"/>
      <c r="AA223" s="369"/>
      <c r="AB223" s="369"/>
      <c r="AC223" s="369"/>
      <c r="AD223" s="369"/>
      <c r="AE223" s="369"/>
      <c r="AF223" s="369"/>
      <c r="AG223" s="369"/>
      <c r="AH223" s="369"/>
      <c r="AI223" s="369"/>
    </row>
    <row r="224" spans="1:39">
      <c r="A224" s="27">
        <v>45239</v>
      </c>
      <c r="B224" s="27">
        <f>IF(YEAR(Table7[[#This Row],[Date]]) = 2023, WEEKNUM(Table7[[#This Row],[Date]])-13, WEEKNUM(Table7[[#This Row],[Date]])+40)</f>
        <v>32</v>
      </c>
      <c r="C224" s="34" t="s">
        <v>52</v>
      </c>
      <c r="D224" s="62" t="s">
        <v>94</v>
      </c>
      <c r="E224" s="1">
        <v>526</v>
      </c>
      <c r="F224" s="1">
        <v>481</v>
      </c>
      <c r="G224" s="64">
        <f t="shared" si="68"/>
        <v>0.30845771144278605</v>
      </c>
      <c r="H224" s="64">
        <f t="shared" si="69"/>
        <v>0.25260416666666669</v>
      </c>
      <c r="I224" s="1"/>
      <c r="J224" s="1"/>
      <c r="K224" s="1"/>
      <c r="L224" s="1"/>
      <c r="M224" s="66">
        <v>0.74</v>
      </c>
      <c r="N224" s="66">
        <v>0.09</v>
      </c>
      <c r="O224" s="66">
        <v>0.91</v>
      </c>
      <c r="P224" s="66">
        <v>0.55000000000000004</v>
      </c>
      <c r="Q224" s="87">
        <v>1</v>
      </c>
      <c r="R224" s="285">
        <v>234</v>
      </c>
      <c r="S224" s="145">
        <v>8.7500000000000008E-2</v>
      </c>
      <c r="T224" s="113">
        <v>6</v>
      </c>
      <c r="U224" s="66" t="str">
        <f t="shared" si="59"/>
        <v>Normal</v>
      </c>
      <c r="V224" s="66" t="str">
        <f t="shared" si="60"/>
        <v>Normal</v>
      </c>
      <c r="W224" s="19">
        <f t="shared" si="70"/>
        <v>0.30845771144278605</v>
      </c>
      <c r="X224" s="19">
        <f t="shared" si="63"/>
        <v>0.25260416666666669</v>
      </c>
      <c r="Y224" s="369"/>
      <c r="Z224" s="369"/>
      <c r="AA224" s="369"/>
      <c r="AB224" s="369"/>
      <c r="AC224" s="369"/>
      <c r="AD224" s="369"/>
      <c r="AE224" s="369"/>
      <c r="AF224" s="369"/>
      <c r="AG224" s="369"/>
      <c r="AH224" s="369"/>
      <c r="AI224" s="369"/>
    </row>
    <row r="225" spans="1:39">
      <c r="A225" s="27">
        <v>45240</v>
      </c>
      <c r="B225" s="27">
        <f>IF(YEAR(Table7[[#This Row],[Date]]) = 2023, WEEKNUM(Table7[[#This Row],[Date]])-13, WEEKNUM(Table7[[#This Row],[Date]])+40)</f>
        <v>32</v>
      </c>
      <c r="C225" s="34" t="s">
        <v>53</v>
      </c>
      <c r="D225" s="62" t="s">
        <v>94</v>
      </c>
      <c r="E225" s="1">
        <v>481</v>
      </c>
      <c r="F225" s="1">
        <v>454</v>
      </c>
      <c r="G225" s="64">
        <f t="shared" si="68"/>
        <v>0.17892156862745098</v>
      </c>
      <c r="H225" s="64">
        <f t="shared" si="69"/>
        <v>0.16709511568123395</v>
      </c>
      <c r="I225" s="1"/>
      <c r="J225" s="1"/>
      <c r="K225" s="1"/>
      <c r="L225" s="1"/>
      <c r="M225" s="66">
        <v>0.8</v>
      </c>
      <c r="N225" s="66">
        <v>0.06</v>
      </c>
      <c r="O225" s="66">
        <v>0.94</v>
      </c>
      <c r="P225" s="66">
        <v>0.45</v>
      </c>
      <c r="Q225" s="87">
        <v>1</v>
      </c>
      <c r="R225" s="285">
        <v>241</v>
      </c>
      <c r="S225" s="145">
        <v>4.5833333333333337E-2</v>
      </c>
      <c r="T225" s="113">
        <v>7</v>
      </c>
      <c r="U225" s="66" t="str">
        <f t="shared" si="59"/>
        <v>Normal</v>
      </c>
      <c r="V225" s="66" t="str">
        <f t="shared" si="60"/>
        <v>Normal</v>
      </c>
      <c r="W225" s="19">
        <f t="shared" si="70"/>
        <v>0.17892156862745098</v>
      </c>
      <c r="X225" s="19">
        <f t="shared" si="63"/>
        <v>0.16709511568123395</v>
      </c>
      <c r="Y225" s="369"/>
      <c r="Z225" s="369"/>
      <c r="AA225" s="369"/>
      <c r="AB225" s="369"/>
      <c r="AC225" s="369"/>
      <c r="AD225" s="369"/>
      <c r="AE225" s="369"/>
      <c r="AF225" s="369"/>
      <c r="AG225" s="369"/>
      <c r="AH225" s="369"/>
      <c r="AI225" s="369"/>
    </row>
    <row r="226" spans="1:39">
      <c r="A226" s="27">
        <v>45241</v>
      </c>
      <c r="B226" s="27">
        <f>IF(YEAR(Table7[[#This Row],[Date]]) = 2023, WEEKNUM(Table7[[#This Row],[Date]])-13, WEEKNUM(Table7[[#This Row],[Date]])+40)</f>
        <v>32</v>
      </c>
      <c r="C226" s="34" t="s">
        <v>54</v>
      </c>
      <c r="D226" s="62" t="s">
        <v>94</v>
      </c>
      <c r="E226" s="1">
        <v>334</v>
      </c>
      <c r="F226" s="1">
        <v>241</v>
      </c>
      <c r="G226" s="64">
        <f t="shared" si="68"/>
        <v>0.44588744588744589</v>
      </c>
      <c r="H226" s="64">
        <f t="shared" si="69"/>
        <v>0.12093023255813953</v>
      </c>
      <c r="I226" s="1"/>
      <c r="J226" s="1"/>
      <c r="K226" s="1"/>
      <c r="L226" s="1"/>
      <c r="M226" s="66">
        <v>0.38</v>
      </c>
      <c r="N226" s="66">
        <v>0.28000000000000003</v>
      </c>
      <c r="O226" s="66">
        <v>0.72</v>
      </c>
      <c r="P226" s="66">
        <v>0.42</v>
      </c>
      <c r="Q226" s="87">
        <v>1</v>
      </c>
      <c r="R226" s="285">
        <v>250</v>
      </c>
      <c r="S226" s="145">
        <v>0.18263888888888891</v>
      </c>
      <c r="T226" s="113">
        <v>4</v>
      </c>
      <c r="U226" s="66" t="str">
        <f t="shared" si="59"/>
        <v>Normal</v>
      </c>
      <c r="V226" s="66" t="str">
        <f t="shared" si="60"/>
        <v>Normal</v>
      </c>
      <c r="W226" s="19">
        <f t="shared" si="70"/>
        <v>0.44588744588744589</v>
      </c>
      <c r="X226" s="19">
        <f t="shared" si="63"/>
        <v>0.12093023255813953</v>
      </c>
      <c r="Y226" s="369"/>
      <c r="Z226" s="369"/>
      <c r="AA226" s="369"/>
      <c r="AB226" s="369"/>
      <c r="AC226" s="369"/>
      <c r="AD226" s="369"/>
      <c r="AE226" s="369"/>
      <c r="AF226" s="369"/>
      <c r="AG226" s="369"/>
      <c r="AH226" s="369"/>
      <c r="AI226" s="369"/>
    </row>
    <row r="227" spans="1:39">
      <c r="A227" s="27">
        <v>45242</v>
      </c>
      <c r="B227" s="27">
        <f>IF(YEAR(Table7[[#This Row],[Date]]) = 2023, WEEKNUM(Table7[[#This Row],[Date]])-13, WEEKNUM(Table7[[#This Row],[Date]])+40)</f>
        <v>33</v>
      </c>
      <c r="C227" s="34" t="s">
        <v>48</v>
      </c>
      <c r="D227" s="62" t="s">
        <v>94</v>
      </c>
      <c r="E227" s="1">
        <v>0</v>
      </c>
      <c r="F227" s="1">
        <v>0</v>
      </c>
      <c r="G227" s="64">
        <f t="shared" si="68"/>
        <v>0</v>
      </c>
      <c r="H227" s="64">
        <f t="shared" si="69"/>
        <v>0</v>
      </c>
      <c r="I227" s="1">
        <v>0</v>
      </c>
      <c r="J227" s="1">
        <v>0</v>
      </c>
      <c r="K227" s="1">
        <v>0</v>
      </c>
      <c r="L227" s="1">
        <v>0</v>
      </c>
      <c r="M227" s="66">
        <v>0</v>
      </c>
      <c r="N227" s="66">
        <v>0</v>
      </c>
      <c r="O227" s="66">
        <v>0</v>
      </c>
      <c r="P227" s="66">
        <v>0</v>
      </c>
      <c r="Q227" s="87">
        <v>0</v>
      </c>
      <c r="R227" s="285">
        <v>0</v>
      </c>
      <c r="S227" s="145">
        <v>0</v>
      </c>
      <c r="T227" s="113">
        <v>0</v>
      </c>
      <c r="U227" s="66" t="str">
        <f t="shared" si="59"/>
        <v>Normal</v>
      </c>
      <c r="V227" s="66" t="str">
        <f t="shared" si="60"/>
        <v>Normal</v>
      </c>
      <c r="W227" s="19">
        <f t="shared" si="70"/>
        <v>0</v>
      </c>
      <c r="X227" s="19">
        <f t="shared" si="63"/>
        <v>0</v>
      </c>
      <c r="Y227" s="369"/>
      <c r="Z227" s="369"/>
      <c r="AA227" s="369"/>
      <c r="AB227" s="369"/>
      <c r="AC227" s="369"/>
      <c r="AD227" s="369"/>
      <c r="AE227" s="369"/>
      <c r="AF227" s="369"/>
      <c r="AG227" s="369"/>
      <c r="AH227" s="369"/>
      <c r="AI227" s="369"/>
    </row>
    <row r="228" spans="1:39">
      <c r="A228" s="27">
        <v>45243</v>
      </c>
      <c r="B228" s="27">
        <f>IF(YEAR(Table7[[#This Row],[Date]]) = 2023, WEEKNUM(Table7[[#This Row],[Date]])-13, WEEKNUM(Table7[[#This Row],[Date]])+40)</f>
        <v>33</v>
      </c>
      <c r="C228" s="34" t="s">
        <v>49</v>
      </c>
      <c r="D228" s="62" t="s">
        <v>94</v>
      </c>
      <c r="E228" s="1">
        <v>540</v>
      </c>
      <c r="F228" s="1">
        <v>454</v>
      </c>
      <c r="G228" s="64">
        <f t="shared" si="68"/>
        <v>6.2992125984251968E-2</v>
      </c>
      <c r="H228" s="64">
        <f t="shared" si="69"/>
        <v>-5.8091286307053944E-2</v>
      </c>
      <c r="I228" s="1"/>
      <c r="J228" s="1"/>
      <c r="K228" s="1"/>
      <c r="L228" s="1"/>
      <c r="M228" s="66">
        <v>0.56000000000000005</v>
      </c>
      <c r="N228" s="66">
        <v>0.16</v>
      </c>
      <c r="O228" s="66">
        <v>0.84</v>
      </c>
      <c r="P228" s="66">
        <v>0.52</v>
      </c>
      <c r="Q228" s="87">
        <v>1</v>
      </c>
      <c r="R228" s="285">
        <v>271</v>
      </c>
      <c r="S228" s="145">
        <v>0.28055555555555556</v>
      </c>
      <c r="T228" s="113">
        <v>6</v>
      </c>
      <c r="U228" s="66" t="str">
        <f t="shared" si="59"/>
        <v>Outlier</v>
      </c>
      <c r="V228" s="66" t="str">
        <f t="shared" si="60"/>
        <v>Normal</v>
      </c>
      <c r="W228" s="19">
        <f t="shared" si="70"/>
        <v>6.2992125984251968E-2</v>
      </c>
      <c r="X228" s="19">
        <f t="shared" si="63"/>
        <v>-5.8091286307053944E-2</v>
      </c>
      <c r="Y228" s="369"/>
      <c r="Z228" s="369"/>
      <c r="AA228" s="369"/>
      <c r="AB228" s="369"/>
      <c r="AC228" s="369"/>
      <c r="AD228" s="369"/>
      <c r="AE228" s="369"/>
      <c r="AF228" s="369"/>
      <c r="AG228" s="369"/>
      <c r="AH228" s="369"/>
      <c r="AI228" s="369"/>
    </row>
    <row r="229" spans="1:39">
      <c r="A229" s="27">
        <v>45244</v>
      </c>
      <c r="B229" s="27">
        <f>IF(YEAR(Table7[[#This Row],[Date]]) = 2023, WEEKNUM(Table7[[#This Row],[Date]])-13, WEEKNUM(Table7[[#This Row],[Date]])+40)</f>
        <v>33</v>
      </c>
      <c r="C229" s="34" t="s">
        <v>50</v>
      </c>
      <c r="D229" s="62" t="s">
        <v>94</v>
      </c>
      <c r="E229" s="1">
        <v>399</v>
      </c>
      <c r="F229" s="1">
        <v>389</v>
      </c>
      <c r="G229" s="64">
        <f t="shared" si="68"/>
        <v>0</v>
      </c>
      <c r="H229" s="64">
        <f t="shared" si="69"/>
        <v>0</v>
      </c>
      <c r="I229" s="1"/>
      <c r="J229" s="1"/>
      <c r="K229" s="1"/>
      <c r="L229" s="1"/>
      <c r="M229" s="66">
        <v>0.96</v>
      </c>
      <c r="N229" s="66">
        <v>0.03</v>
      </c>
      <c r="O229" s="66">
        <v>0.97</v>
      </c>
      <c r="P229" s="66">
        <v>0.34</v>
      </c>
      <c r="Q229" s="87">
        <v>1</v>
      </c>
      <c r="R229" s="285">
        <v>241</v>
      </c>
      <c r="S229" s="145">
        <v>1.0416666666666666E-2</v>
      </c>
      <c r="T229" s="113">
        <v>8</v>
      </c>
      <c r="U229" s="66" t="str">
        <f t="shared" si="59"/>
        <v>Normal</v>
      </c>
      <c r="V229" s="66" t="str">
        <f t="shared" si="60"/>
        <v>Normal</v>
      </c>
      <c r="W229" s="19">
        <f t="shared" si="70"/>
        <v>0</v>
      </c>
      <c r="X229" s="19">
        <f t="shared" si="63"/>
        <v>0</v>
      </c>
      <c r="Y229" s="369"/>
      <c r="Z229" s="369"/>
      <c r="AA229" s="369"/>
      <c r="AB229" s="369"/>
      <c r="AC229" s="369"/>
      <c r="AD229" s="369"/>
      <c r="AE229" s="369"/>
      <c r="AF229" s="369"/>
      <c r="AG229" s="369"/>
      <c r="AH229" s="369"/>
      <c r="AI229" s="369"/>
    </row>
    <row r="230" spans="1:39">
      <c r="A230" s="27">
        <v>45245</v>
      </c>
      <c r="B230" s="27">
        <f>IF(YEAR(Table7[[#This Row],[Date]]) = 2023, WEEKNUM(Table7[[#This Row],[Date]])-13, WEEKNUM(Table7[[#This Row],[Date]])+40)</f>
        <v>33</v>
      </c>
      <c r="C230" s="34" t="s">
        <v>51</v>
      </c>
      <c r="D230" s="62" t="s">
        <v>94</v>
      </c>
      <c r="E230" s="1">
        <v>517</v>
      </c>
      <c r="F230" s="1">
        <v>440</v>
      </c>
      <c r="G230" s="64">
        <f t="shared" si="68"/>
        <v>-0.22255639097744362</v>
      </c>
      <c r="H230" s="64">
        <f t="shared" si="69"/>
        <v>0.16094986807387862</v>
      </c>
      <c r="I230" s="1"/>
      <c r="J230" s="1"/>
      <c r="K230" s="1"/>
      <c r="L230" s="1"/>
      <c r="M230" s="66">
        <v>0.61</v>
      </c>
      <c r="N230" s="66">
        <v>0.15</v>
      </c>
      <c r="O230" s="66">
        <v>0.85</v>
      </c>
      <c r="P230" s="66">
        <v>0.51</v>
      </c>
      <c r="Q230" s="87">
        <v>1</v>
      </c>
      <c r="R230" s="285">
        <v>248</v>
      </c>
      <c r="S230" s="145">
        <v>0.11388888888888889</v>
      </c>
      <c r="T230" s="113">
        <v>6</v>
      </c>
      <c r="U230" s="66" t="str">
        <f t="shared" si="59"/>
        <v>Normal</v>
      </c>
      <c r="V230" s="66" t="str">
        <f t="shared" si="60"/>
        <v>Normal</v>
      </c>
      <c r="W230" s="19">
        <f t="shared" si="70"/>
        <v>-0.22255639097744362</v>
      </c>
      <c r="X230" s="19">
        <f t="shared" si="63"/>
        <v>0.16094986807387862</v>
      </c>
      <c r="Y230" s="369"/>
      <c r="Z230" s="369"/>
      <c r="AA230" s="369"/>
      <c r="AB230" s="369"/>
      <c r="AC230" s="369"/>
      <c r="AD230" s="369"/>
      <c r="AE230" s="369"/>
      <c r="AF230" s="369"/>
      <c r="AG230" s="369"/>
      <c r="AH230" s="369"/>
      <c r="AI230" s="369"/>
    </row>
    <row r="231" spans="1:39">
      <c r="A231" s="27">
        <v>45246</v>
      </c>
      <c r="B231" s="27">
        <f>IF(YEAR(Table7[[#This Row],[Date]]) = 2023, WEEKNUM(Table7[[#This Row],[Date]])-13, WEEKNUM(Table7[[#This Row],[Date]])+40)</f>
        <v>33</v>
      </c>
      <c r="C231" s="34" t="s">
        <v>52</v>
      </c>
      <c r="D231" s="62" t="s">
        <v>94</v>
      </c>
      <c r="E231" s="1">
        <v>447</v>
      </c>
      <c r="F231" s="1">
        <v>433</v>
      </c>
      <c r="G231" s="64">
        <f t="shared" si="68"/>
        <v>-0.15019011406844107</v>
      </c>
      <c r="H231" s="64">
        <f t="shared" si="69"/>
        <v>-9.9792099792099798E-2</v>
      </c>
      <c r="I231" s="1"/>
      <c r="J231" s="1"/>
      <c r="K231" s="1"/>
      <c r="L231" s="1"/>
      <c r="M231" s="66">
        <v>0.9</v>
      </c>
      <c r="N231" s="66">
        <v>0.03</v>
      </c>
      <c r="O231" s="66">
        <v>0.97</v>
      </c>
      <c r="P231" s="66">
        <v>0.43</v>
      </c>
      <c r="Q231" s="87">
        <v>1</v>
      </c>
      <c r="R231" s="285">
        <v>254</v>
      </c>
      <c r="S231" s="145">
        <v>3.0555555555555555E-2</v>
      </c>
      <c r="T231" s="113">
        <v>7</v>
      </c>
      <c r="U231" s="66" t="str">
        <f t="shared" si="59"/>
        <v>Outlier</v>
      </c>
      <c r="V231" s="66" t="str">
        <f t="shared" si="60"/>
        <v>Normal</v>
      </c>
      <c r="W231" s="19">
        <f t="shared" si="70"/>
        <v>-0.15019011406844107</v>
      </c>
      <c r="X231" s="19">
        <f t="shared" si="63"/>
        <v>-9.9792099792099798E-2</v>
      </c>
      <c r="Y231" s="369"/>
      <c r="Z231" s="369"/>
      <c r="AA231" s="369"/>
      <c r="AB231" s="369"/>
      <c r="AC231" s="369"/>
      <c r="AD231" s="369"/>
      <c r="AE231" s="369"/>
      <c r="AF231" s="369"/>
      <c r="AG231" s="369"/>
      <c r="AH231" s="369"/>
      <c r="AI231" s="369"/>
    </row>
    <row r="232" spans="1:39">
      <c r="A232" s="27">
        <v>45247</v>
      </c>
      <c r="B232" s="27">
        <f>IF(YEAR(Table7[[#This Row],[Date]]) = 2023, WEEKNUM(Table7[[#This Row],[Date]])-13, WEEKNUM(Table7[[#This Row],[Date]])+40)</f>
        <v>33</v>
      </c>
      <c r="C232" s="34" t="s">
        <v>53</v>
      </c>
      <c r="D232" s="62" t="s">
        <v>94</v>
      </c>
      <c r="E232" s="1">
        <v>468</v>
      </c>
      <c r="F232" s="1">
        <v>456</v>
      </c>
      <c r="G232" s="64">
        <f t="shared" si="68"/>
        <v>-2.7027027027027029E-2</v>
      </c>
      <c r="H232" s="64">
        <f t="shared" si="69"/>
        <v>4.4052863436123352E-3</v>
      </c>
      <c r="I232" s="1"/>
      <c r="J232" s="1"/>
      <c r="K232" s="1"/>
      <c r="L232" s="1"/>
      <c r="M232" s="66">
        <v>0.96</v>
      </c>
      <c r="N232" s="66">
        <v>0.03</v>
      </c>
      <c r="O232" s="66">
        <v>0.97</v>
      </c>
      <c r="P232" s="66">
        <v>0.39</v>
      </c>
      <c r="Q232" s="87">
        <v>1</v>
      </c>
      <c r="R232" s="285">
        <v>219</v>
      </c>
      <c r="S232" s="145">
        <v>1.6666666666666666E-2</v>
      </c>
      <c r="T232" s="113">
        <v>8</v>
      </c>
      <c r="U232" s="66" t="str">
        <f t="shared" si="59"/>
        <v>Normal</v>
      </c>
      <c r="V232" s="66" t="str">
        <f t="shared" si="60"/>
        <v>Normal</v>
      </c>
      <c r="W232" s="19">
        <f t="shared" si="70"/>
        <v>-2.7027027027027029E-2</v>
      </c>
      <c r="X232" s="19">
        <f t="shared" si="63"/>
        <v>4.4052863436123352E-3</v>
      </c>
      <c r="Y232" s="369"/>
      <c r="Z232" s="369"/>
      <c r="AA232" s="369"/>
      <c r="AB232" s="369"/>
      <c r="AC232" s="369"/>
      <c r="AD232" s="369"/>
      <c r="AE232" s="369"/>
      <c r="AF232" s="369"/>
      <c r="AG232" s="369"/>
      <c r="AH232" s="369"/>
      <c r="AI232" s="369"/>
    </row>
    <row r="233" spans="1:39">
      <c r="A233" s="27">
        <v>45248</v>
      </c>
      <c r="B233" s="27">
        <f>IF(YEAR(Table7[[#This Row],[Date]]) = 2023, WEEKNUM(Table7[[#This Row],[Date]])-13, WEEKNUM(Table7[[#This Row],[Date]])+40)</f>
        <v>33</v>
      </c>
      <c r="C233" s="34" t="s">
        <v>54</v>
      </c>
      <c r="D233" s="62" t="s">
        <v>94</v>
      </c>
      <c r="E233" s="1">
        <v>321</v>
      </c>
      <c r="F233" s="1">
        <v>248</v>
      </c>
      <c r="G233" s="64">
        <f t="shared" si="68"/>
        <v>-3.8922155688622756E-2</v>
      </c>
      <c r="H233" s="64">
        <f t="shared" si="69"/>
        <v>2.9045643153526972E-2</v>
      </c>
      <c r="I233" s="1"/>
      <c r="J233" s="1"/>
      <c r="K233" s="1"/>
      <c r="L233" s="1"/>
      <c r="M233" s="66">
        <v>0.42</v>
      </c>
      <c r="N233" s="66">
        <v>0.23</v>
      </c>
      <c r="O233" s="66">
        <v>0.77</v>
      </c>
      <c r="P233" s="66">
        <v>0.45</v>
      </c>
      <c r="Q233" s="87">
        <v>1</v>
      </c>
      <c r="R233" s="285">
        <v>267</v>
      </c>
      <c r="S233" s="145">
        <v>7.8472222222222221E-2</v>
      </c>
      <c r="T233" s="113">
        <v>5</v>
      </c>
      <c r="U233" s="66" t="str">
        <f t="shared" si="59"/>
        <v>Normal</v>
      </c>
      <c r="V233" s="66" t="str">
        <f t="shared" si="60"/>
        <v>Normal</v>
      </c>
      <c r="W233" s="19">
        <f t="shared" si="70"/>
        <v>-3.8922155688622756E-2</v>
      </c>
      <c r="X233" s="19">
        <f t="shared" si="63"/>
        <v>2.9045643153526972E-2</v>
      </c>
      <c r="Y233" s="369"/>
      <c r="Z233" s="369"/>
      <c r="AA233" s="369"/>
      <c r="AB233" s="369"/>
      <c r="AC233" s="369"/>
      <c r="AD233" s="369"/>
      <c r="AE233" s="369"/>
      <c r="AF233" s="369"/>
      <c r="AG233" s="369"/>
      <c r="AH233" s="369"/>
      <c r="AI233" s="369"/>
    </row>
    <row r="234" spans="1:39">
      <c r="A234" s="27">
        <v>45249</v>
      </c>
      <c r="B234" s="27">
        <f>IF(YEAR(Table7[[#This Row],[Date]]) = 2023, WEEKNUM(Table7[[#This Row],[Date]])-13, WEEKNUM(Table7[[#This Row],[Date]])+40)</f>
        <v>34</v>
      </c>
      <c r="C234" s="34" t="s">
        <v>48</v>
      </c>
      <c r="D234" s="62" t="s">
        <v>94</v>
      </c>
      <c r="E234" s="1">
        <v>0</v>
      </c>
      <c r="F234" s="1">
        <v>0</v>
      </c>
      <c r="G234" s="64">
        <f t="shared" si="68"/>
        <v>0</v>
      </c>
      <c r="H234" s="64">
        <f t="shared" si="69"/>
        <v>0</v>
      </c>
      <c r="I234" s="1">
        <v>0</v>
      </c>
      <c r="J234" s="1">
        <v>0</v>
      </c>
      <c r="K234" s="1">
        <v>0</v>
      </c>
      <c r="L234" s="1">
        <v>0</v>
      </c>
      <c r="M234" s="66">
        <v>0</v>
      </c>
      <c r="N234" s="66">
        <v>0</v>
      </c>
      <c r="O234" s="66">
        <v>0</v>
      </c>
      <c r="P234" s="66">
        <v>0</v>
      </c>
      <c r="Q234" s="87">
        <v>0</v>
      </c>
      <c r="R234" s="285">
        <v>0</v>
      </c>
      <c r="S234" s="145">
        <v>0</v>
      </c>
      <c r="T234" s="113">
        <v>0</v>
      </c>
      <c r="U234" s="66" t="str">
        <f t="shared" si="59"/>
        <v>Normal</v>
      </c>
      <c r="V234" s="66" t="str">
        <f t="shared" si="60"/>
        <v>Normal</v>
      </c>
      <c r="W234" s="19">
        <f t="shared" si="70"/>
        <v>0</v>
      </c>
      <c r="X234" s="19">
        <f t="shared" si="63"/>
        <v>0</v>
      </c>
      <c r="Y234" s="369"/>
      <c r="Z234" s="369"/>
      <c r="AA234" s="369"/>
      <c r="AB234" s="369"/>
      <c r="AC234" s="369"/>
      <c r="AD234" s="369"/>
      <c r="AE234" s="369"/>
      <c r="AF234" s="369"/>
      <c r="AG234" s="369"/>
      <c r="AH234" s="369"/>
      <c r="AI234" s="369"/>
    </row>
    <row r="235" spans="1:39">
      <c r="A235" s="27">
        <v>45250</v>
      </c>
      <c r="B235" s="27">
        <f>IF(YEAR(Table7[[#This Row],[Date]]) = 2023, WEEKNUM(Table7[[#This Row],[Date]])-13, WEEKNUM(Table7[[#This Row],[Date]])+40)</f>
        <v>34</v>
      </c>
      <c r="C235" s="34" t="s">
        <v>49</v>
      </c>
      <c r="D235" s="62" t="s">
        <v>94</v>
      </c>
      <c r="E235" s="1">
        <v>641</v>
      </c>
      <c r="F235" s="1">
        <v>577</v>
      </c>
      <c r="G235" s="64">
        <f t="shared" si="68"/>
        <v>0.18703703703703703</v>
      </c>
      <c r="H235" s="64">
        <f t="shared" si="69"/>
        <v>0.27092511013215859</v>
      </c>
      <c r="I235" s="1"/>
      <c r="J235" s="1"/>
      <c r="K235" s="1"/>
      <c r="L235" s="1"/>
      <c r="M235" s="66">
        <v>0.68</v>
      </c>
      <c r="N235" s="66">
        <v>0.1</v>
      </c>
      <c r="O235" s="66">
        <v>0.9</v>
      </c>
      <c r="P235" s="66">
        <v>0.5</v>
      </c>
      <c r="Q235" s="87">
        <v>1</v>
      </c>
      <c r="R235" s="285">
        <v>227</v>
      </c>
      <c r="S235" s="145">
        <v>6.5972222222222224E-2</v>
      </c>
      <c r="T235" s="113">
        <v>8</v>
      </c>
      <c r="U235" s="66" t="str">
        <f t="shared" si="59"/>
        <v>Normal</v>
      </c>
      <c r="V235" s="66" t="str">
        <f t="shared" si="60"/>
        <v>Normal</v>
      </c>
      <c r="W235" s="19">
        <f t="shared" si="70"/>
        <v>0.18703703703703703</v>
      </c>
      <c r="X235" s="19">
        <f t="shared" si="63"/>
        <v>0.27092511013215859</v>
      </c>
      <c r="Y235" s="369"/>
      <c r="Z235" s="369"/>
      <c r="AA235" s="369"/>
      <c r="AB235" s="369"/>
      <c r="AC235" s="369"/>
      <c r="AD235" s="369"/>
      <c r="AE235" s="369"/>
      <c r="AF235" s="369"/>
      <c r="AG235" s="369"/>
      <c r="AH235" s="369"/>
      <c r="AI235" s="369"/>
    </row>
    <row r="236" spans="1:39">
      <c r="A236" s="27">
        <v>45251</v>
      </c>
      <c r="B236" s="27">
        <f>IF(YEAR(Table7[[#This Row],[Date]]) = 2023, WEEKNUM(Table7[[#This Row],[Date]])-13, WEEKNUM(Table7[[#This Row],[Date]])+40)</f>
        <v>34</v>
      </c>
      <c r="C236" s="34" t="s">
        <v>50</v>
      </c>
      <c r="D236" s="62" t="s">
        <v>94</v>
      </c>
      <c r="E236" s="1">
        <v>530</v>
      </c>
      <c r="F236" s="1">
        <v>501</v>
      </c>
      <c r="G236" s="64">
        <f t="shared" si="68"/>
        <v>0.32832080200501251</v>
      </c>
      <c r="H236" s="64">
        <f t="shared" si="69"/>
        <v>0.2879177377892031</v>
      </c>
      <c r="I236" s="1"/>
      <c r="J236" s="1"/>
      <c r="K236" s="1"/>
      <c r="L236" s="1"/>
      <c r="M236" s="66">
        <v>0.8</v>
      </c>
      <c r="N236" s="66">
        <v>0.05</v>
      </c>
      <c r="O236" s="66">
        <v>0.95</v>
      </c>
      <c r="P236" s="66">
        <v>0.43</v>
      </c>
      <c r="Q236" s="87">
        <v>1</v>
      </c>
      <c r="R236" s="285">
        <v>266</v>
      </c>
      <c r="S236" s="145">
        <v>4.9305555555555554E-2</v>
      </c>
      <c r="T236" s="113">
        <v>8</v>
      </c>
      <c r="U236" s="66" t="str">
        <f t="shared" si="59"/>
        <v>Normal</v>
      </c>
      <c r="V236" s="66" t="str">
        <f t="shared" si="60"/>
        <v>Normal</v>
      </c>
      <c r="W236" s="19">
        <f t="shared" si="70"/>
        <v>0.32832080200501251</v>
      </c>
      <c r="X236" s="19">
        <f t="shared" si="63"/>
        <v>0.2879177377892031</v>
      </c>
      <c r="Y236" s="369"/>
      <c r="Z236" s="369"/>
      <c r="AA236" s="369"/>
      <c r="AB236" s="369"/>
      <c r="AC236" s="369"/>
      <c r="AD236" s="369"/>
      <c r="AE236" s="369"/>
      <c r="AF236" s="369"/>
      <c r="AG236" s="369"/>
      <c r="AH236" s="369"/>
      <c r="AI236" s="369"/>
      <c r="AK236" s="48"/>
      <c r="AL236" s="48"/>
      <c r="AM236" s="48"/>
    </row>
    <row r="237" spans="1:39">
      <c r="A237" s="27">
        <v>45252</v>
      </c>
      <c r="B237" s="27">
        <f>IF(YEAR(Table7[[#This Row],[Date]]) = 2023, WEEKNUM(Table7[[#This Row],[Date]])-13, WEEKNUM(Table7[[#This Row],[Date]])+40)</f>
        <v>34</v>
      </c>
      <c r="C237" s="34" t="s">
        <v>51</v>
      </c>
      <c r="D237" s="62" t="s">
        <v>94</v>
      </c>
      <c r="E237" s="1">
        <v>670</v>
      </c>
      <c r="F237" s="1">
        <v>424</v>
      </c>
      <c r="G237" s="64">
        <f t="shared" si="68"/>
        <v>0.29593810444874274</v>
      </c>
      <c r="H237" s="64">
        <f t="shared" si="69"/>
        <v>-3.6363636363636362E-2</v>
      </c>
      <c r="I237" s="1"/>
      <c r="J237" s="1"/>
      <c r="K237" s="1"/>
      <c r="L237" s="1"/>
      <c r="M237" s="66">
        <v>0.19</v>
      </c>
      <c r="N237" s="66">
        <v>0.37</v>
      </c>
      <c r="O237" s="66">
        <v>0.63</v>
      </c>
      <c r="P237" s="66">
        <v>0.75</v>
      </c>
      <c r="Q237" s="87">
        <v>1</v>
      </c>
      <c r="R237" s="285">
        <v>273</v>
      </c>
      <c r="S237" s="145">
        <v>0.375</v>
      </c>
      <c r="T237" s="113">
        <v>5</v>
      </c>
      <c r="U237" s="66" t="str">
        <f t="shared" si="59"/>
        <v>Outlier</v>
      </c>
      <c r="V237" s="66" t="str">
        <f t="shared" si="60"/>
        <v>Normal</v>
      </c>
      <c r="W237" s="19">
        <f t="shared" si="70"/>
        <v>0.29593810444874274</v>
      </c>
      <c r="X237" s="19">
        <f t="shared" si="63"/>
        <v>-3.6363636363636362E-2</v>
      </c>
      <c r="Y237" s="369"/>
      <c r="Z237" s="369"/>
      <c r="AA237" s="369"/>
      <c r="AB237" s="369"/>
      <c r="AC237" s="369"/>
      <c r="AD237" s="369"/>
      <c r="AE237" s="369"/>
      <c r="AF237" s="369"/>
      <c r="AG237" s="369"/>
      <c r="AH237" s="369"/>
      <c r="AI237" s="369"/>
    </row>
    <row r="238" spans="1:39">
      <c r="A238" s="27">
        <v>45253</v>
      </c>
      <c r="B238" s="27">
        <f>IF(YEAR(Table7[[#This Row],[Date]]) = 2023, WEEKNUM(Table7[[#This Row],[Date]])-13, WEEKNUM(Table7[[#This Row],[Date]])+40)</f>
        <v>34</v>
      </c>
      <c r="C238" s="34" t="s">
        <v>52</v>
      </c>
      <c r="D238" s="62" t="s">
        <v>94</v>
      </c>
      <c r="E238" s="1">
        <v>539</v>
      </c>
      <c r="F238" s="1">
        <v>459</v>
      </c>
      <c r="G238" s="64">
        <f t="shared" si="68"/>
        <v>0.2058165548098434</v>
      </c>
      <c r="H238" s="64">
        <f t="shared" si="69"/>
        <v>6.0046189376443418E-2</v>
      </c>
      <c r="I238" s="1"/>
      <c r="J238" s="1"/>
      <c r="K238" s="1"/>
      <c r="L238" s="1"/>
      <c r="M238" s="66">
        <v>0.57999999999999996</v>
      </c>
      <c r="N238" s="66">
        <v>0.14000000000000001</v>
      </c>
      <c r="O238" s="66">
        <v>0.86</v>
      </c>
      <c r="P238" s="66">
        <v>0.4</v>
      </c>
      <c r="Q238" s="87">
        <v>1</v>
      </c>
      <c r="R238" s="285">
        <v>270</v>
      </c>
      <c r="S238" s="145">
        <v>0.12222222222222223</v>
      </c>
      <c r="T238" s="113">
        <v>8</v>
      </c>
      <c r="U238" s="66" t="str">
        <f t="shared" si="59"/>
        <v>Normal</v>
      </c>
      <c r="V238" s="66" t="str">
        <f t="shared" si="60"/>
        <v>Normal</v>
      </c>
      <c r="W238" s="19">
        <f t="shared" si="70"/>
        <v>0.2058165548098434</v>
      </c>
      <c r="X238" s="19">
        <f t="shared" si="63"/>
        <v>6.0046189376443418E-2</v>
      </c>
      <c r="Y238" s="369"/>
      <c r="Z238" s="369"/>
      <c r="AA238" s="369"/>
      <c r="AB238" s="369"/>
      <c r="AC238" s="369"/>
      <c r="AD238" s="369"/>
      <c r="AE238" s="369"/>
      <c r="AF238" s="369"/>
      <c r="AG238" s="369"/>
      <c r="AH238" s="369"/>
      <c r="AI238" s="369"/>
    </row>
    <row r="239" spans="1:39">
      <c r="A239" s="27">
        <v>45254</v>
      </c>
      <c r="B239" s="27">
        <f>IF(YEAR(Table7[[#This Row],[Date]]) = 2023, WEEKNUM(Table7[[#This Row],[Date]])-13, WEEKNUM(Table7[[#This Row],[Date]])+40)</f>
        <v>34</v>
      </c>
      <c r="C239" s="34" t="s">
        <v>53</v>
      </c>
      <c r="D239" s="62" t="s">
        <v>94</v>
      </c>
      <c r="E239" s="1">
        <v>920</v>
      </c>
      <c r="F239" s="1">
        <v>772</v>
      </c>
      <c r="G239" s="64">
        <f t="shared" si="68"/>
        <v>0.96581196581196582</v>
      </c>
      <c r="H239" s="64">
        <f t="shared" si="69"/>
        <v>0.69298245614035092</v>
      </c>
      <c r="I239" s="1"/>
      <c r="J239" s="1"/>
      <c r="K239" s="1"/>
      <c r="L239" s="1"/>
      <c r="M239" s="66">
        <v>0.5</v>
      </c>
      <c r="N239" s="66">
        <v>0.16</v>
      </c>
      <c r="O239" s="66">
        <v>0.84</v>
      </c>
      <c r="P239" s="66">
        <v>0.62</v>
      </c>
      <c r="Q239" s="87">
        <v>1</v>
      </c>
      <c r="R239" s="285">
        <v>224</v>
      </c>
      <c r="S239" s="145">
        <v>0.10347222222222223</v>
      </c>
      <c r="T239" s="113">
        <v>8</v>
      </c>
      <c r="U239" s="66" t="str">
        <f t="shared" si="59"/>
        <v>Normal</v>
      </c>
      <c r="V239" s="66" t="str">
        <f t="shared" si="60"/>
        <v>Normal</v>
      </c>
      <c r="W239" s="19">
        <f t="shared" si="70"/>
        <v>0.96581196581196582</v>
      </c>
      <c r="X239" s="19">
        <f t="shared" si="63"/>
        <v>0.69298245614035092</v>
      </c>
      <c r="Y239" s="369"/>
      <c r="Z239" s="369"/>
      <c r="AA239" s="369"/>
      <c r="AB239" s="369"/>
      <c r="AC239" s="369"/>
      <c r="AD239" s="369"/>
      <c r="AE239" s="369"/>
      <c r="AF239" s="369"/>
      <c r="AG239" s="369"/>
      <c r="AH239" s="369"/>
      <c r="AI239" s="369"/>
    </row>
    <row r="240" spans="1:39">
      <c r="A240" s="27">
        <v>45255</v>
      </c>
      <c r="B240" s="27">
        <f>IF(YEAR(Table7[[#This Row],[Date]]) = 2023, WEEKNUM(Table7[[#This Row],[Date]])-13, WEEKNUM(Table7[[#This Row],[Date]])+40)</f>
        <v>34</v>
      </c>
      <c r="C240" s="34" t="s">
        <v>54</v>
      </c>
      <c r="D240" s="62" t="s">
        <v>94</v>
      </c>
      <c r="E240" s="1">
        <v>462</v>
      </c>
      <c r="F240" s="1">
        <v>292</v>
      </c>
      <c r="G240" s="64">
        <f t="shared" si="68"/>
        <v>0.43925233644859812</v>
      </c>
      <c r="H240" s="64">
        <f t="shared" si="69"/>
        <v>0.17741935483870969</v>
      </c>
      <c r="I240" s="1"/>
      <c r="J240" s="1"/>
      <c r="K240" s="1"/>
      <c r="L240" s="1"/>
      <c r="M240" s="66">
        <v>0.25</v>
      </c>
      <c r="N240" s="66">
        <v>0.37</v>
      </c>
      <c r="O240" s="66">
        <v>0.63</v>
      </c>
      <c r="P240" s="66">
        <v>0.53</v>
      </c>
      <c r="Q240" s="87">
        <v>1</v>
      </c>
      <c r="R240" s="285">
        <v>284</v>
      </c>
      <c r="S240" s="145">
        <v>0.30277777777777776</v>
      </c>
      <c r="T240" s="113">
        <v>5</v>
      </c>
      <c r="U240" s="66" t="str">
        <f t="shared" si="59"/>
        <v>Normal</v>
      </c>
      <c r="V240" s="66" t="str">
        <f t="shared" si="60"/>
        <v>Normal</v>
      </c>
      <c r="W240" s="19">
        <f t="shared" si="70"/>
        <v>0.43925233644859812</v>
      </c>
      <c r="X240" s="19">
        <f t="shared" si="63"/>
        <v>0.17741935483870969</v>
      </c>
      <c r="Y240" s="369"/>
      <c r="Z240" s="369"/>
      <c r="AA240" s="369"/>
      <c r="AB240" s="369"/>
      <c r="AC240" s="369"/>
      <c r="AD240" s="369"/>
      <c r="AE240" s="369"/>
      <c r="AF240" s="369"/>
      <c r="AG240" s="369"/>
      <c r="AH240" s="369"/>
      <c r="AI240" s="369"/>
    </row>
    <row r="241" spans="1:37">
      <c r="A241" s="27">
        <v>45256</v>
      </c>
      <c r="B241" s="27">
        <f>IF(YEAR(Table7[[#This Row],[Date]]) = 2023, WEEKNUM(Table7[[#This Row],[Date]])-13, WEEKNUM(Table7[[#This Row],[Date]])+40)</f>
        <v>35</v>
      </c>
      <c r="C241" s="34" t="s">
        <v>48</v>
      </c>
      <c r="D241" s="62" t="s">
        <v>94</v>
      </c>
      <c r="E241" s="1">
        <v>219</v>
      </c>
      <c r="F241" s="1">
        <v>139</v>
      </c>
      <c r="G241" s="64">
        <f t="shared" si="68"/>
        <v>0</v>
      </c>
      <c r="H241" s="64">
        <f t="shared" si="69"/>
        <v>0</v>
      </c>
      <c r="I241" s="1"/>
      <c r="J241" s="1"/>
      <c r="K241" s="1"/>
      <c r="L241" s="1"/>
      <c r="M241" s="66">
        <v>0.33</v>
      </c>
      <c r="N241" s="66">
        <v>0.37</v>
      </c>
      <c r="O241" s="66">
        <v>0.63</v>
      </c>
      <c r="P241" s="66">
        <v>0.42</v>
      </c>
      <c r="Q241" s="87">
        <v>1</v>
      </c>
      <c r="R241" s="285">
        <v>239</v>
      </c>
      <c r="S241" s="145">
        <v>0.17708333333333334</v>
      </c>
      <c r="T241" s="113">
        <v>3</v>
      </c>
      <c r="U241" s="66" t="str">
        <f t="shared" si="59"/>
        <v>Normal</v>
      </c>
      <c r="V241" s="66" t="str">
        <f t="shared" si="60"/>
        <v>Normal</v>
      </c>
      <c r="W241" s="19">
        <f t="shared" si="70"/>
        <v>0</v>
      </c>
      <c r="X241" s="19">
        <f t="shared" si="63"/>
        <v>0</v>
      </c>
      <c r="Y241" s="369"/>
      <c r="Z241" s="369"/>
      <c r="AA241" s="369"/>
      <c r="AB241" s="369"/>
      <c r="AC241" s="369"/>
      <c r="AD241" s="369"/>
      <c r="AE241" s="369"/>
      <c r="AF241" s="369"/>
      <c r="AG241" s="369"/>
      <c r="AH241" s="369"/>
      <c r="AI241" s="369"/>
      <c r="AK241">
        <v>0.9620512820512821</v>
      </c>
    </row>
    <row r="242" spans="1:37">
      <c r="A242" s="27">
        <v>45257</v>
      </c>
      <c r="B242" s="27">
        <f>IF(YEAR(Table7[[#This Row],[Date]]) = 2023, WEEKNUM(Table7[[#This Row],[Date]])-13, WEEKNUM(Table7[[#This Row],[Date]])+40)</f>
        <v>35</v>
      </c>
      <c r="C242" s="34" t="s">
        <v>49</v>
      </c>
      <c r="D242" s="62" t="s">
        <v>94</v>
      </c>
      <c r="E242" s="1">
        <v>1301</v>
      </c>
      <c r="F242" s="1">
        <v>613</v>
      </c>
      <c r="G242" s="64">
        <f t="shared" si="68"/>
        <v>1.0296411856474259</v>
      </c>
      <c r="H242" s="64">
        <f t="shared" si="69"/>
        <v>6.2391681109185443E-2</v>
      </c>
      <c r="I242" s="1"/>
      <c r="J242" s="1"/>
      <c r="K242" s="1"/>
      <c r="L242" s="1"/>
      <c r="M242" s="66">
        <v>0.06</v>
      </c>
      <c r="N242" s="66">
        <v>0.53</v>
      </c>
      <c r="O242" s="66">
        <v>0.47</v>
      </c>
      <c r="P242" s="66">
        <v>0.53</v>
      </c>
      <c r="Q242" s="87">
        <v>1</v>
      </c>
      <c r="R242" s="285">
        <v>300</v>
      </c>
      <c r="S242" s="145">
        <v>0.41944444444444445</v>
      </c>
      <c r="T242" s="113">
        <v>8</v>
      </c>
      <c r="U242" s="66" t="str">
        <f t="shared" si="59"/>
        <v>Normal</v>
      </c>
      <c r="V242" s="66" t="str">
        <f t="shared" si="60"/>
        <v>Normal</v>
      </c>
      <c r="W242" s="19">
        <f t="shared" si="70"/>
        <v>1.0296411856474259</v>
      </c>
      <c r="X242" s="19">
        <f t="shared" si="63"/>
        <v>6.2391681109185443E-2</v>
      </c>
      <c r="Y242" s="369"/>
      <c r="Z242" s="369"/>
      <c r="AA242" s="369"/>
      <c r="AB242" s="369"/>
      <c r="AC242" s="369"/>
      <c r="AD242" s="369"/>
      <c r="AE242" s="369"/>
      <c r="AF242" s="369"/>
      <c r="AG242" s="369"/>
      <c r="AH242" s="369"/>
      <c r="AI242" s="369"/>
    </row>
    <row r="243" spans="1:37">
      <c r="A243" s="27">
        <v>45258</v>
      </c>
      <c r="B243" s="27">
        <f>IF(YEAR(Table7[[#This Row],[Date]]) = 2023, WEEKNUM(Table7[[#This Row],[Date]])-13, WEEKNUM(Table7[[#This Row],[Date]])+40)</f>
        <v>35</v>
      </c>
      <c r="C243" s="34" t="s">
        <v>50</v>
      </c>
      <c r="D243" s="62" t="s">
        <v>94</v>
      </c>
      <c r="E243" s="1">
        <v>908</v>
      </c>
      <c r="F243" s="1">
        <v>494</v>
      </c>
      <c r="G243" s="64">
        <f t="shared" si="68"/>
        <v>0.71320754716981127</v>
      </c>
      <c r="H243" s="64">
        <f t="shared" si="69"/>
        <v>-1.3972055888223553E-2</v>
      </c>
      <c r="I243" s="1"/>
      <c r="J243" s="1"/>
      <c r="K243" s="1"/>
      <c r="L243" s="1"/>
      <c r="M243" s="66">
        <v>0.12</v>
      </c>
      <c r="N243" s="66">
        <v>0.46</v>
      </c>
      <c r="O243" s="66">
        <v>0.54</v>
      </c>
      <c r="P243" s="66">
        <v>0.56999999999999995</v>
      </c>
      <c r="Q243" s="87">
        <v>1</v>
      </c>
      <c r="R243" s="285">
        <v>327</v>
      </c>
      <c r="S243" s="145">
        <v>0.41875000000000001</v>
      </c>
      <c r="T243" s="113">
        <v>6</v>
      </c>
      <c r="U243" s="66" t="str">
        <f t="shared" si="59"/>
        <v>Outlier</v>
      </c>
      <c r="V243" s="66" t="str">
        <f t="shared" si="60"/>
        <v>Normal</v>
      </c>
      <c r="W243" s="19">
        <f t="shared" si="70"/>
        <v>0.71320754716981127</v>
      </c>
      <c r="X243" s="19">
        <f t="shared" si="63"/>
        <v>-1.3972055888223553E-2</v>
      </c>
      <c r="Y243" s="369"/>
      <c r="Z243" s="369"/>
      <c r="AA243" s="369"/>
      <c r="AB243" s="369"/>
      <c r="AC243" s="369"/>
      <c r="AD243" s="369"/>
      <c r="AE243" s="369"/>
      <c r="AF243" s="369"/>
      <c r="AG243" s="369"/>
      <c r="AH243" s="369"/>
      <c r="AI243" s="369"/>
    </row>
    <row r="244" spans="1:37">
      <c r="A244" s="27">
        <v>45259</v>
      </c>
      <c r="B244" s="27">
        <f>IF(YEAR(Table7[[#This Row],[Date]]) = 2023, WEEKNUM(Table7[[#This Row],[Date]])-13, WEEKNUM(Table7[[#This Row],[Date]])+40)</f>
        <v>35</v>
      </c>
      <c r="C244" s="34" t="s">
        <v>51</v>
      </c>
      <c r="D244" s="62" t="s">
        <v>94</v>
      </c>
      <c r="E244" s="1">
        <v>705</v>
      </c>
      <c r="F244" s="1">
        <v>545</v>
      </c>
      <c r="G244" s="64">
        <f t="shared" si="68"/>
        <v>5.2238805970149252E-2</v>
      </c>
      <c r="H244" s="64">
        <f t="shared" si="69"/>
        <v>0.28537735849056606</v>
      </c>
      <c r="I244" s="1"/>
      <c r="J244" s="1"/>
      <c r="K244" s="1"/>
      <c r="L244" s="1"/>
      <c r="M244" s="66">
        <v>0.4</v>
      </c>
      <c r="N244" s="66">
        <v>0.23</v>
      </c>
      <c r="O244" s="66">
        <v>0.77</v>
      </c>
      <c r="P244" s="66">
        <v>0.71</v>
      </c>
      <c r="Q244" s="87">
        <v>1</v>
      </c>
      <c r="R244" s="285">
        <v>271</v>
      </c>
      <c r="S244" s="145">
        <v>0.20972222222222223</v>
      </c>
      <c r="T244" s="113">
        <v>7</v>
      </c>
      <c r="U244" s="66" t="str">
        <f t="shared" si="59"/>
        <v>Normal</v>
      </c>
      <c r="V244" s="66" t="str">
        <f t="shared" si="60"/>
        <v>Normal</v>
      </c>
      <c r="W244" s="19">
        <f t="shared" si="70"/>
        <v>5.2238805970149252E-2</v>
      </c>
      <c r="X244" s="19">
        <f t="shared" si="63"/>
        <v>0.28537735849056606</v>
      </c>
      <c r="Y244" s="369"/>
      <c r="Z244" s="369"/>
      <c r="AA244" s="369"/>
      <c r="AB244" s="369"/>
      <c r="AC244" s="369"/>
      <c r="AD244" s="369"/>
      <c r="AE244" s="369"/>
      <c r="AF244" s="369"/>
      <c r="AG244" s="369"/>
      <c r="AH244" s="369"/>
      <c r="AI244" s="369"/>
    </row>
    <row r="245" spans="1:37">
      <c r="A245" s="27">
        <v>45260</v>
      </c>
      <c r="B245" s="27">
        <f>IF(YEAR(Table7[[#This Row],[Date]]) = 2023, WEEKNUM(Table7[[#This Row],[Date]])-13, WEEKNUM(Table7[[#This Row],[Date]])+40)</f>
        <v>35</v>
      </c>
      <c r="C245" s="34" t="s">
        <v>64</v>
      </c>
      <c r="D245" s="62" t="s">
        <v>94</v>
      </c>
      <c r="E245" s="1">
        <v>0</v>
      </c>
      <c r="F245" s="1">
        <v>0</v>
      </c>
      <c r="G245" s="64">
        <f t="shared" si="68"/>
        <v>-1</v>
      </c>
      <c r="H245" s="64">
        <f t="shared" si="69"/>
        <v>-1</v>
      </c>
      <c r="I245" s="1">
        <v>0</v>
      </c>
      <c r="J245" s="1">
        <v>0</v>
      </c>
      <c r="K245" s="1">
        <v>0</v>
      </c>
      <c r="L245" s="1">
        <v>0</v>
      </c>
      <c r="M245" s="66">
        <v>0</v>
      </c>
      <c r="N245" s="66">
        <v>0</v>
      </c>
      <c r="O245" s="66">
        <v>0</v>
      </c>
      <c r="P245" s="66">
        <v>0</v>
      </c>
      <c r="Q245" s="87">
        <v>0</v>
      </c>
      <c r="R245" s="285">
        <v>0</v>
      </c>
      <c r="S245" s="145">
        <v>0</v>
      </c>
      <c r="T245" s="113">
        <v>0</v>
      </c>
      <c r="U245" s="66" t="str">
        <f t="shared" si="59"/>
        <v>Outlier</v>
      </c>
      <c r="V245" s="66" t="str">
        <f t="shared" si="60"/>
        <v>Normal</v>
      </c>
      <c r="W245" s="19">
        <f t="shared" si="70"/>
        <v>-1</v>
      </c>
      <c r="X245" s="19">
        <f t="shared" si="63"/>
        <v>-1</v>
      </c>
      <c r="Y245" s="369"/>
      <c r="Z245" s="369"/>
      <c r="AA245" s="369"/>
      <c r="AB245" s="369"/>
      <c r="AC245" s="369"/>
      <c r="AD245" s="369"/>
      <c r="AE245" s="369"/>
      <c r="AF245" s="369"/>
      <c r="AG245" s="369"/>
      <c r="AH245" s="369"/>
      <c r="AI245" s="369"/>
    </row>
    <row r="246" spans="1:37">
      <c r="A246" s="27">
        <v>45261</v>
      </c>
      <c r="B246" s="27">
        <f>IF(YEAR(Table7[[#This Row],[Date]]) = 2023, WEEKNUM(Table7[[#This Row],[Date]])-13, WEEKNUM(Table7[[#This Row],[Date]])+40)</f>
        <v>35</v>
      </c>
      <c r="C246" s="34" t="s">
        <v>53</v>
      </c>
      <c r="D246" s="62" t="s">
        <v>94</v>
      </c>
      <c r="E246" s="1">
        <v>781</v>
      </c>
      <c r="F246" s="1">
        <v>498</v>
      </c>
      <c r="G246" s="64">
        <f t="shared" si="68"/>
        <v>-0.15108695652173912</v>
      </c>
      <c r="H246" s="64">
        <f t="shared" si="69"/>
        <v>-0.3549222797927461</v>
      </c>
      <c r="I246" s="1"/>
      <c r="J246" s="1"/>
      <c r="K246" s="1"/>
      <c r="L246" s="1"/>
      <c r="M246" s="66">
        <v>0.25</v>
      </c>
      <c r="N246" s="66">
        <v>0.36</v>
      </c>
      <c r="O246" s="66">
        <v>0.64</v>
      </c>
      <c r="P246" s="66">
        <v>0.56999999999999995</v>
      </c>
      <c r="Q246" s="87">
        <v>1</v>
      </c>
      <c r="R246" s="285">
        <v>315</v>
      </c>
      <c r="S246" s="145">
        <v>0.24166666666666667</v>
      </c>
      <c r="T246" s="113">
        <v>6</v>
      </c>
      <c r="U246" s="66" t="str">
        <f t="shared" si="59"/>
        <v>Outlier</v>
      </c>
      <c r="V246" s="66" t="str">
        <f t="shared" si="60"/>
        <v>Normal</v>
      </c>
      <c r="W246" s="19">
        <f t="shared" si="70"/>
        <v>-0.15108695652173912</v>
      </c>
      <c r="X246" s="19">
        <f t="shared" si="63"/>
        <v>-0.3549222797927461</v>
      </c>
      <c r="Y246" s="369"/>
      <c r="Z246" s="369"/>
      <c r="AA246" s="369"/>
      <c r="AB246" s="369"/>
      <c r="AC246" s="369"/>
      <c r="AD246" s="369"/>
      <c r="AE246" s="369"/>
      <c r="AF246" s="369"/>
      <c r="AG246" s="369"/>
      <c r="AH246" s="369"/>
      <c r="AI246" s="369"/>
    </row>
    <row r="247" spans="1:37">
      <c r="A247" s="27">
        <v>45262</v>
      </c>
      <c r="B247" s="27">
        <f>IF(YEAR(Table7[[#This Row],[Date]]) = 2023, WEEKNUM(Table7[[#This Row],[Date]])-13, WEEKNUM(Table7[[#This Row],[Date]])+40)</f>
        <v>35</v>
      </c>
      <c r="C247" s="34" t="s">
        <v>54</v>
      </c>
      <c r="D247" s="62" t="s">
        <v>94</v>
      </c>
      <c r="E247" s="1">
        <v>519</v>
      </c>
      <c r="F247" s="1">
        <v>306</v>
      </c>
      <c r="G247" s="64">
        <f t="shared" si="68"/>
        <v>0.12337662337662338</v>
      </c>
      <c r="H247" s="64">
        <f t="shared" si="69"/>
        <v>4.7945205479452052E-2</v>
      </c>
      <c r="I247" s="1"/>
      <c r="J247" s="1"/>
      <c r="K247" s="1"/>
      <c r="L247" s="1"/>
      <c r="M247" s="66">
        <v>0.19</v>
      </c>
      <c r="N247" s="66">
        <v>0.41</v>
      </c>
      <c r="O247" s="66">
        <v>0.59</v>
      </c>
      <c r="P247" s="66">
        <v>0.42</v>
      </c>
      <c r="Q247" s="87">
        <v>1</v>
      </c>
      <c r="R247" s="285">
        <v>310</v>
      </c>
      <c r="S247" s="145">
        <v>0.28611111111111115</v>
      </c>
      <c r="T247" s="113">
        <v>5</v>
      </c>
      <c r="U247" s="66" t="str">
        <f t="shared" si="59"/>
        <v>Normal</v>
      </c>
      <c r="V247" s="66" t="str">
        <f t="shared" si="60"/>
        <v>Normal</v>
      </c>
      <c r="W247" s="19">
        <f t="shared" si="70"/>
        <v>0.12337662337662338</v>
      </c>
      <c r="X247" s="19">
        <f t="shared" si="63"/>
        <v>4.7945205479452052E-2</v>
      </c>
      <c r="Y247" s="369"/>
      <c r="Z247" s="369"/>
      <c r="AA247" s="369"/>
      <c r="AB247" s="369"/>
      <c r="AC247" s="369"/>
      <c r="AD247" s="369"/>
      <c r="AE247" s="369"/>
      <c r="AF247" s="369"/>
      <c r="AG247" s="369"/>
      <c r="AH247" s="369"/>
      <c r="AI247" s="369"/>
    </row>
    <row r="248" spans="1:37">
      <c r="A248" s="27">
        <v>45263</v>
      </c>
      <c r="B248" s="27">
        <f>IF(YEAR(Table7[[#This Row],[Date]]) = 2023, WEEKNUM(Table7[[#This Row],[Date]])-13, WEEKNUM(Table7[[#This Row],[Date]])+40)</f>
        <v>36</v>
      </c>
      <c r="C248" s="34" t="s">
        <v>48</v>
      </c>
      <c r="D248" s="62" t="s">
        <v>94</v>
      </c>
      <c r="E248" s="1">
        <v>112</v>
      </c>
      <c r="F248" s="1">
        <v>102</v>
      </c>
      <c r="G248" s="64">
        <f t="shared" si="68"/>
        <v>-0.48858447488584472</v>
      </c>
      <c r="H248" s="64">
        <f t="shared" si="69"/>
        <v>-0.26618705035971224</v>
      </c>
      <c r="I248" s="1"/>
      <c r="J248" s="1"/>
      <c r="K248" s="1"/>
      <c r="L248" s="1"/>
      <c r="M248" s="66">
        <v>0.84</v>
      </c>
      <c r="N248" s="66">
        <v>0.09</v>
      </c>
      <c r="O248" s="66">
        <v>0.91</v>
      </c>
      <c r="P248" s="66">
        <v>0.18</v>
      </c>
      <c r="Q248" s="87">
        <v>1</v>
      </c>
      <c r="R248" s="285">
        <v>271</v>
      </c>
      <c r="S248" s="145">
        <v>5.2083333333333336E-2</v>
      </c>
      <c r="T248" s="113">
        <v>4</v>
      </c>
      <c r="U248" s="66" t="str">
        <f t="shared" si="59"/>
        <v>Outlier</v>
      </c>
      <c r="V248" s="66" t="str">
        <f t="shared" si="60"/>
        <v>Normal</v>
      </c>
      <c r="W248" s="19">
        <f t="shared" si="70"/>
        <v>-0.48858447488584472</v>
      </c>
      <c r="X248" s="19">
        <f t="shared" si="63"/>
        <v>-0.26618705035971224</v>
      </c>
      <c r="Y248" s="369"/>
      <c r="Z248" s="369"/>
      <c r="AA248" s="369"/>
      <c r="AB248" s="369"/>
      <c r="AC248" s="369"/>
      <c r="AD248" s="369"/>
      <c r="AE248" s="369"/>
      <c r="AF248" s="369"/>
      <c r="AG248" s="369"/>
      <c r="AH248" s="369"/>
      <c r="AI248" s="369"/>
    </row>
    <row r="249" spans="1:37">
      <c r="A249" s="27">
        <v>45264</v>
      </c>
      <c r="B249" s="27">
        <f>IF(YEAR(Table7[[#This Row],[Date]]) = 2023, WEEKNUM(Table7[[#This Row],[Date]])-13, WEEKNUM(Table7[[#This Row],[Date]])+40)</f>
        <v>36</v>
      </c>
      <c r="C249" s="34" t="s">
        <v>49</v>
      </c>
      <c r="D249" s="62" t="s">
        <v>94</v>
      </c>
      <c r="E249" s="1">
        <v>675</v>
      </c>
      <c r="F249" s="1">
        <v>574</v>
      </c>
      <c r="G249" s="64">
        <f t="shared" si="68"/>
        <v>-0.4811683320522675</v>
      </c>
      <c r="H249" s="64">
        <f t="shared" si="69"/>
        <v>-6.3621533442088096E-2</v>
      </c>
      <c r="I249" s="1"/>
      <c r="J249" s="1"/>
      <c r="K249" s="1"/>
      <c r="L249" s="1"/>
      <c r="M249" s="66">
        <v>0.56000000000000005</v>
      </c>
      <c r="N249" s="66">
        <v>0.14000000000000001</v>
      </c>
      <c r="O249" s="66">
        <v>0.86</v>
      </c>
      <c r="P249" s="66">
        <v>0.49</v>
      </c>
      <c r="Q249" s="87">
        <v>1</v>
      </c>
      <c r="R249" s="285">
        <v>255</v>
      </c>
      <c r="S249" s="145">
        <v>0.12152777777777778</v>
      </c>
      <c r="T249" s="113">
        <v>8</v>
      </c>
      <c r="U249" s="66" t="str">
        <f t="shared" si="59"/>
        <v>Outlier</v>
      </c>
      <c r="V249" s="66" t="str">
        <f t="shared" si="60"/>
        <v>Normal</v>
      </c>
      <c r="W249" s="19">
        <f t="shared" si="70"/>
        <v>-0.4811683320522675</v>
      </c>
      <c r="X249" s="19">
        <f t="shared" si="63"/>
        <v>-6.3621533442088096E-2</v>
      </c>
      <c r="Y249" s="369"/>
      <c r="Z249" s="369"/>
      <c r="AA249" s="369"/>
      <c r="AB249" s="369"/>
      <c r="AC249" s="369"/>
      <c r="AD249" s="369"/>
      <c r="AE249" s="369"/>
      <c r="AF249" s="369"/>
      <c r="AG249" s="369"/>
      <c r="AH249" s="369"/>
      <c r="AI249" s="369"/>
    </row>
    <row r="250" spans="1:37">
      <c r="A250" s="27">
        <v>45265</v>
      </c>
      <c r="B250" s="27">
        <f>IF(YEAR(Table7[[#This Row],[Date]]) = 2023, WEEKNUM(Table7[[#This Row],[Date]])-13, WEEKNUM(Table7[[#This Row],[Date]])+40)</f>
        <v>36</v>
      </c>
      <c r="C250" s="34" t="s">
        <v>50</v>
      </c>
      <c r="D250" s="62" t="s">
        <v>94</v>
      </c>
      <c r="E250" s="1">
        <v>522</v>
      </c>
      <c r="F250" s="1">
        <v>427</v>
      </c>
      <c r="G250" s="64">
        <f t="shared" si="68"/>
        <v>-0.42511013215859028</v>
      </c>
      <c r="H250" s="64">
        <f t="shared" si="69"/>
        <v>-0.13562753036437247</v>
      </c>
      <c r="I250" s="1"/>
      <c r="J250" s="1"/>
      <c r="K250" s="1"/>
      <c r="L250" s="1"/>
      <c r="M250" s="66">
        <v>0.48</v>
      </c>
      <c r="N250" s="66">
        <v>0.18</v>
      </c>
      <c r="O250" s="66">
        <v>0.82</v>
      </c>
      <c r="P250" s="66">
        <v>0.49</v>
      </c>
      <c r="Q250" s="87">
        <v>1</v>
      </c>
      <c r="R250" s="285">
        <v>270</v>
      </c>
      <c r="S250" s="145">
        <v>0.12083333333333333</v>
      </c>
      <c r="T250" s="113">
        <v>6</v>
      </c>
      <c r="U250" s="66" t="str">
        <f t="shared" si="59"/>
        <v>Outlier</v>
      </c>
      <c r="V250" s="66" t="str">
        <f t="shared" si="60"/>
        <v>Normal</v>
      </c>
      <c r="W250" s="19">
        <f t="shared" si="70"/>
        <v>-0.42511013215859028</v>
      </c>
      <c r="X250" s="19">
        <f t="shared" si="63"/>
        <v>-0.13562753036437247</v>
      </c>
      <c r="Y250" s="369"/>
      <c r="Z250" s="369"/>
      <c r="AA250" s="369"/>
      <c r="AB250" s="369"/>
      <c r="AC250" s="369"/>
      <c r="AD250" s="369"/>
      <c r="AE250" s="369"/>
      <c r="AF250" s="369"/>
      <c r="AG250" s="369"/>
      <c r="AH250" s="369"/>
      <c r="AI250" s="369"/>
    </row>
    <row r="251" spans="1:37">
      <c r="A251" s="27">
        <v>45266</v>
      </c>
      <c r="B251" s="27">
        <f>IF(YEAR(Table7[[#This Row],[Date]]) = 2023, WEEKNUM(Table7[[#This Row],[Date]])-13, WEEKNUM(Table7[[#This Row],[Date]])+40)</f>
        <v>36</v>
      </c>
      <c r="C251" s="34" t="s">
        <v>51</v>
      </c>
      <c r="D251" s="62" t="s">
        <v>94</v>
      </c>
      <c r="E251" s="1">
        <v>588</v>
      </c>
      <c r="F251" s="1">
        <v>441</v>
      </c>
      <c r="G251" s="64">
        <f t="shared" si="68"/>
        <v>-0.16595744680851063</v>
      </c>
      <c r="H251" s="64">
        <f t="shared" si="69"/>
        <v>-0.19082568807339451</v>
      </c>
      <c r="I251" s="1"/>
      <c r="J251" s="1"/>
      <c r="K251" s="1"/>
      <c r="L251" s="1"/>
      <c r="M251" s="66">
        <v>0.42</v>
      </c>
      <c r="N251" s="66">
        <v>0.25</v>
      </c>
      <c r="O251" s="66">
        <v>0.75</v>
      </c>
      <c r="P251" s="66">
        <v>0.51</v>
      </c>
      <c r="Q251" s="87">
        <v>1</v>
      </c>
      <c r="R251" s="285">
        <v>276</v>
      </c>
      <c r="S251" s="145">
        <v>0.16180555555555556</v>
      </c>
      <c r="T251" s="113">
        <v>6</v>
      </c>
      <c r="U251" s="66" t="str">
        <f t="shared" si="59"/>
        <v>Outlier</v>
      </c>
      <c r="V251" s="66" t="str">
        <f t="shared" si="60"/>
        <v>Normal</v>
      </c>
      <c r="W251" s="19">
        <f t="shared" si="70"/>
        <v>-0.16595744680851063</v>
      </c>
      <c r="X251" s="19">
        <f t="shared" si="63"/>
        <v>-0.19082568807339451</v>
      </c>
      <c r="Y251" s="369"/>
      <c r="Z251" s="369"/>
      <c r="AA251" s="369"/>
      <c r="AB251" s="369"/>
      <c r="AC251" s="369"/>
      <c r="AD251" s="369"/>
      <c r="AE251" s="369"/>
      <c r="AF251" s="369"/>
      <c r="AG251" s="369"/>
      <c r="AH251" s="369"/>
      <c r="AI251" s="369"/>
    </row>
    <row r="252" spans="1:37">
      <c r="A252" s="27">
        <v>45267</v>
      </c>
      <c r="B252" s="27">
        <f>IF(YEAR(Table7[[#This Row],[Date]]) = 2023, WEEKNUM(Table7[[#This Row],[Date]])-13, WEEKNUM(Table7[[#This Row],[Date]])+40)</f>
        <v>36</v>
      </c>
      <c r="C252" s="34" t="s">
        <v>52</v>
      </c>
      <c r="D252" s="62" t="s">
        <v>94</v>
      </c>
      <c r="E252" s="1">
        <v>538</v>
      </c>
      <c r="F252" s="1">
        <v>436</v>
      </c>
      <c r="G252" s="64">
        <f t="shared" si="68"/>
        <v>0</v>
      </c>
      <c r="H252" s="64">
        <f t="shared" si="69"/>
        <v>0</v>
      </c>
      <c r="I252" s="1"/>
      <c r="J252" s="1"/>
      <c r="K252" s="1"/>
      <c r="L252" s="1"/>
      <c r="M252" s="66">
        <v>0.48</v>
      </c>
      <c r="N252" s="66">
        <v>0.18</v>
      </c>
      <c r="O252" s="66">
        <v>0.82</v>
      </c>
      <c r="P252" s="66">
        <v>0.5</v>
      </c>
      <c r="Q252" s="87">
        <v>1</v>
      </c>
      <c r="R252" s="285">
        <v>256</v>
      </c>
      <c r="S252" s="145">
        <v>0.14305555555555557</v>
      </c>
      <c r="T252" s="113">
        <v>7</v>
      </c>
      <c r="U252" s="66" t="str">
        <f t="shared" si="59"/>
        <v>Normal</v>
      </c>
      <c r="V252" s="66" t="str">
        <f t="shared" si="60"/>
        <v>Normal</v>
      </c>
      <c r="W252" s="19">
        <f t="shared" si="70"/>
        <v>0</v>
      </c>
      <c r="X252" s="19">
        <f t="shared" si="63"/>
        <v>0</v>
      </c>
      <c r="Y252" s="369"/>
      <c r="Z252" s="369"/>
      <c r="AA252" s="369"/>
      <c r="AB252" s="369"/>
      <c r="AC252" s="369"/>
      <c r="AD252" s="369"/>
      <c r="AE252" s="369"/>
      <c r="AF252" s="369"/>
      <c r="AG252" s="369"/>
      <c r="AH252" s="369"/>
      <c r="AI252" s="369"/>
    </row>
    <row r="253" spans="1:37">
      <c r="A253" s="27">
        <v>45268</v>
      </c>
      <c r="B253" s="27">
        <f>IF(YEAR(Table7[[#This Row],[Date]]) = 2023, WEEKNUM(Table7[[#This Row],[Date]])-13, WEEKNUM(Table7[[#This Row],[Date]])+40)</f>
        <v>36</v>
      </c>
      <c r="C253" s="34" t="s">
        <v>53</v>
      </c>
      <c r="D253" s="62" t="s">
        <v>94</v>
      </c>
      <c r="E253" s="1">
        <v>488</v>
      </c>
      <c r="F253" s="1">
        <v>454</v>
      </c>
      <c r="G253" s="64">
        <f t="shared" si="68"/>
        <v>-0.37516005121638923</v>
      </c>
      <c r="H253" s="64">
        <f t="shared" si="69"/>
        <v>-8.8353413654618476E-2</v>
      </c>
      <c r="I253" s="1"/>
      <c r="J253" s="1"/>
      <c r="K253" s="1"/>
      <c r="L253" s="1"/>
      <c r="M253" s="66">
        <v>0.8</v>
      </c>
      <c r="N253" s="66">
        <v>7.0000000000000007E-2</v>
      </c>
      <c r="O253" s="66">
        <v>0.93</v>
      </c>
      <c r="P253" s="66">
        <v>0.45</v>
      </c>
      <c r="Q253" s="87">
        <v>1</v>
      </c>
      <c r="R253" s="285">
        <v>263</v>
      </c>
      <c r="S253" s="145">
        <v>4.3055555555555562E-2</v>
      </c>
      <c r="T253" s="113">
        <v>7</v>
      </c>
      <c r="U253" s="66" t="str">
        <f t="shared" si="59"/>
        <v>Outlier</v>
      </c>
      <c r="V253" s="66" t="str">
        <f t="shared" si="60"/>
        <v>Normal</v>
      </c>
      <c r="W253" s="19">
        <f t="shared" si="70"/>
        <v>-0.37516005121638923</v>
      </c>
      <c r="X253" s="19">
        <f t="shared" si="63"/>
        <v>-8.8353413654618476E-2</v>
      </c>
      <c r="Y253" s="369"/>
      <c r="Z253" s="369"/>
      <c r="AA253" s="369"/>
      <c r="AB253" s="369"/>
      <c r="AC253" s="369"/>
      <c r="AD253" s="369"/>
      <c r="AE253" s="369"/>
      <c r="AF253" s="369"/>
      <c r="AG253" s="369"/>
      <c r="AH253" s="369"/>
      <c r="AI253" s="369"/>
    </row>
    <row r="254" spans="1:37">
      <c r="A254" s="27">
        <v>45269</v>
      </c>
      <c r="B254" s="27">
        <f>IF(YEAR(Table7[[#This Row],[Date]]) = 2023, WEEKNUM(Table7[[#This Row],[Date]])-13, WEEKNUM(Table7[[#This Row],[Date]])+40)</f>
        <v>36</v>
      </c>
      <c r="C254" s="34" t="s">
        <v>54</v>
      </c>
      <c r="D254" s="62" t="s">
        <v>94</v>
      </c>
      <c r="E254" s="1">
        <v>385</v>
      </c>
      <c r="F254" s="1">
        <v>323</v>
      </c>
      <c r="G254" s="64">
        <f t="shared" si="68"/>
        <v>-0.25818882466281312</v>
      </c>
      <c r="H254" s="64">
        <f t="shared" si="69"/>
        <v>5.5555555555555552E-2</v>
      </c>
      <c r="I254" s="1"/>
      <c r="J254" s="1"/>
      <c r="K254" s="1"/>
      <c r="L254" s="1"/>
      <c r="M254" s="66">
        <v>0.56999999999999995</v>
      </c>
      <c r="N254" s="66">
        <v>0.16</v>
      </c>
      <c r="O254" s="66">
        <v>0.84</v>
      </c>
      <c r="P254" s="66">
        <v>0.45</v>
      </c>
      <c r="Q254" s="87">
        <v>1</v>
      </c>
      <c r="R254" s="285">
        <v>249</v>
      </c>
      <c r="S254" s="145">
        <v>0.10277777777777779</v>
      </c>
      <c r="T254" s="113">
        <v>5</v>
      </c>
      <c r="U254" s="66" t="str">
        <f t="shared" si="59"/>
        <v>Normal</v>
      </c>
      <c r="V254" s="66" t="str">
        <f t="shared" si="60"/>
        <v>Normal</v>
      </c>
      <c r="W254" s="19">
        <f t="shared" si="70"/>
        <v>-0.25818882466281312</v>
      </c>
      <c r="X254" s="19">
        <f t="shared" si="63"/>
        <v>5.5555555555555552E-2</v>
      </c>
      <c r="Y254" s="369"/>
      <c r="Z254" s="369"/>
      <c r="AA254" s="369"/>
      <c r="AB254" s="369"/>
      <c r="AC254" s="369"/>
      <c r="AD254" s="369"/>
      <c r="AE254" s="369"/>
      <c r="AF254" s="369"/>
      <c r="AG254" s="369"/>
      <c r="AH254" s="369"/>
      <c r="AI254" s="369"/>
    </row>
    <row r="255" spans="1:37">
      <c r="A255" s="27">
        <v>45270</v>
      </c>
      <c r="B255" s="27">
        <f>IF(YEAR(Table7[[#This Row],[Date]]) = 2023, WEEKNUM(Table7[[#This Row],[Date]])-13, WEEKNUM(Table7[[#This Row],[Date]])+40)</f>
        <v>37</v>
      </c>
      <c r="C255" s="34" t="s">
        <v>48</v>
      </c>
      <c r="D255" s="62" t="s">
        <v>94</v>
      </c>
      <c r="E255" s="1">
        <v>153</v>
      </c>
      <c r="F255" s="1">
        <v>139</v>
      </c>
      <c r="G255" s="64">
        <f t="shared" si="68"/>
        <v>0.36607142857142855</v>
      </c>
      <c r="H255" s="64">
        <f t="shared" si="69"/>
        <v>0.36274509803921567</v>
      </c>
      <c r="I255" s="1"/>
      <c r="J255" s="1"/>
      <c r="K255" s="1"/>
      <c r="L255" s="1"/>
      <c r="M255" s="66">
        <v>0.85</v>
      </c>
      <c r="N255" s="66">
        <v>0.09</v>
      </c>
      <c r="O255" s="66">
        <v>0.91</v>
      </c>
      <c r="P255" s="66">
        <v>0.32</v>
      </c>
      <c r="Q255" s="87">
        <v>1</v>
      </c>
      <c r="R255" s="285">
        <v>188</v>
      </c>
      <c r="S255" s="145">
        <v>3.125E-2</v>
      </c>
      <c r="T255" s="113">
        <v>3</v>
      </c>
      <c r="U255" s="66" t="str">
        <f t="shared" si="59"/>
        <v>Normal</v>
      </c>
      <c r="V255" s="66" t="str">
        <f t="shared" si="60"/>
        <v>Normal</v>
      </c>
      <c r="W255" s="19">
        <f t="shared" si="70"/>
        <v>0.36607142857142855</v>
      </c>
      <c r="X255" s="19">
        <f t="shared" si="63"/>
        <v>0.36274509803921567</v>
      </c>
      <c r="Y255" s="369"/>
      <c r="Z255" s="369"/>
      <c r="AA255" s="369"/>
      <c r="AB255" s="369"/>
      <c r="AC255" s="369"/>
      <c r="AD255" s="369"/>
      <c r="AE255" s="369"/>
      <c r="AF255" s="369"/>
      <c r="AG255" s="369"/>
      <c r="AH255" s="369"/>
      <c r="AI255" s="369"/>
    </row>
    <row r="256" spans="1:37">
      <c r="A256" s="27">
        <v>45271</v>
      </c>
      <c r="B256" s="27">
        <f>IF(YEAR(Table7[[#This Row],[Date]]) = 2023, WEEKNUM(Table7[[#This Row],[Date]])-13, WEEKNUM(Table7[[#This Row],[Date]])+40)</f>
        <v>37</v>
      </c>
      <c r="C256" s="34" t="s">
        <v>49</v>
      </c>
      <c r="D256" s="62" t="s">
        <v>94</v>
      </c>
      <c r="E256" s="1">
        <v>640</v>
      </c>
      <c r="F256" s="1">
        <v>512</v>
      </c>
      <c r="G256" s="64">
        <f t="shared" si="68"/>
        <v>-5.185185185185185E-2</v>
      </c>
      <c r="H256" s="64">
        <f t="shared" si="69"/>
        <v>-0.10801393728222997</v>
      </c>
      <c r="I256" s="1"/>
      <c r="J256" s="1"/>
      <c r="K256" s="1"/>
      <c r="L256" s="1"/>
      <c r="M256" s="66">
        <v>0.51</v>
      </c>
      <c r="N256" s="66">
        <v>0.2</v>
      </c>
      <c r="O256" s="66">
        <v>0.8</v>
      </c>
      <c r="P256" s="66">
        <v>0.5</v>
      </c>
      <c r="Q256" s="87">
        <v>1</v>
      </c>
      <c r="R256" s="285">
        <v>263</v>
      </c>
      <c r="S256" s="145">
        <v>0.15902777777777777</v>
      </c>
      <c r="T256" s="113">
        <v>7</v>
      </c>
      <c r="U256" s="66" t="str">
        <f t="shared" si="59"/>
        <v>Outlier</v>
      </c>
      <c r="V256" s="66" t="str">
        <f t="shared" si="60"/>
        <v>Normal</v>
      </c>
      <c r="W256" s="19">
        <f t="shared" si="70"/>
        <v>-5.185185185185185E-2</v>
      </c>
      <c r="X256" s="19">
        <f t="shared" si="63"/>
        <v>-0.10801393728222997</v>
      </c>
      <c r="Y256" s="369"/>
      <c r="Z256" s="369"/>
      <c r="AA256" s="369"/>
      <c r="AB256" s="369"/>
      <c r="AC256" s="369"/>
      <c r="AD256" s="369"/>
      <c r="AE256" s="369"/>
      <c r="AF256" s="369"/>
      <c r="AG256" s="369"/>
      <c r="AH256" s="369"/>
      <c r="AI256" s="369"/>
    </row>
    <row r="257" spans="1:37">
      <c r="A257" s="27">
        <v>45272</v>
      </c>
      <c r="B257" s="27">
        <f>IF(YEAR(Table7[[#This Row],[Date]]) = 2023, WEEKNUM(Table7[[#This Row],[Date]])-13, WEEKNUM(Table7[[#This Row],[Date]])+40)</f>
        <v>37</v>
      </c>
      <c r="C257" s="34" t="s">
        <v>50</v>
      </c>
      <c r="D257" s="62" t="s">
        <v>94</v>
      </c>
      <c r="E257" s="1">
        <v>670</v>
      </c>
      <c r="F257" s="1">
        <v>421</v>
      </c>
      <c r="G257" s="64">
        <f t="shared" si="68"/>
        <v>0.28352490421455939</v>
      </c>
      <c r="H257" s="64">
        <f t="shared" si="69"/>
        <v>-1.405152224824356E-2</v>
      </c>
      <c r="I257" s="1"/>
      <c r="J257" s="1"/>
      <c r="K257" s="1"/>
      <c r="L257" s="1"/>
      <c r="M257" s="66">
        <v>0.32</v>
      </c>
      <c r="N257" s="66">
        <v>0.37</v>
      </c>
      <c r="O257" s="66">
        <v>0.63</v>
      </c>
      <c r="P257" s="66">
        <v>0.41</v>
      </c>
      <c r="Q257" s="87">
        <v>1</v>
      </c>
      <c r="R257" s="285">
        <v>268</v>
      </c>
      <c r="S257" s="145">
        <v>0.23680555555555557</v>
      </c>
      <c r="T257" s="113">
        <v>7</v>
      </c>
      <c r="U257" s="66" t="str">
        <f t="shared" si="59"/>
        <v>Outlier</v>
      </c>
      <c r="V257" s="66" t="str">
        <f t="shared" si="60"/>
        <v>Normal</v>
      </c>
      <c r="W257" s="19">
        <f t="shared" si="70"/>
        <v>0.28352490421455939</v>
      </c>
      <c r="X257" s="19">
        <f t="shared" si="63"/>
        <v>-1.405152224824356E-2</v>
      </c>
      <c r="Y257" s="369"/>
      <c r="Z257" s="369"/>
      <c r="AA257" s="369"/>
      <c r="AB257" s="369"/>
      <c r="AC257" s="369"/>
      <c r="AD257" s="369"/>
      <c r="AE257" s="369"/>
      <c r="AF257" s="369"/>
      <c r="AG257" s="369"/>
      <c r="AH257" s="369"/>
      <c r="AI257" s="369"/>
    </row>
    <row r="258" spans="1:37">
      <c r="A258" s="27">
        <v>45273</v>
      </c>
      <c r="B258" s="27">
        <f>IF(YEAR(Table7[[#This Row],[Date]]) = 2023, WEEKNUM(Table7[[#This Row],[Date]])-13, WEEKNUM(Table7[[#This Row],[Date]])+40)</f>
        <v>37</v>
      </c>
      <c r="C258" s="34" t="s">
        <v>51</v>
      </c>
      <c r="D258" s="62" t="s">
        <v>94</v>
      </c>
      <c r="E258" s="1">
        <v>530</v>
      </c>
      <c r="F258" s="1">
        <v>453</v>
      </c>
      <c r="G258" s="64">
        <f t="shared" si="68"/>
        <v>-9.8639455782312924E-2</v>
      </c>
      <c r="H258" s="64">
        <f t="shared" si="69"/>
        <v>2.7210884353741496E-2</v>
      </c>
      <c r="I258" s="1"/>
      <c r="J258" s="1"/>
      <c r="K258" s="1"/>
      <c r="L258" s="1"/>
      <c r="M258" s="66">
        <v>0.59</v>
      </c>
      <c r="N258" s="66">
        <v>0.15</v>
      </c>
      <c r="O258" s="66">
        <v>0.85</v>
      </c>
      <c r="P258" s="66">
        <v>0.52</v>
      </c>
      <c r="Q258" s="87">
        <v>1</v>
      </c>
      <c r="R258" s="285">
        <v>271</v>
      </c>
      <c r="S258" s="145">
        <v>0.17013888888888887</v>
      </c>
      <c r="T258" s="113">
        <v>6</v>
      </c>
      <c r="U258" s="66" t="str">
        <f t="shared" si="59"/>
        <v>Normal</v>
      </c>
      <c r="V258" s="66" t="str">
        <f t="shared" si="60"/>
        <v>Normal</v>
      </c>
      <c r="W258" s="19">
        <f t="shared" si="70"/>
        <v>-9.8639455782312924E-2</v>
      </c>
      <c r="X258" s="19">
        <f t="shared" si="63"/>
        <v>2.7210884353741496E-2</v>
      </c>
      <c r="Y258" s="369"/>
      <c r="Z258" s="369"/>
      <c r="AA258" s="369"/>
      <c r="AB258" s="369"/>
      <c r="AC258" s="369"/>
      <c r="AD258" s="369"/>
      <c r="AE258" s="369"/>
      <c r="AF258" s="369"/>
      <c r="AG258" s="369"/>
      <c r="AH258" s="369"/>
      <c r="AI258" s="369"/>
    </row>
    <row r="259" spans="1:37">
      <c r="A259" s="27">
        <v>45274</v>
      </c>
      <c r="B259" s="27">
        <f>IF(YEAR(Table7[[#This Row],[Date]]) = 2023, WEEKNUM(Table7[[#This Row],[Date]])-13, WEEKNUM(Table7[[#This Row],[Date]])+40)</f>
        <v>37</v>
      </c>
      <c r="C259" s="34" t="s">
        <v>52</v>
      </c>
      <c r="D259" s="62" t="s">
        <v>94</v>
      </c>
      <c r="E259" s="1">
        <v>519</v>
      </c>
      <c r="F259" s="1">
        <v>466</v>
      </c>
      <c r="G259" s="64">
        <f t="shared" si="68"/>
        <v>-3.5315985130111527E-2</v>
      </c>
      <c r="H259" s="64">
        <f t="shared" si="69"/>
        <v>6.8807339449541288E-2</v>
      </c>
      <c r="I259" s="1"/>
      <c r="J259" s="1"/>
      <c r="K259" s="1"/>
      <c r="L259" s="1"/>
      <c r="M259" s="66">
        <v>0.67</v>
      </c>
      <c r="N259" s="66">
        <v>0.1</v>
      </c>
      <c r="O259" s="66">
        <v>0.9</v>
      </c>
      <c r="P259" s="66">
        <v>0.46</v>
      </c>
      <c r="Q259" s="87">
        <v>1</v>
      </c>
      <c r="R259" s="285">
        <v>273</v>
      </c>
      <c r="S259" s="145">
        <v>6.9444444444444434E-2</v>
      </c>
      <c r="T259" s="113">
        <v>7</v>
      </c>
      <c r="U259" s="66" t="str">
        <f t="shared" ref="U259:U322" si="71">IF(OR(H259&lt;$AJ$5,H259&gt;$AK$5), "Outlier", "Normal")</f>
        <v>Normal</v>
      </c>
      <c r="V259" s="66" t="str">
        <f t="shared" ref="V259:V322" si="72">IF(OR(I259&lt;$AJ$6,I259&gt;$AK$6), "Outlier", "Normal")</f>
        <v>Normal</v>
      </c>
      <c r="W259" s="19">
        <f t="shared" si="70"/>
        <v>-3.5315985130111527E-2</v>
      </c>
      <c r="X259" s="19">
        <f t="shared" si="63"/>
        <v>6.8807339449541288E-2</v>
      </c>
      <c r="Y259" s="369"/>
      <c r="Z259" s="369"/>
      <c r="AA259" s="369"/>
      <c r="AB259" s="369"/>
      <c r="AC259" s="369"/>
      <c r="AD259" s="369"/>
      <c r="AE259" s="369"/>
      <c r="AF259" s="369"/>
      <c r="AG259" s="369"/>
      <c r="AH259" s="369"/>
      <c r="AI259" s="369"/>
    </row>
    <row r="260" spans="1:37">
      <c r="A260" s="27">
        <v>45275</v>
      </c>
      <c r="B260" s="27">
        <f>IF(YEAR(Table7[[#This Row],[Date]]) = 2023, WEEKNUM(Table7[[#This Row],[Date]])-13, WEEKNUM(Table7[[#This Row],[Date]])+40)</f>
        <v>37</v>
      </c>
      <c r="C260" s="34" t="s">
        <v>53</v>
      </c>
      <c r="D260" s="62" t="s">
        <v>94</v>
      </c>
      <c r="E260" s="1">
        <v>581</v>
      </c>
      <c r="F260" s="1">
        <v>502</v>
      </c>
      <c r="G260" s="64">
        <f t="shared" si="68"/>
        <v>0.19057377049180327</v>
      </c>
      <c r="H260" s="64">
        <f t="shared" si="69"/>
        <v>0.10572687224669604</v>
      </c>
      <c r="I260" s="1"/>
      <c r="J260" s="1"/>
      <c r="K260" s="1"/>
      <c r="L260" s="1"/>
      <c r="M260" s="66">
        <v>0.66</v>
      </c>
      <c r="N260" s="66">
        <v>0.14000000000000001</v>
      </c>
      <c r="O260" s="66">
        <v>0.86</v>
      </c>
      <c r="P260" s="66">
        <v>0.49</v>
      </c>
      <c r="Q260" s="87">
        <v>1</v>
      </c>
      <c r="R260" s="285">
        <v>267</v>
      </c>
      <c r="S260" s="145">
        <v>6.5277777777777782E-2</v>
      </c>
      <c r="T260" s="113">
        <v>7</v>
      </c>
      <c r="U260" s="66" t="str">
        <f t="shared" si="71"/>
        <v>Normal</v>
      </c>
      <c r="V260" s="66" t="str">
        <f t="shared" si="72"/>
        <v>Normal</v>
      </c>
      <c r="W260" s="19">
        <f t="shared" si="70"/>
        <v>0.19057377049180327</v>
      </c>
      <c r="X260" s="19">
        <f t="shared" si="63"/>
        <v>0.10572687224669604</v>
      </c>
      <c r="Y260" s="369"/>
      <c r="Z260" s="369"/>
      <c r="AA260" s="369"/>
      <c r="AB260" s="369"/>
      <c r="AC260" s="369"/>
      <c r="AD260" s="369"/>
      <c r="AE260" s="369"/>
      <c r="AF260" s="369"/>
      <c r="AG260" s="369"/>
      <c r="AH260" s="369"/>
      <c r="AI260" s="369"/>
    </row>
    <row r="261" spans="1:37">
      <c r="A261" s="27">
        <v>45276</v>
      </c>
      <c r="B261" s="27">
        <f>IF(YEAR(Table7[[#This Row],[Date]]) = 2023, WEEKNUM(Table7[[#This Row],[Date]])-13, WEEKNUM(Table7[[#This Row],[Date]])+40)</f>
        <v>37</v>
      </c>
      <c r="C261" s="34" t="s">
        <v>54</v>
      </c>
      <c r="D261" s="62" t="s">
        <v>94</v>
      </c>
      <c r="E261" s="1">
        <v>669</v>
      </c>
      <c r="F261" s="1">
        <v>389</v>
      </c>
      <c r="G261" s="64">
        <f t="shared" si="68"/>
        <v>0.73766233766233769</v>
      </c>
      <c r="H261" s="64">
        <f t="shared" si="69"/>
        <v>0.2043343653250774</v>
      </c>
      <c r="I261" s="1"/>
      <c r="J261" s="1"/>
      <c r="K261" s="1"/>
      <c r="L261" s="1"/>
      <c r="M261" s="66">
        <v>0.26</v>
      </c>
      <c r="N261" s="66">
        <v>0.42</v>
      </c>
      <c r="O261" s="66">
        <v>0.57999999999999996</v>
      </c>
      <c r="P261" s="66">
        <v>0.45</v>
      </c>
      <c r="Q261" s="87">
        <v>1</v>
      </c>
      <c r="R261" s="285">
        <v>288</v>
      </c>
      <c r="S261" s="145">
        <v>0.3125</v>
      </c>
      <c r="T261" s="113">
        <v>6</v>
      </c>
      <c r="U261" s="66" t="str">
        <f t="shared" si="71"/>
        <v>Normal</v>
      </c>
      <c r="V261" s="66" t="str">
        <f t="shared" si="72"/>
        <v>Normal</v>
      </c>
      <c r="W261" s="19">
        <f t="shared" si="70"/>
        <v>0.73766233766233769</v>
      </c>
      <c r="X261" s="19">
        <f t="shared" si="63"/>
        <v>0.2043343653250774</v>
      </c>
      <c r="Y261" s="369"/>
      <c r="Z261" s="369"/>
      <c r="AA261" s="369"/>
      <c r="AB261" s="369"/>
      <c r="AC261" s="369"/>
      <c r="AD261" s="369"/>
      <c r="AE261" s="369"/>
      <c r="AF261" s="369"/>
      <c r="AG261" s="369"/>
      <c r="AH261" s="369"/>
      <c r="AI261" s="369"/>
    </row>
    <row r="262" spans="1:37">
      <c r="A262" s="27">
        <v>45277</v>
      </c>
      <c r="B262" s="27">
        <f>IF(YEAR(Table7[[#This Row],[Date]]) = 2023, WEEKNUM(Table7[[#This Row],[Date]])-13, WEEKNUM(Table7[[#This Row],[Date]])+40)</f>
        <v>38</v>
      </c>
      <c r="C262" s="34" t="s">
        <v>48</v>
      </c>
      <c r="D262" s="62" t="s">
        <v>94</v>
      </c>
      <c r="E262" s="1">
        <v>228</v>
      </c>
      <c r="F262" s="1">
        <v>212</v>
      </c>
      <c r="G262" s="64">
        <f t="shared" si="68"/>
        <v>0.49019607843137253</v>
      </c>
      <c r="H262" s="64">
        <f t="shared" si="69"/>
        <v>0.52517985611510787</v>
      </c>
      <c r="I262" s="1"/>
      <c r="J262" s="1"/>
      <c r="K262" s="1"/>
      <c r="L262" s="1"/>
      <c r="M262" s="66">
        <v>0.82</v>
      </c>
      <c r="N262" s="66">
        <v>7.0000000000000007E-2</v>
      </c>
      <c r="O262" s="66">
        <v>0.93</v>
      </c>
      <c r="P262" s="66">
        <v>0.37</v>
      </c>
      <c r="Q262" s="87">
        <v>1</v>
      </c>
      <c r="R262" s="285">
        <v>203</v>
      </c>
      <c r="S262" s="145">
        <v>3.7499999999999999E-2</v>
      </c>
      <c r="T262" s="113">
        <v>4</v>
      </c>
      <c r="U262" s="66" t="str">
        <f t="shared" si="71"/>
        <v>Normal</v>
      </c>
      <c r="V262" s="66" t="str">
        <f t="shared" si="72"/>
        <v>Normal</v>
      </c>
      <c r="W262" s="19">
        <f t="shared" si="70"/>
        <v>0.49019607843137253</v>
      </c>
      <c r="X262" s="19">
        <f t="shared" si="63"/>
        <v>0.52517985611510787</v>
      </c>
      <c r="Y262" s="369"/>
      <c r="Z262" s="369"/>
      <c r="AA262" s="369"/>
      <c r="AB262" s="369"/>
      <c r="AC262" s="369"/>
      <c r="AD262" s="369"/>
      <c r="AE262" s="369"/>
      <c r="AF262" s="369"/>
      <c r="AG262" s="369"/>
      <c r="AH262" s="369"/>
      <c r="AI262" s="369"/>
      <c r="AK262" t="s">
        <v>64</v>
      </c>
    </row>
    <row r="263" spans="1:37">
      <c r="A263" s="27">
        <v>45278</v>
      </c>
      <c r="B263" s="27">
        <f>IF(YEAR(Table7[[#This Row],[Date]]) = 2023, WEEKNUM(Table7[[#This Row],[Date]])-13, WEEKNUM(Table7[[#This Row],[Date]])+40)</f>
        <v>38</v>
      </c>
      <c r="C263" s="34" t="s">
        <v>49</v>
      </c>
      <c r="D263" s="62" t="s">
        <v>94</v>
      </c>
      <c r="E263" s="1">
        <v>1048</v>
      </c>
      <c r="F263" s="1">
        <v>549</v>
      </c>
      <c r="G263" s="64">
        <f t="shared" si="68"/>
        <v>0.63749999999999996</v>
      </c>
      <c r="H263" s="64">
        <f t="shared" si="69"/>
        <v>7.2265625E-2</v>
      </c>
      <c r="I263" s="1"/>
      <c r="J263" s="1"/>
      <c r="K263" s="1"/>
      <c r="L263" s="1"/>
      <c r="M263" s="66">
        <v>0.1</v>
      </c>
      <c r="N263" s="66">
        <v>0.48</v>
      </c>
      <c r="O263" s="66">
        <v>0.52</v>
      </c>
      <c r="P263" s="66">
        <v>0.63</v>
      </c>
      <c r="Q263" s="87">
        <v>1</v>
      </c>
      <c r="R263" s="285">
        <v>296</v>
      </c>
      <c r="S263" s="145">
        <v>0.51458333333333328</v>
      </c>
      <c r="T263" s="113">
        <v>6</v>
      </c>
      <c r="U263" s="66" t="str">
        <f t="shared" si="71"/>
        <v>Normal</v>
      </c>
      <c r="V263" s="66" t="str">
        <f t="shared" si="72"/>
        <v>Normal</v>
      </c>
      <c r="W263" s="19">
        <f t="shared" si="70"/>
        <v>0.63749999999999996</v>
      </c>
      <c r="X263" s="19">
        <f t="shared" si="63"/>
        <v>7.2265625E-2</v>
      </c>
      <c r="Y263" s="369"/>
      <c r="Z263" s="369"/>
      <c r="AA263" s="369"/>
      <c r="AB263" s="369"/>
      <c r="AC263" s="369"/>
      <c r="AD263" s="369"/>
      <c r="AE263" s="369"/>
      <c r="AF263" s="369"/>
      <c r="AG263" s="369"/>
      <c r="AH263" s="369"/>
      <c r="AI263" s="369"/>
    </row>
    <row r="264" spans="1:37">
      <c r="A264" s="27">
        <v>45279</v>
      </c>
      <c r="B264" s="27">
        <f>IF(YEAR(Table7[[#This Row],[Date]]) = 2023, WEEKNUM(Table7[[#This Row],[Date]])-13, WEEKNUM(Table7[[#This Row],[Date]])+40)</f>
        <v>38</v>
      </c>
      <c r="C264" s="34" t="s">
        <v>50</v>
      </c>
      <c r="D264" s="62" t="s">
        <v>94</v>
      </c>
      <c r="E264" s="1">
        <v>982</v>
      </c>
      <c r="F264" s="1">
        <v>513</v>
      </c>
      <c r="G264" s="64">
        <f t="shared" si="68"/>
        <v>0.46567164179104475</v>
      </c>
      <c r="H264" s="64">
        <f t="shared" si="69"/>
        <v>0.21852731591448932</v>
      </c>
      <c r="I264" s="1"/>
      <c r="J264" s="1"/>
      <c r="K264" s="1"/>
      <c r="L264" s="1"/>
      <c r="M264" s="66">
        <v>0.11</v>
      </c>
      <c r="N264" s="66">
        <v>0.48</v>
      </c>
      <c r="O264" s="66">
        <v>0.52</v>
      </c>
      <c r="P264" s="66">
        <v>0.59</v>
      </c>
      <c r="Q264" s="87">
        <v>1</v>
      </c>
      <c r="R264" s="285">
        <v>319</v>
      </c>
      <c r="S264" s="145">
        <v>0.32361111111111113</v>
      </c>
      <c r="T264" s="113">
        <v>6</v>
      </c>
      <c r="U264" s="66" t="str">
        <f t="shared" si="71"/>
        <v>Normal</v>
      </c>
      <c r="V264" s="66" t="str">
        <f t="shared" si="72"/>
        <v>Normal</v>
      </c>
      <c r="W264" s="19">
        <f t="shared" si="70"/>
        <v>0.46567164179104475</v>
      </c>
      <c r="X264" s="19">
        <f t="shared" si="63"/>
        <v>0.21852731591448932</v>
      </c>
      <c r="Y264" s="369"/>
      <c r="Z264" s="369"/>
      <c r="AA264" s="369"/>
      <c r="AB264" s="369"/>
      <c r="AC264" s="369"/>
      <c r="AD264" s="369"/>
      <c r="AE264" s="369"/>
      <c r="AF264" s="369"/>
      <c r="AG264" s="369"/>
      <c r="AH264" s="369"/>
      <c r="AI264" s="369"/>
    </row>
    <row r="265" spans="1:37">
      <c r="A265" s="27">
        <v>45280</v>
      </c>
      <c r="B265" s="27">
        <f>IF(YEAR(Table7[[#This Row],[Date]]) = 2023, WEEKNUM(Table7[[#This Row],[Date]])-13, WEEKNUM(Table7[[#This Row],[Date]])+40)</f>
        <v>38</v>
      </c>
      <c r="C265" s="34" t="s">
        <v>51</v>
      </c>
      <c r="D265" s="62" t="s">
        <v>94</v>
      </c>
      <c r="E265" s="1">
        <v>1007</v>
      </c>
      <c r="F265" s="1">
        <v>451</v>
      </c>
      <c r="G265" s="64">
        <f t="shared" si="68"/>
        <v>0.9</v>
      </c>
      <c r="H265" s="64">
        <f t="shared" si="69"/>
        <v>-4.4150110375275938E-3</v>
      </c>
      <c r="I265" s="1"/>
      <c r="J265" s="1"/>
      <c r="K265" s="1"/>
      <c r="L265" s="1"/>
      <c r="M265" s="66">
        <v>7.0000000000000007E-2</v>
      </c>
      <c r="N265" s="66">
        <v>0.55000000000000004</v>
      </c>
      <c r="O265" s="66">
        <v>0.45</v>
      </c>
      <c r="P265" s="66">
        <v>0.52</v>
      </c>
      <c r="Q265" s="87">
        <v>1</v>
      </c>
      <c r="R265" s="285">
        <v>310</v>
      </c>
      <c r="S265" s="145">
        <v>0.47083333333333338</v>
      </c>
      <c r="T265" s="113">
        <v>6</v>
      </c>
      <c r="U265" s="66" t="str">
        <f t="shared" si="71"/>
        <v>Outlier</v>
      </c>
      <c r="V265" s="66" t="str">
        <f t="shared" si="72"/>
        <v>Normal</v>
      </c>
      <c r="W265" s="19">
        <f t="shared" si="70"/>
        <v>0.9</v>
      </c>
      <c r="X265" s="19">
        <f t="shared" si="63"/>
        <v>-4.4150110375275938E-3</v>
      </c>
      <c r="Y265" s="369"/>
      <c r="Z265" s="369"/>
      <c r="AA265" s="369"/>
      <c r="AB265" s="369"/>
      <c r="AC265" s="369"/>
      <c r="AD265" s="369"/>
      <c r="AE265" s="369"/>
      <c r="AF265" s="369"/>
      <c r="AG265" s="369"/>
      <c r="AH265" s="369"/>
      <c r="AI265" s="369"/>
    </row>
    <row r="266" spans="1:37">
      <c r="A266" s="27">
        <v>45281</v>
      </c>
      <c r="B266" s="27">
        <f>IF(YEAR(Table7[[#This Row],[Date]]) = 2023, WEEKNUM(Table7[[#This Row],[Date]])-13, WEEKNUM(Table7[[#This Row],[Date]])+40)</f>
        <v>38</v>
      </c>
      <c r="C266" s="34" t="s">
        <v>52</v>
      </c>
      <c r="D266" s="62" t="s">
        <v>94</v>
      </c>
      <c r="E266" s="1">
        <v>1135</v>
      </c>
      <c r="F266" s="1">
        <v>465</v>
      </c>
      <c r="G266" s="64">
        <f t="shared" si="68"/>
        <v>1.186897880539499</v>
      </c>
      <c r="H266" s="64">
        <f t="shared" si="69"/>
        <v>-2.1459227467811159E-3</v>
      </c>
      <c r="I266" s="1"/>
      <c r="J266" s="1"/>
      <c r="K266" s="1"/>
      <c r="L266" s="1"/>
      <c r="M266" s="66">
        <v>0.09</v>
      </c>
      <c r="N266" s="66">
        <v>0.59</v>
      </c>
      <c r="O266" s="66">
        <v>0.41</v>
      </c>
      <c r="P266" s="66">
        <v>0.45</v>
      </c>
      <c r="Q266" s="87">
        <v>1</v>
      </c>
      <c r="R266" s="285">
        <v>349</v>
      </c>
      <c r="S266" s="145">
        <v>0.50138888888888888</v>
      </c>
      <c r="T266" s="113">
        <v>7</v>
      </c>
      <c r="U266" s="66" t="str">
        <f t="shared" si="71"/>
        <v>Outlier</v>
      </c>
      <c r="V266" s="66" t="str">
        <f t="shared" si="72"/>
        <v>Normal</v>
      </c>
      <c r="W266" s="19">
        <f t="shared" si="70"/>
        <v>1.186897880539499</v>
      </c>
      <c r="X266" s="19">
        <f t="shared" si="63"/>
        <v>-2.1459227467811159E-3</v>
      </c>
      <c r="Y266" s="369"/>
      <c r="Z266" s="369"/>
      <c r="AA266" s="369"/>
      <c r="AB266" s="369"/>
      <c r="AC266" s="369"/>
      <c r="AD266" s="369"/>
      <c r="AE266" s="369"/>
      <c r="AF266" s="369"/>
      <c r="AG266" s="369"/>
      <c r="AH266" s="369"/>
      <c r="AI266" s="369"/>
    </row>
    <row r="267" spans="1:37">
      <c r="A267" s="27">
        <v>45282</v>
      </c>
      <c r="B267" s="27">
        <f>IF(YEAR(Table7[[#This Row],[Date]]) = 2023, WEEKNUM(Table7[[#This Row],[Date]])-13, WEEKNUM(Table7[[#This Row],[Date]])+40)</f>
        <v>38</v>
      </c>
      <c r="C267" s="34" t="s">
        <v>53</v>
      </c>
      <c r="D267" s="62" t="s">
        <v>94</v>
      </c>
      <c r="E267" s="1">
        <v>1019</v>
      </c>
      <c r="F267" s="1">
        <v>518</v>
      </c>
      <c r="G267" s="64">
        <f t="shared" si="68"/>
        <v>0.75387263339070565</v>
      </c>
      <c r="H267" s="64">
        <f t="shared" si="69"/>
        <v>3.1872509960159362E-2</v>
      </c>
      <c r="I267" s="1"/>
      <c r="J267" s="1"/>
      <c r="K267" s="1"/>
      <c r="L267" s="1"/>
      <c r="M267" s="66">
        <v>0.1</v>
      </c>
      <c r="N267" s="66">
        <v>0.49</v>
      </c>
      <c r="O267" s="66">
        <v>0.51</v>
      </c>
      <c r="P267" s="66">
        <v>0.51</v>
      </c>
      <c r="Q267" s="87">
        <v>1</v>
      </c>
      <c r="R267" s="285">
        <v>316</v>
      </c>
      <c r="S267" s="145">
        <v>0.48333333333333334</v>
      </c>
      <c r="T267" s="113">
        <v>7</v>
      </c>
      <c r="U267" s="66" t="str">
        <f t="shared" si="71"/>
        <v>Normal</v>
      </c>
      <c r="V267" s="66" t="str">
        <f t="shared" si="72"/>
        <v>Normal</v>
      </c>
      <c r="W267" s="19">
        <f t="shared" si="70"/>
        <v>0.75387263339070565</v>
      </c>
      <c r="X267" s="19">
        <f t="shared" si="63"/>
        <v>3.1872509960159362E-2</v>
      </c>
      <c r="Y267" s="369"/>
      <c r="Z267" s="369"/>
      <c r="AA267" s="369"/>
      <c r="AB267" s="369"/>
      <c r="AC267" s="369"/>
      <c r="AD267" s="369"/>
      <c r="AE267" s="369"/>
      <c r="AF267" s="369"/>
      <c r="AG267" s="369"/>
      <c r="AH267" s="369"/>
      <c r="AI267" s="369"/>
    </row>
    <row r="268" spans="1:37">
      <c r="A268" s="27">
        <v>45283</v>
      </c>
      <c r="B268" s="27">
        <f>IF(YEAR(Table7[[#This Row],[Date]]) = 2023, WEEKNUM(Table7[[#This Row],[Date]])-13, WEEKNUM(Table7[[#This Row],[Date]])+40)</f>
        <v>38</v>
      </c>
      <c r="C268" s="34" t="s">
        <v>54</v>
      </c>
      <c r="D268" s="62" t="s">
        <v>94</v>
      </c>
      <c r="E268" s="1">
        <v>846</v>
      </c>
      <c r="F268" s="1">
        <v>459</v>
      </c>
      <c r="G268" s="64">
        <f t="shared" si="68"/>
        <v>0.26457399103139012</v>
      </c>
      <c r="H268" s="64">
        <f t="shared" si="69"/>
        <v>0.17994858611825193</v>
      </c>
      <c r="I268" s="1"/>
      <c r="J268" s="1"/>
      <c r="K268" s="1"/>
      <c r="L268" s="1"/>
      <c r="M268" s="66">
        <v>0.25</v>
      </c>
      <c r="N268" s="66">
        <v>0.46</v>
      </c>
      <c r="O268" s="66">
        <v>0.54</v>
      </c>
      <c r="P268" s="66">
        <v>0.45</v>
      </c>
      <c r="Q268" s="87">
        <v>1</v>
      </c>
      <c r="R268" s="285">
        <v>378</v>
      </c>
      <c r="S268" s="145">
        <v>0.41597222222222219</v>
      </c>
      <c r="T268" s="113">
        <v>7</v>
      </c>
      <c r="U268" s="66" t="str">
        <f t="shared" si="71"/>
        <v>Normal</v>
      </c>
      <c r="V268" s="66" t="str">
        <f t="shared" si="72"/>
        <v>Normal</v>
      </c>
      <c r="W268" s="19">
        <f t="shared" si="70"/>
        <v>0.26457399103139012</v>
      </c>
      <c r="X268" s="19">
        <f t="shared" si="63"/>
        <v>0.17994858611825193</v>
      </c>
      <c r="Y268" s="369"/>
      <c r="Z268" s="369"/>
      <c r="AA268" s="369"/>
      <c r="AB268" s="369"/>
      <c r="AC268" s="369"/>
      <c r="AD268" s="369"/>
      <c r="AE268" s="369"/>
      <c r="AF268" s="369"/>
      <c r="AG268" s="369"/>
      <c r="AH268" s="369"/>
      <c r="AI268" s="369"/>
    </row>
    <row r="269" spans="1:37">
      <c r="A269" s="27">
        <v>45284</v>
      </c>
      <c r="B269" s="27">
        <f>IF(YEAR(Table7[[#This Row],[Date]]) = 2023, WEEKNUM(Table7[[#This Row],[Date]])-13, WEEKNUM(Table7[[#This Row],[Date]])+40)</f>
        <v>39</v>
      </c>
      <c r="C269" s="34" t="s">
        <v>48</v>
      </c>
      <c r="D269" s="62" t="s">
        <v>94</v>
      </c>
      <c r="E269" s="1">
        <v>364</v>
      </c>
      <c r="F269" s="1">
        <v>304</v>
      </c>
      <c r="G269" s="64">
        <f t="shared" si="68"/>
        <v>0.59649122807017541</v>
      </c>
      <c r="H269" s="64">
        <f t="shared" si="69"/>
        <v>0.43396226415094341</v>
      </c>
      <c r="I269" s="1"/>
      <c r="J269" s="1"/>
      <c r="K269" s="1"/>
      <c r="L269" s="1"/>
      <c r="M269" s="66">
        <v>0.66</v>
      </c>
      <c r="N269" s="66">
        <v>0.16</v>
      </c>
      <c r="O269" s="66">
        <v>0.84</v>
      </c>
      <c r="P269" s="66">
        <v>0.26</v>
      </c>
      <c r="Q269" s="87">
        <v>1</v>
      </c>
      <c r="R269" s="285">
        <v>297</v>
      </c>
      <c r="S269" s="145">
        <v>6.1805555555555558E-2</v>
      </c>
      <c r="T269" s="113">
        <v>8</v>
      </c>
      <c r="U269" s="66" t="str">
        <f t="shared" si="71"/>
        <v>Normal</v>
      </c>
      <c r="V269" s="66" t="str">
        <f t="shared" si="72"/>
        <v>Normal</v>
      </c>
      <c r="W269" s="19">
        <f t="shared" si="70"/>
        <v>0.59649122807017541</v>
      </c>
      <c r="X269" s="19">
        <f t="shared" ref="X269:X332" si="73">IF(V269="Normal",$H269,IF($H269&lt;150%, $H269, $AN$9))</f>
        <v>0.43396226415094341</v>
      </c>
      <c r="Y269" s="369"/>
      <c r="Z269" s="369"/>
      <c r="AA269" s="369"/>
      <c r="AB269" s="369"/>
      <c r="AC269" s="369"/>
      <c r="AD269" s="369"/>
      <c r="AE269" s="369"/>
      <c r="AF269" s="369"/>
      <c r="AG269" s="369"/>
      <c r="AH269" s="369"/>
      <c r="AI269" s="369"/>
    </row>
    <row r="270" spans="1:37">
      <c r="A270" s="27">
        <v>45285</v>
      </c>
      <c r="B270" s="27">
        <f>IF(YEAR(Table7[[#This Row],[Date]]) = 2023, WEEKNUM(Table7[[#This Row],[Date]])-13, WEEKNUM(Table7[[#This Row],[Date]])+40)</f>
        <v>39</v>
      </c>
      <c r="C270" s="34" t="s">
        <v>64</v>
      </c>
      <c r="D270" s="62" t="s">
        <v>94</v>
      </c>
      <c r="E270" s="1">
        <v>0</v>
      </c>
      <c r="F270" s="1">
        <v>0</v>
      </c>
      <c r="G270" s="64">
        <f t="shared" si="68"/>
        <v>-1</v>
      </c>
      <c r="H270" s="64">
        <f t="shared" si="69"/>
        <v>-1</v>
      </c>
      <c r="I270" s="1">
        <v>0</v>
      </c>
      <c r="J270" s="1">
        <v>0</v>
      </c>
      <c r="K270" s="1">
        <v>0</v>
      </c>
      <c r="L270" s="1">
        <v>0</v>
      </c>
      <c r="M270" s="66">
        <v>0</v>
      </c>
      <c r="N270" s="66">
        <v>0</v>
      </c>
      <c r="O270" s="66">
        <v>0</v>
      </c>
      <c r="P270" s="66">
        <v>0</v>
      </c>
      <c r="Q270" s="87">
        <v>0</v>
      </c>
      <c r="R270" s="285">
        <v>0</v>
      </c>
      <c r="S270" s="145">
        <v>0</v>
      </c>
      <c r="T270" s="113">
        <v>0</v>
      </c>
      <c r="U270" s="66" t="str">
        <f t="shared" si="71"/>
        <v>Outlier</v>
      </c>
      <c r="V270" s="66" t="str">
        <f t="shared" si="72"/>
        <v>Normal</v>
      </c>
      <c r="W270" s="19">
        <f t="shared" si="70"/>
        <v>-1</v>
      </c>
      <c r="X270" s="19">
        <f t="shared" si="73"/>
        <v>-1</v>
      </c>
      <c r="Y270" s="369"/>
      <c r="Z270" s="369"/>
      <c r="AA270" s="369"/>
      <c r="AB270" s="369"/>
      <c r="AC270" s="369"/>
      <c r="AD270" s="369"/>
      <c r="AE270" s="369"/>
      <c r="AF270" s="369"/>
      <c r="AG270" s="369"/>
      <c r="AH270" s="369"/>
      <c r="AI270" s="369"/>
    </row>
    <row r="271" spans="1:37">
      <c r="A271" s="27">
        <v>45286</v>
      </c>
      <c r="B271" s="27">
        <f>IF(YEAR(Table7[[#This Row],[Date]]) = 2023, WEEKNUM(Table7[[#This Row],[Date]])-13, WEEKNUM(Table7[[#This Row],[Date]])+40)</f>
        <v>39</v>
      </c>
      <c r="C271" s="34" t="s">
        <v>64</v>
      </c>
      <c r="D271" s="62" t="s">
        <v>94</v>
      </c>
      <c r="E271" s="1">
        <v>0</v>
      </c>
      <c r="F271" s="1">
        <v>0</v>
      </c>
      <c r="G271" s="64">
        <f t="shared" si="68"/>
        <v>-1</v>
      </c>
      <c r="H271" s="64">
        <f t="shared" si="69"/>
        <v>-1</v>
      </c>
      <c r="I271" s="1">
        <v>0</v>
      </c>
      <c r="J271" s="1">
        <v>0</v>
      </c>
      <c r="K271" s="1">
        <v>0</v>
      </c>
      <c r="L271" s="1">
        <v>0</v>
      </c>
      <c r="M271" s="66">
        <v>0</v>
      </c>
      <c r="N271" s="66">
        <v>0</v>
      </c>
      <c r="O271" s="66">
        <v>0</v>
      </c>
      <c r="P271" s="66">
        <v>0</v>
      </c>
      <c r="Q271" s="87">
        <v>0</v>
      </c>
      <c r="R271" s="285">
        <v>0</v>
      </c>
      <c r="S271" s="145">
        <v>0</v>
      </c>
      <c r="T271" s="113">
        <v>1</v>
      </c>
      <c r="U271" s="66" t="str">
        <f t="shared" si="71"/>
        <v>Outlier</v>
      </c>
      <c r="V271" s="66" t="str">
        <f t="shared" si="72"/>
        <v>Normal</v>
      </c>
      <c r="W271" s="19">
        <f t="shared" si="70"/>
        <v>-1</v>
      </c>
      <c r="X271" s="19">
        <f t="shared" si="73"/>
        <v>-1</v>
      </c>
      <c r="Y271" s="369"/>
      <c r="Z271" s="369"/>
      <c r="AA271" s="369"/>
      <c r="AB271" s="369"/>
      <c r="AC271" s="369"/>
      <c r="AD271" s="369"/>
      <c r="AE271" s="369"/>
      <c r="AF271" s="369"/>
      <c r="AG271" s="369"/>
      <c r="AH271" s="369"/>
      <c r="AI271" s="369"/>
    </row>
    <row r="272" spans="1:37">
      <c r="A272" s="27">
        <v>45287</v>
      </c>
      <c r="B272" s="27">
        <f>IF(YEAR(Table7[[#This Row],[Date]]) = 2023, WEEKNUM(Table7[[#This Row],[Date]])-13, WEEKNUM(Table7[[#This Row],[Date]])+40)</f>
        <v>39</v>
      </c>
      <c r="C272" s="34" t="s">
        <v>51</v>
      </c>
      <c r="D272" s="62" t="s">
        <v>94</v>
      </c>
      <c r="E272" s="1">
        <v>924</v>
      </c>
      <c r="F272" s="1">
        <v>461</v>
      </c>
      <c r="G272" s="64">
        <f t="shared" si="68"/>
        <v>-8.242303872889771E-2</v>
      </c>
      <c r="H272" s="64">
        <f t="shared" si="69"/>
        <v>2.2172949002217297E-2</v>
      </c>
      <c r="I272" s="1"/>
      <c r="J272" s="1"/>
      <c r="K272" s="1"/>
      <c r="L272" s="1"/>
      <c r="M272" s="66">
        <v>0.09</v>
      </c>
      <c r="N272" s="66">
        <v>0.5</v>
      </c>
      <c r="O272" s="66">
        <v>0.5</v>
      </c>
      <c r="P272" s="66">
        <v>0.45</v>
      </c>
      <c r="Q272" s="87">
        <v>1</v>
      </c>
      <c r="R272" s="285">
        <v>394</v>
      </c>
      <c r="S272" s="145">
        <v>0.52777777777777779</v>
      </c>
      <c r="T272" s="113">
        <v>7</v>
      </c>
      <c r="U272" s="66" t="str">
        <f t="shared" si="71"/>
        <v>Normal</v>
      </c>
      <c r="V272" s="66" t="str">
        <f t="shared" si="72"/>
        <v>Normal</v>
      </c>
      <c r="W272" s="19">
        <f t="shared" si="70"/>
        <v>-8.242303872889771E-2</v>
      </c>
      <c r="X272" s="19">
        <f t="shared" si="73"/>
        <v>2.2172949002217297E-2</v>
      </c>
      <c r="Y272" s="369"/>
      <c r="Z272" s="369"/>
      <c r="AA272" s="369"/>
      <c r="AB272" s="369"/>
      <c r="AC272" s="369"/>
      <c r="AD272" s="369"/>
      <c r="AE272" s="369"/>
      <c r="AF272" s="369"/>
      <c r="AG272" s="369"/>
      <c r="AH272" s="369"/>
      <c r="AI272" s="369"/>
    </row>
    <row r="273" spans="1:39">
      <c r="A273" s="27">
        <v>45288</v>
      </c>
      <c r="B273" s="27">
        <f>IF(YEAR(Table7[[#This Row],[Date]]) = 2023, WEEKNUM(Table7[[#This Row],[Date]])-13, WEEKNUM(Table7[[#This Row],[Date]])+40)</f>
        <v>39</v>
      </c>
      <c r="C273" s="34" t="s">
        <v>52</v>
      </c>
      <c r="D273" s="62" t="s">
        <v>94</v>
      </c>
      <c r="E273" s="1">
        <v>657</v>
      </c>
      <c r="F273" s="1">
        <v>455</v>
      </c>
      <c r="G273" s="64">
        <f t="shared" si="68"/>
        <v>-0.42114537444933919</v>
      </c>
      <c r="H273" s="64">
        <f t="shared" si="69"/>
        <v>-2.1505376344086023E-2</v>
      </c>
      <c r="I273" s="1"/>
      <c r="J273" s="1"/>
      <c r="K273" s="1"/>
      <c r="L273" s="1"/>
      <c r="M273" s="66">
        <v>0.28000000000000003</v>
      </c>
      <c r="N273" s="66">
        <v>0.31</v>
      </c>
      <c r="O273" s="66">
        <v>0.69</v>
      </c>
      <c r="P273" s="66">
        <v>0.45</v>
      </c>
      <c r="Q273" s="87">
        <v>1</v>
      </c>
      <c r="R273" s="285">
        <v>353</v>
      </c>
      <c r="S273" s="145">
        <v>0.21597222222222223</v>
      </c>
      <c r="T273" s="113">
        <v>7</v>
      </c>
      <c r="U273" s="66" t="str">
        <f t="shared" si="71"/>
        <v>Outlier</v>
      </c>
      <c r="V273" s="66" t="str">
        <f t="shared" si="72"/>
        <v>Normal</v>
      </c>
      <c r="W273" s="19">
        <f t="shared" si="70"/>
        <v>-0.42114537444933919</v>
      </c>
      <c r="X273" s="19">
        <f t="shared" si="73"/>
        <v>-2.1505376344086023E-2</v>
      </c>
      <c r="Y273" s="369"/>
      <c r="Z273" s="369"/>
      <c r="AA273" s="369"/>
      <c r="AB273" s="369"/>
      <c r="AC273" s="369"/>
      <c r="AD273" s="369"/>
      <c r="AE273" s="369"/>
      <c r="AF273" s="369"/>
      <c r="AG273" s="369"/>
      <c r="AH273" s="369"/>
      <c r="AI273" s="369"/>
    </row>
    <row r="274" spans="1:39">
      <c r="A274" s="27">
        <v>45289</v>
      </c>
      <c r="B274" s="27">
        <f>IF(YEAR(Table7[[#This Row],[Date]]) = 2023, WEEKNUM(Table7[[#This Row],[Date]])-13, WEEKNUM(Table7[[#This Row],[Date]])+40)</f>
        <v>39</v>
      </c>
      <c r="C274" s="34" t="s">
        <v>53</v>
      </c>
      <c r="D274" s="62" t="s">
        <v>94</v>
      </c>
      <c r="E274" s="1">
        <v>566</v>
      </c>
      <c r="F274" s="1">
        <v>408</v>
      </c>
      <c r="G274" s="64">
        <f t="shared" si="68"/>
        <v>-0.44455348380765458</v>
      </c>
      <c r="H274" s="64">
        <f t="shared" si="69"/>
        <v>-0.21235521235521235</v>
      </c>
      <c r="I274" s="1"/>
      <c r="J274" s="1"/>
      <c r="K274" s="1"/>
      <c r="L274" s="1"/>
      <c r="M274" s="66">
        <v>0.35</v>
      </c>
      <c r="N274" s="66">
        <v>0.28000000000000003</v>
      </c>
      <c r="O274" s="66">
        <v>0.72</v>
      </c>
      <c r="P274" s="66">
        <v>0.47</v>
      </c>
      <c r="Q274" s="87">
        <v>1</v>
      </c>
      <c r="R274" s="285">
        <v>325</v>
      </c>
      <c r="S274" s="145">
        <v>0.20555555555555557</v>
      </c>
      <c r="T274" s="113">
        <v>6</v>
      </c>
      <c r="U274" s="66" t="str">
        <f t="shared" si="71"/>
        <v>Outlier</v>
      </c>
      <c r="V274" s="66" t="str">
        <f t="shared" si="72"/>
        <v>Normal</v>
      </c>
      <c r="W274" s="19">
        <f t="shared" si="70"/>
        <v>-0.44455348380765458</v>
      </c>
      <c r="X274" s="19">
        <f t="shared" si="73"/>
        <v>-0.21235521235521235</v>
      </c>
      <c r="Y274" s="369"/>
      <c r="Z274" s="369"/>
      <c r="AA274" s="369"/>
      <c r="AB274" s="369"/>
      <c r="AC274" s="369"/>
      <c r="AD274" s="369"/>
      <c r="AE274" s="369"/>
      <c r="AF274" s="369"/>
      <c r="AG274" s="369"/>
      <c r="AH274" s="369"/>
      <c r="AI274" s="369"/>
    </row>
    <row r="275" spans="1:39">
      <c r="A275" s="27">
        <v>45290</v>
      </c>
      <c r="B275" s="27">
        <f>IF(YEAR(Table7[[#This Row],[Date]]) = 2023, WEEKNUM(Table7[[#This Row],[Date]])-13, WEEKNUM(Table7[[#This Row],[Date]])+40)</f>
        <v>39</v>
      </c>
      <c r="C275" s="34" t="s">
        <v>54</v>
      </c>
      <c r="D275" s="62" t="s">
        <v>94</v>
      </c>
      <c r="E275" s="1">
        <v>289</v>
      </c>
      <c r="F275" s="1">
        <v>249</v>
      </c>
      <c r="G275" s="64">
        <f t="shared" si="68"/>
        <v>-0.65839243498817968</v>
      </c>
      <c r="H275" s="64">
        <f t="shared" si="69"/>
        <v>-0.45751633986928103</v>
      </c>
      <c r="I275" s="1"/>
      <c r="J275" s="1"/>
      <c r="K275" s="1"/>
      <c r="L275" s="1"/>
      <c r="M275" s="66">
        <v>0.6</v>
      </c>
      <c r="N275" s="66">
        <v>0.14000000000000001</v>
      </c>
      <c r="O275" s="66">
        <v>0.86</v>
      </c>
      <c r="P275" s="66">
        <v>0.34</v>
      </c>
      <c r="Q275" s="87">
        <v>1</v>
      </c>
      <c r="R275" s="285">
        <v>315</v>
      </c>
      <c r="S275" s="145">
        <v>0.10208333333333335</v>
      </c>
      <c r="T275" s="113">
        <v>5</v>
      </c>
      <c r="U275" s="66" t="str">
        <f t="shared" si="71"/>
        <v>Outlier</v>
      </c>
      <c r="V275" s="66" t="str">
        <f t="shared" si="72"/>
        <v>Normal</v>
      </c>
      <c r="W275" s="19">
        <f t="shared" si="70"/>
        <v>-0.65839243498817968</v>
      </c>
      <c r="X275" s="19">
        <f t="shared" si="73"/>
        <v>-0.45751633986928103</v>
      </c>
      <c r="Y275" s="369"/>
      <c r="Z275" s="369"/>
      <c r="AA275" s="369"/>
      <c r="AB275" s="369"/>
      <c r="AC275" s="369"/>
      <c r="AD275" s="369"/>
      <c r="AE275" s="369"/>
      <c r="AF275" s="369"/>
      <c r="AG275" s="369"/>
      <c r="AH275" s="369"/>
      <c r="AI275" s="369"/>
    </row>
    <row r="276" spans="1:39">
      <c r="A276" s="27">
        <v>45291</v>
      </c>
      <c r="B276" s="27">
        <f>IF(YEAR(Table7[[#This Row],[Date]]) = 2023, WEEKNUM(Table7[[#This Row],[Date]])-13, WEEKNUM(Table7[[#This Row],[Date]])+40)</f>
        <v>40</v>
      </c>
      <c r="C276" s="34" t="s">
        <v>48</v>
      </c>
      <c r="D276" s="62" t="s">
        <v>94</v>
      </c>
      <c r="E276" s="1">
        <v>0</v>
      </c>
      <c r="F276" s="1">
        <v>0</v>
      </c>
      <c r="G276" s="64">
        <f t="shared" si="68"/>
        <v>-1</v>
      </c>
      <c r="H276" s="64">
        <f t="shared" si="69"/>
        <v>-1</v>
      </c>
      <c r="I276" s="1">
        <v>0</v>
      </c>
      <c r="J276" s="1">
        <v>0</v>
      </c>
      <c r="K276" s="1">
        <v>0</v>
      </c>
      <c r="L276" s="1">
        <v>0</v>
      </c>
      <c r="M276" s="66">
        <v>0</v>
      </c>
      <c r="N276" s="66">
        <v>0</v>
      </c>
      <c r="O276" s="66">
        <v>0</v>
      </c>
      <c r="P276" s="66">
        <v>0</v>
      </c>
      <c r="Q276" s="87">
        <v>0</v>
      </c>
      <c r="R276" s="285">
        <v>0</v>
      </c>
      <c r="S276" s="145">
        <v>0</v>
      </c>
      <c r="T276" s="113">
        <v>0</v>
      </c>
      <c r="U276" s="66" t="str">
        <f t="shared" si="71"/>
        <v>Outlier</v>
      </c>
      <c r="V276" s="66" t="str">
        <f t="shared" si="72"/>
        <v>Normal</v>
      </c>
      <c r="W276" s="19">
        <f t="shared" si="70"/>
        <v>-1</v>
      </c>
      <c r="X276" s="19">
        <f t="shared" si="73"/>
        <v>-1</v>
      </c>
      <c r="Y276" s="369"/>
      <c r="Z276" s="369"/>
      <c r="AA276" s="369"/>
      <c r="AB276" s="369"/>
      <c r="AC276" s="369"/>
      <c r="AD276" s="369"/>
      <c r="AE276" s="369"/>
      <c r="AF276" s="369"/>
      <c r="AG276" s="369"/>
      <c r="AH276" s="369"/>
      <c r="AI276" s="369"/>
    </row>
    <row r="277" spans="1:39" s="47" customFormat="1">
      <c r="A277" s="27">
        <v>45292</v>
      </c>
      <c r="B277" s="27">
        <f>IF(YEAR(Table7[[#This Row],[Date]]) = 2023, WEEKNUM(Table7[[#This Row],[Date]])-13, WEEKNUM(Table7[[#This Row],[Date]])+40)</f>
        <v>41</v>
      </c>
      <c r="C277" s="76" t="s">
        <v>64</v>
      </c>
      <c r="D277" s="62" t="s">
        <v>94</v>
      </c>
      <c r="E277" s="65">
        <v>0</v>
      </c>
      <c r="F277" s="65">
        <v>0</v>
      </c>
      <c r="G277" s="64">
        <f t="shared" si="68"/>
        <v>0</v>
      </c>
      <c r="H277" s="64">
        <f t="shared" si="69"/>
        <v>0</v>
      </c>
      <c r="I277" s="65">
        <v>0</v>
      </c>
      <c r="J277" s="65">
        <v>0</v>
      </c>
      <c r="K277" s="65">
        <v>0</v>
      </c>
      <c r="L277" s="65">
        <v>0</v>
      </c>
      <c r="M277" s="138">
        <v>0</v>
      </c>
      <c r="N277" s="138">
        <v>0</v>
      </c>
      <c r="O277" s="138">
        <v>0</v>
      </c>
      <c r="P277" s="138">
        <v>0</v>
      </c>
      <c r="Q277" s="139">
        <v>0</v>
      </c>
      <c r="R277" s="291">
        <v>0</v>
      </c>
      <c r="S277" s="171">
        <v>0</v>
      </c>
      <c r="T277" s="140">
        <v>0</v>
      </c>
      <c r="U277" s="138" t="str">
        <f t="shared" si="71"/>
        <v>Normal</v>
      </c>
      <c r="V277" s="138" t="str">
        <f t="shared" si="72"/>
        <v>Normal</v>
      </c>
      <c r="W277" s="347">
        <f t="shared" si="70"/>
        <v>0</v>
      </c>
      <c r="X277" s="347">
        <f t="shared" si="73"/>
        <v>0</v>
      </c>
      <c r="Y277" s="369"/>
      <c r="Z277" s="369"/>
      <c r="AA277" s="369"/>
      <c r="AB277" s="369"/>
      <c r="AC277" s="369"/>
      <c r="AD277" s="369"/>
      <c r="AE277" s="369"/>
      <c r="AF277" s="369"/>
      <c r="AG277" s="369"/>
      <c r="AH277" s="369"/>
      <c r="AI277" s="369"/>
      <c r="AK277"/>
      <c r="AL277"/>
      <c r="AM277"/>
    </row>
    <row r="278" spans="1:39">
      <c r="A278" s="27">
        <v>45293</v>
      </c>
      <c r="B278" s="27">
        <f>IF(YEAR(Table7[[#This Row],[Date]]) = 2023, WEEKNUM(Table7[[#This Row],[Date]])-13, WEEKNUM(Table7[[#This Row],[Date]])+40)</f>
        <v>41</v>
      </c>
      <c r="C278" s="34" t="s">
        <v>50</v>
      </c>
      <c r="D278" s="62" t="s">
        <v>94</v>
      </c>
      <c r="E278" s="1">
        <v>772</v>
      </c>
      <c r="F278" s="1">
        <v>451</v>
      </c>
      <c r="G278" s="64">
        <f t="shared" si="68"/>
        <v>0</v>
      </c>
      <c r="H278" s="64">
        <f t="shared" si="69"/>
        <v>0</v>
      </c>
      <c r="I278" s="1"/>
      <c r="J278" s="1"/>
      <c r="K278" s="1"/>
      <c r="L278" s="1"/>
      <c r="M278" s="66">
        <v>0.15</v>
      </c>
      <c r="N278" s="66">
        <v>0.42</v>
      </c>
      <c r="O278" s="66">
        <v>0.57999999999999996</v>
      </c>
      <c r="P278" s="66">
        <v>0.52</v>
      </c>
      <c r="Q278" s="87">
        <v>1</v>
      </c>
      <c r="R278" s="285">
        <v>335</v>
      </c>
      <c r="S278" s="145">
        <v>0.41388888888888892</v>
      </c>
      <c r="T278" s="113">
        <v>6</v>
      </c>
      <c r="U278" s="66" t="str">
        <f t="shared" si="71"/>
        <v>Normal</v>
      </c>
      <c r="V278" s="66" t="str">
        <f t="shared" si="72"/>
        <v>Normal</v>
      </c>
      <c r="W278" s="19">
        <f t="shared" si="70"/>
        <v>0</v>
      </c>
      <c r="X278" s="19">
        <f t="shared" si="73"/>
        <v>0</v>
      </c>
      <c r="Y278" s="369"/>
      <c r="Z278" s="369"/>
      <c r="AA278" s="369"/>
      <c r="AB278" s="369"/>
      <c r="AC278" s="369"/>
      <c r="AD278" s="369"/>
      <c r="AE278" s="369"/>
      <c r="AF278" s="369"/>
      <c r="AG278" s="369"/>
      <c r="AH278" s="369"/>
      <c r="AI278" s="369"/>
    </row>
    <row r="279" spans="1:39">
      <c r="A279" s="27">
        <v>45294</v>
      </c>
      <c r="B279" s="27">
        <f>IF(YEAR(Table7[[#This Row],[Date]]) = 2023, WEEKNUM(Table7[[#This Row],[Date]])-13, WEEKNUM(Table7[[#This Row],[Date]])+40)</f>
        <v>41</v>
      </c>
      <c r="C279" s="34" t="s">
        <v>51</v>
      </c>
      <c r="D279" s="62" t="s">
        <v>94</v>
      </c>
      <c r="E279" s="1">
        <v>541</v>
      </c>
      <c r="F279" s="1">
        <v>437</v>
      </c>
      <c r="G279" s="64">
        <f t="shared" si="68"/>
        <v>-0.41450216450216448</v>
      </c>
      <c r="H279" s="64">
        <f t="shared" si="69"/>
        <v>-5.2060737527114966E-2</v>
      </c>
      <c r="I279" s="1"/>
      <c r="J279" s="1"/>
      <c r="K279" s="1"/>
      <c r="L279" s="1"/>
      <c r="M279" s="66">
        <v>0.47</v>
      </c>
      <c r="N279" s="66">
        <v>0.19</v>
      </c>
      <c r="O279" s="66">
        <v>0.81</v>
      </c>
      <c r="P279" s="66">
        <v>0.5</v>
      </c>
      <c r="Q279" s="87">
        <v>1</v>
      </c>
      <c r="R279" s="285">
        <v>304</v>
      </c>
      <c r="S279" s="145">
        <v>0.15902777777777777</v>
      </c>
      <c r="T279" s="113">
        <v>6</v>
      </c>
      <c r="U279" s="66" t="str">
        <f t="shared" si="71"/>
        <v>Outlier</v>
      </c>
      <c r="V279" s="66" t="str">
        <f t="shared" si="72"/>
        <v>Normal</v>
      </c>
      <c r="W279" s="19">
        <f t="shared" si="70"/>
        <v>-0.41450216450216448</v>
      </c>
      <c r="X279" s="19">
        <f t="shared" si="73"/>
        <v>-5.2060737527114966E-2</v>
      </c>
      <c r="Y279" s="369"/>
      <c r="Z279" s="369"/>
      <c r="AA279" s="369"/>
      <c r="AB279" s="369"/>
      <c r="AC279" s="369"/>
      <c r="AD279" s="369"/>
      <c r="AE279" s="369"/>
      <c r="AF279" s="369"/>
      <c r="AG279" s="369"/>
      <c r="AH279" s="369"/>
      <c r="AI279" s="369"/>
    </row>
    <row r="280" spans="1:39">
      <c r="A280" s="27">
        <v>45295</v>
      </c>
      <c r="B280" s="27">
        <f>IF(YEAR(Table7[[#This Row],[Date]]) = 2023, WEEKNUM(Table7[[#This Row],[Date]])-13, WEEKNUM(Table7[[#This Row],[Date]])+40)</f>
        <v>41</v>
      </c>
      <c r="C280" s="34" t="s">
        <v>52</v>
      </c>
      <c r="D280" s="62" t="s">
        <v>94</v>
      </c>
      <c r="E280" s="1">
        <v>243</v>
      </c>
      <c r="F280" s="1">
        <v>211</v>
      </c>
      <c r="G280" s="64">
        <f t="shared" si="68"/>
        <v>-0.63013698630136983</v>
      </c>
      <c r="H280" s="64">
        <f t="shared" si="69"/>
        <v>-0.53626373626373625</v>
      </c>
      <c r="I280" s="1"/>
      <c r="J280" s="1"/>
      <c r="K280" s="1"/>
      <c r="L280" s="1"/>
      <c r="M280" s="66">
        <v>0.57999999999999996</v>
      </c>
      <c r="N280" s="66">
        <v>0.13</v>
      </c>
      <c r="O280" s="66">
        <v>0.87</v>
      </c>
      <c r="P280" s="66">
        <v>0.28999999999999998</v>
      </c>
      <c r="Q280" s="87">
        <v>1</v>
      </c>
      <c r="R280" s="285">
        <v>281</v>
      </c>
      <c r="S280" s="145">
        <v>0.1125</v>
      </c>
      <c r="T280" s="113">
        <v>5</v>
      </c>
      <c r="U280" s="66" t="str">
        <f t="shared" si="71"/>
        <v>Outlier</v>
      </c>
      <c r="V280" s="66" t="str">
        <f t="shared" si="72"/>
        <v>Normal</v>
      </c>
      <c r="W280" s="19">
        <f t="shared" si="70"/>
        <v>-0.63013698630136983</v>
      </c>
      <c r="X280" s="19">
        <f t="shared" si="73"/>
        <v>-0.53626373626373625</v>
      </c>
      <c r="Y280" s="369"/>
      <c r="Z280" s="369"/>
      <c r="AA280" s="369"/>
      <c r="AB280" s="369"/>
      <c r="AC280" s="369"/>
      <c r="AD280" s="369"/>
      <c r="AE280" s="369"/>
      <c r="AF280" s="369"/>
      <c r="AG280" s="369"/>
      <c r="AH280" s="369"/>
      <c r="AI280" s="369"/>
    </row>
    <row r="281" spans="1:39">
      <c r="A281" s="27">
        <v>45296</v>
      </c>
      <c r="B281" s="27">
        <f>IF(YEAR(Table7[[#This Row],[Date]]) = 2023, WEEKNUM(Table7[[#This Row],[Date]])-13, WEEKNUM(Table7[[#This Row],[Date]])+40)</f>
        <v>41</v>
      </c>
      <c r="C281" s="34" t="s">
        <v>53</v>
      </c>
      <c r="D281" s="62" t="s">
        <v>94</v>
      </c>
      <c r="E281" s="1">
        <v>530</v>
      </c>
      <c r="F281" s="1">
        <v>284</v>
      </c>
      <c r="G281" s="64">
        <f t="shared" si="68"/>
        <v>-6.3604240282685506E-2</v>
      </c>
      <c r="H281" s="64">
        <f t="shared" si="69"/>
        <v>-0.30392156862745096</v>
      </c>
      <c r="I281" s="1"/>
      <c r="J281" s="1"/>
      <c r="K281" s="1"/>
      <c r="L281" s="1"/>
      <c r="M281" s="66">
        <v>0.12</v>
      </c>
      <c r="N281" s="66">
        <v>0.46</v>
      </c>
      <c r="O281" s="66">
        <v>0.54</v>
      </c>
      <c r="P281" s="66">
        <v>0.49</v>
      </c>
      <c r="Q281" s="87">
        <v>1</v>
      </c>
      <c r="R281" s="285">
        <v>301</v>
      </c>
      <c r="S281" s="145">
        <v>0.42430555555555555</v>
      </c>
      <c r="T281" s="113">
        <v>4</v>
      </c>
      <c r="U281" s="66" t="str">
        <f t="shared" si="71"/>
        <v>Outlier</v>
      </c>
      <c r="V281" s="66" t="str">
        <f t="shared" si="72"/>
        <v>Normal</v>
      </c>
      <c r="W281" s="19">
        <f t="shared" si="70"/>
        <v>-6.3604240282685506E-2</v>
      </c>
      <c r="X281" s="19">
        <f t="shared" si="73"/>
        <v>-0.30392156862745096</v>
      </c>
      <c r="Y281" s="369"/>
      <c r="Z281" s="369"/>
      <c r="AA281" s="369"/>
      <c r="AB281" s="369"/>
      <c r="AC281" s="369"/>
      <c r="AD281" s="369"/>
      <c r="AE281" s="369"/>
      <c r="AF281" s="369"/>
      <c r="AG281" s="369"/>
      <c r="AH281" s="369"/>
      <c r="AI281" s="369"/>
    </row>
    <row r="282" spans="1:39">
      <c r="A282" s="27">
        <v>45297</v>
      </c>
      <c r="B282" s="27">
        <f>IF(YEAR(Table7[[#This Row],[Date]]) = 2023, WEEKNUM(Table7[[#This Row],[Date]])-13, WEEKNUM(Table7[[#This Row],[Date]])+40)</f>
        <v>41</v>
      </c>
      <c r="C282" s="34" t="s">
        <v>54</v>
      </c>
      <c r="D282" s="62" t="s">
        <v>94</v>
      </c>
      <c r="E282" s="1">
        <v>311</v>
      </c>
      <c r="F282" s="1">
        <v>231</v>
      </c>
      <c r="G282" s="64">
        <f t="shared" si="68"/>
        <v>7.6124567474048443E-2</v>
      </c>
      <c r="H282" s="64">
        <f t="shared" si="69"/>
        <v>-7.2289156626506021E-2</v>
      </c>
      <c r="I282" s="1"/>
      <c r="J282" s="1"/>
      <c r="K282" s="1"/>
      <c r="L282" s="1"/>
      <c r="M282" s="66">
        <v>0.42</v>
      </c>
      <c r="N282" s="66">
        <v>0.26</v>
      </c>
      <c r="O282" s="66">
        <v>0.74</v>
      </c>
      <c r="P282" s="66">
        <v>0.32</v>
      </c>
      <c r="Q282" s="87">
        <v>1</v>
      </c>
      <c r="R282" s="285">
        <v>271</v>
      </c>
      <c r="S282" s="145">
        <v>0.3888888888888889</v>
      </c>
      <c r="T282" s="113">
        <v>5</v>
      </c>
      <c r="U282" s="66" t="str">
        <f t="shared" si="71"/>
        <v>Outlier</v>
      </c>
      <c r="V282" s="66" t="str">
        <f t="shared" si="72"/>
        <v>Normal</v>
      </c>
      <c r="W282" s="19">
        <f t="shared" si="70"/>
        <v>7.6124567474048443E-2</v>
      </c>
      <c r="X282" s="19">
        <f t="shared" si="73"/>
        <v>-7.2289156626506021E-2</v>
      </c>
      <c r="Y282" s="369"/>
      <c r="Z282" s="369"/>
      <c r="AA282" s="369"/>
      <c r="AB282" s="369"/>
      <c r="AC282" s="369"/>
      <c r="AD282" s="369"/>
      <c r="AE282" s="369"/>
      <c r="AF282" s="369"/>
      <c r="AG282" s="369"/>
      <c r="AH282" s="369"/>
      <c r="AI282" s="369"/>
    </row>
    <row r="283" spans="1:39">
      <c r="A283" s="27">
        <v>45298</v>
      </c>
      <c r="B283" s="27">
        <f>IF(YEAR(Table7[[#This Row],[Date]]) = 2023, WEEKNUM(Table7[[#This Row],[Date]])-13, WEEKNUM(Table7[[#This Row],[Date]])+40)</f>
        <v>42</v>
      </c>
      <c r="C283" s="34" t="s">
        <v>48</v>
      </c>
      <c r="D283" s="62" t="s">
        <v>94</v>
      </c>
      <c r="E283" s="1">
        <v>0</v>
      </c>
      <c r="F283" s="1">
        <v>0</v>
      </c>
      <c r="G283" s="64">
        <f t="shared" si="68"/>
        <v>0</v>
      </c>
      <c r="H283" s="64">
        <f t="shared" si="69"/>
        <v>0</v>
      </c>
      <c r="I283" s="1">
        <v>0</v>
      </c>
      <c r="J283" s="1">
        <v>0</v>
      </c>
      <c r="K283" s="1">
        <v>0</v>
      </c>
      <c r="L283" s="1">
        <v>0</v>
      </c>
      <c r="M283" s="66">
        <v>0</v>
      </c>
      <c r="N283" s="66">
        <v>0</v>
      </c>
      <c r="O283" s="66">
        <v>0</v>
      </c>
      <c r="P283" s="66">
        <v>0</v>
      </c>
      <c r="Q283" s="87">
        <v>0</v>
      </c>
      <c r="R283" s="285">
        <v>0</v>
      </c>
      <c r="S283" s="145">
        <v>0</v>
      </c>
      <c r="T283" s="113">
        <v>0</v>
      </c>
      <c r="U283" s="66" t="str">
        <f t="shared" si="71"/>
        <v>Normal</v>
      </c>
      <c r="V283" s="66" t="str">
        <f t="shared" si="72"/>
        <v>Normal</v>
      </c>
      <c r="W283" s="19">
        <f t="shared" si="70"/>
        <v>0</v>
      </c>
      <c r="X283" s="19">
        <f t="shared" si="73"/>
        <v>0</v>
      </c>
      <c r="Y283" s="369"/>
      <c r="Z283" s="369"/>
      <c r="AA283" s="369"/>
      <c r="AB283" s="369"/>
      <c r="AC283" s="369"/>
      <c r="AD283" s="369"/>
      <c r="AE283" s="369"/>
      <c r="AF283" s="369"/>
      <c r="AG283" s="369"/>
      <c r="AH283" s="369"/>
      <c r="AI283" s="369"/>
    </row>
    <row r="284" spans="1:39">
      <c r="A284" s="27">
        <v>45299</v>
      </c>
      <c r="B284" s="27">
        <f>IF(YEAR(Table7[[#This Row],[Date]]) = 2023, WEEKNUM(Table7[[#This Row],[Date]])-13, WEEKNUM(Table7[[#This Row],[Date]])+40)</f>
        <v>42</v>
      </c>
      <c r="C284" s="34" t="s">
        <v>49</v>
      </c>
      <c r="D284" s="62" t="s">
        <v>94</v>
      </c>
      <c r="E284" s="1">
        <v>517</v>
      </c>
      <c r="F284" s="1">
        <v>448</v>
      </c>
      <c r="G284" s="64">
        <f t="shared" ref="G284:G347" si="74">IFERROR((E284-E277)/E277,0%)</f>
        <v>0</v>
      </c>
      <c r="H284" s="64">
        <f t="shared" ref="H284:H347" si="75">IFERROR((F284-F277)/F277,0%)</f>
        <v>0</v>
      </c>
      <c r="I284" s="1"/>
      <c r="J284" s="1"/>
      <c r="K284" s="1"/>
      <c r="L284" s="1"/>
      <c r="M284" s="66">
        <v>0.61</v>
      </c>
      <c r="N284" s="66">
        <v>0.13</v>
      </c>
      <c r="O284" s="66">
        <v>0.87</v>
      </c>
      <c r="P284" s="66">
        <v>0.51</v>
      </c>
      <c r="Q284" s="87">
        <v>1</v>
      </c>
      <c r="R284" s="285">
        <v>244</v>
      </c>
      <c r="S284" s="145">
        <v>8.819444444444445E-2</v>
      </c>
      <c r="T284" s="113">
        <v>6</v>
      </c>
      <c r="U284" s="66" t="str">
        <f t="shared" si="71"/>
        <v>Normal</v>
      </c>
      <c r="V284" s="66" t="str">
        <f t="shared" si="72"/>
        <v>Normal</v>
      </c>
      <c r="W284" s="19">
        <f t="shared" si="70"/>
        <v>0</v>
      </c>
      <c r="X284" s="19">
        <f t="shared" si="73"/>
        <v>0</v>
      </c>
      <c r="Y284" s="369"/>
      <c r="Z284" s="369"/>
      <c r="AA284" s="369"/>
      <c r="AB284" s="369"/>
      <c r="AC284" s="369"/>
      <c r="AD284" s="369"/>
      <c r="AE284" s="369"/>
      <c r="AF284" s="369"/>
      <c r="AG284" s="369"/>
      <c r="AH284" s="369"/>
      <c r="AI284" s="369"/>
    </row>
    <row r="285" spans="1:39">
      <c r="A285" s="27">
        <v>45300</v>
      </c>
      <c r="B285" s="27">
        <f>IF(YEAR(Table7[[#This Row],[Date]]) = 2023, WEEKNUM(Table7[[#This Row],[Date]])-13, WEEKNUM(Table7[[#This Row],[Date]])+40)</f>
        <v>42</v>
      </c>
      <c r="C285" s="34" t="s">
        <v>50</v>
      </c>
      <c r="D285" s="62" t="s">
        <v>94</v>
      </c>
      <c r="E285" s="1">
        <v>431</v>
      </c>
      <c r="F285" s="1">
        <v>363</v>
      </c>
      <c r="G285" s="64">
        <f t="shared" si="74"/>
        <v>-0.44170984455958551</v>
      </c>
      <c r="H285" s="64">
        <f t="shared" si="75"/>
        <v>-0.1951219512195122</v>
      </c>
      <c r="I285" s="1"/>
      <c r="J285" s="1"/>
      <c r="K285" s="1"/>
      <c r="L285" s="1"/>
      <c r="M285" s="66">
        <v>0.56000000000000005</v>
      </c>
      <c r="N285" s="66">
        <v>0.16</v>
      </c>
      <c r="O285" s="66">
        <v>0.84</v>
      </c>
      <c r="P285" s="66">
        <v>0.5</v>
      </c>
      <c r="Q285" s="87">
        <v>1</v>
      </c>
      <c r="R285" s="285">
        <v>267</v>
      </c>
      <c r="S285" s="145">
        <v>0.13402777777777777</v>
      </c>
      <c r="T285" s="113">
        <v>5</v>
      </c>
      <c r="U285" s="66" t="str">
        <f t="shared" si="71"/>
        <v>Outlier</v>
      </c>
      <c r="V285" s="66" t="str">
        <f t="shared" si="72"/>
        <v>Normal</v>
      </c>
      <c r="W285" s="19">
        <f t="shared" ref="W285:W348" si="76">IF(U285="Normal",$G285,IF($G285&lt;150%, $G285, $AJ$9))</f>
        <v>-0.44170984455958551</v>
      </c>
      <c r="X285" s="19">
        <f t="shared" si="73"/>
        <v>-0.1951219512195122</v>
      </c>
      <c r="Y285" s="369"/>
      <c r="Z285" s="369"/>
      <c r="AA285" s="369"/>
      <c r="AB285" s="369"/>
      <c r="AC285" s="369"/>
      <c r="AD285" s="369"/>
      <c r="AE285" s="369"/>
      <c r="AF285" s="369"/>
      <c r="AG285" s="369"/>
      <c r="AH285" s="369"/>
      <c r="AI285" s="369"/>
    </row>
    <row r="286" spans="1:39">
      <c r="A286" s="27">
        <v>45301</v>
      </c>
      <c r="B286" s="27">
        <f>IF(YEAR(Table7[[#This Row],[Date]]) = 2023, WEEKNUM(Table7[[#This Row],[Date]])-13, WEEKNUM(Table7[[#This Row],[Date]])+40)</f>
        <v>42</v>
      </c>
      <c r="C286" s="34" t="s">
        <v>51</v>
      </c>
      <c r="D286" s="62" t="s">
        <v>94</v>
      </c>
      <c r="E286" s="1">
        <v>413</v>
      </c>
      <c r="F286" s="1">
        <v>322</v>
      </c>
      <c r="G286" s="64">
        <f t="shared" si="74"/>
        <v>-0.2365988909426987</v>
      </c>
      <c r="H286" s="64">
        <f t="shared" si="75"/>
        <v>-0.26315789473684209</v>
      </c>
      <c r="I286" s="1"/>
      <c r="J286" s="1"/>
      <c r="K286" s="1"/>
      <c r="L286" s="1"/>
      <c r="M286" s="66">
        <v>0.52</v>
      </c>
      <c r="N286" s="66">
        <v>0.22</v>
      </c>
      <c r="O286" s="66">
        <v>0.78</v>
      </c>
      <c r="P286" s="66">
        <v>0.44</v>
      </c>
      <c r="Q286" s="87">
        <v>1</v>
      </c>
      <c r="R286" s="285">
        <v>256</v>
      </c>
      <c r="S286" s="145">
        <v>0.1388888888888889</v>
      </c>
      <c r="T286" s="113">
        <v>5</v>
      </c>
      <c r="U286" s="66" t="str">
        <f t="shared" si="71"/>
        <v>Outlier</v>
      </c>
      <c r="V286" s="66" t="str">
        <f t="shared" si="72"/>
        <v>Normal</v>
      </c>
      <c r="W286" s="19">
        <f t="shared" si="76"/>
        <v>-0.2365988909426987</v>
      </c>
      <c r="X286" s="19">
        <f t="shared" si="73"/>
        <v>-0.26315789473684209</v>
      </c>
      <c r="Y286" s="369"/>
      <c r="Z286" s="369"/>
      <c r="AA286" s="369"/>
      <c r="AB286" s="369"/>
      <c r="AC286" s="369"/>
      <c r="AD286" s="369"/>
      <c r="AE286" s="369"/>
      <c r="AF286" s="369"/>
      <c r="AG286" s="369"/>
      <c r="AH286" s="369"/>
      <c r="AI286" s="369"/>
    </row>
    <row r="287" spans="1:39">
      <c r="A287" s="27">
        <v>45302</v>
      </c>
      <c r="B287" s="27">
        <f>IF(YEAR(Table7[[#This Row],[Date]]) = 2023, WEEKNUM(Table7[[#This Row],[Date]])-13, WEEKNUM(Table7[[#This Row],[Date]])+40)</f>
        <v>42</v>
      </c>
      <c r="C287" s="34" t="s">
        <v>52</v>
      </c>
      <c r="D287" s="62" t="s">
        <v>94</v>
      </c>
      <c r="E287" s="1">
        <v>392</v>
      </c>
      <c r="F287" s="1">
        <v>321</v>
      </c>
      <c r="G287" s="64">
        <f t="shared" si="74"/>
        <v>0.61316872427983538</v>
      </c>
      <c r="H287" s="64">
        <f t="shared" si="75"/>
        <v>0.52132701421800953</v>
      </c>
      <c r="I287" s="1"/>
      <c r="J287" s="1"/>
      <c r="K287" s="1"/>
      <c r="L287" s="1"/>
      <c r="M287" s="66">
        <v>0.59</v>
      </c>
      <c r="N287" s="66">
        <v>0.18</v>
      </c>
      <c r="O287" s="66">
        <v>0.82</v>
      </c>
      <c r="P287" s="66">
        <v>0.44</v>
      </c>
      <c r="Q287" s="87">
        <v>1</v>
      </c>
      <c r="R287" s="285">
        <v>238</v>
      </c>
      <c r="S287" s="145">
        <v>0.10069444444444443</v>
      </c>
      <c r="T287" s="113">
        <v>5</v>
      </c>
      <c r="U287" s="66" t="str">
        <f t="shared" si="71"/>
        <v>Normal</v>
      </c>
      <c r="V287" s="66" t="str">
        <f t="shared" si="72"/>
        <v>Normal</v>
      </c>
      <c r="W287" s="19">
        <f t="shared" si="76"/>
        <v>0.61316872427983538</v>
      </c>
      <c r="X287" s="19">
        <f t="shared" si="73"/>
        <v>0.52132701421800953</v>
      </c>
      <c r="Y287" s="369"/>
      <c r="Z287" s="369"/>
      <c r="AA287" s="369"/>
      <c r="AB287" s="369"/>
      <c r="AC287" s="369"/>
      <c r="AD287" s="369"/>
      <c r="AE287" s="369"/>
      <c r="AF287" s="369"/>
      <c r="AG287" s="369"/>
      <c r="AH287" s="369"/>
      <c r="AI287" s="369"/>
    </row>
    <row r="288" spans="1:39">
      <c r="A288" s="27">
        <v>45303</v>
      </c>
      <c r="B288" s="27">
        <f>IF(YEAR(Table7[[#This Row],[Date]]) = 2023, WEEKNUM(Table7[[#This Row],[Date]])-13, WEEKNUM(Table7[[#This Row],[Date]])+40)</f>
        <v>42</v>
      </c>
      <c r="C288" s="34" t="s">
        <v>53</v>
      </c>
      <c r="D288" s="62" t="s">
        <v>94</v>
      </c>
      <c r="E288" s="1">
        <v>397</v>
      </c>
      <c r="F288" s="1">
        <v>353</v>
      </c>
      <c r="G288" s="64">
        <f t="shared" si="74"/>
        <v>-0.25094339622641509</v>
      </c>
      <c r="H288" s="64">
        <f t="shared" si="75"/>
        <v>0.24295774647887325</v>
      </c>
      <c r="I288" s="1"/>
      <c r="J288" s="1"/>
      <c r="K288" s="1"/>
      <c r="L288" s="1"/>
      <c r="M288" s="66">
        <v>0.75</v>
      </c>
      <c r="N288" s="66">
        <v>0.11</v>
      </c>
      <c r="O288" s="66">
        <v>0.89</v>
      </c>
      <c r="P288" s="66">
        <v>0.49</v>
      </c>
      <c r="Q288" s="87">
        <v>1</v>
      </c>
      <c r="R288" s="285">
        <v>241</v>
      </c>
      <c r="S288" s="145">
        <v>5.7638888888888885E-2</v>
      </c>
      <c r="T288" s="113">
        <v>5</v>
      </c>
      <c r="U288" s="66" t="str">
        <f t="shared" si="71"/>
        <v>Normal</v>
      </c>
      <c r="V288" s="66" t="str">
        <f t="shared" si="72"/>
        <v>Normal</v>
      </c>
      <c r="W288" s="19">
        <f t="shared" si="76"/>
        <v>-0.25094339622641509</v>
      </c>
      <c r="X288" s="19">
        <f t="shared" si="73"/>
        <v>0.24295774647887325</v>
      </c>
      <c r="Y288" s="369"/>
      <c r="Z288" s="369"/>
      <c r="AA288" s="369"/>
      <c r="AB288" s="369"/>
      <c r="AC288" s="369"/>
      <c r="AD288" s="369"/>
      <c r="AE288" s="369"/>
      <c r="AF288" s="369"/>
      <c r="AG288" s="369"/>
      <c r="AH288" s="369"/>
      <c r="AI288" s="369"/>
    </row>
    <row r="289" spans="1:39">
      <c r="A289" s="27">
        <v>45304</v>
      </c>
      <c r="B289" s="27">
        <f>IF(YEAR(Table7[[#This Row],[Date]]) = 2023, WEEKNUM(Table7[[#This Row],[Date]])-13, WEEKNUM(Table7[[#This Row],[Date]])+40)</f>
        <v>42</v>
      </c>
      <c r="C289" s="34" t="s">
        <v>54</v>
      </c>
      <c r="D289" s="62" t="s">
        <v>94</v>
      </c>
      <c r="E289" s="1">
        <v>202</v>
      </c>
      <c r="F289" s="1">
        <v>194</v>
      </c>
      <c r="G289" s="64">
        <f t="shared" si="74"/>
        <v>-0.35048231511254019</v>
      </c>
      <c r="H289" s="64">
        <f t="shared" si="75"/>
        <v>-0.16017316017316016</v>
      </c>
      <c r="I289" s="1"/>
      <c r="J289" s="1"/>
      <c r="K289" s="1"/>
      <c r="L289" s="1"/>
      <c r="M289" s="66">
        <v>0.87</v>
      </c>
      <c r="N289" s="66">
        <v>0.04</v>
      </c>
      <c r="O289" s="66">
        <v>0.96</v>
      </c>
      <c r="P289" s="66">
        <v>0.33</v>
      </c>
      <c r="Q289" s="87">
        <v>1</v>
      </c>
      <c r="R289" s="285">
        <v>224</v>
      </c>
      <c r="S289" s="145">
        <v>2.7083333333333334E-2</v>
      </c>
      <c r="T289" s="113">
        <v>4</v>
      </c>
      <c r="U289" s="66" t="str">
        <f t="shared" si="71"/>
        <v>Outlier</v>
      </c>
      <c r="V289" s="66" t="str">
        <f t="shared" si="72"/>
        <v>Normal</v>
      </c>
      <c r="W289" s="19">
        <f t="shared" si="76"/>
        <v>-0.35048231511254019</v>
      </c>
      <c r="X289" s="19">
        <f t="shared" si="73"/>
        <v>-0.16017316017316016</v>
      </c>
      <c r="Y289" s="369"/>
      <c r="Z289" s="369"/>
      <c r="AA289" s="369"/>
      <c r="AB289" s="369"/>
      <c r="AC289" s="369"/>
      <c r="AD289" s="369"/>
      <c r="AE289" s="369"/>
      <c r="AF289" s="369"/>
      <c r="AG289" s="369"/>
      <c r="AH289" s="369"/>
      <c r="AI289" s="369"/>
    </row>
    <row r="290" spans="1:39">
      <c r="A290" s="27">
        <v>45305</v>
      </c>
      <c r="B290" s="27">
        <f>IF(YEAR(Table7[[#This Row],[Date]]) = 2023, WEEKNUM(Table7[[#This Row],[Date]])-13, WEEKNUM(Table7[[#This Row],[Date]])+40)</f>
        <v>43</v>
      </c>
      <c r="C290" s="34" t="s">
        <v>48</v>
      </c>
      <c r="D290" s="62" t="s">
        <v>94</v>
      </c>
      <c r="E290" s="1">
        <v>0</v>
      </c>
      <c r="F290" s="1">
        <v>0</v>
      </c>
      <c r="G290" s="64">
        <f t="shared" si="74"/>
        <v>0</v>
      </c>
      <c r="H290" s="64">
        <f t="shared" si="75"/>
        <v>0</v>
      </c>
      <c r="I290" s="1">
        <v>0</v>
      </c>
      <c r="J290" s="1">
        <v>0</v>
      </c>
      <c r="K290" s="1">
        <v>0</v>
      </c>
      <c r="L290" s="1">
        <v>0</v>
      </c>
      <c r="M290" s="66">
        <v>0</v>
      </c>
      <c r="N290" s="66">
        <v>0</v>
      </c>
      <c r="O290" s="66">
        <v>0</v>
      </c>
      <c r="P290" s="66">
        <v>0</v>
      </c>
      <c r="Q290" s="87">
        <v>0</v>
      </c>
      <c r="R290" s="285">
        <v>0</v>
      </c>
      <c r="S290" s="145">
        <v>0</v>
      </c>
      <c r="T290" s="113">
        <v>0</v>
      </c>
      <c r="U290" s="66" t="str">
        <f t="shared" si="71"/>
        <v>Normal</v>
      </c>
      <c r="V290" s="66" t="str">
        <f t="shared" si="72"/>
        <v>Normal</v>
      </c>
      <c r="W290" s="19">
        <f t="shared" si="76"/>
        <v>0</v>
      </c>
      <c r="X290" s="19">
        <f t="shared" si="73"/>
        <v>0</v>
      </c>
      <c r="Y290" s="369"/>
      <c r="Z290" s="369"/>
      <c r="AA290" s="369"/>
      <c r="AB290" s="369"/>
      <c r="AC290" s="369"/>
      <c r="AD290" s="369"/>
      <c r="AE290" s="369"/>
      <c r="AF290" s="369"/>
      <c r="AG290" s="369"/>
      <c r="AH290" s="369"/>
      <c r="AI290" s="369"/>
    </row>
    <row r="291" spans="1:39">
      <c r="A291" s="27">
        <v>45306</v>
      </c>
      <c r="B291" s="27">
        <f>IF(YEAR(Table7[[#This Row],[Date]]) = 2023, WEEKNUM(Table7[[#This Row],[Date]])-13, WEEKNUM(Table7[[#This Row],[Date]])+40)</f>
        <v>43</v>
      </c>
      <c r="C291" s="34" t="s">
        <v>49</v>
      </c>
      <c r="D291" s="62" t="s">
        <v>94</v>
      </c>
      <c r="E291" s="1">
        <v>476</v>
      </c>
      <c r="F291" s="1">
        <v>408</v>
      </c>
      <c r="G291" s="64">
        <f t="shared" si="74"/>
        <v>-7.9303675048355893E-2</v>
      </c>
      <c r="H291" s="64">
        <f t="shared" si="75"/>
        <v>-8.9285714285714288E-2</v>
      </c>
      <c r="I291" s="1"/>
      <c r="J291" s="1"/>
      <c r="K291" s="1"/>
      <c r="L291" s="1"/>
      <c r="M291" s="66">
        <v>0.62</v>
      </c>
      <c r="N291" s="66">
        <v>0.14000000000000001</v>
      </c>
      <c r="O291" s="66">
        <v>0.86</v>
      </c>
      <c r="P291" s="66">
        <v>0.56000000000000005</v>
      </c>
      <c r="Q291" s="87">
        <v>1</v>
      </c>
      <c r="R291" s="285">
        <v>240</v>
      </c>
      <c r="S291" s="145">
        <v>0.12361111111111112</v>
      </c>
      <c r="T291" s="113">
        <v>5</v>
      </c>
      <c r="U291" s="66" t="str">
        <f t="shared" si="71"/>
        <v>Outlier</v>
      </c>
      <c r="V291" s="66" t="str">
        <f t="shared" si="72"/>
        <v>Normal</v>
      </c>
      <c r="W291" s="19">
        <f t="shared" si="76"/>
        <v>-7.9303675048355893E-2</v>
      </c>
      <c r="X291" s="19">
        <f t="shared" si="73"/>
        <v>-8.9285714285714288E-2</v>
      </c>
      <c r="Y291" s="369"/>
      <c r="Z291" s="369"/>
      <c r="AA291" s="369"/>
      <c r="AB291" s="369"/>
      <c r="AC291" s="369"/>
      <c r="AD291" s="369"/>
      <c r="AE291" s="369"/>
      <c r="AF291" s="369"/>
      <c r="AG291" s="369"/>
      <c r="AH291" s="369"/>
      <c r="AI291" s="369"/>
    </row>
    <row r="292" spans="1:39">
      <c r="A292" s="27">
        <v>45307</v>
      </c>
      <c r="B292" s="27">
        <f>IF(YEAR(Table7[[#This Row],[Date]]) = 2023, WEEKNUM(Table7[[#This Row],[Date]])-13, WEEKNUM(Table7[[#This Row],[Date]])+40)</f>
        <v>43</v>
      </c>
      <c r="C292" s="34" t="s">
        <v>50</v>
      </c>
      <c r="D292" s="62" t="s">
        <v>94</v>
      </c>
      <c r="E292" s="1">
        <v>464</v>
      </c>
      <c r="F292" s="1">
        <v>370</v>
      </c>
      <c r="G292" s="64">
        <f t="shared" si="74"/>
        <v>7.6566125290023199E-2</v>
      </c>
      <c r="H292" s="64">
        <f t="shared" si="75"/>
        <v>1.928374655647383E-2</v>
      </c>
      <c r="I292" s="1"/>
      <c r="J292" s="1"/>
      <c r="K292" s="1"/>
      <c r="L292" s="1"/>
      <c r="M292" s="66">
        <v>0.44</v>
      </c>
      <c r="N292" s="66">
        <v>0.2</v>
      </c>
      <c r="O292" s="66">
        <v>0.8</v>
      </c>
      <c r="P292" s="66">
        <v>0.64</v>
      </c>
      <c r="Q292" s="87">
        <v>1</v>
      </c>
      <c r="R292" s="285">
        <v>234</v>
      </c>
      <c r="S292" s="145">
        <v>0.24236111111111111</v>
      </c>
      <c r="T292" s="113">
        <v>4</v>
      </c>
      <c r="U292" s="66" t="str">
        <f t="shared" si="71"/>
        <v>Normal</v>
      </c>
      <c r="V292" s="66" t="str">
        <f t="shared" si="72"/>
        <v>Normal</v>
      </c>
      <c r="W292" s="19">
        <f t="shared" si="76"/>
        <v>7.6566125290023199E-2</v>
      </c>
      <c r="X292" s="19">
        <f t="shared" si="73"/>
        <v>1.928374655647383E-2</v>
      </c>
      <c r="Y292" s="369"/>
      <c r="Z292" s="369"/>
      <c r="AA292" s="369"/>
      <c r="AB292" s="369"/>
      <c r="AC292" s="369"/>
      <c r="AD292" s="369"/>
      <c r="AE292" s="369"/>
      <c r="AF292" s="369"/>
      <c r="AG292" s="369"/>
      <c r="AH292" s="369"/>
      <c r="AI292" s="369"/>
      <c r="AK292" s="47"/>
      <c r="AL292" s="47"/>
      <c r="AM292" s="47"/>
    </row>
    <row r="293" spans="1:39">
      <c r="A293" s="27">
        <v>45308</v>
      </c>
      <c r="B293" s="27">
        <f>IF(YEAR(Table7[[#This Row],[Date]]) = 2023, WEEKNUM(Table7[[#This Row],[Date]])-13, WEEKNUM(Table7[[#This Row],[Date]])+40)</f>
        <v>43</v>
      </c>
      <c r="C293" s="34" t="s">
        <v>51</v>
      </c>
      <c r="D293" s="62" t="s">
        <v>94</v>
      </c>
      <c r="E293" s="1">
        <v>420</v>
      </c>
      <c r="F293" s="1">
        <v>333</v>
      </c>
      <c r="G293" s="64">
        <f t="shared" si="74"/>
        <v>1.6949152542372881E-2</v>
      </c>
      <c r="H293" s="64">
        <f t="shared" si="75"/>
        <v>3.4161490683229816E-2</v>
      </c>
      <c r="I293" s="1"/>
      <c r="J293" s="1"/>
      <c r="K293" s="1"/>
      <c r="L293" s="1"/>
      <c r="M293" s="66">
        <v>0.46</v>
      </c>
      <c r="N293" s="66">
        <v>0.21</v>
      </c>
      <c r="O293" s="66">
        <v>0.79</v>
      </c>
      <c r="P293" s="66">
        <v>0.46</v>
      </c>
      <c r="Q293" s="87">
        <v>1</v>
      </c>
      <c r="R293" s="285">
        <v>255</v>
      </c>
      <c r="S293" s="145">
        <v>0.15555555555555556</v>
      </c>
      <c r="T293" s="113">
        <v>4</v>
      </c>
      <c r="U293" s="66" t="str">
        <f t="shared" si="71"/>
        <v>Normal</v>
      </c>
      <c r="V293" s="66" t="str">
        <f t="shared" si="72"/>
        <v>Normal</v>
      </c>
      <c r="W293" s="19">
        <f t="shared" si="76"/>
        <v>1.6949152542372881E-2</v>
      </c>
      <c r="X293" s="19">
        <f t="shared" si="73"/>
        <v>3.4161490683229816E-2</v>
      </c>
      <c r="Y293" s="369"/>
      <c r="Z293" s="369"/>
      <c r="AA293" s="369"/>
      <c r="AB293" s="369"/>
      <c r="AC293" s="369"/>
      <c r="AD293" s="369"/>
      <c r="AE293" s="369"/>
      <c r="AF293" s="369"/>
      <c r="AG293" s="369"/>
      <c r="AH293" s="369"/>
      <c r="AI293" s="369"/>
    </row>
    <row r="294" spans="1:39">
      <c r="A294" s="27">
        <v>45309</v>
      </c>
      <c r="B294" s="27">
        <f>IF(YEAR(Table7[[#This Row],[Date]]) = 2023, WEEKNUM(Table7[[#This Row],[Date]])-13, WEEKNUM(Table7[[#This Row],[Date]])+40)</f>
        <v>43</v>
      </c>
      <c r="C294" s="34" t="s">
        <v>52</v>
      </c>
      <c r="D294" s="62" t="s">
        <v>94</v>
      </c>
      <c r="E294" s="1">
        <v>388</v>
      </c>
      <c r="F294" s="1">
        <v>301</v>
      </c>
      <c r="G294" s="64">
        <f t="shared" si="74"/>
        <v>-1.020408163265306E-2</v>
      </c>
      <c r="H294" s="64">
        <f t="shared" si="75"/>
        <v>-6.2305295950155763E-2</v>
      </c>
      <c r="I294" s="1"/>
      <c r="J294" s="1"/>
      <c r="K294" s="1"/>
      <c r="L294" s="1"/>
      <c r="M294" s="66">
        <v>0.45</v>
      </c>
      <c r="N294" s="66">
        <v>0.22</v>
      </c>
      <c r="O294" s="66">
        <v>0.78</v>
      </c>
      <c r="P294" s="66">
        <v>0.52</v>
      </c>
      <c r="Q294" s="87">
        <v>1</v>
      </c>
      <c r="R294" s="285">
        <v>245</v>
      </c>
      <c r="S294" s="145">
        <v>0.16388888888888889</v>
      </c>
      <c r="T294" s="113">
        <v>4</v>
      </c>
      <c r="U294" s="66" t="str">
        <f t="shared" si="71"/>
        <v>Outlier</v>
      </c>
      <c r="V294" s="66" t="str">
        <f t="shared" si="72"/>
        <v>Normal</v>
      </c>
      <c r="W294" s="19">
        <f t="shared" si="76"/>
        <v>-1.020408163265306E-2</v>
      </c>
      <c r="X294" s="19">
        <f t="shared" si="73"/>
        <v>-6.2305295950155763E-2</v>
      </c>
      <c r="Y294" s="369"/>
      <c r="Z294" s="369"/>
      <c r="AA294" s="369"/>
      <c r="AB294" s="369"/>
      <c r="AC294" s="369"/>
      <c r="AD294" s="369"/>
      <c r="AE294" s="369"/>
      <c r="AF294" s="369"/>
      <c r="AG294" s="369"/>
      <c r="AH294" s="369"/>
      <c r="AI294" s="369"/>
    </row>
    <row r="295" spans="1:39">
      <c r="A295" s="27">
        <v>45310</v>
      </c>
      <c r="B295" s="27">
        <f>IF(YEAR(Table7[[#This Row],[Date]]) = 2023, WEEKNUM(Table7[[#This Row],[Date]])-13, WEEKNUM(Table7[[#This Row],[Date]])+40)</f>
        <v>43</v>
      </c>
      <c r="C295" s="34" t="s">
        <v>53</v>
      </c>
      <c r="D295" s="62" t="s">
        <v>94</v>
      </c>
      <c r="E295" s="1">
        <v>487</v>
      </c>
      <c r="F295" s="1">
        <v>349</v>
      </c>
      <c r="G295" s="64">
        <f t="shared" si="74"/>
        <v>0.22670025188916876</v>
      </c>
      <c r="H295" s="64">
        <f t="shared" si="75"/>
        <v>-1.1331444759206799E-2</v>
      </c>
      <c r="I295" s="1"/>
      <c r="J295" s="1"/>
      <c r="K295" s="1"/>
      <c r="L295" s="1"/>
      <c r="M295" s="66">
        <v>0.37</v>
      </c>
      <c r="N295" s="66">
        <v>0.28000000000000003</v>
      </c>
      <c r="O295" s="66">
        <v>0.72</v>
      </c>
      <c r="P295" s="66">
        <v>0.6</v>
      </c>
      <c r="Q295" s="87">
        <v>1</v>
      </c>
      <c r="R295" s="285">
        <v>222</v>
      </c>
      <c r="S295" s="145">
        <v>0.25069444444444444</v>
      </c>
      <c r="T295" s="113">
        <v>4</v>
      </c>
      <c r="U295" s="66" t="str">
        <f t="shared" si="71"/>
        <v>Outlier</v>
      </c>
      <c r="V295" s="66" t="str">
        <f t="shared" si="72"/>
        <v>Normal</v>
      </c>
      <c r="W295" s="19">
        <f t="shared" si="76"/>
        <v>0.22670025188916876</v>
      </c>
      <c r="X295" s="19">
        <f t="shared" si="73"/>
        <v>-1.1331444759206799E-2</v>
      </c>
      <c r="Y295" s="369"/>
      <c r="Z295" s="369"/>
      <c r="AA295" s="369"/>
      <c r="AB295" s="369"/>
      <c r="AC295" s="369"/>
      <c r="AD295" s="369"/>
      <c r="AE295" s="369"/>
      <c r="AF295" s="369"/>
      <c r="AG295" s="369"/>
      <c r="AH295" s="369"/>
      <c r="AI295" s="369"/>
    </row>
    <row r="296" spans="1:39">
      <c r="A296" s="27">
        <v>45311</v>
      </c>
      <c r="B296" s="27">
        <f>IF(YEAR(Table7[[#This Row],[Date]]) = 2023, WEEKNUM(Table7[[#This Row],[Date]])-13, WEEKNUM(Table7[[#This Row],[Date]])+40)</f>
        <v>43</v>
      </c>
      <c r="C296" s="34" t="s">
        <v>54</v>
      </c>
      <c r="D296" s="62" t="s">
        <v>94</v>
      </c>
      <c r="E296" s="1">
        <v>271</v>
      </c>
      <c r="F296" s="1">
        <v>221</v>
      </c>
      <c r="G296" s="64">
        <f t="shared" si="74"/>
        <v>0.34158415841584161</v>
      </c>
      <c r="H296" s="64">
        <f t="shared" si="75"/>
        <v>0.13917525773195877</v>
      </c>
      <c r="I296" s="1"/>
      <c r="J296" s="1"/>
      <c r="K296" s="1"/>
      <c r="L296" s="1"/>
      <c r="M296" s="66">
        <v>0.57999999999999996</v>
      </c>
      <c r="N296" s="66">
        <v>0.18</v>
      </c>
      <c r="O296" s="66">
        <v>0.82</v>
      </c>
      <c r="P296" s="66">
        <v>0.51</v>
      </c>
      <c r="Q296" s="87">
        <v>1</v>
      </c>
      <c r="R296" s="285">
        <v>221</v>
      </c>
      <c r="S296" s="145">
        <v>0.1111111111111111</v>
      </c>
      <c r="T296" s="113">
        <v>3</v>
      </c>
      <c r="U296" s="66" t="str">
        <f t="shared" si="71"/>
        <v>Normal</v>
      </c>
      <c r="V296" s="66" t="str">
        <f t="shared" si="72"/>
        <v>Normal</v>
      </c>
      <c r="W296" s="19">
        <f t="shared" si="76"/>
        <v>0.34158415841584161</v>
      </c>
      <c r="X296" s="19">
        <f t="shared" si="73"/>
        <v>0.13917525773195877</v>
      </c>
      <c r="Y296" s="369"/>
      <c r="Z296" s="369"/>
      <c r="AA296" s="369"/>
      <c r="AB296" s="369"/>
      <c r="AC296" s="369"/>
      <c r="AD296" s="369"/>
      <c r="AE296" s="369"/>
      <c r="AF296" s="369"/>
      <c r="AG296" s="369"/>
      <c r="AH296" s="369"/>
      <c r="AI296" s="369"/>
    </row>
    <row r="297" spans="1:39">
      <c r="A297" s="27">
        <v>45312</v>
      </c>
      <c r="B297" s="27">
        <f>IF(YEAR(Table7[[#This Row],[Date]]) = 2023, WEEKNUM(Table7[[#This Row],[Date]])-13, WEEKNUM(Table7[[#This Row],[Date]])+40)</f>
        <v>44</v>
      </c>
      <c r="C297" s="34" t="s">
        <v>48</v>
      </c>
      <c r="D297" s="62" t="s">
        <v>94</v>
      </c>
      <c r="E297" s="1">
        <v>0</v>
      </c>
      <c r="F297" s="1">
        <v>0</v>
      </c>
      <c r="G297" s="64">
        <f t="shared" si="74"/>
        <v>0</v>
      </c>
      <c r="H297" s="64">
        <f t="shared" si="75"/>
        <v>0</v>
      </c>
      <c r="I297" s="1">
        <v>0</v>
      </c>
      <c r="J297" s="1">
        <v>0</v>
      </c>
      <c r="K297" s="1">
        <v>0</v>
      </c>
      <c r="L297" s="1">
        <v>0</v>
      </c>
      <c r="M297" s="66">
        <v>0</v>
      </c>
      <c r="N297" s="66">
        <v>0</v>
      </c>
      <c r="O297" s="66">
        <v>0</v>
      </c>
      <c r="P297" s="66">
        <v>0</v>
      </c>
      <c r="Q297" s="87">
        <v>0</v>
      </c>
      <c r="R297" s="285">
        <v>0</v>
      </c>
      <c r="S297" s="145">
        <v>0</v>
      </c>
      <c r="T297" s="113">
        <v>0</v>
      </c>
      <c r="U297" s="66" t="str">
        <f t="shared" si="71"/>
        <v>Normal</v>
      </c>
      <c r="V297" s="66" t="str">
        <f t="shared" si="72"/>
        <v>Normal</v>
      </c>
      <c r="W297" s="19">
        <f t="shared" si="76"/>
        <v>0</v>
      </c>
      <c r="X297" s="19">
        <f t="shared" si="73"/>
        <v>0</v>
      </c>
      <c r="Y297" s="369"/>
      <c r="Z297" s="369"/>
      <c r="AA297" s="369"/>
      <c r="AB297" s="369"/>
      <c r="AC297" s="369"/>
      <c r="AD297" s="369"/>
      <c r="AE297" s="369"/>
      <c r="AF297" s="369"/>
      <c r="AG297" s="369"/>
      <c r="AH297" s="369"/>
      <c r="AI297" s="369"/>
    </row>
    <row r="298" spans="1:39">
      <c r="A298" s="27">
        <v>45313</v>
      </c>
      <c r="B298" s="27">
        <f>IF(YEAR(Table7[[#This Row],[Date]]) = 2023, WEEKNUM(Table7[[#This Row],[Date]])-13, WEEKNUM(Table7[[#This Row],[Date]])+40)</f>
        <v>44</v>
      </c>
      <c r="C298" s="34" t="s">
        <v>64</v>
      </c>
      <c r="D298" s="62" t="s">
        <v>94</v>
      </c>
      <c r="E298" s="1">
        <v>0</v>
      </c>
      <c r="F298" s="1">
        <v>0</v>
      </c>
      <c r="G298" s="64">
        <f t="shared" si="74"/>
        <v>-1</v>
      </c>
      <c r="H298" s="64">
        <f t="shared" si="75"/>
        <v>-1</v>
      </c>
      <c r="I298" s="1">
        <v>0</v>
      </c>
      <c r="J298" s="1">
        <v>0</v>
      </c>
      <c r="K298" s="1">
        <v>0</v>
      </c>
      <c r="L298" s="1">
        <v>0</v>
      </c>
      <c r="M298" s="66">
        <v>0</v>
      </c>
      <c r="N298" s="66">
        <v>0</v>
      </c>
      <c r="O298" s="66">
        <v>0</v>
      </c>
      <c r="P298" s="66">
        <v>0</v>
      </c>
      <c r="Q298" s="87">
        <v>0</v>
      </c>
      <c r="R298" s="285">
        <v>0</v>
      </c>
      <c r="S298" s="145">
        <v>0</v>
      </c>
      <c r="T298" s="113">
        <v>0</v>
      </c>
      <c r="U298" s="66" t="str">
        <f t="shared" si="71"/>
        <v>Outlier</v>
      </c>
      <c r="V298" s="66" t="str">
        <f t="shared" si="72"/>
        <v>Normal</v>
      </c>
      <c r="W298" s="19">
        <f t="shared" si="76"/>
        <v>-1</v>
      </c>
      <c r="X298" s="19">
        <f t="shared" si="73"/>
        <v>-1</v>
      </c>
      <c r="Y298" s="369"/>
      <c r="Z298" s="369"/>
      <c r="AA298" s="369"/>
      <c r="AB298" s="369"/>
      <c r="AC298" s="369"/>
      <c r="AD298" s="369"/>
      <c r="AE298" s="369"/>
      <c r="AF298" s="369"/>
      <c r="AG298" s="369"/>
      <c r="AH298" s="369"/>
      <c r="AI298" s="369"/>
    </row>
    <row r="299" spans="1:39">
      <c r="A299" s="27">
        <v>45314</v>
      </c>
      <c r="B299" s="27">
        <f>IF(YEAR(Table7[[#This Row],[Date]]) = 2023, WEEKNUM(Table7[[#This Row],[Date]])-13, WEEKNUM(Table7[[#This Row],[Date]])+40)</f>
        <v>44</v>
      </c>
      <c r="C299" s="34" t="s">
        <v>50</v>
      </c>
      <c r="D299" s="62" t="s">
        <v>94</v>
      </c>
      <c r="E299" s="1">
        <v>454</v>
      </c>
      <c r="F299" s="1">
        <v>403</v>
      </c>
      <c r="G299" s="64">
        <f t="shared" si="74"/>
        <v>-2.1551724137931036E-2</v>
      </c>
      <c r="H299" s="64">
        <f t="shared" si="75"/>
        <v>8.9189189189189194E-2</v>
      </c>
      <c r="I299" s="1"/>
      <c r="J299" s="1"/>
      <c r="K299" s="1"/>
      <c r="L299" s="1"/>
      <c r="M299" s="66">
        <v>0.68</v>
      </c>
      <c r="N299" s="66">
        <v>0.11</v>
      </c>
      <c r="O299" s="66">
        <v>0.89</v>
      </c>
      <c r="P299" s="66">
        <v>0.69</v>
      </c>
      <c r="Q299" s="87">
        <v>1</v>
      </c>
      <c r="R299" s="285">
        <v>218</v>
      </c>
      <c r="S299" s="145">
        <v>6.3888888888888884E-2</v>
      </c>
      <c r="T299" s="113">
        <v>4</v>
      </c>
      <c r="U299" s="66" t="str">
        <f t="shared" si="71"/>
        <v>Normal</v>
      </c>
      <c r="V299" s="66" t="str">
        <f t="shared" si="72"/>
        <v>Normal</v>
      </c>
      <c r="W299" s="19">
        <f t="shared" si="76"/>
        <v>-2.1551724137931036E-2</v>
      </c>
      <c r="X299" s="19">
        <f t="shared" si="73"/>
        <v>8.9189189189189194E-2</v>
      </c>
      <c r="Y299" s="369"/>
      <c r="Z299" s="369"/>
      <c r="AA299" s="369"/>
      <c r="AB299" s="369"/>
      <c r="AC299" s="369"/>
      <c r="AD299" s="369"/>
      <c r="AE299" s="369"/>
      <c r="AF299" s="369"/>
      <c r="AG299" s="369"/>
      <c r="AH299" s="369"/>
      <c r="AI299" s="369"/>
    </row>
    <row r="300" spans="1:39">
      <c r="A300" s="27">
        <v>45315</v>
      </c>
      <c r="B300" s="27">
        <f>IF(YEAR(Table7[[#This Row],[Date]]) = 2023, WEEKNUM(Table7[[#This Row],[Date]])-13, WEEKNUM(Table7[[#This Row],[Date]])+40)</f>
        <v>44</v>
      </c>
      <c r="C300" s="34" t="s">
        <v>51</v>
      </c>
      <c r="D300" s="62" t="s">
        <v>94</v>
      </c>
      <c r="E300" s="1">
        <v>509</v>
      </c>
      <c r="F300" s="1">
        <v>345</v>
      </c>
      <c r="G300" s="64">
        <f t="shared" si="74"/>
        <v>0.2119047619047619</v>
      </c>
      <c r="H300" s="64">
        <f t="shared" si="75"/>
        <v>3.6036036036036036E-2</v>
      </c>
      <c r="I300" s="1"/>
      <c r="J300" s="1"/>
      <c r="K300" s="1"/>
      <c r="L300" s="1"/>
      <c r="M300" s="66">
        <v>0.36</v>
      </c>
      <c r="N300" s="66">
        <v>0.32</v>
      </c>
      <c r="O300" s="66">
        <v>0.68</v>
      </c>
      <c r="P300" s="66">
        <v>0.48</v>
      </c>
      <c r="Q300" s="87">
        <v>1</v>
      </c>
      <c r="R300" s="285">
        <v>251</v>
      </c>
      <c r="S300" s="145">
        <v>0.19236111111111112</v>
      </c>
      <c r="T300" s="113">
        <v>5</v>
      </c>
      <c r="U300" s="66" t="str">
        <f t="shared" si="71"/>
        <v>Normal</v>
      </c>
      <c r="V300" s="66" t="str">
        <f t="shared" si="72"/>
        <v>Normal</v>
      </c>
      <c r="W300" s="19">
        <f t="shared" si="76"/>
        <v>0.2119047619047619</v>
      </c>
      <c r="X300" s="19">
        <f t="shared" si="73"/>
        <v>3.6036036036036036E-2</v>
      </c>
      <c r="Y300" s="369"/>
      <c r="Z300" s="369"/>
      <c r="AA300" s="369"/>
      <c r="AB300" s="369"/>
      <c r="AC300" s="369"/>
      <c r="AD300" s="369"/>
      <c r="AE300" s="369"/>
      <c r="AF300" s="369"/>
      <c r="AG300" s="369"/>
      <c r="AH300" s="369"/>
      <c r="AI300" s="369"/>
    </row>
    <row r="301" spans="1:39">
      <c r="A301" s="27">
        <v>45316</v>
      </c>
      <c r="B301" s="27">
        <f>IF(YEAR(Table7[[#This Row],[Date]]) = 2023, WEEKNUM(Table7[[#This Row],[Date]])-13, WEEKNUM(Table7[[#This Row],[Date]])+40)</f>
        <v>44</v>
      </c>
      <c r="C301" s="34" t="s">
        <v>52</v>
      </c>
      <c r="D301" s="62" t="s">
        <v>94</v>
      </c>
      <c r="E301" s="1">
        <v>402</v>
      </c>
      <c r="F301" s="1">
        <v>299</v>
      </c>
      <c r="G301" s="64">
        <f t="shared" si="74"/>
        <v>3.608247422680412E-2</v>
      </c>
      <c r="H301" s="64">
        <f t="shared" si="75"/>
        <v>-6.6445182724252493E-3</v>
      </c>
      <c r="I301" s="1"/>
      <c r="J301" s="1"/>
      <c r="K301" s="1"/>
      <c r="L301" s="1"/>
      <c r="M301" s="66">
        <v>0.47</v>
      </c>
      <c r="N301" s="66">
        <v>0.26</v>
      </c>
      <c r="O301" s="66">
        <v>0.74</v>
      </c>
      <c r="P301" s="66">
        <v>0.52</v>
      </c>
      <c r="Q301" s="87">
        <v>1</v>
      </c>
      <c r="R301" s="285">
        <v>194</v>
      </c>
      <c r="S301" s="145">
        <v>0.21875</v>
      </c>
      <c r="T301" s="113">
        <v>4</v>
      </c>
      <c r="U301" s="66" t="str">
        <f t="shared" si="71"/>
        <v>Outlier</v>
      </c>
      <c r="V301" s="66" t="str">
        <f t="shared" si="72"/>
        <v>Normal</v>
      </c>
      <c r="W301" s="19">
        <f t="shared" si="76"/>
        <v>3.608247422680412E-2</v>
      </c>
      <c r="X301" s="19">
        <f t="shared" si="73"/>
        <v>-6.6445182724252493E-3</v>
      </c>
      <c r="Y301" s="369"/>
      <c r="Z301" s="369"/>
      <c r="AA301" s="369"/>
      <c r="AB301" s="369"/>
      <c r="AC301" s="369"/>
      <c r="AD301" s="369"/>
      <c r="AE301" s="369"/>
      <c r="AF301" s="369"/>
      <c r="AG301" s="369"/>
      <c r="AH301" s="369"/>
      <c r="AI301" s="369"/>
    </row>
    <row r="302" spans="1:39">
      <c r="A302" s="27">
        <v>45317</v>
      </c>
      <c r="B302" s="27">
        <f>IF(YEAR(Table7[[#This Row],[Date]]) = 2023, WEEKNUM(Table7[[#This Row],[Date]])-13, WEEKNUM(Table7[[#This Row],[Date]])+40)</f>
        <v>44</v>
      </c>
      <c r="C302" s="34" t="s">
        <v>53</v>
      </c>
      <c r="D302" s="62" t="s">
        <v>94</v>
      </c>
      <c r="E302" s="1">
        <v>406</v>
      </c>
      <c r="F302" s="1">
        <v>340</v>
      </c>
      <c r="G302" s="64">
        <f t="shared" si="74"/>
        <v>-0.16632443531827515</v>
      </c>
      <c r="H302" s="64">
        <f t="shared" si="75"/>
        <v>-2.5787965616045846E-2</v>
      </c>
      <c r="I302" s="1"/>
      <c r="J302" s="1"/>
      <c r="K302" s="1"/>
      <c r="L302" s="1"/>
      <c r="M302" s="66">
        <v>0.57999999999999996</v>
      </c>
      <c r="N302" s="66">
        <v>0.16</v>
      </c>
      <c r="O302" s="66">
        <v>0.84</v>
      </c>
      <c r="P302" s="66">
        <v>0.59</v>
      </c>
      <c r="Q302" s="87">
        <v>1</v>
      </c>
      <c r="R302" s="285">
        <v>207</v>
      </c>
      <c r="S302" s="145">
        <v>0.12013888888888889</v>
      </c>
      <c r="T302" s="113">
        <v>4</v>
      </c>
      <c r="U302" s="66" t="str">
        <f t="shared" si="71"/>
        <v>Outlier</v>
      </c>
      <c r="V302" s="66" t="str">
        <f t="shared" si="72"/>
        <v>Normal</v>
      </c>
      <c r="W302" s="19">
        <f t="shared" si="76"/>
        <v>-0.16632443531827515</v>
      </c>
      <c r="X302" s="19">
        <f t="shared" si="73"/>
        <v>-2.5787965616045846E-2</v>
      </c>
      <c r="Y302" s="369"/>
      <c r="Z302" s="369"/>
      <c r="AA302" s="369"/>
      <c r="AB302" s="369"/>
      <c r="AC302" s="369"/>
      <c r="AD302" s="369"/>
      <c r="AE302" s="369"/>
      <c r="AF302" s="369"/>
      <c r="AG302" s="369"/>
      <c r="AH302" s="369"/>
      <c r="AI302" s="369"/>
    </row>
    <row r="303" spans="1:39">
      <c r="A303" s="27">
        <v>45318</v>
      </c>
      <c r="B303" s="27">
        <f>IF(YEAR(Table7[[#This Row],[Date]]) = 2023, WEEKNUM(Table7[[#This Row],[Date]])-13, WEEKNUM(Table7[[#This Row],[Date]])+40)</f>
        <v>44</v>
      </c>
      <c r="C303" s="34" t="s">
        <v>54</v>
      </c>
      <c r="D303" s="62" t="s">
        <v>94</v>
      </c>
      <c r="E303" s="1">
        <v>238</v>
      </c>
      <c r="F303" s="1">
        <v>227</v>
      </c>
      <c r="G303" s="64">
        <f t="shared" si="74"/>
        <v>-0.12177121771217712</v>
      </c>
      <c r="H303" s="64">
        <f t="shared" si="75"/>
        <v>2.7149321266968326E-2</v>
      </c>
      <c r="I303" s="1"/>
      <c r="J303" s="1"/>
      <c r="K303" s="1"/>
      <c r="L303" s="1"/>
      <c r="M303" s="66">
        <v>0.86</v>
      </c>
      <c r="N303" s="66">
        <v>0.05</v>
      </c>
      <c r="O303" s="66">
        <v>0.95</v>
      </c>
      <c r="P303" s="66">
        <v>0.52</v>
      </c>
      <c r="Q303" s="87">
        <v>1</v>
      </c>
      <c r="R303" s="285">
        <v>167</v>
      </c>
      <c r="S303" s="145">
        <v>2.4999999999999998E-2</v>
      </c>
      <c r="T303" s="113">
        <v>3</v>
      </c>
      <c r="U303" s="66" t="str">
        <f t="shared" si="71"/>
        <v>Normal</v>
      </c>
      <c r="V303" s="66" t="str">
        <f t="shared" si="72"/>
        <v>Normal</v>
      </c>
      <c r="W303" s="19">
        <f t="shared" si="76"/>
        <v>-0.12177121771217712</v>
      </c>
      <c r="X303" s="19">
        <f t="shared" si="73"/>
        <v>2.7149321266968326E-2</v>
      </c>
      <c r="Y303" s="369"/>
      <c r="Z303" s="369"/>
      <c r="AA303" s="369"/>
      <c r="AB303" s="369"/>
      <c r="AC303" s="369"/>
      <c r="AD303" s="369"/>
      <c r="AE303" s="369"/>
      <c r="AF303" s="369"/>
      <c r="AG303" s="369"/>
      <c r="AH303" s="369"/>
      <c r="AI303" s="369"/>
    </row>
    <row r="304" spans="1:39">
      <c r="A304" s="27">
        <v>45319</v>
      </c>
      <c r="B304" s="27">
        <f>IF(YEAR(Table7[[#This Row],[Date]]) = 2023, WEEKNUM(Table7[[#This Row],[Date]])-13, WEEKNUM(Table7[[#This Row],[Date]])+40)</f>
        <v>45</v>
      </c>
      <c r="C304" s="34" t="s">
        <v>48</v>
      </c>
      <c r="D304" s="62" t="s">
        <v>94</v>
      </c>
      <c r="E304" s="1">
        <v>0</v>
      </c>
      <c r="F304" s="1">
        <v>0</v>
      </c>
      <c r="G304" s="64">
        <f t="shared" si="74"/>
        <v>0</v>
      </c>
      <c r="H304" s="64">
        <f t="shared" si="75"/>
        <v>0</v>
      </c>
      <c r="I304" s="1">
        <v>0</v>
      </c>
      <c r="J304" s="1">
        <v>0</v>
      </c>
      <c r="K304" s="1">
        <v>0</v>
      </c>
      <c r="L304" s="1">
        <v>0</v>
      </c>
      <c r="M304" s="66">
        <v>0</v>
      </c>
      <c r="N304" s="66">
        <v>0</v>
      </c>
      <c r="O304" s="66">
        <v>0</v>
      </c>
      <c r="P304" s="66">
        <v>0</v>
      </c>
      <c r="Q304" s="87">
        <v>0</v>
      </c>
      <c r="R304" s="285">
        <v>0</v>
      </c>
      <c r="S304" s="145">
        <v>0</v>
      </c>
      <c r="T304" s="113">
        <v>0</v>
      </c>
      <c r="U304" s="66" t="str">
        <f t="shared" si="71"/>
        <v>Normal</v>
      </c>
      <c r="V304" s="66" t="str">
        <f t="shared" si="72"/>
        <v>Normal</v>
      </c>
      <c r="W304" s="19">
        <f t="shared" si="76"/>
        <v>0</v>
      </c>
      <c r="X304" s="19">
        <f t="shared" si="73"/>
        <v>0</v>
      </c>
      <c r="Y304" s="369"/>
      <c r="Z304" s="369"/>
      <c r="AA304" s="369"/>
      <c r="AB304" s="369"/>
      <c r="AC304" s="369"/>
      <c r="AD304" s="369"/>
      <c r="AE304" s="369"/>
      <c r="AF304" s="369"/>
      <c r="AG304" s="369"/>
      <c r="AH304" s="369"/>
      <c r="AI304" s="369"/>
    </row>
    <row r="305" spans="1:35">
      <c r="A305" s="27">
        <v>45320</v>
      </c>
      <c r="B305" s="27">
        <f>IF(YEAR(Table7[[#This Row],[Date]]) = 2023, WEEKNUM(Table7[[#This Row],[Date]])-13, WEEKNUM(Table7[[#This Row],[Date]])+40)</f>
        <v>45</v>
      </c>
      <c r="C305" s="34" t="s">
        <v>49</v>
      </c>
      <c r="D305" s="62" t="s">
        <v>94</v>
      </c>
      <c r="E305" s="1">
        <v>522</v>
      </c>
      <c r="F305" s="1">
        <v>398</v>
      </c>
      <c r="G305" s="64">
        <f t="shared" si="74"/>
        <v>0</v>
      </c>
      <c r="H305" s="64">
        <f t="shared" si="75"/>
        <v>0</v>
      </c>
      <c r="I305" s="1"/>
      <c r="J305" s="1"/>
      <c r="K305" s="1"/>
      <c r="L305" s="1"/>
      <c r="M305" s="66">
        <v>0.42</v>
      </c>
      <c r="N305" s="66">
        <v>0.24</v>
      </c>
      <c r="O305" s="66">
        <v>0.76</v>
      </c>
      <c r="P305" s="66">
        <v>0.69</v>
      </c>
      <c r="Q305" s="87">
        <v>1</v>
      </c>
      <c r="R305" s="285">
        <v>198</v>
      </c>
      <c r="S305" s="145">
        <v>0.21041666666666667</v>
      </c>
      <c r="T305" s="113">
        <v>4</v>
      </c>
      <c r="U305" s="66" t="str">
        <f t="shared" si="71"/>
        <v>Normal</v>
      </c>
      <c r="V305" s="66" t="str">
        <f t="shared" si="72"/>
        <v>Normal</v>
      </c>
      <c r="W305" s="19">
        <f t="shared" si="76"/>
        <v>0</v>
      </c>
      <c r="X305" s="19">
        <f t="shared" si="73"/>
        <v>0</v>
      </c>
      <c r="Y305" s="369"/>
      <c r="Z305" s="369"/>
      <c r="AA305" s="369"/>
      <c r="AB305" s="369"/>
      <c r="AC305" s="369"/>
      <c r="AD305" s="369"/>
      <c r="AE305" s="369"/>
      <c r="AF305" s="369"/>
      <c r="AG305" s="369"/>
      <c r="AH305" s="369"/>
      <c r="AI305" s="369"/>
    </row>
    <row r="306" spans="1:35">
      <c r="A306" s="27">
        <v>45321</v>
      </c>
      <c r="B306" s="27">
        <f>IF(YEAR(Table7[[#This Row],[Date]]) = 2023, WEEKNUM(Table7[[#This Row],[Date]])-13, WEEKNUM(Table7[[#This Row],[Date]])+40)</f>
        <v>45</v>
      </c>
      <c r="C306" s="34" t="s">
        <v>50</v>
      </c>
      <c r="D306" s="62" t="s">
        <v>94</v>
      </c>
      <c r="E306" s="1">
        <v>416</v>
      </c>
      <c r="F306" s="1">
        <v>384</v>
      </c>
      <c r="G306" s="64">
        <f t="shared" si="74"/>
        <v>-8.3700440528634359E-2</v>
      </c>
      <c r="H306" s="64">
        <f t="shared" si="75"/>
        <v>-4.7146401985111663E-2</v>
      </c>
      <c r="I306" s="1"/>
      <c r="J306" s="1"/>
      <c r="K306" s="1"/>
      <c r="L306" s="1"/>
      <c r="M306" s="66">
        <v>0.82</v>
      </c>
      <c r="N306" s="66">
        <v>0.08</v>
      </c>
      <c r="O306" s="66">
        <v>0.92</v>
      </c>
      <c r="P306" s="66">
        <v>0.44</v>
      </c>
      <c r="Q306" s="87">
        <v>1</v>
      </c>
      <c r="R306" s="285">
        <v>200</v>
      </c>
      <c r="S306" s="145">
        <v>4.5138888888888888E-2</v>
      </c>
      <c r="T306" s="113">
        <v>6</v>
      </c>
      <c r="U306" s="66" t="str">
        <f t="shared" si="71"/>
        <v>Outlier</v>
      </c>
      <c r="V306" s="66" t="str">
        <f t="shared" si="72"/>
        <v>Normal</v>
      </c>
      <c r="W306" s="19">
        <f t="shared" si="76"/>
        <v>-8.3700440528634359E-2</v>
      </c>
      <c r="X306" s="19">
        <f t="shared" si="73"/>
        <v>-4.7146401985111663E-2</v>
      </c>
      <c r="Y306" s="369"/>
      <c r="Z306" s="369"/>
      <c r="AA306" s="369"/>
      <c r="AB306" s="369"/>
      <c r="AC306" s="369"/>
      <c r="AD306" s="369"/>
      <c r="AE306" s="369"/>
      <c r="AF306" s="369"/>
      <c r="AG306" s="369"/>
      <c r="AH306" s="369"/>
      <c r="AI306" s="369"/>
    </row>
    <row r="307" spans="1:35">
      <c r="A307" s="27">
        <v>45322</v>
      </c>
      <c r="B307" s="27">
        <f>IF(YEAR(Table7[[#This Row],[Date]]) = 2023, WEEKNUM(Table7[[#This Row],[Date]])-13, WEEKNUM(Table7[[#This Row],[Date]])+40)</f>
        <v>45</v>
      </c>
      <c r="C307" s="34" t="s">
        <v>51</v>
      </c>
      <c r="D307" s="62" t="s">
        <v>94</v>
      </c>
      <c r="E307" s="1">
        <v>451</v>
      </c>
      <c r="F307" s="1">
        <v>401</v>
      </c>
      <c r="G307" s="64">
        <f t="shared" si="74"/>
        <v>-0.11394891944990176</v>
      </c>
      <c r="H307" s="64">
        <f t="shared" si="75"/>
        <v>0.16231884057971013</v>
      </c>
      <c r="I307" s="1"/>
      <c r="J307" s="1"/>
      <c r="K307" s="1"/>
      <c r="L307" s="1"/>
      <c r="M307" s="66">
        <v>0.76</v>
      </c>
      <c r="N307" s="66">
        <v>0.11</v>
      </c>
      <c r="O307" s="66">
        <v>0.89</v>
      </c>
      <c r="P307" s="66">
        <v>0.46</v>
      </c>
      <c r="Q307" s="87">
        <v>1</v>
      </c>
      <c r="R307" s="285">
        <v>221</v>
      </c>
      <c r="S307" s="145">
        <v>5.5555555555555552E-2</v>
      </c>
      <c r="T307" s="113">
        <v>6</v>
      </c>
      <c r="U307" s="66" t="str">
        <f t="shared" si="71"/>
        <v>Normal</v>
      </c>
      <c r="V307" s="66" t="str">
        <f t="shared" si="72"/>
        <v>Normal</v>
      </c>
      <c r="W307" s="19">
        <f t="shared" si="76"/>
        <v>-0.11394891944990176</v>
      </c>
      <c r="X307" s="19">
        <f t="shared" si="73"/>
        <v>0.16231884057971013</v>
      </c>
      <c r="Y307" s="369"/>
      <c r="Z307" s="369"/>
      <c r="AA307" s="369"/>
      <c r="AB307" s="369"/>
      <c r="AC307" s="369"/>
      <c r="AD307" s="369"/>
      <c r="AE307" s="369"/>
      <c r="AF307" s="369"/>
      <c r="AG307" s="369"/>
      <c r="AH307" s="369"/>
      <c r="AI307" s="369"/>
    </row>
    <row r="308" spans="1:35">
      <c r="A308" s="27">
        <v>45323</v>
      </c>
      <c r="B308" s="27">
        <f>IF(YEAR(Table7[[#This Row],[Date]]) = 2023, WEEKNUM(Table7[[#This Row],[Date]])-13, WEEKNUM(Table7[[#This Row],[Date]])+40)</f>
        <v>45</v>
      </c>
      <c r="C308" s="34" t="s">
        <v>52</v>
      </c>
      <c r="D308" s="62" t="s">
        <v>94</v>
      </c>
      <c r="E308" s="1">
        <v>374</v>
      </c>
      <c r="F308" s="1">
        <v>363</v>
      </c>
      <c r="G308" s="64">
        <f t="shared" si="74"/>
        <v>-6.965174129353234E-2</v>
      </c>
      <c r="H308" s="64">
        <f t="shared" si="75"/>
        <v>0.21404682274247491</v>
      </c>
      <c r="I308" s="1"/>
      <c r="J308" s="1"/>
      <c r="K308" s="1"/>
      <c r="L308" s="1"/>
      <c r="M308" s="66">
        <v>0.9</v>
      </c>
      <c r="N308" s="66">
        <v>0.03</v>
      </c>
      <c r="O308" s="66">
        <v>0.97</v>
      </c>
      <c r="P308" s="66">
        <v>0.42</v>
      </c>
      <c r="Q308" s="87">
        <v>1</v>
      </c>
      <c r="R308" s="285">
        <v>203</v>
      </c>
      <c r="S308" s="145">
        <v>2.013888888888889E-2</v>
      </c>
      <c r="T308" s="113">
        <v>6</v>
      </c>
      <c r="U308" s="66" t="str">
        <f t="shared" si="71"/>
        <v>Normal</v>
      </c>
      <c r="V308" s="66" t="str">
        <f t="shared" si="72"/>
        <v>Normal</v>
      </c>
      <c r="W308" s="19">
        <f t="shared" si="76"/>
        <v>-6.965174129353234E-2</v>
      </c>
      <c r="X308" s="19">
        <f t="shared" si="73"/>
        <v>0.21404682274247491</v>
      </c>
      <c r="Y308" s="369"/>
      <c r="Z308" s="369"/>
      <c r="AA308" s="369"/>
      <c r="AB308" s="369"/>
      <c r="AC308" s="369"/>
      <c r="AD308" s="369"/>
      <c r="AE308" s="369"/>
      <c r="AF308" s="369"/>
      <c r="AG308" s="369"/>
      <c r="AH308" s="369"/>
      <c r="AI308" s="369"/>
    </row>
    <row r="309" spans="1:35">
      <c r="A309" s="27">
        <v>45324</v>
      </c>
      <c r="B309" s="27">
        <f>IF(YEAR(Table7[[#This Row],[Date]]) = 2023, WEEKNUM(Table7[[#This Row],[Date]])-13, WEEKNUM(Table7[[#This Row],[Date]])+40)</f>
        <v>45</v>
      </c>
      <c r="C309" s="34" t="s">
        <v>53</v>
      </c>
      <c r="D309" s="62" t="s">
        <v>94</v>
      </c>
      <c r="E309" s="1">
        <v>382</v>
      </c>
      <c r="F309" s="1">
        <v>340</v>
      </c>
      <c r="G309" s="64">
        <f t="shared" si="74"/>
        <v>-5.9113300492610835E-2</v>
      </c>
      <c r="H309" s="64">
        <f t="shared" si="75"/>
        <v>0</v>
      </c>
      <c r="I309" s="1"/>
      <c r="J309" s="1"/>
      <c r="K309" s="1"/>
      <c r="L309" s="1"/>
      <c r="M309" s="66">
        <v>0.69</v>
      </c>
      <c r="N309" s="66">
        <v>0.11</v>
      </c>
      <c r="O309" s="66">
        <v>0.89</v>
      </c>
      <c r="P309" s="66">
        <v>0.47</v>
      </c>
      <c r="Q309" s="87">
        <v>1</v>
      </c>
      <c r="R309" s="285">
        <v>207</v>
      </c>
      <c r="S309" s="145">
        <v>9.7222222222222224E-2</v>
      </c>
      <c r="T309" s="113">
        <v>5</v>
      </c>
      <c r="U309" s="66" t="str">
        <f t="shared" si="71"/>
        <v>Normal</v>
      </c>
      <c r="V309" s="66" t="str">
        <f t="shared" si="72"/>
        <v>Normal</v>
      </c>
      <c r="W309" s="19">
        <f t="shared" si="76"/>
        <v>-5.9113300492610835E-2</v>
      </c>
      <c r="X309" s="19">
        <f t="shared" si="73"/>
        <v>0</v>
      </c>
      <c r="Y309" s="369"/>
      <c r="Z309" s="369"/>
      <c r="AA309" s="369"/>
      <c r="AB309" s="369"/>
      <c r="AC309" s="369"/>
      <c r="AD309" s="369"/>
      <c r="AE309" s="369"/>
      <c r="AF309" s="369"/>
      <c r="AG309" s="369"/>
      <c r="AH309" s="369"/>
      <c r="AI309" s="369"/>
    </row>
    <row r="310" spans="1:35">
      <c r="A310" s="27">
        <v>45325</v>
      </c>
      <c r="B310" s="27">
        <f>IF(YEAR(Table7[[#This Row],[Date]]) = 2023, WEEKNUM(Table7[[#This Row],[Date]])-13, WEEKNUM(Table7[[#This Row],[Date]])+40)</f>
        <v>45</v>
      </c>
      <c r="C310" s="34" t="s">
        <v>54</v>
      </c>
      <c r="D310" s="62" t="s">
        <v>94</v>
      </c>
      <c r="E310" s="1">
        <v>225</v>
      </c>
      <c r="F310" s="1">
        <v>216</v>
      </c>
      <c r="G310" s="64">
        <f t="shared" si="74"/>
        <v>-5.4621848739495799E-2</v>
      </c>
      <c r="H310" s="64">
        <f t="shared" si="75"/>
        <v>-4.8458149779735685E-2</v>
      </c>
      <c r="I310" s="1"/>
      <c r="J310" s="1"/>
      <c r="K310" s="1"/>
      <c r="L310" s="1"/>
      <c r="M310" s="66">
        <v>0.85</v>
      </c>
      <c r="N310" s="66">
        <v>0.04</v>
      </c>
      <c r="O310" s="66">
        <v>0.96</v>
      </c>
      <c r="P310" s="66">
        <v>0.37</v>
      </c>
      <c r="Q310" s="87">
        <v>1</v>
      </c>
      <c r="R310" s="285">
        <v>178</v>
      </c>
      <c r="S310" s="145">
        <v>2.9861111111111113E-2</v>
      </c>
      <c r="T310" s="113">
        <v>4</v>
      </c>
      <c r="U310" s="66" t="str">
        <f t="shared" si="71"/>
        <v>Outlier</v>
      </c>
      <c r="V310" s="66" t="str">
        <f t="shared" si="72"/>
        <v>Normal</v>
      </c>
      <c r="W310" s="19">
        <f t="shared" si="76"/>
        <v>-5.4621848739495799E-2</v>
      </c>
      <c r="X310" s="19">
        <f t="shared" si="73"/>
        <v>-4.8458149779735685E-2</v>
      </c>
      <c r="Y310" s="369"/>
      <c r="Z310" s="369"/>
      <c r="AA310" s="369"/>
      <c r="AB310" s="369"/>
      <c r="AC310" s="369"/>
      <c r="AD310" s="369"/>
      <c r="AE310" s="369"/>
      <c r="AF310" s="369"/>
      <c r="AG310" s="369"/>
      <c r="AH310" s="369"/>
      <c r="AI310" s="369"/>
    </row>
    <row r="311" spans="1:35">
      <c r="A311" s="27">
        <v>45326</v>
      </c>
      <c r="B311" s="27">
        <f>IF(YEAR(Table7[[#This Row],[Date]]) = 2023, WEEKNUM(Table7[[#This Row],[Date]])-13, WEEKNUM(Table7[[#This Row],[Date]])+40)</f>
        <v>46</v>
      </c>
      <c r="C311" s="34" t="s">
        <v>48</v>
      </c>
      <c r="D311" s="62" t="s">
        <v>94</v>
      </c>
      <c r="E311" s="1">
        <v>0</v>
      </c>
      <c r="F311" s="1">
        <v>0</v>
      </c>
      <c r="G311" s="64">
        <f t="shared" si="74"/>
        <v>0</v>
      </c>
      <c r="H311" s="64">
        <f t="shared" si="75"/>
        <v>0</v>
      </c>
      <c r="I311" s="1">
        <v>0</v>
      </c>
      <c r="J311" s="1">
        <v>0</v>
      </c>
      <c r="K311" s="1">
        <v>0</v>
      </c>
      <c r="L311" s="1">
        <v>0</v>
      </c>
      <c r="M311" s="66">
        <v>0</v>
      </c>
      <c r="N311" s="66">
        <v>0</v>
      </c>
      <c r="O311" s="66">
        <v>0</v>
      </c>
      <c r="P311" s="66">
        <v>0</v>
      </c>
      <c r="Q311" s="87">
        <v>0</v>
      </c>
      <c r="R311" s="285">
        <v>0</v>
      </c>
      <c r="S311" s="145">
        <v>0</v>
      </c>
      <c r="T311" s="113">
        <v>0</v>
      </c>
      <c r="U311" s="66" t="str">
        <f t="shared" si="71"/>
        <v>Normal</v>
      </c>
      <c r="V311" s="66" t="str">
        <f t="shared" si="72"/>
        <v>Normal</v>
      </c>
      <c r="W311" s="19">
        <f t="shared" si="76"/>
        <v>0</v>
      </c>
      <c r="X311" s="19">
        <f t="shared" si="73"/>
        <v>0</v>
      </c>
      <c r="Y311" s="369"/>
      <c r="Z311" s="369"/>
      <c r="AA311" s="369"/>
      <c r="AB311" s="369"/>
      <c r="AC311" s="369"/>
      <c r="AD311" s="369"/>
      <c r="AE311" s="369"/>
      <c r="AF311" s="369"/>
      <c r="AG311" s="369"/>
      <c r="AH311" s="369"/>
      <c r="AI311" s="369"/>
    </row>
    <row r="312" spans="1:35">
      <c r="A312" s="27">
        <v>45327</v>
      </c>
      <c r="B312" s="27">
        <f>IF(YEAR(Table7[[#This Row],[Date]]) = 2023, WEEKNUM(Table7[[#This Row],[Date]])-13, WEEKNUM(Table7[[#This Row],[Date]])+40)</f>
        <v>46</v>
      </c>
      <c r="C312" s="34" t="s">
        <v>49</v>
      </c>
      <c r="D312" s="62" t="s">
        <v>94</v>
      </c>
      <c r="E312" s="1">
        <v>446</v>
      </c>
      <c r="F312" s="1">
        <v>434</v>
      </c>
      <c r="G312" s="64">
        <f t="shared" si="74"/>
        <v>-0.14559386973180077</v>
      </c>
      <c r="H312" s="64">
        <f t="shared" si="75"/>
        <v>9.0452261306532666E-2</v>
      </c>
      <c r="I312" s="1"/>
      <c r="J312" s="1"/>
      <c r="K312" s="1"/>
      <c r="L312" s="1"/>
      <c r="M312" s="66">
        <v>0.85</v>
      </c>
      <c r="N312" s="66">
        <v>0.03</v>
      </c>
      <c r="O312" s="66">
        <v>0.97</v>
      </c>
      <c r="P312" s="66">
        <v>0.43</v>
      </c>
      <c r="Q312" s="87">
        <v>1</v>
      </c>
      <c r="R312" s="285">
        <v>207</v>
      </c>
      <c r="S312" s="145">
        <v>3.888888888888889E-2</v>
      </c>
      <c r="T312" s="113">
        <v>7</v>
      </c>
      <c r="U312" s="66" t="str">
        <f t="shared" si="71"/>
        <v>Normal</v>
      </c>
      <c r="V312" s="66" t="str">
        <f t="shared" si="72"/>
        <v>Normal</v>
      </c>
      <c r="W312" s="19">
        <f t="shared" si="76"/>
        <v>-0.14559386973180077</v>
      </c>
      <c r="X312" s="19">
        <f t="shared" si="73"/>
        <v>9.0452261306532666E-2</v>
      </c>
      <c r="Y312" s="369"/>
      <c r="Z312" s="369"/>
      <c r="AA312" s="369"/>
      <c r="AB312" s="369"/>
      <c r="AC312" s="369"/>
      <c r="AD312" s="369"/>
      <c r="AE312" s="369"/>
      <c r="AF312" s="369"/>
      <c r="AG312" s="369"/>
      <c r="AH312" s="369"/>
      <c r="AI312" s="369"/>
    </row>
    <row r="313" spans="1:35">
      <c r="A313" s="27">
        <v>45328</v>
      </c>
      <c r="B313" s="27">
        <f>IF(YEAR(Table7[[#This Row],[Date]]) = 2023, WEEKNUM(Table7[[#This Row],[Date]])-13, WEEKNUM(Table7[[#This Row],[Date]])+40)</f>
        <v>46</v>
      </c>
      <c r="C313" s="34" t="s">
        <v>50</v>
      </c>
      <c r="D313" s="62" t="s">
        <v>94</v>
      </c>
      <c r="E313" s="1">
        <v>332</v>
      </c>
      <c r="F313" s="1">
        <v>327</v>
      </c>
      <c r="G313" s="64">
        <f t="shared" si="74"/>
        <v>-0.20192307692307693</v>
      </c>
      <c r="H313" s="64">
        <f t="shared" si="75"/>
        <v>-0.1484375</v>
      </c>
      <c r="I313" s="1"/>
      <c r="J313" s="1"/>
      <c r="K313" s="1"/>
      <c r="L313" s="1"/>
      <c r="M313" s="66">
        <v>0.95</v>
      </c>
      <c r="N313" s="66">
        <v>0.02</v>
      </c>
      <c r="O313" s="66">
        <v>0.98</v>
      </c>
      <c r="P313" s="66">
        <v>0.38</v>
      </c>
      <c r="Q313" s="87">
        <v>1</v>
      </c>
      <c r="R313" s="285">
        <v>198</v>
      </c>
      <c r="S313" s="145">
        <v>1.3888888888888888E-2</v>
      </c>
      <c r="T313" s="113">
        <v>6</v>
      </c>
      <c r="U313" s="66" t="str">
        <f t="shared" si="71"/>
        <v>Outlier</v>
      </c>
      <c r="V313" s="66" t="str">
        <f t="shared" si="72"/>
        <v>Normal</v>
      </c>
      <c r="W313" s="19">
        <f t="shared" si="76"/>
        <v>-0.20192307692307693</v>
      </c>
      <c r="X313" s="19">
        <f t="shared" si="73"/>
        <v>-0.1484375</v>
      </c>
      <c r="Y313" s="369"/>
      <c r="Z313" s="369"/>
      <c r="AA313" s="369"/>
      <c r="AB313" s="369"/>
      <c r="AC313" s="369"/>
      <c r="AD313" s="369"/>
      <c r="AE313" s="369"/>
      <c r="AF313" s="369"/>
      <c r="AG313" s="369"/>
      <c r="AH313" s="369"/>
      <c r="AI313" s="369"/>
    </row>
    <row r="314" spans="1:35">
      <c r="A314" s="27">
        <v>45329</v>
      </c>
      <c r="B314" s="27">
        <f>IF(YEAR(Table7[[#This Row],[Date]]) = 2023, WEEKNUM(Table7[[#This Row],[Date]])-13, WEEKNUM(Table7[[#This Row],[Date]])+40)</f>
        <v>46</v>
      </c>
      <c r="C314" s="34" t="s">
        <v>51</v>
      </c>
      <c r="D314" s="62" t="s">
        <v>94</v>
      </c>
      <c r="E314" s="1">
        <v>377</v>
      </c>
      <c r="F314" s="1">
        <v>351</v>
      </c>
      <c r="G314" s="64">
        <f t="shared" si="74"/>
        <v>-0.16407982261640799</v>
      </c>
      <c r="H314" s="64">
        <f t="shared" si="75"/>
        <v>-0.12468827930174564</v>
      </c>
      <c r="I314" s="1"/>
      <c r="J314" s="1"/>
      <c r="K314" s="1"/>
      <c r="L314" s="1"/>
      <c r="M314" s="66">
        <v>0.77</v>
      </c>
      <c r="N314" s="66">
        <v>7.0000000000000007E-2</v>
      </c>
      <c r="O314" s="66">
        <v>0.93</v>
      </c>
      <c r="P314" s="66">
        <v>0.48</v>
      </c>
      <c r="Q314" s="87">
        <v>1</v>
      </c>
      <c r="R314" s="285">
        <v>196</v>
      </c>
      <c r="S314" s="145">
        <v>3.888888888888889E-2</v>
      </c>
      <c r="T314" s="113">
        <v>5</v>
      </c>
      <c r="U314" s="66" t="str">
        <f t="shared" si="71"/>
        <v>Outlier</v>
      </c>
      <c r="V314" s="66" t="str">
        <f t="shared" si="72"/>
        <v>Normal</v>
      </c>
      <c r="W314" s="19">
        <f t="shared" si="76"/>
        <v>-0.16407982261640799</v>
      </c>
      <c r="X314" s="19">
        <f t="shared" si="73"/>
        <v>-0.12468827930174564</v>
      </c>
      <c r="Y314" s="369"/>
      <c r="Z314" s="369"/>
      <c r="AA314" s="369"/>
      <c r="AB314" s="369"/>
      <c r="AC314" s="369"/>
      <c r="AD314" s="369"/>
      <c r="AE314" s="369"/>
      <c r="AF314" s="369"/>
      <c r="AG314" s="369"/>
      <c r="AH314" s="369"/>
      <c r="AI314" s="369"/>
    </row>
    <row r="315" spans="1:35">
      <c r="A315" s="27">
        <v>45330</v>
      </c>
      <c r="B315" s="27">
        <f>IF(YEAR(Table7[[#This Row],[Date]]) = 2023, WEEKNUM(Table7[[#This Row],[Date]])-13, WEEKNUM(Table7[[#This Row],[Date]])+40)</f>
        <v>46</v>
      </c>
      <c r="C315" s="34" t="s">
        <v>52</v>
      </c>
      <c r="D315" s="62" t="s">
        <v>94</v>
      </c>
      <c r="E315" s="1">
        <v>414</v>
      </c>
      <c r="F315" s="1">
        <v>343</v>
      </c>
      <c r="G315" s="64">
        <f t="shared" si="74"/>
        <v>0.10695187165775401</v>
      </c>
      <c r="H315" s="64">
        <f t="shared" si="75"/>
        <v>-5.5096418732782371E-2</v>
      </c>
      <c r="I315" s="1"/>
      <c r="J315" s="1"/>
      <c r="K315" s="1"/>
      <c r="L315" s="1"/>
      <c r="M315" s="66">
        <v>0.62</v>
      </c>
      <c r="N315" s="66">
        <v>0.17</v>
      </c>
      <c r="O315" s="66">
        <v>0.83</v>
      </c>
      <c r="P315" s="66">
        <v>0.47</v>
      </c>
      <c r="Q315" s="87">
        <v>1</v>
      </c>
      <c r="R315" s="285">
        <v>209</v>
      </c>
      <c r="S315" s="145">
        <v>0.15277777777777776</v>
      </c>
      <c r="T315" s="113">
        <v>5</v>
      </c>
      <c r="U315" s="66" t="str">
        <f t="shared" si="71"/>
        <v>Outlier</v>
      </c>
      <c r="V315" s="66" t="str">
        <f t="shared" si="72"/>
        <v>Normal</v>
      </c>
      <c r="W315" s="19">
        <f t="shared" si="76"/>
        <v>0.10695187165775401</v>
      </c>
      <c r="X315" s="19">
        <f t="shared" si="73"/>
        <v>-5.5096418732782371E-2</v>
      </c>
      <c r="Y315" s="369"/>
      <c r="Z315" s="369"/>
      <c r="AA315" s="369"/>
      <c r="AB315" s="369"/>
      <c r="AC315" s="369"/>
      <c r="AD315" s="369"/>
      <c r="AE315" s="369"/>
      <c r="AF315" s="369"/>
      <c r="AG315" s="369"/>
      <c r="AH315" s="369"/>
      <c r="AI315" s="369"/>
    </row>
    <row r="316" spans="1:35">
      <c r="A316" s="27">
        <v>45331</v>
      </c>
      <c r="B316" s="27">
        <f>IF(YEAR(Table7[[#This Row],[Date]]) = 2023, WEEKNUM(Table7[[#This Row],[Date]])-13, WEEKNUM(Table7[[#This Row],[Date]])+40)</f>
        <v>46</v>
      </c>
      <c r="C316" s="34" t="s">
        <v>53</v>
      </c>
      <c r="D316" s="62" t="s">
        <v>94</v>
      </c>
      <c r="E316" s="1">
        <v>337</v>
      </c>
      <c r="F316" s="1">
        <v>306</v>
      </c>
      <c r="G316" s="64">
        <f t="shared" si="74"/>
        <v>-0.11780104712041885</v>
      </c>
      <c r="H316" s="64">
        <f t="shared" si="75"/>
        <v>-0.1</v>
      </c>
      <c r="I316" s="1"/>
      <c r="J316" s="1"/>
      <c r="K316" s="1"/>
      <c r="L316" s="1"/>
      <c r="M316" s="66">
        <v>0.77</v>
      </c>
      <c r="N316" s="66">
        <v>0.09</v>
      </c>
      <c r="O316" s="66">
        <v>0.91</v>
      </c>
      <c r="P316" s="66">
        <v>0.42</v>
      </c>
      <c r="Q316" s="87">
        <v>1</v>
      </c>
      <c r="R316" s="285">
        <v>216</v>
      </c>
      <c r="S316" s="145">
        <v>5.347222222222222E-2</v>
      </c>
      <c r="T316" s="113">
        <v>5</v>
      </c>
      <c r="U316" s="66" t="str">
        <f t="shared" si="71"/>
        <v>Outlier</v>
      </c>
      <c r="V316" s="66" t="str">
        <f t="shared" si="72"/>
        <v>Normal</v>
      </c>
      <c r="W316" s="19">
        <f t="shared" si="76"/>
        <v>-0.11780104712041885</v>
      </c>
      <c r="X316" s="19">
        <f t="shared" si="73"/>
        <v>-0.1</v>
      </c>
      <c r="Y316" s="369"/>
      <c r="Z316" s="369"/>
      <c r="AA316" s="369"/>
      <c r="AB316" s="369"/>
      <c r="AC316" s="369"/>
      <c r="AD316" s="369"/>
      <c r="AE316" s="369"/>
      <c r="AF316" s="369"/>
      <c r="AG316" s="369"/>
      <c r="AH316" s="369"/>
      <c r="AI316" s="369"/>
    </row>
    <row r="317" spans="1:35">
      <c r="A317" s="27">
        <v>45332</v>
      </c>
      <c r="B317" s="27">
        <f>IF(YEAR(Table7[[#This Row],[Date]]) = 2023, WEEKNUM(Table7[[#This Row],[Date]])-13, WEEKNUM(Table7[[#This Row],[Date]])+40)</f>
        <v>46</v>
      </c>
      <c r="C317" s="34" t="s">
        <v>54</v>
      </c>
      <c r="D317" s="62" t="s">
        <v>94</v>
      </c>
      <c r="E317" s="1">
        <v>189</v>
      </c>
      <c r="F317" s="1">
        <v>167</v>
      </c>
      <c r="G317" s="64">
        <f t="shared" si="74"/>
        <v>-0.16</v>
      </c>
      <c r="H317" s="64">
        <f t="shared" si="75"/>
        <v>-0.22685185185185186</v>
      </c>
      <c r="I317" s="1"/>
      <c r="J317" s="1"/>
      <c r="K317" s="1"/>
      <c r="L317" s="1"/>
      <c r="M317" s="66">
        <v>0.6</v>
      </c>
      <c r="N317" s="66">
        <v>0.12</v>
      </c>
      <c r="O317" s="66">
        <v>0.88</v>
      </c>
      <c r="P317" s="66">
        <v>0.38</v>
      </c>
      <c r="Q317" s="87">
        <v>1</v>
      </c>
      <c r="R317" s="285">
        <v>223</v>
      </c>
      <c r="S317" s="145">
        <v>0.12708333333333333</v>
      </c>
      <c r="T317" s="113">
        <v>3</v>
      </c>
      <c r="U317" s="66" t="str">
        <f t="shared" si="71"/>
        <v>Outlier</v>
      </c>
      <c r="V317" s="66" t="str">
        <f t="shared" si="72"/>
        <v>Normal</v>
      </c>
      <c r="W317" s="19">
        <f t="shared" si="76"/>
        <v>-0.16</v>
      </c>
      <c r="X317" s="19">
        <f t="shared" si="73"/>
        <v>-0.22685185185185186</v>
      </c>
      <c r="Y317" s="369"/>
      <c r="Z317" s="369"/>
      <c r="AA317" s="369"/>
      <c r="AB317" s="369"/>
      <c r="AC317" s="369"/>
      <c r="AD317" s="369"/>
      <c r="AE317" s="369"/>
      <c r="AF317" s="369"/>
      <c r="AG317" s="369"/>
      <c r="AH317" s="369"/>
      <c r="AI317" s="369"/>
    </row>
    <row r="318" spans="1:35">
      <c r="A318" s="27">
        <v>45333</v>
      </c>
      <c r="B318" s="27">
        <f>IF(YEAR(Table7[[#This Row],[Date]]) = 2023, WEEKNUM(Table7[[#This Row],[Date]])-13, WEEKNUM(Table7[[#This Row],[Date]])+40)</f>
        <v>47</v>
      </c>
      <c r="C318" s="34" t="s">
        <v>48</v>
      </c>
      <c r="D318" s="62" t="s">
        <v>94</v>
      </c>
      <c r="E318" s="1">
        <v>0</v>
      </c>
      <c r="F318" s="1">
        <v>0</v>
      </c>
      <c r="G318" s="64">
        <f t="shared" si="74"/>
        <v>0</v>
      </c>
      <c r="H318" s="64">
        <f t="shared" si="75"/>
        <v>0</v>
      </c>
      <c r="I318" s="1"/>
      <c r="J318" s="1"/>
      <c r="K318" s="1"/>
      <c r="L318" s="1"/>
      <c r="M318" s="66">
        <v>0</v>
      </c>
      <c r="N318" s="66">
        <v>0</v>
      </c>
      <c r="O318" s="66">
        <v>0</v>
      </c>
      <c r="P318" s="66">
        <v>0</v>
      </c>
      <c r="Q318" s="87">
        <v>0</v>
      </c>
      <c r="R318" s="285">
        <v>0</v>
      </c>
      <c r="S318" s="145">
        <v>0</v>
      </c>
      <c r="T318" s="113">
        <v>0</v>
      </c>
      <c r="U318" s="66" t="str">
        <f t="shared" si="71"/>
        <v>Normal</v>
      </c>
      <c r="V318" s="66" t="str">
        <f t="shared" si="72"/>
        <v>Normal</v>
      </c>
      <c r="W318" s="19">
        <f t="shared" si="76"/>
        <v>0</v>
      </c>
      <c r="X318" s="19">
        <f t="shared" si="73"/>
        <v>0</v>
      </c>
      <c r="Y318" s="369"/>
      <c r="Z318" s="369"/>
      <c r="AA318" s="369"/>
      <c r="AB318" s="369"/>
      <c r="AC318" s="369"/>
      <c r="AD318" s="369"/>
      <c r="AE318" s="369"/>
      <c r="AF318" s="369"/>
      <c r="AG318" s="369"/>
      <c r="AH318" s="369"/>
      <c r="AI318" s="369"/>
    </row>
    <row r="319" spans="1:35">
      <c r="A319" s="27">
        <v>45334</v>
      </c>
      <c r="B319" s="27">
        <f>IF(YEAR(Table7[[#This Row],[Date]]) = 2023, WEEKNUM(Table7[[#This Row],[Date]])-13, WEEKNUM(Table7[[#This Row],[Date]])+40)</f>
        <v>47</v>
      </c>
      <c r="C319" s="34" t="s">
        <v>49</v>
      </c>
      <c r="D319" s="62" t="s">
        <v>94</v>
      </c>
      <c r="E319" s="1">
        <v>369</v>
      </c>
      <c r="F319" s="1">
        <v>338</v>
      </c>
      <c r="G319" s="64">
        <f t="shared" si="74"/>
        <v>-0.1726457399103139</v>
      </c>
      <c r="H319" s="64">
        <f t="shared" si="75"/>
        <v>-0.22119815668202766</v>
      </c>
      <c r="I319" s="1"/>
      <c r="J319" s="1"/>
      <c r="K319" s="1"/>
      <c r="L319" s="1"/>
      <c r="M319" s="66">
        <v>0.75</v>
      </c>
      <c r="N319" s="66">
        <v>0.08</v>
      </c>
      <c r="O319" s="66">
        <v>0.92</v>
      </c>
      <c r="P319" s="66">
        <v>0.61</v>
      </c>
      <c r="Q319" s="87">
        <v>1</v>
      </c>
      <c r="R319" s="285">
        <v>220</v>
      </c>
      <c r="S319" s="145">
        <v>4.7222222222222221E-2</v>
      </c>
      <c r="T319" s="113">
        <v>5</v>
      </c>
      <c r="U319" s="66" t="str">
        <f t="shared" si="71"/>
        <v>Outlier</v>
      </c>
      <c r="V319" s="66" t="str">
        <f t="shared" si="72"/>
        <v>Normal</v>
      </c>
      <c r="W319" s="19">
        <f t="shared" si="76"/>
        <v>-0.1726457399103139</v>
      </c>
      <c r="X319" s="19">
        <f t="shared" si="73"/>
        <v>-0.22119815668202766</v>
      </c>
      <c r="Y319" s="369"/>
      <c r="Z319" s="369"/>
      <c r="AA319" s="369"/>
      <c r="AB319" s="369"/>
      <c r="AC319" s="369"/>
      <c r="AD319" s="369"/>
      <c r="AE319" s="369"/>
      <c r="AF319" s="369"/>
      <c r="AG319" s="369"/>
      <c r="AH319" s="369"/>
      <c r="AI319" s="369"/>
    </row>
    <row r="320" spans="1:35">
      <c r="A320" s="27">
        <v>45335</v>
      </c>
      <c r="B320" s="27">
        <f>IF(YEAR(Table7[[#This Row],[Date]]) = 2023, WEEKNUM(Table7[[#This Row],[Date]])-13, WEEKNUM(Table7[[#This Row],[Date]])+40)</f>
        <v>47</v>
      </c>
      <c r="C320" s="34" t="s">
        <v>50</v>
      </c>
      <c r="D320" s="62" t="s">
        <v>94</v>
      </c>
      <c r="E320" s="1">
        <v>353</v>
      </c>
      <c r="F320" s="1">
        <v>345</v>
      </c>
      <c r="G320" s="64">
        <f t="shared" si="74"/>
        <v>6.3253012048192767E-2</v>
      </c>
      <c r="H320" s="64">
        <f t="shared" si="75"/>
        <v>5.5045871559633031E-2</v>
      </c>
      <c r="I320" s="1"/>
      <c r="J320" s="1"/>
      <c r="K320" s="1"/>
      <c r="L320" s="1"/>
      <c r="M320" s="66">
        <v>0.93</v>
      </c>
      <c r="N320" s="66">
        <v>0.02</v>
      </c>
      <c r="O320" s="66">
        <v>0.98</v>
      </c>
      <c r="P320" s="66">
        <v>0.4</v>
      </c>
      <c r="Q320" s="87">
        <v>1</v>
      </c>
      <c r="R320" s="285">
        <v>207</v>
      </c>
      <c r="S320" s="145">
        <v>1.5972222222222224E-2</v>
      </c>
      <c r="T320" s="113">
        <v>6</v>
      </c>
      <c r="U320" s="66" t="str">
        <f t="shared" si="71"/>
        <v>Normal</v>
      </c>
      <c r="V320" s="66" t="str">
        <f t="shared" si="72"/>
        <v>Normal</v>
      </c>
      <c r="W320" s="19">
        <f t="shared" si="76"/>
        <v>6.3253012048192767E-2</v>
      </c>
      <c r="X320" s="19">
        <f t="shared" si="73"/>
        <v>5.5045871559633031E-2</v>
      </c>
      <c r="Y320" s="369"/>
      <c r="Z320" s="369"/>
      <c r="AA320" s="369"/>
      <c r="AB320" s="369"/>
      <c r="AC320" s="369"/>
      <c r="AD320" s="369"/>
      <c r="AE320" s="369"/>
      <c r="AF320" s="369"/>
      <c r="AG320" s="369"/>
      <c r="AH320" s="369"/>
      <c r="AI320" s="369"/>
    </row>
    <row r="321" spans="1:39">
      <c r="A321" s="27">
        <v>45336</v>
      </c>
      <c r="B321" s="27">
        <f>IF(YEAR(Table7[[#This Row],[Date]]) = 2023, WEEKNUM(Table7[[#This Row],[Date]])-13, WEEKNUM(Table7[[#This Row],[Date]])+40)</f>
        <v>47</v>
      </c>
      <c r="C321" s="34" t="s">
        <v>51</v>
      </c>
      <c r="D321" s="62" t="s">
        <v>94</v>
      </c>
      <c r="E321" s="1">
        <v>355</v>
      </c>
      <c r="F321" s="1">
        <v>342</v>
      </c>
      <c r="G321" s="64">
        <f t="shared" si="74"/>
        <v>-5.8355437665782495E-2</v>
      </c>
      <c r="H321" s="64">
        <f t="shared" si="75"/>
        <v>-2.564102564102564E-2</v>
      </c>
      <c r="I321" s="1"/>
      <c r="J321" s="1"/>
      <c r="K321" s="1"/>
      <c r="L321" s="1"/>
      <c r="M321" s="66">
        <v>0.9</v>
      </c>
      <c r="N321" s="66">
        <v>0.04</v>
      </c>
      <c r="O321" s="66">
        <v>0.96</v>
      </c>
      <c r="P321" s="66">
        <v>0.39</v>
      </c>
      <c r="Q321" s="87">
        <v>1</v>
      </c>
      <c r="R321" s="285">
        <v>211</v>
      </c>
      <c r="S321" s="145">
        <v>2.013888888888889E-2</v>
      </c>
      <c r="T321" s="113">
        <v>6</v>
      </c>
      <c r="U321" s="66" t="str">
        <f t="shared" si="71"/>
        <v>Outlier</v>
      </c>
      <c r="V321" s="66" t="str">
        <f t="shared" si="72"/>
        <v>Normal</v>
      </c>
      <c r="W321" s="19">
        <f t="shared" si="76"/>
        <v>-5.8355437665782495E-2</v>
      </c>
      <c r="X321" s="19">
        <f t="shared" si="73"/>
        <v>-2.564102564102564E-2</v>
      </c>
      <c r="Y321" s="369"/>
      <c r="Z321" s="369"/>
      <c r="AA321" s="369"/>
      <c r="AB321" s="369"/>
      <c r="AC321" s="369"/>
      <c r="AD321" s="369"/>
      <c r="AE321" s="369"/>
      <c r="AF321" s="369"/>
      <c r="AG321" s="369"/>
      <c r="AH321" s="369"/>
      <c r="AI321" s="369"/>
    </row>
    <row r="322" spans="1:39">
      <c r="A322" s="27">
        <v>45337</v>
      </c>
      <c r="B322" s="27">
        <f>IF(YEAR(Table7[[#This Row],[Date]]) = 2023, WEEKNUM(Table7[[#This Row],[Date]])-13, WEEKNUM(Table7[[#This Row],[Date]])+40)</f>
        <v>47</v>
      </c>
      <c r="C322" s="34" t="s">
        <v>52</v>
      </c>
      <c r="D322" s="62" t="s">
        <v>94</v>
      </c>
      <c r="E322" s="1">
        <v>312</v>
      </c>
      <c r="F322" s="1">
        <v>300</v>
      </c>
      <c r="G322" s="64">
        <f t="shared" si="74"/>
        <v>-0.24637681159420291</v>
      </c>
      <c r="H322" s="64">
        <f t="shared" si="75"/>
        <v>-0.12536443148688048</v>
      </c>
      <c r="I322" s="1"/>
      <c r="J322" s="1"/>
      <c r="K322" s="1"/>
      <c r="L322" s="1"/>
      <c r="M322" s="66">
        <v>0.86</v>
      </c>
      <c r="N322" s="66">
        <v>0.04</v>
      </c>
      <c r="O322" s="66">
        <v>0.96</v>
      </c>
      <c r="P322" s="66">
        <v>0.41</v>
      </c>
      <c r="Q322" s="87">
        <v>1</v>
      </c>
      <c r="R322" s="285">
        <v>188</v>
      </c>
      <c r="S322" s="145">
        <v>2.4999999999999998E-2</v>
      </c>
      <c r="T322" s="113">
        <v>5</v>
      </c>
      <c r="U322" s="66" t="str">
        <f t="shared" si="71"/>
        <v>Outlier</v>
      </c>
      <c r="V322" s="66" t="str">
        <f t="shared" si="72"/>
        <v>Normal</v>
      </c>
      <c r="W322" s="19">
        <f t="shared" si="76"/>
        <v>-0.24637681159420291</v>
      </c>
      <c r="X322" s="19">
        <f t="shared" si="73"/>
        <v>-0.12536443148688048</v>
      </c>
      <c r="Y322" s="369"/>
      <c r="Z322" s="369"/>
      <c r="AA322" s="369"/>
      <c r="AB322" s="369"/>
      <c r="AC322" s="369"/>
      <c r="AD322" s="369"/>
      <c r="AE322" s="369"/>
      <c r="AF322" s="369"/>
      <c r="AG322" s="369"/>
      <c r="AH322" s="369"/>
      <c r="AI322" s="369"/>
    </row>
    <row r="323" spans="1:39">
      <c r="A323" s="27">
        <v>45338</v>
      </c>
      <c r="B323" s="27">
        <f>IF(YEAR(Table7[[#This Row],[Date]]) = 2023, WEEKNUM(Table7[[#This Row],[Date]])-13, WEEKNUM(Table7[[#This Row],[Date]])+40)</f>
        <v>47</v>
      </c>
      <c r="C323" s="34" t="s">
        <v>53</v>
      </c>
      <c r="D323" s="62" t="s">
        <v>94</v>
      </c>
      <c r="E323" s="1">
        <v>402</v>
      </c>
      <c r="F323" s="1">
        <v>384</v>
      </c>
      <c r="G323" s="64">
        <f t="shared" si="74"/>
        <v>0.19287833827893175</v>
      </c>
      <c r="H323" s="64">
        <f t="shared" si="75"/>
        <v>0.25490196078431371</v>
      </c>
      <c r="I323" s="1"/>
      <c r="J323" s="1"/>
      <c r="K323" s="1"/>
      <c r="L323" s="1"/>
      <c r="M323" s="66">
        <v>0.85</v>
      </c>
      <c r="N323" s="66">
        <v>0.04</v>
      </c>
      <c r="O323" s="66">
        <v>0.96</v>
      </c>
      <c r="P323" s="66">
        <v>0.53</v>
      </c>
      <c r="Q323" s="87">
        <v>1</v>
      </c>
      <c r="R323" s="285">
        <v>181</v>
      </c>
      <c r="S323" s="145">
        <v>2.8472222222222222E-2</v>
      </c>
      <c r="T323" s="113">
        <v>5</v>
      </c>
      <c r="U323" s="66" t="str">
        <f t="shared" ref="U323:U367" si="77">IF(OR(H323&lt;$AJ$5,H323&gt;$AK$5), "Outlier", "Normal")</f>
        <v>Normal</v>
      </c>
      <c r="V323" s="66" t="str">
        <f t="shared" ref="V323:V367" si="78">IF(OR(I323&lt;$AJ$6,I323&gt;$AK$6), "Outlier", "Normal")</f>
        <v>Normal</v>
      </c>
      <c r="W323" s="19">
        <f t="shared" si="76"/>
        <v>0.19287833827893175</v>
      </c>
      <c r="X323" s="19">
        <f t="shared" si="73"/>
        <v>0.25490196078431371</v>
      </c>
      <c r="Y323" s="369"/>
      <c r="Z323" s="369"/>
      <c r="AA323" s="369"/>
      <c r="AB323" s="369"/>
      <c r="AC323" s="369"/>
      <c r="AD323" s="369"/>
      <c r="AE323" s="369"/>
      <c r="AF323" s="369"/>
      <c r="AG323" s="369"/>
      <c r="AH323" s="369"/>
      <c r="AI323" s="369"/>
    </row>
    <row r="324" spans="1:39">
      <c r="A324" s="27">
        <v>45339</v>
      </c>
      <c r="B324" s="27">
        <f>IF(YEAR(Table7[[#This Row],[Date]]) = 2023, WEEKNUM(Table7[[#This Row],[Date]])-13, WEEKNUM(Table7[[#This Row],[Date]])+40)</f>
        <v>47</v>
      </c>
      <c r="C324" s="34" t="s">
        <v>54</v>
      </c>
      <c r="D324" s="62" t="s">
        <v>94</v>
      </c>
      <c r="E324" s="1">
        <v>172</v>
      </c>
      <c r="F324" s="1">
        <v>167</v>
      </c>
      <c r="G324" s="64">
        <f t="shared" si="74"/>
        <v>-8.9947089947089942E-2</v>
      </c>
      <c r="H324" s="64">
        <f t="shared" si="75"/>
        <v>0</v>
      </c>
      <c r="I324" s="1"/>
      <c r="J324" s="1"/>
      <c r="K324" s="1"/>
      <c r="L324" s="1"/>
      <c r="M324" s="66">
        <v>0.93</v>
      </c>
      <c r="N324" s="66">
        <v>0.03</v>
      </c>
      <c r="O324" s="66">
        <v>0.97</v>
      </c>
      <c r="P324" s="66">
        <v>0.38</v>
      </c>
      <c r="Q324" s="87">
        <v>1</v>
      </c>
      <c r="R324" s="285">
        <v>167</v>
      </c>
      <c r="S324" s="145">
        <v>1.5277777777777777E-2</v>
      </c>
      <c r="T324" s="113">
        <v>4</v>
      </c>
      <c r="U324" s="66" t="str">
        <f t="shared" si="77"/>
        <v>Normal</v>
      </c>
      <c r="V324" s="66" t="str">
        <f t="shared" si="78"/>
        <v>Normal</v>
      </c>
      <c r="W324" s="19">
        <f t="shared" si="76"/>
        <v>-8.9947089947089942E-2</v>
      </c>
      <c r="X324" s="19">
        <f t="shared" si="73"/>
        <v>0</v>
      </c>
      <c r="Y324" s="369"/>
      <c r="Z324" s="369"/>
      <c r="AA324" s="369"/>
      <c r="AB324" s="369"/>
      <c r="AC324" s="369"/>
      <c r="AD324" s="369"/>
      <c r="AE324" s="369"/>
      <c r="AF324" s="369"/>
      <c r="AG324" s="369"/>
      <c r="AH324" s="369"/>
      <c r="AI324" s="369"/>
    </row>
    <row r="325" spans="1:39">
      <c r="A325" s="27">
        <v>45340</v>
      </c>
      <c r="B325" s="27">
        <f>IF(YEAR(Table7[[#This Row],[Date]]) = 2023, WEEKNUM(Table7[[#This Row],[Date]])-13, WEEKNUM(Table7[[#This Row],[Date]])+40)</f>
        <v>48</v>
      </c>
      <c r="C325" s="34" t="s">
        <v>48</v>
      </c>
      <c r="D325" s="62" t="s">
        <v>94</v>
      </c>
      <c r="E325" s="1">
        <v>0</v>
      </c>
      <c r="F325" s="1">
        <v>0</v>
      </c>
      <c r="G325" s="64">
        <f t="shared" si="74"/>
        <v>0</v>
      </c>
      <c r="H325" s="64">
        <f t="shared" si="75"/>
        <v>0</v>
      </c>
      <c r="I325" s="1">
        <v>0</v>
      </c>
      <c r="J325" s="1">
        <v>0</v>
      </c>
      <c r="K325" s="1">
        <v>0</v>
      </c>
      <c r="L325" s="1">
        <v>0</v>
      </c>
      <c r="M325" s="66">
        <v>0</v>
      </c>
      <c r="N325" s="66">
        <v>0</v>
      </c>
      <c r="O325" s="66">
        <v>0</v>
      </c>
      <c r="P325" s="66">
        <v>0</v>
      </c>
      <c r="Q325" s="87">
        <v>0</v>
      </c>
      <c r="R325" s="285">
        <v>0</v>
      </c>
      <c r="S325" s="145">
        <v>0</v>
      </c>
      <c r="T325" s="113">
        <v>0</v>
      </c>
      <c r="U325" s="66" t="str">
        <f t="shared" si="77"/>
        <v>Normal</v>
      </c>
      <c r="V325" s="66" t="str">
        <f t="shared" si="78"/>
        <v>Normal</v>
      </c>
      <c r="W325" s="19">
        <f t="shared" si="76"/>
        <v>0</v>
      </c>
      <c r="X325" s="19">
        <f t="shared" si="73"/>
        <v>0</v>
      </c>
      <c r="Y325" s="369"/>
      <c r="Z325" s="369"/>
      <c r="AA325" s="369"/>
      <c r="AB325" s="369"/>
      <c r="AC325" s="369"/>
      <c r="AD325" s="369"/>
      <c r="AE325" s="369"/>
      <c r="AF325" s="369"/>
      <c r="AG325" s="369"/>
      <c r="AH325" s="369"/>
      <c r="AI325" s="369"/>
    </row>
    <row r="326" spans="1:39">
      <c r="A326" s="27">
        <v>45341</v>
      </c>
      <c r="B326" s="27">
        <f>IF(YEAR(Table7[[#This Row],[Date]]) = 2023, WEEKNUM(Table7[[#This Row],[Date]])-13, WEEKNUM(Table7[[#This Row],[Date]])+40)</f>
        <v>48</v>
      </c>
      <c r="C326" s="34" t="s">
        <v>49</v>
      </c>
      <c r="D326" s="62" t="s">
        <v>94</v>
      </c>
      <c r="E326" s="1">
        <v>406</v>
      </c>
      <c r="F326" s="1">
        <v>383</v>
      </c>
      <c r="G326" s="64">
        <f t="shared" si="74"/>
        <v>0.1002710027100271</v>
      </c>
      <c r="H326" s="64">
        <f t="shared" si="75"/>
        <v>0.13313609467455623</v>
      </c>
      <c r="I326" s="1"/>
      <c r="J326" s="1"/>
      <c r="K326" s="1"/>
      <c r="L326" s="1"/>
      <c r="M326" s="66">
        <v>0.75</v>
      </c>
      <c r="N326" s="66">
        <v>0.06</v>
      </c>
      <c r="O326" s="66">
        <v>0.94</v>
      </c>
      <c r="P326" s="66">
        <v>0.53</v>
      </c>
      <c r="Q326" s="87">
        <v>1</v>
      </c>
      <c r="R326" s="285">
        <v>166</v>
      </c>
      <c r="S326" s="145">
        <v>4.5138888888888888E-2</v>
      </c>
      <c r="T326" s="113">
        <v>5</v>
      </c>
      <c r="U326" s="66" t="str">
        <f t="shared" si="77"/>
        <v>Normal</v>
      </c>
      <c r="V326" s="66" t="str">
        <f t="shared" si="78"/>
        <v>Normal</v>
      </c>
      <c r="W326" s="19">
        <f t="shared" si="76"/>
        <v>0.1002710027100271</v>
      </c>
      <c r="X326" s="19">
        <f t="shared" si="73"/>
        <v>0.13313609467455623</v>
      </c>
      <c r="Y326" s="369"/>
      <c r="Z326" s="369"/>
      <c r="AA326" s="369"/>
      <c r="AB326" s="369"/>
      <c r="AC326" s="369"/>
      <c r="AD326" s="369"/>
      <c r="AE326" s="369"/>
      <c r="AF326" s="369"/>
      <c r="AG326" s="369"/>
      <c r="AH326" s="369"/>
      <c r="AI326" s="369"/>
    </row>
    <row r="327" spans="1:39">
      <c r="A327" s="27">
        <v>45342</v>
      </c>
      <c r="B327" s="27">
        <f>IF(YEAR(Table7[[#This Row],[Date]]) = 2023, WEEKNUM(Table7[[#This Row],[Date]])-13, WEEKNUM(Table7[[#This Row],[Date]])+40)</f>
        <v>48</v>
      </c>
      <c r="C327" s="34" t="s">
        <v>50</v>
      </c>
      <c r="D327" s="62" t="s">
        <v>94</v>
      </c>
      <c r="E327" s="1">
        <v>386</v>
      </c>
      <c r="F327" s="1">
        <v>358</v>
      </c>
      <c r="G327" s="64">
        <f t="shared" si="74"/>
        <v>9.3484419263456089E-2</v>
      </c>
      <c r="H327" s="64">
        <f t="shared" si="75"/>
        <v>3.7681159420289857E-2</v>
      </c>
      <c r="I327" s="1"/>
      <c r="J327" s="1"/>
      <c r="K327" s="1"/>
      <c r="L327" s="1"/>
      <c r="M327" s="66">
        <v>0.8</v>
      </c>
      <c r="N327" s="66">
        <v>7.0000000000000007E-2</v>
      </c>
      <c r="O327" s="66">
        <v>0.93</v>
      </c>
      <c r="P327" s="66">
        <v>0.49</v>
      </c>
      <c r="Q327" s="87">
        <v>1</v>
      </c>
      <c r="R327" s="285">
        <v>184</v>
      </c>
      <c r="S327" s="145">
        <v>6.5972222222222213E-4</v>
      </c>
      <c r="T327" s="113">
        <v>5</v>
      </c>
      <c r="U327" s="66" t="str">
        <f t="shared" si="77"/>
        <v>Normal</v>
      </c>
      <c r="V327" s="66" t="str">
        <f t="shared" si="78"/>
        <v>Normal</v>
      </c>
      <c r="W327" s="19">
        <f t="shared" si="76"/>
        <v>9.3484419263456089E-2</v>
      </c>
      <c r="X327" s="19">
        <f t="shared" si="73"/>
        <v>3.7681159420289857E-2</v>
      </c>
      <c r="Y327" s="369"/>
      <c r="Z327" s="369"/>
      <c r="AA327" s="369"/>
      <c r="AB327" s="369"/>
      <c r="AC327" s="369"/>
      <c r="AD327" s="369"/>
      <c r="AE327" s="369"/>
      <c r="AF327" s="369"/>
      <c r="AG327" s="369"/>
      <c r="AH327" s="369"/>
      <c r="AI327" s="369"/>
    </row>
    <row r="328" spans="1:39">
      <c r="A328" s="27">
        <v>45343</v>
      </c>
      <c r="B328" s="27">
        <f>IF(YEAR(Table7[[#This Row],[Date]]) = 2023, WEEKNUM(Table7[[#This Row],[Date]])-13, WEEKNUM(Table7[[#This Row],[Date]])+40)</f>
        <v>48</v>
      </c>
      <c r="C328" s="34" t="s">
        <v>51</v>
      </c>
      <c r="D328" s="62" t="s">
        <v>94</v>
      </c>
      <c r="E328" s="1">
        <v>357</v>
      </c>
      <c r="F328" s="1">
        <v>343</v>
      </c>
      <c r="G328" s="64">
        <f t="shared" si="74"/>
        <v>5.6338028169014088E-3</v>
      </c>
      <c r="H328" s="64">
        <f t="shared" si="75"/>
        <v>2.9239766081871343E-3</v>
      </c>
      <c r="I328" s="1"/>
      <c r="J328" s="1"/>
      <c r="K328" s="1"/>
      <c r="L328" s="1"/>
      <c r="M328" s="66">
        <v>0.87</v>
      </c>
      <c r="N328" s="66">
        <v>0.04</v>
      </c>
      <c r="O328" s="66">
        <v>0.96</v>
      </c>
      <c r="P328" s="66">
        <v>0.47</v>
      </c>
      <c r="Q328" s="87">
        <v>1</v>
      </c>
      <c r="R328" s="285">
        <v>166</v>
      </c>
      <c r="S328" s="145">
        <v>5.0925925925925921E-4</v>
      </c>
      <c r="T328" s="113">
        <v>5</v>
      </c>
      <c r="U328" s="66" t="str">
        <f t="shared" si="77"/>
        <v>Normal</v>
      </c>
      <c r="V328" s="66" t="str">
        <f t="shared" si="78"/>
        <v>Normal</v>
      </c>
      <c r="W328" s="19">
        <f t="shared" si="76"/>
        <v>5.6338028169014088E-3</v>
      </c>
      <c r="X328" s="19">
        <f t="shared" si="73"/>
        <v>2.9239766081871343E-3</v>
      </c>
      <c r="Y328" s="369"/>
      <c r="Z328" s="369"/>
      <c r="AA328" s="369"/>
      <c r="AB328" s="369"/>
      <c r="AC328" s="369"/>
      <c r="AD328" s="369"/>
      <c r="AE328" s="369"/>
      <c r="AF328" s="369"/>
      <c r="AG328" s="369"/>
      <c r="AH328" s="369"/>
      <c r="AI328" s="369"/>
    </row>
    <row r="329" spans="1:39">
      <c r="A329" s="27">
        <v>45344</v>
      </c>
      <c r="B329" s="27">
        <f>IF(YEAR(Table7[[#This Row],[Date]]) = 2023, WEEKNUM(Table7[[#This Row],[Date]])-13, WEEKNUM(Table7[[#This Row],[Date]])+40)</f>
        <v>48</v>
      </c>
      <c r="C329" s="34" t="s">
        <v>52</v>
      </c>
      <c r="D329" s="62" t="s">
        <v>94</v>
      </c>
      <c r="E329" s="1">
        <v>364</v>
      </c>
      <c r="F329" s="1">
        <v>339</v>
      </c>
      <c r="G329" s="64">
        <f t="shared" si="74"/>
        <v>0.16666666666666666</v>
      </c>
      <c r="H329" s="64">
        <f t="shared" si="75"/>
        <v>0.13</v>
      </c>
      <c r="I329" s="1"/>
      <c r="J329" s="1"/>
      <c r="K329" s="1"/>
      <c r="L329" s="1"/>
      <c r="M329" s="66">
        <v>0.86</v>
      </c>
      <c r="N329" s="66">
        <v>7.0000000000000007E-2</v>
      </c>
      <c r="O329" s="66">
        <v>0.93</v>
      </c>
      <c r="P329" s="66">
        <v>0.47</v>
      </c>
      <c r="Q329" s="87">
        <v>1</v>
      </c>
      <c r="R329" s="285">
        <v>192</v>
      </c>
      <c r="S329" s="145">
        <v>3.2638888888888891E-2</v>
      </c>
      <c r="T329" s="113">
        <v>5</v>
      </c>
      <c r="U329" s="66" t="str">
        <f t="shared" si="77"/>
        <v>Normal</v>
      </c>
      <c r="V329" s="66" t="str">
        <f t="shared" si="78"/>
        <v>Normal</v>
      </c>
      <c r="W329" s="19">
        <f t="shared" si="76"/>
        <v>0.16666666666666666</v>
      </c>
      <c r="X329" s="19">
        <f t="shared" si="73"/>
        <v>0.13</v>
      </c>
      <c r="Y329" s="369"/>
      <c r="Z329" s="369"/>
      <c r="AA329" s="369"/>
      <c r="AB329" s="369"/>
      <c r="AC329" s="369"/>
      <c r="AD329" s="369"/>
      <c r="AE329" s="369"/>
      <c r="AF329" s="369"/>
      <c r="AG329" s="369"/>
      <c r="AH329" s="369"/>
      <c r="AI329" s="369"/>
    </row>
    <row r="330" spans="1:39">
      <c r="A330" s="27">
        <v>45345</v>
      </c>
      <c r="B330" s="27">
        <f>IF(YEAR(Table7[[#This Row],[Date]]) = 2023, WEEKNUM(Table7[[#This Row],[Date]])-13, WEEKNUM(Table7[[#This Row],[Date]])+40)</f>
        <v>48</v>
      </c>
      <c r="C330" s="34" t="s">
        <v>53</v>
      </c>
      <c r="D330" s="62" t="s">
        <v>94</v>
      </c>
      <c r="E330" s="1">
        <v>385</v>
      </c>
      <c r="F330" s="1">
        <v>366</v>
      </c>
      <c r="G330" s="64">
        <f t="shared" si="74"/>
        <v>-4.228855721393035E-2</v>
      </c>
      <c r="H330" s="64">
        <f t="shared" si="75"/>
        <v>-4.6875E-2</v>
      </c>
      <c r="I330" s="1"/>
      <c r="J330" s="1"/>
      <c r="K330" s="1"/>
      <c r="L330" s="1"/>
      <c r="M330" s="66">
        <v>0.86</v>
      </c>
      <c r="N330" s="66">
        <v>0.05</v>
      </c>
      <c r="O330" s="66">
        <v>0.95</v>
      </c>
      <c r="P330" s="66">
        <v>0.5</v>
      </c>
      <c r="Q330" s="87">
        <v>1</v>
      </c>
      <c r="R330" s="285">
        <v>187</v>
      </c>
      <c r="S330" s="145">
        <v>2.8472222222222222E-2</v>
      </c>
      <c r="T330" s="113">
        <v>5</v>
      </c>
      <c r="U330" s="66" t="str">
        <f t="shared" si="77"/>
        <v>Outlier</v>
      </c>
      <c r="V330" s="66" t="str">
        <f t="shared" si="78"/>
        <v>Normal</v>
      </c>
      <c r="W330" s="19">
        <f t="shared" si="76"/>
        <v>-4.228855721393035E-2</v>
      </c>
      <c r="X330" s="19">
        <f t="shared" si="73"/>
        <v>-4.6875E-2</v>
      </c>
      <c r="Y330" s="369"/>
      <c r="Z330" s="369"/>
      <c r="AA330" s="369"/>
      <c r="AB330" s="369"/>
      <c r="AC330" s="369"/>
      <c r="AD330" s="369"/>
      <c r="AE330" s="369"/>
      <c r="AF330" s="369"/>
      <c r="AG330" s="369"/>
      <c r="AH330" s="369"/>
      <c r="AI330" s="369"/>
    </row>
    <row r="331" spans="1:39">
      <c r="A331" s="27">
        <v>45346</v>
      </c>
      <c r="B331" s="27">
        <f>IF(YEAR(Table7[[#This Row],[Date]]) = 2023, WEEKNUM(Table7[[#This Row],[Date]])-13, WEEKNUM(Table7[[#This Row],[Date]])+40)</f>
        <v>48</v>
      </c>
      <c r="C331" s="34" t="s">
        <v>54</v>
      </c>
      <c r="D331" s="62" t="s">
        <v>94</v>
      </c>
      <c r="E331" s="1">
        <v>215</v>
      </c>
      <c r="F331" s="1">
        <v>194</v>
      </c>
      <c r="G331" s="64">
        <f t="shared" si="74"/>
        <v>0.25</v>
      </c>
      <c r="H331" s="64">
        <f t="shared" si="75"/>
        <v>0.16167664670658682</v>
      </c>
      <c r="I331" s="1"/>
      <c r="J331" s="1"/>
      <c r="K331" s="1"/>
      <c r="L331" s="1"/>
      <c r="M331" s="66">
        <v>0.72</v>
      </c>
      <c r="N331" s="66">
        <v>0.1</v>
      </c>
      <c r="O331" s="66">
        <v>0.9</v>
      </c>
      <c r="P331" s="66">
        <v>0.59</v>
      </c>
      <c r="Q331" s="87">
        <v>1</v>
      </c>
      <c r="R331" s="285">
        <v>189</v>
      </c>
      <c r="S331" s="145">
        <v>5.2083333333333336E-2</v>
      </c>
      <c r="T331" s="113">
        <v>3</v>
      </c>
      <c r="U331" s="66" t="str">
        <f t="shared" si="77"/>
        <v>Normal</v>
      </c>
      <c r="V331" s="66" t="str">
        <f t="shared" si="78"/>
        <v>Normal</v>
      </c>
      <c r="W331" s="19">
        <f t="shared" si="76"/>
        <v>0.25</v>
      </c>
      <c r="X331" s="19">
        <f t="shared" si="73"/>
        <v>0.16167664670658682</v>
      </c>
      <c r="Y331" s="369"/>
      <c r="Z331" s="369"/>
      <c r="AA331" s="369"/>
      <c r="AB331" s="369"/>
      <c r="AC331" s="369"/>
      <c r="AD331" s="369"/>
      <c r="AE331" s="369"/>
      <c r="AF331" s="369"/>
      <c r="AG331" s="369"/>
      <c r="AH331" s="369"/>
      <c r="AI331" s="369"/>
    </row>
    <row r="332" spans="1:39">
      <c r="A332" s="27">
        <v>45347</v>
      </c>
      <c r="B332" s="27">
        <f>IF(YEAR(Table7[[#This Row],[Date]]) = 2023, WEEKNUM(Table7[[#This Row],[Date]])-13, WEEKNUM(Table7[[#This Row],[Date]])+40)</f>
        <v>49</v>
      </c>
      <c r="C332" s="34" t="s">
        <v>48</v>
      </c>
      <c r="D332" s="62" t="s">
        <v>94</v>
      </c>
      <c r="E332" s="1">
        <v>0</v>
      </c>
      <c r="F332" s="1">
        <v>0</v>
      </c>
      <c r="G332" s="64">
        <f t="shared" si="74"/>
        <v>0</v>
      </c>
      <c r="H332" s="64">
        <f t="shared" si="75"/>
        <v>0</v>
      </c>
      <c r="I332" s="1">
        <v>0</v>
      </c>
      <c r="J332" s="1">
        <v>0</v>
      </c>
      <c r="K332" s="1">
        <v>0</v>
      </c>
      <c r="L332" s="1">
        <v>0</v>
      </c>
      <c r="M332" s="66">
        <v>0</v>
      </c>
      <c r="N332" s="66">
        <v>0</v>
      </c>
      <c r="O332" s="66">
        <v>0</v>
      </c>
      <c r="P332" s="66">
        <v>0</v>
      </c>
      <c r="Q332" s="87">
        <v>0</v>
      </c>
      <c r="R332" s="285">
        <v>0</v>
      </c>
      <c r="S332" s="145">
        <v>0</v>
      </c>
      <c r="T332" s="113">
        <v>0</v>
      </c>
      <c r="U332" s="66" t="str">
        <f t="shared" si="77"/>
        <v>Normal</v>
      </c>
      <c r="V332" s="66" t="str">
        <f t="shared" si="78"/>
        <v>Normal</v>
      </c>
      <c r="W332" s="19">
        <f t="shared" si="76"/>
        <v>0</v>
      </c>
      <c r="X332" s="19">
        <f t="shared" si="73"/>
        <v>0</v>
      </c>
      <c r="Y332" s="369"/>
      <c r="Z332" s="369"/>
      <c r="AA332" s="369"/>
      <c r="AB332" s="369"/>
      <c r="AC332" s="369"/>
      <c r="AD332" s="369"/>
      <c r="AE332" s="369"/>
      <c r="AF332" s="369"/>
      <c r="AG332" s="369"/>
      <c r="AH332" s="369"/>
      <c r="AI332" s="369"/>
    </row>
    <row r="333" spans="1:39">
      <c r="A333" s="27">
        <v>45348</v>
      </c>
      <c r="B333" s="27">
        <f>IF(YEAR(Table7[[#This Row],[Date]]) = 2023, WEEKNUM(Table7[[#This Row],[Date]])-13, WEEKNUM(Table7[[#This Row],[Date]])+40)</f>
        <v>49</v>
      </c>
      <c r="C333" s="34" t="s">
        <v>49</v>
      </c>
      <c r="D333" s="62" t="s">
        <v>94</v>
      </c>
      <c r="E333" s="1">
        <v>455</v>
      </c>
      <c r="F333" s="1">
        <v>424</v>
      </c>
      <c r="G333" s="64">
        <f t="shared" si="74"/>
        <v>0.1206896551724138</v>
      </c>
      <c r="H333" s="64">
        <f t="shared" si="75"/>
        <v>0.10704960835509138</v>
      </c>
      <c r="I333" s="1"/>
      <c r="J333" s="1"/>
      <c r="K333" s="1"/>
      <c r="L333" s="1"/>
      <c r="M333" s="66">
        <v>0.74</v>
      </c>
      <c r="N333" s="66">
        <v>7.0000000000000007E-2</v>
      </c>
      <c r="O333" s="66">
        <v>0.93</v>
      </c>
      <c r="P333" s="66">
        <v>0.49</v>
      </c>
      <c r="Q333" s="87">
        <v>1</v>
      </c>
      <c r="R333" s="285">
        <v>205</v>
      </c>
      <c r="S333" s="145">
        <v>4.9305555555555554E-2</v>
      </c>
      <c r="T333" s="113">
        <v>6</v>
      </c>
      <c r="U333" s="66" t="str">
        <f t="shared" si="77"/>
        <v>Normal</v>
      </c>
      <c r="V333" s="66" t="str">
        <f t="shared" si="78"/>
        <v>Normal</v>
      </c>
      <c r="W333" s="19">
        <f t="shared" si="76"/>
        <v>0.1206896551724138</v>
      </c>
      <c r="X333" s="19">
        <f t="shared" ref="X333:X367" si="79">IF(V333="Normal",$H333,IF($H333&lt;150%, $H333, $AN$9))</f>
        <v>0.10704960835509138</v>
      </c>
      <c r="Y333" s="369"/>
      <c r="Z333" s="369"/>
      <c r="AA333" s="369"/>
      <c r="AB333" s="369"/>
      <c r="AC333" s="369"/>
      <c r="AD333" s="369"/>
      <c r="AE333" s="369"/>
      <c r="AF333" s="369"/>
      <c r="AG333" s="369"/>
      <c r="AH333" s="369"/>
      <c r="AI333" s="369"/>
    </row>
    <row r="334" spans="1:39">
      <c r="A334" s="27">
        <v>45349</v>
      </c>
      <c r="B334" s="27">
        <f>IF(YEAR(Table7[[#This Row],[Date]]) = 2023, WEEKNUM(Table7[[#This Row],[Date]])-13, WEEKNUM(Table7[[#This Row],[Date]])+40)</f>
        <v>49</v>
      </c>
      <c r="C334" s="34" t="s">
        <v>50</v>
      </c>
      <c r="D334" s="62" t="s">
        <v>94</v>
      </c>
      <c r="E334" s="1">
        <v>397</v>
      </c>
      <c r="F334" s="1">
        <v>370</v>
      </c>
      <c r="G334" s="64">
        <f t="shared" si="74"/>
        <v>2.8497409326424871E-2</v>
      </c>
      <c r="H334" s="64">
        <f t="shared" si="75"/>
        <v>3.3519553072625698E-2</v>
      </c>
      <c r="I334" s="1"/>
      <c r="J334" s="1"/>
      <c r="K334" s="1"/>
      <c r="L334" s="1"/>
      <c r="M334" s="66">
        <v>0.83</v>
      </c>
      <c r="N334" s="66">
        <v>7.0000000000000007E-2</v>
      </c>
      <c r="O334" s="66">
        <v>0.93</v>
      </c>
      <c r="P334" s="66">
        <v>0.43</v>
      </c>
      <c r="Q334" s="87">
        <v>1</v>
      </c>
      <c r="R334" s="285">
        <v>198</v>
      </c>
      <c r="S334" s="145">
        <v>2.7083333333333334E-2</v>
      </c>
      <c r="T334" s="113">
        <v>6</v>
      </c>
      <c r="U334" s="66" t="str">
        <f t="shared" si="77"/>
        <v>Normal</v>
      </c>
      <c r="V334" s="66" t="str">
        <f t="shared" si="78"/>
        <v>Normal</v>
      </c>
      <c r="W334" s="19">
        <f t="shared" si="76"/>
        <v>2.8497409326424871E-2</v>
      </c>
      <c r="X334" s="19">
        <f t="shared" si="79"/>
        <v>3.3519553072625698E-2</v>
      </c>
      <c r="Y334" s="369"/>
      <c r="Z334" s="369"/>
      <c r="AA334" s="369"/>
      <c r="AB334" s="369"/>
      <c r="AC334" s="369"/>
      <c r="AD334" s="369"/>
      <c r="AE334" s="369"/>
      <c r="AF334" s="369"/>
      <c r="AG334" s="369"/>
      <c r="AH334" s="369"/>
      <c r="AI334" s="369"/>
    </row>
    <row r="335" spans="1:39">
      <c r="A335" s="27">
        <v>45350</v>
      </c>
      <c r="B335" s="27">
        <f>IF(YEAR(Table7[[#This Row],[Date]]) = 2023, WEEKNUM(Table7[[#This Row],[Date]])-13, WEEKNUM(Table7[[#This Row],[Date]])+40)</f>
        <v>49</v>
      </c>
      <c r="C335" s="34" t="s">
        <v>51</v>
      </c>
      <c r="D335" s="62" t="s">
        <v>94</v>
      </c>
      <c r="E335" s="1">
        <v>444</v>
      </c>
      <c r="F335" s="1">
        <v>350</v>
      </c>
      <c r="G335" s="64">
        <f t="shared" si="74"/>
        <v>0.24369747899159663</v>
      </c>
      <c r="H335" s="64">
        <f t="shared" si="75"/>
        <v>2.0408163265306121E-2</v>
      </c>
      <c r="I335" s="1"/>
      <c r="J335" s="1"/>
      <c r="K335" s="1"/>
      <c r="L335" s="1"/>
      <c r="M335" s="66">
        <v>0.43</v>
      </c>
      <c r="N335" s="66">
        <v>0.21</v>
      </c>
      <c r="O335" s="66">
        <v>0.79</v>
      </c>
      <c r="P335" s="66">
        <v>0.6</v>
      </c>
      <c r="Q335" s="87">
        <v>1</v>
      </c>
      <c r="R335" s="285">
        <v>211</v>
      </c>
      <c r="S335" s="145">
        <v>0.19166666666666665</v>
      </c>
      <c r="T335" s="113">
        <v>4</v>
      </c>
      <c r="U335" s="66" t="str">
        <f t="shared" si="77"/>
        <v>Normal</v>
      </c>
      <c r="V335" s="66" t="str">
        <f t="shared" si="78"/>
        <v>Normal</v>
      </c>
      <c r="W335" s="19">
        <f t="shared" si="76"/>
        <v>0.24369747899159663</v>
      </c>
      <c r="X335" s="19">
        <f t="shared" si="79"/>
        <v>2.0408163265306121E-2</v>
      </c>
      <c r="Y335" s="369"/>
      <c r="Z335" s="369"/>
      <c r="AA335" s="369"/>
      <c r="AB335" s="369"/>
      <c r="AC335" s="369"/>
      <c r="AD335" s="369"/>
      <c r="AE335" s="369"/>
      <c r="AF335" s="369"/>
      <c r="AG335" s="369"/>
      <c r="AH335" s="369"/>
      <c r="AI335" s="369"/>
    </row>
    <row r="336" spans="1:39" s="48" customFormat="1">
      <c r="A336" s="27">
        <v>45351</v>
      </c>
      <c r="B336" s="27">
        <f>IF(YEAR(Table7[[#This Row],[Date]]) = 2023, WEEKNUM(Table7[[#This Row],[Date]])-13, WEEKNUM(Table7[[#This Row],[Date]])+40)</f>
        <v>49</v>
      </c>
      <c r="C336" s="49" t="s">
        <v>52</v>
      </c>
      <c r="D336" s="62" t="s">
        <v>94</v>
      </c>
      <c r="E336" s="50">
        <v>362</v>
      </c>
      <c r="F336" s="50">
        <v>311</v>
      </c>
      <c r="G336" s="64">
        <f t="shared" si="74"/>
        <v>-5.4945054945054949E-3</v>
      </c>
      <c r="H336" s="64">
        <f t="shared" si="75"/>
        <v>-8.2595870206489674E-2</v>
      </c>
      <c r="I336" s="50"/>
      <c r="J336" s="50"/>
      <c r="K336" s="50"/>
      <c r="L336" s="50"/>
      <c r="M336" s="99">
        <v>0.57999999999999996</v>
      </c>
      <c r="N336" s="99">
        <v>0.14000000000000001</v>
      </c>
      <c r="O336" s="99">
        <v>0.86</v>
      </c>
      <c r="P336" s="99">
        <v>0.54</v>
      </c>
      <c r="Q336" s="100">
        <v>1</v>
      </c>
      <c r="R336" s="289">
        <v>200</v>
      </c>
      <c r="S336" s="148">
        <v>0.12638888888888888</v>
      </c>
      <c r="T336" s="149">
        <v>4</v>
      </c>
      <c r="U336" s="99" t="str">
        <f t="shared" si="77"/>
        <v>Outlier</v>
      </c>
      <c r="V336" s="99" t="str">
        <f t="shared" si="78"/>
        <v>Normal</v>
      </c>
      <c r="W336" s="372">
        <f t="shared" si="76"/>
        <v>-5.4945054945054949E-3</v>
      </c>
      <c r="X336" s="372">
        <f t="shared" si="79"/>
        <v>-8.2595870206489674E-2</v>
      </c>
      <c r="Y336" s="369"/>
      <c r="Z336" s="369"/>
      <c r="AA336" s="369"/>
      <c r="AB336" s="369"/>
      <c r="AC336" s="369"/>
      <c r="AD336" s="369"/>
      <c r="AE336" s="369"/>
      <c r="AF336" s="369"/>
      <c r="AG336" s="369"/>
      <c r="AH336" s="369"/>
      <c r="AI336" s="369"/>
      <c r="AK336"/>
      <c r="AL336"/>
      <c r="AM336"/>
    </row>
    <row r="337" spans="1:39">
      <c r="A337" s="27">
        <v>45352</v>
      </c>
      <c r="B337" s="27">
        <f>IF(YEAR(Table7[[#This Row],[Date]]) = 2023, WEEKNUM(Table7[[#This Row],[Date]])-13, WEEKNUM(Table7[[#This Row],[Date]])+40)</f>
        <v>49</v>
      </c>
      <c r="C337" s="34" t="s">
        <v>53</v>
      </c>
      <c r="D337" s="62" t="s">
        <v>94</v>
      </c>
      <c r="E337" s="1">
        <v>385</v>
      </c>
      <c r="F337" s="1">
        <v>338</v>
      </c>
      <c r="G337" s="64">
        <f t="shared" si="74"/>
        <v>0</v>
      </c>
      <c r="H337" s="64">
        <f t="shared" si="75"/>
        <v>-7.650273224043716E-2</v>
      </c>
      <c r="I337" s="1"/>
      <c r="J337" s="1"/>
      <c r="K337" s="1"/>
      <c r="L337" s="1"/>
      <c r="M337" s="66">
        <v>0.7</v>
      </c>
      <c r="N337" s="66">
        <v>0.12</v>
      </c>
      <c r="O337" s="66">
        <v>0.88</v>
      </c>
      <c r="P337" s="66">
        <v>0.39</v>
      </c>
      <c r="Q337" s="87">
        <v>1</v>
      </c>
      <c r="R337" s="285">
        <v>189</v>
      </c>
      <c r="S337" s="145">
        <v>6.5277777777777782E-2</v>
      </c>
      <c r="T337" s="113">
        <v>6</v>
      </c>
      <c r="U337" s="66" t="str">
        <f t="shared" si="77"/>
        <v>Outlier</v>
      </c>
      <c r="V337" s="66" t="str">
        <f t="shared" si="78"/>
        <v>Normal</v>
      </c>
      <c r="W337" s="19">
        <f t="shared" si="76"/>
        <v>0</v>
      </c>
      <c r="X337" s="19">
        <f t="shared" si="79"/>
        <v>-7.650273224043716E-2</v>
      </c>
      <c r="Y337" s="369"/>
      <c r="Z337" s="369"/>
      <c r="AA337" s="369"/>
      <c r="AB337" s="369"/>
      <c r="AC337" s="369"/>
      <c r="AD337" s="369"/>
      <c r="AE337" s="369"/>
      <c r="AF337" s="369"/>
      <c r="AG337" s="369"/>
      <c r="AH337" s="369"/>
      <c r="AI337" s="369"/>
    </row>
    <row r="338" spans="1:39">
      <c r="A338" s="27">
        <v>45353</v>
      </c>
      <c r="B338" s="27">
        <f>IF(YEAR(Table7[[#This Row],[Date]]) = 2023, WEEKNUM(Table7[[#This Row],[Date]])-13, WEEKNUM(Table7[[#This Row],[Date]])+40)</f>
        <v>49</v>
      </c>
      <c r="C338" s="34" t="s">
        <v>54</v>
      </c>
      <c r="D338" s="62" t="s">
        <v>94</v>
      </c>
      <c r="E338" s="1">
        <v>186</v>
      </c>
      <c r="F338" s="1">
        <v>173</v>
      </c>
      <c r="G338" s="64">
        <f t="shared" si="74"/>
        <v>-0.13488372093023257</v>
      </c>
      <c r="H338" s="64">
        <f t="shared" si="75"/>
        <v>-0.10824742268041238</v>
      </c>
      <c r="I338" s="1"/>
      <c r="J338" s="1"/>
      <c r="K338" s="1"/>
      <c r="L338" s="1"/>
      <c r="M338" s="66">
        <v>0.82</v>
      </c>
      <c r="N338" s="66">
        <v>7.0000000000000007E-2</v>
      </c>
      <c r="O338" s="66">
        <v>0.93</v>
      </c>
      <c r="P338" s="66">
        <v>0.39</v>
      </c>
      <c r="Q338" s="87">
        <v>1</v>
      </c>
      <c r="R338" s="285">
        <v>186</v>
      </c>
      <c r="S338" s="145">
        <v>3.5416666666666666E-2</v>
      </c>
      <c r="T338" s="113">
        <v>4</v>
      </c>
      <c r="U338" s="66" t="str">
        <f t="shared" si="77"/>
        <v>Outlier</v>
      </c>
      <c r="V338" s="66" t="str">
        <f t="shared" si="78"/>
        <v>Normal</v>
      </c>
      <c r="W338" s="19">
        <f t="shared" si="76"/>
        <v>-0.13488372093023257</v>
      </c>
      <c r="X338" s="19">
        <f t="shared" si="79"/>
        <v>-0.10824742268041238</v>
      </c>
      <c r="Y338" s="369"/>
      <c r="Z338" s="369"/>
      <c r="AA338" s="369"/>
      <c r="AB338" s="369"/>
      <c r="AC338" s="369"/>
      <c r="AD338" s="369"/>
      <c r="AE338" s="369"/>
      <c r="AF338" s="369"/>
      <c r="AG338" s="369"/>
      <c r="AH338" s="369"/>
      <c r="AI338" s="369"/>
    </row>
    <row r="339" spans="1:39">
      <c r="A339" s="27">
        <v>45354</v>
      </c>
      <c r="B339" s="27">
        <f>IF(YEAR(Table7[[#This Row],[Date]]) = 2023, WEEKNUM(Table7[[#This Row],[Date]])-13, WEEKNUM(Table7[[#This Row],[Date]])+40)</f>
        <v>50</v>
      </c>
      <c r="C339" s="34" t="s">
        <v>48</v>
      </c>
      <c r="D339" s="62" t="s">
        <v>94</v>
      </c>
      <c r="E339" s="1">
        <v>0</v>
      </c>
      <c r="F339" s="1">
        <v>0</v>
      </c>
      <c r="G339" s="64">
        <f t="shared" si="74"/>
        <v>0</v>
      </c>
      <c r="H339" s="64">
        <f t="shared" si="75"/>
        <v>0</v>
      </c>
      <c r="I339" s="1">
        <v>0</v>
      </c>
      <c r="J339" s="1">
        <v>0</v>
      </c>
      <c r="K339" s="1">
        <v>0</v>
      </c>
      <c r="L339" s="1">
        <v>0</v>
      </c>
      <c r="M339" s="66">
        <v>0</v>
      </c>
      <c r="N339" s="66">
        <v>0</v>
      </c>
      <c r="O339" s="66">
        <v>0</v>
      </c>
      <c r="P339" s="66">
        <v>0</v>
      </c>
      <c r="Q339" s="87">
        <v>0</v>
      </c>
      <c r="R339" s="285">
        <v>0</v>
      </c>
      <c r="S339" s="145">
        <v>0</v>
      </c>
      <c r="T339" s="113">
        <v>0</v>
      </c>
      <c r="U339" s="66" t="str">
        <f t="shared" si="77"/>
        <v>Normal</v>
      </c>
      <c r="V339" s="66" t="str">
        <f t="shared" si="78"/>
        <v>Normal</v>
      </c>
      <c r="W339" s="19">
        <f t="shared" si="76"/>
        <v>0</v>
      </c>
      <c r="X339" s="19">
        <f t="shared" si="79"/>
        <v>0</v>
      </c>
      <c r="Y339" s="369"/>
      <c r="Z339" s="369"/>
      <c r="AA339" s="369"/>
      <c r="AB339" s="369"/>
      <c r="AC339" s="369"/>
      <c r="AD339" s="369"/>
      <c r="AE339" s="369"/>
      <c r="AF339" s="369"/>
      <c r="AG339" s="369"/>
      <c r="AH339" s="369"/>
      <c r="AI339" s="369"/>
    </row>
    <row r="340" spans="1:39">
      <c r="A340" s="27">
        <v>45355</v>
      </c>
      <c r="B340" s="27">
        <f>IF(YEAR(Table7[[#This Row],[Date]]) = 2023, WEEKNUM(Table7[[#This Row],[Date]])-13, WEEKNUM(Table7[[#This Row],[Date]])+40)</f>
        <v>50</v>
      </c>
      <c r="C340" s="34" t="s">
        <v>49</v>
      </c>
      <c r="D340" s="62" t="s">
        <v>94</v>
      </c>
      <c r="E340" s="1">
        <v>396</v>
      </c>
      <c r="F340" s="1">
        <v>353</v>
      </c>
      <c r="G340" s="64">
        <f t="shared" si="74"/>
        <v>-0.12967032967032968</v>
      </c>
      <c r="H340" s="64">
        <f t="shared" si="75"/>
        <v>-0.16745283018867924</v>
      </c>
      <c r="I340" s="1"/>
      <c r="J340" s="1"/>
      <c r="K340" s="1"/>
      <c r="L340" s="1"/>
      <c r="M340" s="66">
        <v>0.67</v>
      </c>
      <c r="N340" s="66">
        <v>0.11</v>
      </c>
      <c r="O340" s="66">
        <v>0.89</v>
      </c>
      <c r="P340" s="66">
        <v>0.49</v>
      </c>
      <c r="Q340" s="87">
        <v>1</v>
      </c>
      <c r="R340" s="285">
        <v>190</v>
      </c>
      <c r="S340" s="145">
        <v>6.3888888888888884E-2</v>
      </c>
      <c r="T340" s="113">
        <v>5</v>
      </c>
      <c r="U340" s="66" t="str">
        <f t="shared" si="77"/>
        <v>Outlier</v>
      </c>
      <c r="V340" s="66" t="str">
        <f t="shared" si="78"/>
        <v>Normal</v>
      </c>
      <c r="W340" s="19">
        <f t="shared" si="76"/>
        <v>-0.12967032967032968</v>
      </c>
      <c r="X340" s="19">
        <f t="shared" si="79"/>
        <v>-0.16745283018867924</v>
      </c>
      <c r="Y340" s="369"/>
      <c r="Z340" s="369"/>
      <c r="AA340" s="369"/>
      <c r="AB340" s="369"/>
      <c r="AC340" s="369"/>
      <c r="AD340" s="369"/>
      <c r="AE340" s="369"/>
      <c r="AF340" s="369"/>
      <c r="AG340" s="369"/>
      <c r="AH340" s="369"/>
      <c r="AI340" s="369"/>
      <c r="AK340" s="48"/>
      <c r="AL340" s="48"/>
      <c r="AM340" s="48"/>
    </row>
    <row r="341" spans="1:39">
      <c r="A341" s="27">
        <v>45356</v>
      </c>
      <c r="B341" s="27">
        <f>IF(YEAR(Table7[[#This Row],[Date]]) = 2023, WEEKNUM(Table7[[#This Row],[Date]])-13, WEEKNUM(Table7[[#This Row],[Date]])+40)</f>
        <v>50</v>
      </c>
      <c r="C341" s="34" t="s">
        <v>50</v>
      </c>
      <c r="D341" s="62" t="s">
        <v>94</v>
      </c>
      <c r="E341" s="1">
        <v>333</v>
      </c>
      <c r="F341" s="1">
        <v>313</v>
      </c>
      <c r="G341" s="64">
        <f t="shared" si="74"/>
        <v>-0.16120906801007556</v>
      </c>
      <c r="H341" s="64">
        <f t="shared" si="75"/>
        <v>-0.15405405405405406</v>
      </c>
      <c r="I341" s="1"/>
      <c r="J341" s="1"/>
      <c r="K341" s="1"/>
      <c r="L341" s="1"/>
      <c r="M341" s="66">
        <v>0.81</v>
      </c>
      <c r="N341" s="66">
        <v>0.06</v>
      </c>
      <c r="O341" s="66">
        <v>0.94</v>
      </c>
      <c r="P341" s="66">
        <v>0.43</v>
      </c>
      <c r="Q341" s="87">
        <v>1</v>
      </c>
      <c r="R341" s="285">
        <v>192</v>
      </c>
      <c r="S341" s="145">
        <v>4.6527777777777779E-2</v>
      </c>
      <c r="T341" s="113">
        <v>5</v>
      </c>
      <c r="U341" s="66" t="str">
        <f t="shared" si="77"/>
        <v>Outlier</v>
      </c>
      <c r="V341" s="66" t="str">
        <f t="shared" si="78"/>
        <v>Normal</v>
      </c>
      <c r="W341" s="19">
        <f t="shared" si="76"/>
        <v>-0.16120906801007556</v>
      </c>
      <c r="X341" s="19">
        <f t="shared" si="79"/>
        <v>-0.15405405405405406</v>
      </c>
      <c r="Y341" s="369"/>
      <c r="Z341" s="369"/>
      <c r="AA341" s="369"/>
      <c r="AB341" s="369"/>
      <c r="AC341" s="369"/>
      <c r="AD341" s="369"/>
      <c r="AE341" s="369"/>
      <c r="AF341" s="369"/>
      <c r="AG341" s="369"/>
      <c r="AH341" s="369"/>
      <c r="AI341" s="369"/>
    </row>
    <row r="342" spans="1:39">
      <c r="A342" s="27">
        <v>45357</v>
      </c>
      <c r="B342" s="27">
        <f>IF(YEAR(Table7[[#This Row],[Date]]) = 2023, WEEKNUM(Table7[[#This Row],[Date]])-13, WEEKNUM(Table7[[#This Row],[Date]])+40)</f>
        <v>50</v>
      </c>
      <c r="C342" s="34" t="s">
        <v>51</v>
      </c>
      <c r="D342" s="62" t="s">
        <v>94</v>
      </c>
      <c r="E342" s="1">
        <v>327</v>
      </c>
      <c r="F342" s="1">
        <v>305</v>
      </c>
      <c r="G342" s="64">
        <f t="shared" si="74"/>
        <v>-0.26351351351351349</v>
      </c>
      <c r="H342" s="64">
        <f t="shared" si="75"/>
        <v>-0.12857142857142856</v>
      </c>
      <c r="I342" s="1"/>
      <c r="J342" s="1"/>
      <c r="K342" s="1"/>
      <c r="L342" s="1"/>
      <c r="M342" s="66">
        <v>0.82</v>
      </c>
      <c r="N342" s="66">
        <v>7.0000000000000007E-2</v>
      </c>
      <c r="O342" s="66">
        <v>0.93</v>
      </c>
      <c r="P342" s="66">
        <v>0.42</v>
      </c>
      <c r="Q342" s="87">
        <v>1</v>
      </c>
      <c r="R342" s="285">
        <v>220</v>
      </c>
      <c r="S342" s="145">
        <v>3.4722222222222224E-2</v>
      </c>
      <c r="T342" s="113">
        <v>5</v>
      </c>
      <c r="U342" s="66" t="str">
        <f t="shared" si="77"/>
        <v>Outlier</v>
      </c>
      <c r="V342" s="66" t="str">
        <f t="shared" si="78"/>
        <v>Normal</v>
      </c>
      <c r="W342" s="19">
        <f t="shared" si="76"/>
        <v>-0.26351351351351349</v>
      </c>
      <c r="X342" s="19">
        <f t="shared" si="79"/>
        <v>-0.12857142857142856</v>
      </c>
      <c r="Y342" s="369"/>
      <c r="Z342" s="369"/>
      <c r="AA342" s="369"/>
      <c r="AB342" s="369"/>
      <c r="AC342" s="369"/>
      <c r="AD342" s="369"/>
      <c r="AE342" s="369"/>
      <c r="AF342" s="369"/>
      <c r="AG342" s="369"/>
      <c r="AH342" s="369"/>
      <c r="AI342" s="369"/>
    </row>
    <row r="343" spans="1:39">
      <c r="A343" s="27">
        <v>45358</v>
      </c>
      <c r="B343" s="27">
        <f>IF(YEAR(Table7[[#This Row],[Date]]) = 2023, WEEKNUM(Table7[[#This Row],[Date]])-13, WEEKNUM(Table7[[#This Row],[Date]])+40)</f>
        <v>50</v>
      </c>
      <c r="C343" s="34" t="s">
        <v>52</v>
      </c>
      <c r="D343" s="62" t="s">
        <v>94</v>
      </c>
      <c r="E343" s="1">
        <v>306</v>
      </c>
      <c r="F343" s="1">
        <v>277</v>
      </c>
      <c r="G343" s="64">
        <f t="shared" si="74"/>
        <v>-0.15469613259668508</v>
      </c>
      <c r="H343" s="64">
        <f t="shared" si="75"/>
        <v>-0.10932475884244373</v>
      </c>
      <c r="I343" s="1"/>
      <c r="J343" s="1"/>
      <c r="K343" s="1"/>
      <c r="L343" s="1"/>
      <c r="M343" s="66">
        <v>0.82</v>
      </c>
      <c r="N343" s="66">
        <v>0.09</v>
      </c>
      <c r="O343" s="66">
        <v>0.91</v>
      </c>
      <c r="P343" s="66">
        <v>0.38</v>
      </c>
      <c r="Q343" s="87">
        <v>1</v>
      </c>
      <c r="R343" s="285">
        <v>202</v>
      </c>
      <c r="S343" s="145">
        <v>3.4722222222222224E-2</v>
      </c>
      <c r="T343" s="113">
        <v>5</v>
      </c>
      <c r="U343" s="66" t="str">
        <f t="shared" si="77"/>
        <v>Outlier</v>
      </c>
      <c r="V343" s="66" t="str">
        <f t="shared" si="78"/>
        <v>Normal</v>
      </c>
      <c r="W343" s="19">
        <f t="shared" si="76"/>
        <v>-0.15469613259668508</v>
      </c>
      <c r="X343" s="19">
        <f t="shared" si="79"/>
        <v>-0.10932475884244373</v>
      </c>
      <c r="Y343" s="369"/>
      <c r="Z343" s="369"/>
      <c r="AA343" s="369"/>
      <c r="AB343" s="369"/>
      <c r="AC343" s="369"/>
      <c r="AD343" s="369"/>
      <c r="AE343" s="369"/>
      <c r="AF343" s="369"/>
      <c r="AG343" s="369"/>
      <c r="AH343" s="369"/>
      <c r="AI343" s="369"/>
    </row>
    <row r="344" spans="1:39">
      <c r="A344" s="27">
        <v>45359</v>
      </c>
      <c r="B344" s="27">
        <f>IF(YEAR(Table7[[#This Row],[Date]]) = 2023, WEEKNUM(Table7[[#This Row],[Date]])-13, WEEKNUM(Table7[[#This Row],[Date]])+40)</f>
        <v>50</v>
      </c>
      <c r="C344" s="34" t="s">
        <v>53</v>
      </c>
      <c r="D344" s="62" t="s">
        <v>94</v>
      </c>
      <c r="E344" s="1">
        <v>283</v>
      </c>
      <c r="F344" s="1">
        <v>276</v>
      </c>
      <c r="G344" s="64">
        <f t="shared" si="74"/>
        <v>-0.26493506493506491</v>
      </c>
      <c r="H344" s="64">
        <f t="shared" si="75"/>
        <v>-0.18343195266272189</v>
      </c>
      <c r="I344" s="1"/>
      <c r="J344" s="1"/>
      <c r="K344" s="1"/>
      <c r="L344" s="1"/>
      <c r="M344" s="66">
        <v>0.93</v>
      </c>
      <c r="N344" s="66">
        <v>0.02</v>
      </c>
      <c r="O344" s="66">
        <v>0.98</v>
      </c>
      <c r="P344" s="66">
        <v>0.38</v>
      </c>
      <c r="Q344" s="87">
        <v>1</v>
      </c>
      <c r="R344" s="285">
        <v>182</v>
      </c>
      <c r="S344" s="145">
        <v>2.1527777777777781E-2</v>
      </c>
      <c r="T344" s="113">
        <v>5</v>
      </c>
      <c r="U344" s="66" t="str">
        <f t="shared" si="77"/>
        <v>Outlier</v>
      </c>
      <c r="V344" s="66" t="str">
        <f t="shared" si="78"/>
        <v>Normal</v>
      </c>
      <c r="W344" s="19">
        <f t="shared" si="76"/>
        <v>-0.26493506493506491</v>
      </c>
      <c r="X344" s="19">
        <f t="shared" si="79"/>
        <v>-0.18343195266272189</v>
      </c>
      <c r="Y344" s="369"/>
      <c r="Z344" s="369"/>
      <c r="AA344" s="369"/>
      <c r="AB344" s="369"/>
      <c r="AC344" s="369"/>
      <c r="AD344" s="369"/>
      <c r="AE344" s="369"/>
      <c r="AF344" s="369"/>
      <c r="AG344" s="369"/>
      <c r="AH344" s="369"/>
      <c r="AI344" s="369"/>
    </row>
    <row r="345" spans="1:39">
      <c r="A345" s="27">
        <v>45360</v>
      </c>
      <c r="B345" s="27">
        <f>IF(YEAR(Table7[[#This Row],[Date]]) = 2023, WEEKNUM(Table7[[#This Row],[Date]])-13, WEEKNUM(Table7[[#This Row],[Date]])+40)</f>
        <v>50</v>
      </c>
      <c r="C345" s="34" t="s">
        <v>54</v>
      </c>
      <c r="D345" s="62" t="s">
        <v>94</v>
      </c>
      <c r="E345" s="1">
        <v>189</v>
      </c>
      <c r="F345" s="1">
        <v>164</v>
      </c>
      <c r="G345" s="64">
        <f t="shared" si="74"/>
        <v>1.6129032258064516E-2</v>
      </c>
      <c r="H345" s="64">
        <f t="shared" si="75"/>
        <v>-5.2023121387283239E-2</v>
      </c>
      <c r="I345" s="1"/>
      <c r="J345" s="1"/>
      <c r="K345" s="1"/>
      <c r="L345" s="1"/>
      <c r="M345" s="66">
        <v>0.64</v>
      </c>
      <c r="N345" s="66">
        <v>0.13</v>
      </c>
      <c r="O345" s="66">
        <v>0.87</v>
      </c>
      <c r="P345" s="66">
        <v>0.75</v>
      </c>
      <c r="Q345" s="87">
        <v>1</v>
      </c>
      <c r="R345" s="285">
        <v>186</v>
      </c>
      <c r="S345" s="145">
        <v>0.15694444444444444</v>
      </c>
      <c r="T345" s="113">
        <v>2</v>
      </c>
      <c r="U345" s="66" t="str">
        <f t="shared" si="77"/>
        <v>Outlier</v>
      </c>
      <c r="V345" s="66" t="str">
        <f t="shared" si="78"/>
        <v>Normal</v>
      </c>
      <c r="W345" s="19">
        <f t="shared" si="76"/>
        <v>1.6129032258064516E-2</v>
      </c>
      <c r="X345" s="19">
        <f t="shared" si="79"/>
        <v>-5.2023121387283239E-2</v>
      </c>
      <c r="Y345" s="369"/>
      <c r="Z345" s="369"/>
      <c r="AA345" s="369"/>
      <c r="AB345" s="369"/>
      <c r="AC345" s="369"/>
      <c r="AD345" s="369"/>
      <c r="AE345" s="369"/>
      <c r="AF345" s="369"/>
      <c r="AG345" s="369"/>
      <c r="AH345" s="369"/>
      <c r="AI345" s="369"/>
    </row>
    <row r="346" spans="1:39">
      <c r="A346" s="27">
        <v>45361</v>
      </c>
      <c r="B346" s="27">
        <f>IF(YEAR(Table7[[#This Row],[Date]]) = 2023, WEEKNUM(Table7[[#This Row],[Date]])-13, WEEKNUM(Table7[[#This Row],[Date]])+40)</f>
        <v>51</v>
      </c>
      <c r="C346" s="34" t="s">
        <v>48</v>
      </c>
      <c r="D346" s="62" t="s">
        <v>94</v>
      </c>
      <c r="E346" s="1">
        <v>0</v>
      </c>
      <c r="F346" s="1">
        <v>0</v>
      </c>
      <c r="G346" s="64">
        <f t="shared" si="74"/>
        <v>0</v>
      </c>
      <c r="H346" s="64">
        <f t="shared" si="75"/>
        <v>0</v>
      </c>
      <c r="I346" s="1">
        <v>0</v>
      </c>
      <c r="J346" s="1">
        <v>0</v>
      </c>
      <c r="K346" s="1">
        <v>0</v>
      </c>
      <c r="L346" s="1">
        <v>0</v>
      </c>
      <c r="M346" s="66">
        <v>0</v>
      </c>
      <c r="N346" s="66">
        <v>0</v>
      </c>
      <c r="O346" s="66">
        <v>0</v>
      </c>
      <c r="P346" s="66">
        <v>0</v>
      </c>
      <c r="Q346" s="87">
        <v>0</v>
      </c>
      <c r="R346" s="285">
        <v>0</v>
      </c>
      <c r="S346" s="145">
        <v>0</v>
      </c>
      <c r="T346" s="113">
        <v>0</v>
      </c>
      <c r="U346" s="66" t="str">
        <f t="shared" si="77"/>
        <v>Normal</v>
      </c>
      <c r="V346" s="66" t="str">
        <f t="shared" si="78"/>
        <v>Normal</v>
      </c>
      <c r="W346" s="19">
        <f t="shared" si="76"/>
        <v>0</v>
      </c>
      <c r="X346" s="19">
        <f t="shared" si="79"/>
        <v>0</v>
      </c>
      <c r="Y346" s="369"/>
      <c r="Z346" s="369"/>
      <c r="AA346" s="369"/>
      <c r="AB346" s="369"/>
      <c r="AC346" s="369"/>
      <c r="AD346" s="369"/>
      <c r="AE346" s="369"/>
      <c r="AF346" s="369"/>
      <c r="AG346" s="369"/>
      <c r="AH346" s="369"/>
      <c r="AI346" s="369"/>
    </row>
    <row r="347" spans="1:39">
      <c r="A347" s="27">
        <v>45362</v>
      </c>
      <c r="B347" s="27">
        <f>IF(YEAR(Table7[[#This Row],[Date]]) = 2023, WEEKNUM(Table7[[#This Row],[Date]])-13, WEEKNUM(Table7[[#This Row],[Date]])+40)</f>
        <v>51</v>
      </c>
      <c r="C347" s="34" t="s">
        <v>49</v>
      </c>
      <c r="D347" s="62" t="s">
        <v>94</v>
      </c>
      <c r="E347" s="1">
        <v>368</v>
      </c>
      <c r="F347" s="1">
        <v>360</v>
      </c>
      <c r="G347" s="64">
        <f t="shared" si="74"/>
        <v>-7.0707070707070704E-2</v>
      </c>
      <c r="H347" s="64">
        <f t="shared" si="75"/>
        <v>1.9830028328611898E-2</v>
      </c>
      <c r="I347" s="1"/>
      <c r="J347" s="1"/>
      <c r="K347" s="1"/>
      <c r="L347" s="1"/>
      <c r="M347" s="66">
        <v>0.92</v>
      </c>
      <c r="N347" s="66">
        <v>0.02</v>
      </c>
      <c r="O347" s="66">
        <v>0.98</v>
      </c>
      <c r="P347" s="66">
        <v>0.35</v>
      </c>
      <c r="Q347" s="87">
        <v>1</v>
      </c>
      <c r="R347" s="285">
        <v>186</v>
      </c>
      <c r="S347" s="145">
        <v>1.8749999999999999E-2</v>
      </c>
      <c r="T347" s="113">
        <v>7</v>
      </c>
      <c r="U347" s="66" t="str">
        <f t="shared" si="77"/>
        <v>Normal</v>
      </c>
      <c r="V347" s="66" t="str">
        <f t="shared" si="78"/>
        <v>Normal</v>
      </c>
      <c r="W347" s="19">
        <f t="shared" si="76"/>
        <v>-7.0707070707070704E-2</v>
      </c>
      <c r="X347" s="19">
        <f t="shared" si="79"/>
        <v>1.9830028328611898E-2</v>
      </c>
      <c r="Y347" s="369"/>
      <c r="Z347" s="369"/>
      <c r="AA347" s="369"/>
      <c r="AB347" s="369"/>
      <c r="AC347" s="369"/>
      <c r="AD347" s="369"/>
      <c r="AE347" s="369"/>
      <c r="AF347" s="369"/>
      <c r="AG347" s="369"/>
      <c r="AH347" s="369"/>
      <c r="AI347" s="369"/>
    </row>
    <row r="348" spans="1:39">
      <c r="A348" s="27">
        <v>45363</v>
      </c>
      <c r="B348" s="27">
        <f>IF(YEAR(Table7[[#This Row],[Date]]) = 2023, WEEKNUM(Table7[[#This Row],[Date]])-13, WEEKNUM(Table7[[#This Row],[Date]])+40)</f>
        <v>51</v>
      </c>
      <c r="C348" s="34" t="s">
        <v>50</v>
      </c>
      <c r="D348" s="62" t="s">
        <v>94</v>
      </c>
      <c r="E348" s="1">
        <v>335</v>
      </c>
      <c r="F348" s="1">
        <v>323</v>
      </c>
      <c r="G348" s="64">
        <f t="shared" ref="G348:G367" si="80">IFERROR((E348-E341)/E341,0%)</f>
        <v>6.006006006006006E-3</v>
      </c>
      <c r="H348" s="64">
        <f t="shared" ref="H348:H367" si="81">IFERROR((F348-F341)/F341,0%)</f>
        <v>3.1948881789137379E-2</v>
      </c>
      <c r="I348" s="1"/>
      <c r="J348" s="1"/>
      <c r="K348" s="1"/>
      <c r="L348" s="1"/>
      <c r="M348" s="66">
        <v>0.82</v>
      </c>
      <c r="N348" s="66">
        <v>0.04</v>
      </c>
      <c r="O348" s="66">
        <v>0.96</v>
      </c>
      <c r="P348" s="66">
        <v>0.45</v>
      </c>
      <c r="Q348" s="87">
        <v>1</v>
      </c>
      <c r="R348" s="285">
        <v>204</v>
      </c>
      <c r="S348" s="145">
        <v>4.5138888888888888E-2</v>
      </c>
      <c r="T348" s="113">
        <v>5</v>
      </c>
      <c r="U348" s="66" t="str">
        <f t="shared" si="77"/>
        <v>Normal</v>
      </c>
      <c r="V348" s="66" t="str">
        <f t="shared" si="78"/>
        <v>Normal</v>
      </c>
      <c r="W348" s="19">
        <f t="shared" si="76"/>
        <v>6.006006006006006E-3</v>
      </c>
      <c r="X348" s="19">
        <f t="shared" si="79"/>
        <v>3.1948881789137379E-2</v>
      </c>
      <c r="Y348" s="369"/>
      <c r="Z348" s="369"/>
      <c r="AA348" s="369"/>
      <c r="AB348" s="369"/>
      <c r="AC348" s="369"/>
      <c r="AD348" s="369"/>
      <c r="AE348" s="369"/>
      <c r="AF348" s="369"/>
      <c r="AG348" s="369"/>
      <c r="AH348" s="369"/>
      <c r="AI348" s="369"/>
    </row>
    <row r="349" spans="1:39">
      <c r="A349" s="27">
        <v>45364</v>
      </c>
      <c r="B349" s="27">
        <f>IF(YEAR(Table7[[#This Row],[Date]]) = 2023, WEEKNUM(Table7[[#This Row],[Date]])-13, WEEKNUM(Table7[[#This Row],[Date]])+40)</f>
        <v>51</v>
      </c>
      <c r="C349" s="34" t="s">
        <v>51</v>
      </c>
      <c r="D349" s="62" t="s">
        <v>94</v>
      </c>
      <c r="E349" s="1">
        <v>386</v>
      </c>
      <c r="F349" s="1">
        <v>353</v>
      </c>
      <c r="G349" s="64">
        <f t="shared" si="80"/>
        <v>0.18042813455657492</v>
      </c>
      <c r="H349" s="64">
        <f t="shared" si="81"/>
        <v>0.15737704918032788</v>
      </c>
      <c r="I349" s="1"/>
      <c r="J349" s="1"/>
      <c r="K349" s="1"/>
      <c r="L349" s="1"/>
      <c r="M349" s="66">
        <v>0.79</v>
      </c>
      <c r="N349" s="66">
        <v>0.09</v>
      </c>
      <c r="O349" s="66">
        <v>0.91</v>
      </c>
      <c r="P349" s="66">
        <v>0.61</v>
      </c>
      <c r="Q349" s="87">
        <v>1</v>
      </c>
      <c r="R349" s="285">
        <v>177</v>
      </c>
      <c r="S349" s="145">
        <v>4.7916666666666663E-2</v>
      </c>
      <c r="T349" s="113">
        <v>4</v>
      </c>
      <c r="U349" s="66" t="str">
        <f t="shared" si="77"/>
        <v>Normal</v>
      </c>
      <c r="V349" s="66" t="str">
        <f t="shared" si="78"/>
        <v>Normal</v>
      </c>
      <c r="W349" s="19">
        <f t="shared" ref="W349:W367" si="82">IF(U349="Normal",$G349,IF($G349&lt;150%, $G349, $AJ$9))</f>
        <v>0.18042813455657492</v>
      </c>
      <c r="X349" s="19">
        <f t="shared" si="79"/>
        <v>0.15737704918032788</v>
      </c>
      <c r="Y349" s="369"/>
      <c r="Z349" s="369"/>
      <c r="AA349" s="369"/>
      <c r="AB349" s="369"/>
      <c r="AC349" s="369"/>
      <c r="AD349" s="369"/>
      <c r="AE349" s="369"/>
      <c r="AF349" s="369"/>
      <c r="AG349" s="369"/>
      <c r="AH349" s="369"/>
      <c r="AI349" s="369"/>
    </row>
    <row r="350" spans="1:39">
      <c r="A350" s="27">
        <v>45365</v>
      </c>
      <c r="B350" s="27">
        <f>IF(YEAR(Table7[[#This Row],[Date]]) = 2023, WEEKNUM(Table7[[#This Row],[Date]])-13, WEEKNUM(Table7[[#This Row],[Date]])+40)</f>
        <v>51</v>
      </c>
      <c r="C350" s="34" t="s">
        <v>52</v>
      </c>
      <c r="D350" s="62" t="s">
        <v>94</v>
      </c>
      <c r="E350" s="1">
        <v>355</v>
      </c>
      <c r="F350" s="1">
        <v>335</v>
      </c>
      <c r="G350" s="64">
        <f t="shared" si="80"/>
        <v>0.16013071895424835</v>
      </c>
      <c r="H350" s="64">
        <f t="shared" si="81"/>
        <v>0.20938628158844766</v>
      </c>
      <c r="I350" s="1"/>
      <c r="J350" s="1"/>
      <c r="K350" s="1"/>
      <c r="L350" s="1"/>
      <c r="M350" s="66">
        <v>0.82</v>
      </c>
      <c r="N350" s="66">
        <v>0.06</v>
      </c>
      <c r="O350" s="66">
        <v>0.94</v>
      </c>
      <c r="P350" s="66">
        <v>0.46</v>
      </c>
      <c r="Q350" s="87">
        <v>1</v>
      </c>
      <c r="R350" s="285">
        <v>186</v>
      </c>
      <c r="S350" s="145">
        <v>3.4722222222222224E-2</v>
      </c>
      <c r="T350" s="113">
        <v>5</v>
      </c>
      <c r="U350" s="66" t="str">
        <f t="shared" si="77"/>
        <v>Normal</v>
      </c>
      <c r="V350" s="66" t="str">
        <f t="shared" si="78"/>
        <v>Normal</v>
      </c>
      <c r="W350" s="19">
        <f t="shared" si="82"/>
        <v>0.16013071895424835</v>
      </c>
      <c r="X350" s="19">
        <f t="shared" si="79"/>
        <v>0.20938628158844766</v>
      </c>
      <c r="Y350" s="369"/>
      <c r="Z350" s="369"/>
      <c r="AA350" s="369"/>
      <c r="AB350" s="369"/>
      <c r="AC350" s="369"/>
      <c r="AD350" s="369"/>
      <c r="AE350" s="369"/>
      <c r="AF350" s="369"/>
      <c r="AG350" s="369"/>
      <c r="AH350" s="369"/>
      <c r="AI350" s="369"/>
    </row>
    <row r="351" spans="1:39">
      <c r="A351" s="27">
        <v>45366</v>
      </c>
      <c r="B351" s="27">
        <f>IF(YEAR(Table7[[#This Row],[Date]]) = 2023, WEEKNUM(Table7[[#This Row],[Date]])-13, WEEKNUM(Table7[[#This Row],[Date]])+40)</f>
        <v>51</v>
      </c>
      <c r="C351" s="34" t="s">
        <v>53</v>
      </c>
      <c r="D351" s="62" t="s">
        <v>94</v>
      </c>
      <c r="E351" s="1">
        <v>355</v>
      </c>
      <c r="F351" s="1">
        <v>343</v>
      </c>
      <c r="G351" s="64">
        <f t="shared" si="80"/>
        <v>0.25441696113074203</v>
      </c>
      <c r="H351" s="64">
        <f t="shared" si="81"/>
        <v>0.24275362318840579</v>
      </c>
      <c r="I351" s="1"/>
      <c r="J351" s="1"/>
      <c r="K351" s="1"/>
      <c r="L351" s="1"/>
      <c r="M351" s="66">
        <v>0.94</v>
      </c>
      <c r="N351" s="66">
        <v>0.03</v>
      </c>
      <c r="O351" s="66">
        <v>0.97</v>
      </c>
      <c r="P351" s="66">
        <v>0.39</v>
      </c>
      <c r="Q351" s="87">
        <v>1</v>
      </c>
      <c r="R351" s="285">
        <v>173</v>
      </c>
      <c r="S351" s="145">
        <v>1.3194444444444444E-2</v>
      </c>
      <c r="T351" s="113">
        <v>6</v>
      </c>
      <c r="U351" s="66" t="str">
        <f t="shared" si="77"/>
        <v>Normal</v>
      </c>
      <c r="V351" s="66" t="str">
        <f t="shared" si="78"/>
        <v>Normal</v>
      </c>
      <c r="W351" s="19">
        <f t="shared" si="82"/>
        <v>0.25441696113074203</v>
      </c>
      <c r="X351" s="19">
        <f t="shared" si="79"/>
        <v>0.24275362318840579</v>
      </c>
      <c r="Y351" s="369"/>
      <c r="Z351" s="369"/>
      <c r="AA351" s="369"/>
      <c r="AB351" s="369"/>
      <c r="AC351" s="369"/>
      <c r="AD351" s="369"/>
      <c r="AE351" s="369"/>
      <c r="AF351" s="369"/>
      <c r="AG351" s="369"/>
      <c r="AH351" s="369"/>
      <c r="AI351" s="369"/>
    </row>
    <row r="352" spans="1:39">
      <c r="A352" s="27">
        <v>45367</v>
      </c>
      <c r="B352" s="27">
        <f>IF(YEAR(Table7[[#This Row],[Date]]) = 2023, WEEKNUM(Table7[[#This Row],[Date]])-13, WEEKNUM(Table7[[#This Row],[Date]])+40)</f>
        <v>51</v>
      </c>
      <c r="C352" s="34" t="s">
        <v>54</v>
      </c>
      <c r="D352" s="62" t="s">
        <v>94</v>
      </c>
      <c r="E352" s="1">
        <v>215</v>
      </c>
      <c r="F352" s="1">
        <v>201</v>
      </c>
      <c r="G352" s="64">
        <f t="shared" si="80"/>
        <v>0.13756613756613756</v>
      </c>
      <c r="H352" s="64">
        <f t="shared" si="81"/>
        <v>0.22560975609756098</v>
      </c>
      <c r="I352" s="1"/>
      <c r="J352" s="1"/>
      <c r="K352" s="1"/>
      <c r="L352" s="1"/>
      <c r="M352" s="66">
        <v>0.77</v>
      </c>
      <c r="N352" s="66">
        <v>0.06</v>
      </c>
      <c r="O352" s="66">
        <v>0.94</v>
      </c>
      <c r="P352" s="66">
        <v>0.46</v>
      </c>
      <c r="Q352" s="87">
        <v>1</v>
      </c>
      <c r="R352" s="285">
        <v>184</v>
      </c>
      <c r="S352" s="145">
        <v>4.027777777777778E-2</v>
      </c>
      <c r="T352" s="113">
        <v>4</v>
      </c>
      <c r="U352" s="66" t="str">
        <f t="shared" si="77"/>
        <v>Normal</v>
      </c>
      <c r="V352" s="66" t="str">
        <f t="shared" si="78"/>
        <v>Normal</v>
      </c>
      <c r="W352" s="19">
        <f t="shared" si="82"/>
        <v>0.13756613756613756</v>
      </c>
      <c r="X352" s="19">
        <f t="shared" si="79"/>
        <v>0.22560975609756098</v>
      </c>
      <c r="Y352" s="369"/>
      <c r="Z352" s="369"/>
      <c r="AA352" s="369"/>
      <c r="AB352" s="369"/>
      <c r="AC352" s="369"/>
      <c r="AD352" s="369"/>
      <c r="AE352" s="369"/>
      <c r="AF352" s="369"/>
      <c r="AG352" s="369"/>
      <c r="AH352" s="369"/>
      <c r="AI352" s="369"/>
    </row>
    <row r="353" spans="1:35">
      <c r="A353" s="27">
        <v>45368</v>
      </c>
      <c r="B353" s="27">
        <f>IF(YEAR(Table7[[#This Row],[Date]]) = 2023, WEEKNUM(Table7[[#This Row],[Date]])-13, WEEKNUM(Table7[[#This Row],[Date]])+40)</f>
        <v>52</v>
      </c>
      <c r="C353" s="34" t="s">
        <v>48</v>
      </c>
      <c r="D353" s="62" t="s">
        <v>94</v>
      </c>
      <c r="E353" s="1">
        <v>0</v>
      </c>
      <c r="F353" s="1">
        <v>0</v>
      </c>
      <c r="G353" s="64">
        <f t="shared" si="80"/>
        <v>0</v>
      </c>
      <c r="H353" s="64">
        <f t="shared" si="81"/>
        <v>0</v>
      </c>
      <c r="I353" s="1">
        <v>0</v>
      </c>
      <c r="J353" s="1">
        <v>0</v>
      </c>
      <c r="K353" s="1">
        <v>0</v>
      </c>
      <c r="L353" s="1">
        <v>0</v>
      </c>
      <c r="M353" s="66">
        <v>0</v>
      </c>
      <c r="N353" s="66">
        <v>0</v>
      </c>
      <c r="O353" s="66">
        <v>0</v>
      </c>
      <c r="P353" s="66">
        <v>0</v>
      </c>
      <c r="Q353" s="87">
        <v>0</v>
      </c>
      <c r="R353" s="285">
        <v>0</v>
      </c>
      <c r="S353" s="145">
        <v>0</v>
      </c>
      <c r="T353" s="113">
        <v>0</v>
      </c>
      <c r="U353" s="66" t="str">
        <f t="shared" si="77"/>
        <v>Normal</v>
      </c>
      <c r="V353" s="66" t="str">
        <f t="shared" si="78"/>
        <v>Normal</v>
      </c>
      <c r="W353" s="19">
        <f t="shared" si="82"/>
        <v>0</v>
      </c>
      <c r="X353" s="19">
        <f t="shared" si="79"/>
        <v>0</v>
      </c>
      <c r="Y353" s="369"/>
      <c r="Z353" s="369"/>
      <c r="AA353" s="369"/>
      <c r="AB353" s="369"/>
      <c r="AC353" s="369"/>
      <c r="AD353" s="369"/>
      <c r="AE353" s="369"/>
      <c r="AF353" s="369"/>
      <c r="AG353" s="369"/>
      <c r="AH353" s="369"/>
      <c r="AI353" s="369"/>
    </row>
    <row r="354" spans="1:35">
      <c r="A354" s="27">
        <v>45369</v>
      </c>
      <c r="B354" s="27">
        <f>IF(YEAR(Table7[[#This Row],[Date]]) = 2023, WEEKNUM(Table7[[#This Row],[Date]])-13, WEEKNUM(Table7[[#This Row],[Date]])+40)</f>
        <v>52</v>
      </c>
      <c r="C354" s="34" t="s">
        <v>49</v>
      </c>
      <c r="D354" s="62" t="s">
        <v>94</v>
      </c>
      <c r="E354" s="1">
        <v>387</v>
      </c>
      <c r="F354" s="1">
        <v>349</v>
      </c>
      <c r="G354" s="64">
        <f t="shared" si="80"/>
        <v>5.1630434782608696E-2</v>
      </c>
      <c r="H354" s="64">
        <f t="shared" si="81"/>
        <v>-3.0555555555555555E-2</v>
      </c>
      <c r="I354" s="1"/>
      <c r="J354" s="1"/>
      <c r="K354" s="1"/>
      <c r="L354" s="1"/>
      <c r="M354" s="66">
        <v>0.69</v>
      </c>
      <c r="N354" s="66">
        <v>0.09</v>
      </c>
      <c r="O354" s="66">
        <v>0.91</v>
      </c>
      <c r="P354" s="66">
        <v>0.4</v>
      </c>
      <c r="Q354" s="87">
        <v>1</v>
      </c>
      <c r="R354" s="285">
        <v>192</v>
      </c>
      <c r="S354" s="145">
        <v>5.486111111111111E-2</v>
      </c>
      <c r="T354" s="113">
        <v>6</v>
      </c>
      <c r="U354" s="66" t="str">
        <f t="shared" si="77"/>
        <v>Outlier</v>
      </c>
      <c r="V354" s="66" t="str">
        <f t="shared" si="78"/>
        <v>Normal</v>
      </c>
      <c r="W354" s="19">
        <f t="shared" si="82"/>
        <v>5.1630434782608696E-2</v>
      </c>
      <c r="X354" s="19">
        <f t="shared" si="79"/>
        <v>-3.0555555555555555E-2</v>
      </c>
      <c r="Y354" s="369"/>
      <c r="Z354" s="369"/>
      <c r="AA354" s="369"/>
      <c r="AB354" s="369"/>
      <c r="AC354" s="369"/>
      <c r="AD354" s="369"/>
      <c r="AE354" s="369"/>
      <c r="AF354" s="369"/>
      <c r="AG354" s="369"/>
      <c r="AH354" s="369"/>
      <c r="AI354" s="369"/>
    </row>
    <row r="355" spans="1:35">
      <c r="A355" s="27">
        <v>45370</v>
      </c>
      <c r="B355" s="27">
        <f>IF(YEAR(Table7[[#This Row],[Date]]) = 2023, WEEKNUM(Table7[[#This Row],[Date]])-13, WEEKNUM(Table7[[#This Row],[Date]])+40)</f>
        <v>52</v>
      </c>
      <c r="C355" s="34" t="s">
        <v>50</v>
      </c>
      <c r="D355" s="62" t="s">
        <v>94</v>
      </c>
      <c r="E355" s="1">
        <v>338</v>
      </c>
      <c r="F355" s="1">
        <v>330</v>
      </c>
      <c r="G355" s="64">
        <f t="shared" si="80"/>
        <v>8.9552238805970154E-3</v>
      </c>
      <c r="H355" s="64">
        <f t="shared" si="81"/>
        <v>2.1671826625386997E-2</v>
      </c>
      <c r="I355" s="1"/>
      <c r="J355" s="1"/>
      <c r="K355" s="1"/>
      <c r="L355" s="1"/>
      <c r="M355" s="66">
        <v>0.94</v>
      </c>
      <c r="N355" s="66">
        <v>0.02</v>
      </c>
      <c r="O355" s="66">
        <v>0.98</v>
      </c>
      <c r="P355" s="66">
        <v>0.38</v>
      </c>
      <c r="Q355" s="87">
        <v>1</v>
      </c>
      <c r="R355" s="285">
        <v>199</v>
      </c>
      <c r="S355" s="145">
        <v>1.3194444444444444E-2</v>
      </c>
      <c r="T355" s="113">
        <v>6</v>
      </c>
      <c r="U355" s="66" t="str">
        <f t="shared" si="77"/>
        <v>Normal</v>
      </c>
      <c r="V355" s="66" t="str">
        <f t="shared" si="78"/>
        <v>Normal</v>
      </c>
      <c r="W355" s="19">
        <f t="shared" si="82"/>
        <v>8.9552238805970154E-3</v>
      </c>
      <c r="X355" s="19">
        <f t="shared" si="79"/>
        <v>2.1671826625386997E-2</v>
      </c>
      <c r="Y355" s="369"/>
      <c r="Z355" s="369"/>
      <c r="AA355" s="369"/>
      <c r="AB355" s="369"/>
      <c r="AC355" s="369"/>
      <c r="AD355" s="369"/>
      <c r="AE355" s="369"/>
      <c r="AF355" s="369"/>
      <c r="AG355" s="369"/>
      <c r="AH355" s="369"/>
      <c r="AI355" s="369"/>
    </row>
    <row r="356" spans="1:35">
      <c r="A356" s="27">
        <v>45371</v>
      </c>
      <c r="B356" s="27">
        <f>IF(YEAR(Table7[[#This Row],[Date]]) = 2023, WEEKNUM(Table7[[#This Row],[Date]])-13, WEEKNUM(Table7[[#This Row],[Date]])+40)</f>
        <v>52</v>
      </c>
      <c r="C356" s="34" t="s">
        <v>51</v>
      </c>
      <c r="D356" s="62" t="s">
        <v>94</v>
      </c>
      <c r="E356" s="1">
        <v>283</v>
      </c>
      <c r="F356" s="1">
        <v>278</v>
      </c>
      <c r="G356" s="64">
        <f t="shared" si="80"/>
        <v>-0.26683937823834197</v>
      </c>
      <c r="H356" s="64">
        <f t="shared" si="81"/>
        <v>-0.21246458923512748</v>
      </c>
      <c r="I356" s="1"/>
      <c r="J356" s="1"/>
      <c r="K356" s="1"/>
      <c r="L356" s="1"/>
      <c r="M356" s="66">
        <v>0.96</v>
      </c>
      <c r="N356" s="66">
        <v>0.02</v>
      </c>
      <c r="O356" s="66">
        <v>0.98</v>
      </c>
      <c r="P356" s="66">
        <v>0.32</v>
      </c>
      <c r="Q356" s="87">
        <v>1</v>
      </c>
      <c r="R356" s="285">
        <v>190</v>
      </c>
      <c r="S356" s="145">
        <v>1.3194444444444444E-2</v>
      </c>
      <c r="T356" s="113">
        <v>6</v>
      </c>
      <c r="U356" s="66" t="str">
        <f t="shared" si="77"/>
        <v>Outlier</v>
      </c>
      <c r="V356" s="66" t="str">
        <f t="shared" si="78"/>
        <v>Normal</v>
      </c>
      <c r="W356" s="19">
        <f t="shared" si="82"/>
        <v>-0.26683937823834197</v>
      </c>
      <c r="X356" s="19">
        <f t="shared" si="79"/>
        <v>-0.21246458923512748</v>
      </c>
      <c r="Y356" s="369"/>
      <c r="Z356" s="369"/>
      <c r="AA356" s="369"/>
      <c r="AB356" s="369"/>
      <c r="AC356" s="369"/>
      <c r="AD356" s="369"/>
      <c r="AE356" s="369"/>
      <c r="AF356" s="369"/>
      <c r="AG356" s="369"/>
      <c r="AH356" s="369"/>
      <c r="AI356" s="369"/>
    </row>
    <row r="357" spans="1:35">
      <c r="A357" s="27">
        <v>45372</v>
      </c>
      <c r="B357" s="27">
        <f>IF(YEAR(Table7[[#This Row],[Date]]) = 2023, WEEKNUM(Table7[[#This Row],[Date]])-13, WEEKNUM(Table7[[#This Row],[Date]])+40)</f>
        <v>52</v>
      </c>
      <c r="C357" s="34" t="s">
        <v>52</v>
      </c>
      <c r="D357" s="62" t="s">
        <v>94</v>
      </c>
      <c r="E357" s="1">
        <v>334</v>
      </c>
      <c r="F357" s="1">
        <v>316</v>
      </c>
      <c r="G357" s="64">
        <f t="shared" si="80"/>
        <v>-5.9154929577464786E-2</v>
      </c>
      <c r="H357" s="64">
        <f t="shared" si="81"/>
        <v>-5.6716417910447764E-2</v>
      </c>
      <c r="I357" s="1"/>
      <c r="J357" s="1"/>
      <c r="K357" s="1"/>
      <c r="L357" s="1"/>
      <c r="M357" s="66">
        <v>0.89</v>
      </c>
      <c r="N357" s="66">
        <v>0.05</v>
      </c>
      <c r="O357" s="66">
        <v>0.95</v>
      </c>
      <c r="P357" s="66">
        <v>0.36</v>
      </c>
      <c r="Q357" s="87">
        <v>1</v>
      </c>
      <c r="R357" s="285">
        <v>186</v>
      </c>
      <c r="S357" s="145">
        <v>2.8472222222222222E-2</v>
      </c>
      <c r="T357" s="113">
        <v>6</v>
      </c>
      <c r="U357" s="66" t="str">
        <f t="shared" si="77"/>
        <v>Outlier</v>
      </c>
      <c r="V357" s="66" t="str">
        <f t="shared" si="78"/>
        <v>Normal</v>
      </c>
      <c r="W357" s="19">
        <f t="shared" si="82"/>
        <v>-5.9154929577464786E-2</v>
      </c>
      <c r="X357" s="19">
        <f t="shared" si="79"/>
        <v>-5.6716417910447764E-2</v>
      </c>
      <c r="Y357" s="369"/>
      <c r="Z357" s="369"/>
      <c r="AA357" s="369"/>
      <c r="AB357" s="369"/>
      <c r="AC357" s="369"/>
      <c r="AD357" s="369"/>
      <c r="AE357" s="369"/>
      <c r="AF357" s="369"/>
      <c r="AG357" s="369"/>
      <c r="AH357" s="369"/>
      <c r="AI357" s="369"/>
    </row>
    <row r="358" spans="1:35">
      <c r="A358" s="27">
        <v>45373</v>
      </c>
      <c r="B358" s="27">
        <f>IF(YEAR(Table7[[#This Row],[Date]]) = 2023, WEEKNUM(Table7[[#This Row],[Date]])-13, WEEKNUM(Table7[[#This Row],[Date]])+40)</f>
        <v>52</v>
      </c>
      <c r="C358" s="34" t="s">
        <v>53</v>
      </c>
      <c r="D358" s="62" t="s">
        <v>94</v>
      </c>
      <c r="E358" s="1">
        <v>388</v>
      </c>
      <c r="F358" s="1">
        <v>371</v>
      </c>
      <c r="G358" s="64">
        <f t="shared" si="80"/>
        <v>9.295774647887324E-2</v>
      </c>
      <c r="H358" s="64">
        <f t="shared" si="81"/>
        <v>8.1632653061224483E-2</v>
      </c>
      <c r="I358" s="1"/>
      <c r="J358" s="1"/>
      <c r="K358" s="1"/>
      <c r="L358" s="1"/>
      <c r="M358" s="66">
        <v>0.87</v>
      </c>
      <c r="N358" s="66">
        <v>0.04</v>
      </c>
      <c r="O358" s="66">
        <v>0.96</v>
      </c>
      <c r="P358" s="66">
        <v>0.51</v>
      </c>
      <c r="Q358" s="87">
        <v>1</v>
      </c>
      <c r="R358" s="285">
        <v>158</v>
      </c>
      <c r="S358" s="145">
        <v>2.4305555555555556E-2</v>
      </c>
      <c r="T358" s="113">
        <v>5</v>
      </c>
      <c r="U358" s="66" t="str">
        <f t="shared" si="77"/>
        <v>Normal</v>
      </c>
      <c r="V358" s="66" t="str">
        <f t="shared" si="78"/>
        <v>Normal</v>
      </c>
      <c r="W358" s="19">
        <f t="shared" si="82"/>
        <v>9.295774647887324E-2</v>
      </c>
      <c r="X358" s="19">
        <f t="shared" si="79"/>
        <v>8.1632653061224483E-2</v>
      </c>
      <c r="Y358" s="369"/>
      <c r="Z358" s="369"/>
      <c r="AA358" s="369"/>
      <c r="AB358" s="369"/>
      <c r="AC358" s="369"/>
      <c r="AD358" s="369"/>
      <c r="AE358" s="369"/>
      <c r="AF358" s="369"/>
      <c r="AG358" s="369"/>
      <c r="AH358" s="369"/>
      <c r="AI358" s="369"/>
    </row>
    <row r="359" spans="1:35">
      <c r="A359" s="27">
        <v>45374</v>
      </c>
      <c r="B359" s="27">
        <f>IF(YEAR(Table7[[#This Row],[Date]]) = 2023, WEEKNUM(Table7[[#This Row],[Date]])-13, WEEKNUM(Table7[[#This Row],[Date]])+40)</f>
        <v>52</v>
      </c>
      <c r="C359" s="34" t="s">
        <v>54</v>
      </c>
      <c r="D359" s="62" t="s">
        <v>94</v>
      </c>
      <c r="E359" s="1">
        <v>254</v>
      </c>
      <c r="F359" s="1">
        <v>229</v>
      </c>
      <c r="G359" s="64">
        <f t="shared" si="80"/>
        <v>0.18139534883720931</v>
      </c>
      <c r="H359" s="64">
        <f t="shared" si="81"/>
        <v>0.13930348258706468</v>
      </c>
      <c r="I359" s="1"/>
      <c r="J359" s="1"/>
      <c r="K359" s="1"/>
      <c r="L359" s="1"/>
      <c r="M359" s="66">
        <v>0.76</v>
      </c>
      <c r="N359" s="66">
        <v>0.1</v>
      </c>
      <c r="O359" s="66">
        <v>0.9</v>
      </c>
      <c r="P359" s="66">
        <v>0.69</v>
      </c>
      <c r="Q359" s="87">
        <v>1</v>
      </c>
      <c r="R359" s="285">
        <v>171</v>
      </c>
      <c r="S359" s="145">
        <v>7.2916666666666671E-2</v>
      </c>
      <c r="T359" s="113">
        <v>3</v>
      </c>
      <c r="U359" s="66" t="str">
        <f t="shared" si="77"/>
        <v>Normal</v>
      </c>
      <c r="V359" s="66" t="str">
        <f t="shared" si="78"/>
        <v>Normal</v>
      </c>
      <c r="W359" s="19">
        <f t="shared" si="82"/>
        <v>0.18139534883720931</v>
      </c>
      <c r="X359" s="19">
        <f t="shared" si="79"/>
        <v>0.13930348258706468</v>
      </c>
      <c r="Y359" s="369"/>
      <c r="Z359" s="369"/>
      <c r="AA359" s="369"/>
      <c r="AB359" s="369"/>
      <c r="AC359" s="369"/>
      <c r="AD359" s="369"/>
      <c r="AE359" s="369"/>
      <c r="AF359" s="369"/>
      <c r="AG359" s="369"/>
      <c r="AH359" s="369"/>
      <c r="AI359" s="369"/>
    </row>
    <row r="360" spans="1:35">
      <c r="A360" s="27">
        <v>45375</v>
      </c>
      <c r="B360" s="27">
        <f>IF(YEAR(Table7[[#This Row],[Date]]) = 2023, WEEKNUM(Table7[[#This Row],[Date]])-13, WEEKNUM(Table7[[#This Row],[Date]])+40)</f>
        <v>53</v>
      </c>
      <c r="C360" s="34" t="s">
        <v>48</v>
      </c>
      <c r="D360" s="62" t="s">
        <v>94</v>
      </c>
      <c r="E360" s="1">
        <v>0</v>
      </c>
      <c r="F360" s="1">
        <v>0</v>
      </c>
      <c r="G360" s="64">
        <f t="shared" si="80"/>
        <v>0</v>
      </c>
      <c r="H360" s="64">
        <f t="shared" si="81"/>
        <v>0</v>
      </c>
      <c r="I360" s="1">
        <v>0</v>
      </c>
      <c r="J360" s="1">
        <v>0</v>
      </c>
      <c r="K360" s="1">
        <v>0</v>
      </c>
      <c r="L360" s="1">
        <v>0</v>
      </c>
      <c r="M360" s="66">
        <v>0</v>
      </c>
      <c r="N360" s="66">
        <v>0</v>
      </c>
      <c r="O360" s="66">
        <v>0</v>
      </c>
      <c r="P360" s="66">
        <v>0</v>
      </c>
      <c r="Q360" s="87">
        <v>0</v>
      </c>
      <c r="R360" s="285">
        <v>0</v>
      </c>
      <c r="S360" s="145">
        <v>0</v>
      </c>
      <c r="T360" s="113">
        <v>0</v>
      </c>
      <c r="U360" s="66" t="str">
        <f t="shared" si="77"/>
        <v>Normal</v>
      </c>
      <c r="V360" s="66" t="str">
        <f t="shared" si="78"/>
        <v>Normal</v>
      </c>
      <c r="W360" s="19">
        <f t="shared" si="82"/>
        <v>0</v>
      </c>
      <c r="X360" s="19">
        <f t="shared" si="79"/>
        <v>0</v>
      </c>
      <c r="Y360" s="369"/>
      <c r="Z360" s="369"/>
      <c r="AA360" s="369"/>
      <c r="AB360" s="369"/>
      <c r="AC360" s="369"/>
      <c r="AD360" s="369"/>
      <c r="AE360" s="369"/>
      <c r="AF360" s="369"/>
      <c r="AG360" s="369"/>
      <c r="AH360" s="369"/>
      <c r="AI360" s="369"/>
    </row>
    <row r="361" spans="1:35">
      <c r="A361" s="27">
        <v>45376</v>
      </c>
      <c r="B361" s="27">
        <f>IF(YEAR(Table7[[#This Row],[Date]]) = 2023, WEEKNUM(Table7[[#This Row],[Date]])-13, WEEKNUM(Table7[[#This Row],[Date]])+40)</f>
        <v>53</v>
      </c>
      <c r="C361" s="34" t="s">
        <v>49</v>
      </c>
      <c r="D361" s="62" t="s">
        <v>94</v>
      </c>
      <c r="E361" s="1">
        <v>450</v>
      </c>
      <c r="F361" s="1">
        <v>393</v>
      </c>
      <c r="G361" s="64">
        <f t="shared" si="80"/>
        <v>0.16279069767441862</v>
      </c>
      <c r="H361" s="64">
        <f t="shared" si="81"/>
        <v>0.12607449856733524</v>
      </c>
      <c r="I361" s="1"/>
      <c r="J361" s="1"/>
      <c r="K361" s="1"/>
      <c r="L361" s="1"/>
      <c r="M361" s="66">
        <v>0.61</v>
      </c>
      <c r="N361" s="66">
        <v>0.13</v>
      </c>
      <c r="O361" s="66">
        <v>0.87</v>
      </c>
      <c r="P361" s="66">
        <v>0.54</v>
      </c>
      <c r="Q361" s="87">
        <v>1</v>
      </c>
      <c r="R361" s="285">
        <v>175</v>
      </c>
      <c r="S361" s="145">
        <v>0.11319444444444444</v>
      </c>
      <c r="T361" s="113">
        <v>5</v>
      </c>
      <c r="U361" s="66" t="str">
        <f t="shared" si="77"/>
        <v>Normal</v>
      </c>
      <c r="V361" s="66" t="str">
        <f t="shared" si="78"/>
        <v>Normal</v>
      </c>
      <c r="W361" s="19">
        <f t="shared" si="82"/>
        <v>0.16279069767441862</v>
      </c>
      <c r="X361" s="19">
        <f t="shared" si="79"/>
        <v>0.12607449856733524</v>
      </c>
      <c r="Y361" s="369"/>
      <c r="Z361" s="369"/>
      <c r="AA361" s="369"/>
      <c r="AB361" s="369"/>
      <c r="AC361" s="369"/>
      <c r="AD361" s="369"/>
      <c r="AE361" s="369"/>
      <c r="AF361" s="369"/>
      <c r="AG361" s="369"/>
      <c r="AH361" s="369"/>
      <c r="AI361" s="369"/>
    </row>
    <row r="362" spans="1:35">
      <c r="A362" s="27">
        <v>45377</v>
      </c>
      <c r="B362" s="27">
        <f>IF(YEAR(Table7[[#This Row],[Date]]) = 2023, WEEKNUM(Table7[[#This Row],[Date]])-13, WEEKNUM(Table7[[#This Row],[Date]])+40)</f>
        <v>53</v>
      </c>
      <c r="C362" s="34" t="s">
        <v>50</v>
      </c>
      <c r="D362" s="62" t="s">
        <v>94</v>
      </c>
      <c r="E362" s="1">
        <v>407</v>
      </c>
      <c r="F362" s="1">
        <v>362</v>
      </c>
      <c r="G362" s="64">
        <f t="shared" si="80"/>
        <v>0.20414201183431951</v>
      </c>
      <c r="H362" s="64">
        <f t="shared" si="81"/>
        <v>9.696969696969697E-2</v>
      </c>
      <c r="I362" s="1"/>
      <c r="J362" s="1"/>
      <c r="K362" s="1"/>
      <c r="L362" s="1"/>
      <c r="M362" s="66">
        <v>0.69</v>
      </c>
      <c r="N362" s="66">
        <v>0.11</v>
      </c>
      <c r="O362" s="66">
        <v>0.89</v>
      </c>
      <c r="P362" s="66">
        <v>0.62</v>
      </c>
      <c r="Q362" s="87">
        <v>1</v>
      </c>
      <c r="R362" s="285">
        <v>196</v>
      </c>
      <c r="S362" s="145">
        <v>8.4722222222222213E-2</v>
      </c>
      <c r="T362" s="113">
        <v>4</v>
      </c>
      <c r="U362" s="66" t="str">
        <f t="shared" si="77"/>
        <v>Normal</v>
      </c>
      <c r="V362" s="66" t="str">
        <f t="shared" si="78"/>
        <v>Normal</v>
      </c>
      <c r="W362" s="19">
        <f t="shared" si="82"/>
        <v>0.20414201183431951</v>
      </c>
      <c r="X362" s="19">
        <f t="shared" si="79"/>
        <v>9.696969696969697E-2</v>
      </c>
      <c r="Y362" s="369"/>
      <c r="Z362" s="369"/>
      <c r="AA362" s="369"/>
      <c r="AB362" s="369"/>
      <c r="AC362" s="369"/>
      <c r="AD362" s="369"/>
      <c r="AE362" s="369"/>
      <c r="AF362" s="369"/>
      <c r="AG362" s="369"/>
      <c r="AH362" s="369"/>
      <c r="AI362" s="369"/>
    </row>
    <row r="363" spans="1:35">
      <c r="A363" s="27">
        <v>45378</v>
      </c>
      <c r="B363" s="27">
        <f>IF(YEAR(Table7[[#This Row],[Date]]) = 2023, WEEKNUM(Table7[[#This Row],[Date]])-13, WEEKNUM(Table7[[#This Row],[Date]])+40)</f>
        <v>53</v>
      </c>
      <c r="C363" s="34" t="s">
        <v>51</v>
      </c>
      <c r="D363" s="62" t="s">
        <v>94</v>
      </c>
      <c r="E363" s="1">
        <v>410</v>
      </c>
      <c r="F363" s="1">
        <v>381</v>
      </c>
      <c r="G363" s="64">
        <f t="shared" si="80"/>
        <v>0.44876325088339225</v>
      </c>
      <c r="H363" s="64">
        <f t="shared" si="81"/>
        <v>0.37050359712230213</v>
      </c>
      <c r="I363" s="1"/>
      <c r="J363" s="1"/>
      <c r="K363" s="1"/>
      <c r="L363" s="1"/>
      <c r="M363" s="66">
        <v>0.76</v>
      </c>
      <c r="N363" s="66">
        <v>7.0000000000000007E-2</v>
      </c>
      <c r="O363" s="66">
        <v>0.93</v>
      </c>
      <c r="P363" s="66">
        <v>0.66</v>
      </c>
      <c r="Q363" s="87">
        <v>1</v>
      </c>
      <c r="R363" s="285">
        <v>178</v>
      </c>
      <c r="S363" s="145">
        <v>6.805555555555555E-2</v>
      </c>
      <c r="T363" s="113">
        <v>5</v>
      </c>
      <c r="U363" s="66" t="str">
        <f t="shared" si="77"/>
        <v>Normal</v>
      </c>
      <c r="V363" s="66" t="str">
        <f t="shared" si="78"/>
        <v>Normal</v>
      </c>
      <c r="W363" s="19">
        <f t="shared" si="82"/>
        <v>0.44876325088339225</v>
      </c>
      <c r="X363" s="19">
        <f t="shared" si="79"/>
        <v>0.37050359712230213</v>
      </c>
      <c r="Y363" s="369"/>
      <c r="Z363" s="369"/>
      <c r="AA363" s="369"/>
      <c r="AB363" s="369"/>
      <c r="AC363" s="369"/>
      <c r="AD363" s="369"/>
      <c r="AE363" s="369"/>
      <c r="AF363" s="369"/>
      <c r="AG363" s="369"/>
      <c r="AH363" s="369"/>
      <c r="AI363" s="369"/>
    </row>
    <row r="364" spans="1:35">
      <c r="A364" s="27">
        <v>45379</v>
      </c>
      <c r="B364" s="410">
        <f>IF(YEAR(Table7[[#This Row],[Date]]) = 2023, WEEKNUM(Table7[[#This Row],[Date]])-13, WEEKNUM(Table7[[#This Row],[Date]])+40)</f>
        <v>53</v>
      </c>
      <c r="C364" s="34" t="s">
        <v>52</v>
      </c>
      <c r="D364" s="62" t="s">
        <v>94</v>
      </c>
      <c r="E364" s="1">
        <v>386</v>
      </c>
      <c r="F364" s="1">
        <v>344</v>
      </c>
      <c r="G364" s="64">
        <f t="shared" si="80"/>
        <v>0.15568862275449102</v>
      </c>
      <c r="H364" s="64">
        <f t="shared" si="81"/>
        <v>8.8607594936708861E-2</v>
      </c>
      <c r="I364" s="1"/>
      <c r="J364" s="1"/>
      <c r="K364" s="1"/>
      <c r="L364" s="1"/>
      <c r="M364" s="66">
        <v>0.68</v>
      </c>
      <c r="N364" s="66">
        <v>0.1</v>
      </c>
      <c r="O364" s="66">
        <v>0.9</v>
      </c>
      <c r="P364" s="66">
        <v>0.59</v>
      </c>
      <c r="Q364" s="87">
        <v>1</v>
      </c>
      <c r="R364" s="285">
        <v>175</v>
      </c>
      <c r="S364" s="145">
        <v>8.7500000000000008E-2</v>
      </c>
      <c r="T364" s="113">
        <v>4</v>
      </c>
      <c r="U364" s="66" t="str">
        <f t="shared" si="77"/>
        <v>Normal</v>
      </c>
      <c r="V364" s="66" t="str">
        <f t="shared" si="78"/>
        <v>Normal</v>
      </c>
      <c r="W364" s="19">
        <f t="shared" si="82"/>
        <v>0.15568862275449102</v>
      </c>
      <c r="X364" s="19">
        <f t="shared" si="79"/>
        <v>8.8607594936708861E-2</v>
      </c>
      <c r="Y364" s="369"/>
      <c r="Z364" s="369"/>
      <c r="AA364" s="369"/>
      <c r="AB364" s="369"/>
      <c r="AC364" s="369"/>
      <c r="AD364" s="369"/>
      <c r="AE364" s="369"/>
      <c r="AF364" s="369"/>
      <c r="AG364" s="369"/>
      <c r="AH364" s="369"/>
      <c r="AI364" s="369"/>
    </row>
    <row r="365" spans="1:35">
      <c r="A365" s="27">
        <v>45380</v>
      </c>
      <c r="B365" s="410">
        <f>IF(YEAR(Table7[[#This Row],[Date]]) = 2023, WEEKNUM(Table7[[#This Row],[Date]])-13, WEEKNUM(Table7[[#This Row],[Date]])+40)</f>
        <v>53</v>
      </c>
      <c r="C365" s="34" t="s">
        <v>64</v>
      </c>
      <c r="D365" s="62" t="s">
        <v>94</v>
      </c>
      <c r="E365" s="1">
        <v>0</v>
      </c>
      <c r="F365" s="1">
        <v>0</v>
      </c>
      <c r="G365" s="64">
        <f t="shared" si="80"/>
        <v>-1</v>
      </c>
      <c r="H365" s="64">
        <f t="shared" si="81"/>
        <v>-1</v>
      </c>
      <c r="I365" s="1">
        <v>0</v>
      </c>
      <c r="J365" s="1">
        <v>0</v>
      </c>
      <c r="K365" s="1">
        <v>0</v>
      </c>
      <c r="L365" s="1">
        <v>0</v>
      </c>
      <c r="M365" s="66">
        <v>0</v>
      </c>
      <c r="N365" s="66">
        <v>0</v>
      </c>
      <c r="O365" s="66">
        <v>0</v>
      </c>
      <c r="P365" s="66">
        <v>0</v>
      </c>
      <c r="Q365" s="87">
        <v>0</v>
      </c>
      <c r="R365" s="285">
        <v>0</v>
      </c>
      <c r="S365" s="145">
        <v>0</v>
      </c>
      <c r="T365" s="113">
        <v>0</v>
      </c>
      <c r="U365" s="66" t="str">
        <f t="shared" si="77"/>
        <v>Outlier</v>
      </c>
      <c r="V365" s="66" t="str">
        <f t="shared" si="78"/>
        <v>Normal</v>
      </c>
      <c r="W365" s="19">
        <f t="shared" si="82"/>
        <v>-1</v>
      </c>
      <c r="X365" s="19">
        <f t="shared" si="79"/>
        <v>-1</v>
      </c>
      <c r="Y365" s="369"/>
      <c r="Z365" s="369"/>
      <c r="AA365" s="369"/>
      <c r="AB365" s="369"/>
      <c r="AC365" s="369"/>
      <c r="AD365" s="369"/>
      <c r="AE365" s="369"/>
      <c r="AF365" s="369"/>
      <c r="AG365" s="369"/>
      <c r="AH365" s="369"/>
      <c r="AI365" s="369"/>
    </row>
    <row r="366" spans="1:35">
      <c r="A366" s="27">
        <v>45381</v>
      </c>
      <c r="B366" s="410">
        <f>IF(YEAR(Table7[[#This Row],[Date]]) = 2023, WEEKNUM(Table7[[#This Row],[Date]])-13, WEEKNUM(Table7[[#This Row],[Date]])+40)</f>
        <v>53</v>
      </c>
      <c r="C366" s="34" t="s">
        <v>54</v>
      </c>
      <c r="D366" s="62" t="s">
        <v>94</v>
      </c>
      <c r="E366" s="1">
        <v>303</v>
      </c>
      <c r="F366" s="1">
        <v>257</v>
      </c>
      <c r="G366" s="64">
        <f t="shared" si="80"/>
        <v>0.19291338582677164</v>
      </c>
      <c r="H366" s="64">
        <f t="shared" si="81"/>
        <v>0.1222707423580786</v>
      </c>
      <c r="I366" s="1"/>
      <c r="J366" s="1"/>
      <c r="K366" s="1"/>
      <c r="L366" s="1"/>
      <c r="M366" s="66">
        <v>0.64</v>
      </c>
      <c r="N366" s="66">
        <v>0.15</v>
      </c>
      <c r="O366" s="66">
        <v>0.85</v>
      </c>
      <c r="P366" s="66">
        <v>0.78</v>
      </c>
      <c r="Q366" s="87">
        <v>1</v>
      </c>
      <c r="R366" s="285">
        <v>165</v>
      </c>
      <c r="S366" s="145">
        <v>8.3333333333333329E-2</v>
      </c>
      <c r="T366" s="113">
        <v>3</v>
      </c>
      <c r="U366" s="66" t="str">
        <f t="shared" si="77"/>
        <v>Normal</v>
      </c>
      <c r="V366" s="66" t="str">
        <f t="shared" si="78"/>
        <v>Normal</v>
      </c>
      <c r="W366" s="19">
        <f t="shared" si="82"/>
        <v>0.19291338582677164</v>
      </c>
      <c r="X366" s="19">
        <f t="shared" si="79"/>
        <v>0.1222707423580786</v>
      </c>
      <c r="Y366" s="369"/>
      <c r="Z366" s="369"/>
      <c r="AA366" s="369"/>
      <c r="AB366" s="369"/>
      <c r="AC366" s="369"/>
      <c r="AD366" s="369"/>
      <c r="AE366" s="369"/>
      <c r="AF366" s="369"/>
      <c r="AG366" s="369"/>
      <c r="AH366" s="369"/>
      <c r="AI366" s="369"/>
    </row>
    <row r="367" spans="1:35">
      <c r="A367" s="32">
        <v>45382</v>
      </c>
      <c r="B367" s="408">
        <f>IF(YEAR(Table7[[#This Row],[Date]]) = 2023, WEEKNUM(Table7[[#This Row],[Date]])-13, WEEKNUM(Table7[[#This Row],[Date]])+40)</f>
        <v>54</v>
      </c>
      <c r="C367" s="89" t="s">
        <v>48</v>
      </c>
      <c r="D367" s="183" t="s">
        <v>94</v>
      </c>
      <c r="E367" s="37">
        <v>0</v>
      </c>
      <c r="F367" s="37">
        <v>0</v>
      </c>
      <c r="G367" s="64">
        <f t="shared" si="80"/>
        <v>0</v>
      </c>
      <c r="H367" s="64">
        <f t="shared" si="81"/>
        <v>0</v>
      </c>
      <c r="I367" s="37">
        <v>0</v>
      </c>
      <c r="J367" s="37">
        <v>0</v>
      </c>
      <c r="K367" s="37">
        <v>0</v>
      </c>
      <c r="L367" s="37">
        <v>0</v>
      </c>
      <c r="M367" s="90">
        <v>0</v>
      </c>
      <c r="N367" s="90">
        <v>0</v>
      </c>
      <c r="O367" s="90">
        <v>0</v>
      </c>
      <c r="P367" s="90">
        <v>0</v>
      </c>
      <c r="Q367" s="91">
        <v>0</v>
      </c>
      <c r="R367" s="285">
        <v>0</v>
      </c>
      <c r="S367" s="184">
        <v>0</v>
      </c>
      <c r="T367" s="173">
        <v>0</v>
      </c>
      <c r="U367" s="66" t="str">
        <f t="shared" si="77"/>
        <v>Normal</v>
      </c>
      <c r="V367" s="66" t="str">
        <f t="shared" si="78"/>
        <v>Normal</v>
      </c>
      <c r="W367" s="19">
        <f t="shared" si="82"/>
        <v>0</v>
      </c>
      <c r="X367" s="19">
        <f t="shared" si="79"/>
        <v>0</v>
      </c>
      <c r="Y367" s="369"/>
      <c r="Z367" s="369"/>
      <c r="AA367" s="369"/>
      <c r="AB367" s="369"/>
      <c r="AC367" s="369"/>
      <c r="AD367" s="369"/>
      <c r="AE367" s="369"/>
      <c r="AF367" s="369"/>
      <c r="AG367" s="369"/>
      <c r="AH367" s="369"/>
      <c r="AI367" s="369"/>
    </row>
    <row r="368" spans="1:35">
      <c r="R368" s="189"/>
    </row>
    <row r="370" spans="13:17">
      <c r="M370" s="337">
        <f>AVERAGEIF(M2:M92, "&lt;&gt;0")</f>
        <v>0.77666666666666673</v>
      </c>
      <c r="N370" s="337">
        <f>AVERAGEIF(N2:N92, "&lt;&gt;0")</f>
        <v>0.10150000000000001</v>
      </c>
      <c r="O370" s="337">
        <f>AVERAGEIF(O2:O92, "&lt;&gt;0")</f>
        <v>0.90333333333333332</v>
      </c>
      <c r="P370" s="337">
        <f>AVERAGEIF(P2:P92, "&lt;&gt;0")</f>
        <v>0.50666666666666671</v>
      </c>
      <c r="Q370" s="337">
        <f>AVERAGEIF(Q2:Q92, "&lt;&gt;0")</f>
        <v>0.9642857142857143</v>
      </c>
    </row>
  </sheetData>
  <mergeCells count="6">
    <mergeCell ref="AL152:AM152"/>
    <mergeCell ref="Z3:AB3"/>
    <mergeCell ref="AD3:AE3"/>
    <mergeCell ref="Z8:AA8"/>
    <mergeCell ref="AD8:AE8"/>
    <mergeCell ref="AG3:AH3"/>
  </mergeCells>
  <phoneticPr fontId="8" type="noConversion"/>
  <dataValidations count="2">
    <dataValidation type="list" allowBlank="1" showInputMessage="1" showErrorMessage="1" sqref="AL110:AL111" xr:uid="{950C7D0C-962F-4C65-9342-74196066FA34}">
      <formula1>period_BAR</formula1>
    </dataValidation>
    <dataValidation type="list" allowBlank="1" showInputMessage="1" showErrorMessage="1" sqref="AR3:AR4" xr:uid="{EC6F4C2C-364F-4AEE-A8B8-414469FA02EE}">
      <formula1>WoW_dates_BAR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877F-5468-44D3-AFDE-34C99DA58C3F}">
  <sheetPr codeName="Sheet4"/>
  <dimension ref="A1:AH367"/>
  <sheetViews>
    <sheetView tabSelected="1" topLeftCell="A324" zoomScale="70" zoomScaleNormal="70" workbookViewId="0">
      <selection activeCell="A367" sqref="A367"/>
    </sheetView>
  </sheetViews>
  <sheetFormatPr defaultRowHeight="14.5"/>
  <cols>
    <col min="1" max="2" width="15.6328125" customWidth="1"/>
    <col min="3" max="3" width="20.08984375" customWidth="1"/>
    <col min="4" max="6" width="15.6328125" customWidth="1"/>
    <col min="7" max="7" width="25.36328125" customWidth="1"/>
    <col min="8" max="8" width="24.1796875" customWidth="1"/>
    <col min="9" max="9" width="22.36328125" customWidth="1"/>
    <col min="10" max="10" width="18.26953125" customWidth="1"/>
    <col min="11" max="11" width="19.54296875" customWidth="1"/>
    <col min="12" max="12" width="18.1796875" customWidth="1"/>
    <col min="13" max="20" width="15.6328125" customWidth="1"/>
    <col min="21" max="21" width="58.7265625" bestFit="1" customWidth="1"/>
    <col min="22" max="22" width="54.54296875" bestFit="1" customWidth="1"/>
    <col min="23" max="23" width="39.08984375" bestFit="1" customWidth="1"/>
    <col min="24" max="24" width="34.7265625" bestFit="1" customWidth="1"/>
    <col min="26" max="26" width="12.81640625" bestFit="1" customWidth="1"/>
    <col min="27" max="28" width="13.1796875" bestFit="1" customWidth="1"/>
    <col min="30" max="30" width="19.26953125" customWidth="1"/>
    <col min="31" max="31" width="7.453125" bestFit="1" customWidth="1"/>
  </cols>
  <sheetData>
    <row r="1" spans="1:34">
      <c r="A1" s="375" t="s">
        <v>36</v>
      </c>
      <c r="B1" s="375" t="s">
        <v>255</v>
      </c>
      <c r="C1" s="376" t="s">
        <v>55</v>
      </c>
      <c r="D1" s="376" t="s">
        <v>60</v>
      </c>
      <c r="E1" s="376" t="s">
        <v>59</v>
      </c>
      <c r="F1" s="376" t="s">
        <v>34</v>
      </c>
      <c r="G1" s="376" t="s">
        <v>234</v>
      </c>
      <c r="H1" s="376" t="s">
        <v>235</v>
      </c>
      <c r="I1" s="376" t="s">
        <v>56</v>
      </c>
      <c r="J1" s="376" t="s">
        <v>57</v>
      </c>
      <c r="K1" s="376" t="s">
        <v>100</v>
      </c>
      <c r="L1" s="376" t="s">
        <v>58</v>
      </c>
      <c r="M1" s="376" t="s">
        <v>32</v>
      </c>
      <c r="N1" s="376" t="s">
        <v>5</v>
      </c>
      <c r="O1" s="376" t="s">
        <v>4</v>
      </c>
      <c r="P1" s="376" t="s">
        <v>119</v>
      </c>
      <c r="Q1" s="377" t="s">
        <v>7</v>
      </c>
      <c r="R1" s="377" t="s">
        <v>79</v>
      </c>
      <c r="S1" s="377" t="s">
        <v>80</v>
      </c>
      <c r="T1" s="377" t="s">
        <v>77</v>
      </c>
      <c r="U1" s="402" t="s">
        <v>236</v>
      </c>
      <c r="V1" s="402" t="s">
        <v>237</v>
      </c>
      <c r="W1" s="402" t="s">
        <v>238</v>
      </c>
      <c r="X1" s="402" t="s">
        <v>239</v>
      </c>
    </row>
    <row r="2" spans="1:34" s="280" customFormat="1">
      <c r="A2" s="378">
        <v>45383</v>
      </c>
      <c r="B2" s="386">
        <f>IF(YEAR(Table7[[#This Row],[Date]]) = 2023, WEEKNUM(Table7[[#This Row],[Date]])-13, WEEKNUM(Table7[[#This Row],[Date]])+40)</f>
        <v>0</v>
      </c>
      <c r="C2" s="203" t="s">
        <v>54</v>
      </c>
      <c r="D2" s="203" t="s">
        <v>94</v>
      </c>
      <c r="E2" s="379">
        <v>0</v>
      </c>
      <c r="F2" s="379">
        <v>0</v>
      </c>
      <c r="G2" s="350">
        <v>0</v>
      </c>
      <c r="H2" s="350">
        <v>0</v>
      </c>
      <c r="I2" s="379">
        <v>0</v>
      </c>
      <c r="J2" s="379">
        <v>0</v>
      </c>
      <c r="K2" s="379">
        <v>0</v>
      </c>
      <c r="L2" s="379">
        <v>0</v>
      </c>
      <c r="M2" s="191">
        <v>0</v>
      </c>
      <c r="N2" s="191">
        <v>0</v>
      </c>
      <c r="O2" s="191">
        <v>0</v>
      </c>
      <c r="P2" s="191">
        <v>0</v>
      </c>
      <c r="Q2" s="380"/>
      <c r="R2" s="287">
        <v>0</v>
      </c>
      <c r="S2" s="176">
        <v>0</v>
      </c>
      <c r="T2" s="381">
        <v>0</v>
      </c>
      <c r="U2" s="120" t="str">
        <f>IF(OR(H2&lt;$AJ$5,H2&gt;$AK$5), "Outlier", "Normal")</f>
        <v>Normal</v>
      </c>
      <c r="V2" s="120" t="str">
        <f>IF(OR(I2&lt;$AJ$6,I2&gt;$AK$6), "Outlier", "Normal")</f>
        <v>Normal</v>
      </c>
      <c r="W2" s="81">
        <f>IF(U2="Normal",$G2,IF($G2&lt;150%, $G2, $AA$9))</f>
        <v>0</v>
      </c>
      <c r="X2" s="81">
        <f>IF(V2="Normal",$H2,IF($H2&lt;150%, $H2, $AE$9))</f>
        <v>0</v>
      </c>
    </row>
    <row r="3" spans="1:34" s="280" customFormat="1">
      <c r="A3" s="382">
        <v>45384</v>
      </c>
      <c r="B3" s="411">
        <f>IF(YEAR(Table7[[#This Row],[Date]]) = 2023, WEEKNUM(Table7[[#This Row],[Date]])-13, WEEKNUM(Table7[[#This Row],[Date]])+40)</f>
        <v>1</v>
      </c>
      <c r="C3" s="203" t="s">
        <v>48</v>
      </c>
      <c r="D3" s="203" t="s">
        <v>94</v>
      </c>
      <c r="E3" s="379">
        <v>0</v>
      </c>
      <c r="F3" s="379">
        <v>0</v>
      </c>
      <c r="G3" s="350">
        <v>0</v>
      </c>
      <c r="H3" s="350">
        <v>0</v>
      </c>
      <c r="I3" s="379">
        <v>0</v>
      </c>
      <c r="J3" s="379">
        <v>0</v>
      </c>
      <c r="K3" s="379">
        <v>0</v>
      </c>
      <c r="L3" s="379">
        <v>0</v>
      </c>
      <c r="M3" s="191">
        <v>0</v>
      </c>
      <c r="N3" s="191">
        <v>0</v>
      </c>
      <c r="O3" s="191">
        <v>0</v>
      </c>
      <c r="P3" s="191">
        <v>0</v>
      </c>
      <c r="Q3" s="380"/>
      <c r="R3" s="383">
        <v>0</v>
      </c>
      <c r="S3" s="384">
        <v>0</v>
      </c>
      <c r="T3" s="385">
        <v>0</v>
      </c>
      <c r="U3" s="120" t="str">
        <f t="shared" ref="U3:U66" si="0">IF(OR(H3&lt;$AJ$5,H3&gt;$AK$5), "Outlier", "Normal")</f>
        <v>Normal</v>
      </c>
      <c r="V3" s="120" t="str">
        <f t="shared" ref="V3:V66" si="1">IF(OR(I3&lt;$AJ$6,I3&gt;$AK$6), "Outlier", "Normal")</f>
        <v>Normal</v>
      </c>
      <c r="W3" s="81">
        <f t="shared" ref="W3:W66" si="2">IF(U3="Normal",$G3,IF($G3&lt;150%, $G3, $AA$9))</f>
        <v>0</v>
      </c>
      <c r="X3" s="81">
        <f t="shared" ref="X3:X66" si="3">IF(V3="Normal",$H3,IF($H3&lt;150%, $H3, $AE$9))</f>
        <v>0</v>
      </c>
      <c r="Z3" s="431" t="s">
        <v>240</v>
      </c>
      <c r="AA3" s="431"/>
      <c r="AB3" s="431"/>
      <c r="AC3"/>
      <c r="AD3" s="431" t="s">
        <v>241</v>
      </c>
      <c r="AE3" s="431"/>
      <c r="AF3" s="369"/>
      <c r="AG3" s="431" t="s">
        <v>242</v>
      </c>
      <c r="AH3" s="431"/>
    </row>
    <row r="4" spans="1:34" s="280" customFormat="1">
      <c r="A4" s="378">
        <v>45385</v>
      </c>
      <c r="B4" s="386">
        <f>IF(YEAR(Table7[[#This Row],[Date]]) = 2023, WEEKNUM(Table7[[#This Row],[Date]])-13, WEEKNUM(Table7[[#This Row],[Date]])+40)</f>
        <v>1</v>
      </c>
      <c r="C4" s="203" t="s">
        <v>49</v>
      </c>
      <c r="D4" s="203" t="s">
        <v>94</v>
      </c>
      <c r="E4" s="379">
        <v>0</v>
      </c>
      <c r="F4" s="379">
        <v>0</v>
      </c>
      <c r="G4" s="350">
        <v>0</v>
      </c>
      <c r="H4" s="350">
        <v>0</v>
      </c>
      <c r="I4" s="379">
        <v>0</v>
      </c>
      <c r="J4" s="379">
        <v>0</v>
      </c>
      <c r="K4" s="379">
        <v>0</v>
      </c>
      <c r="L4" s="379">
        <v>0</v>
      </c>
      <c r="M4" s="191">
        <v>0</v>
      </c>
      <c r="N4" s="191">
        <v>0</v>
      </c>
      <c r="O4" s="191">
        <v>0</v>
      </c>
      <c r="P4" s="191">
        <v>0</v>
      </c>
      <c r="Q4" s="380"/>
      <c r="R4" s="287">
        <v>0</v>
      </c>
      <c r="S4" s="176">
        <v>0</v>
      </c>
      <c r="T4" s="381">
        <v>0</v>
      </c>
      <c r="U4" s="120" t="str">
        <f t="shared" si="0"/>
        <v>Normal</v>
      </c>
      <c r="V4" s="120" t="str">
        <f t="shared" si="1"/>
        <v>Normal</v>
      </c>
      <c r="W4" s="81">
        <f t="shared" si="2"/>
        <v>0</v>
      </c>
      <c r="X4" s="81">
        <f t="shared" si="3"/>
        <v>0</v>
      </c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-8.5227272727272721E-3</v>
      </c>
      <c r="AF4" s="369"/>
      <c r="AG4" s="1" t="s">
        <v>246</v>
      </c>
      <c r="AH4" s="346">
        <f>_xlfn.QUARTILE.INC(H:H, 1)</f>
        <v>-1.5942928039702233E-2</v>
      </c>
    </row>
    <row r="5" spans="1:34" s="280" customFormat="1">
      <c r="A5" s="382">
        <v>45386</v>
      </c>
      <c r="B5" s="411">
        <f>IF(YEAR(Table7[[#This Row],[Date]]) = 2023, WEEKNUM(Table7[[#This Row],[Date]])-13, WEEKNUM(Table7[[#This Row],[Date]])+40)</f>
        <v>1</v>
      </c>
      <c r="C5" s="203" t="s">
        <v>50</v>
      </c>
      <c r="D5" s="203" t="s">
        <v>94</v>
      </c>
      <c r="E5" s="379">
        <v>0</v>
      </c>
      <c r="F5" s="379">
        <v>0</v>
      </c>
      <c r="G5" s="350">
        <v>0</v>
      </c>
      <c r="H5" s="350">
        <v>0</v>
      </c>
      <c r="I5" s="379">
        <v>0</v>
      </c>
      <c r="J5" s="379">
        <v>0</v>
      </c>
      <c r="K5" s="379">
        <v>0</v>
      </c>
      <c r="L5" s="379">
        <v>0</v>
      </c>
      <c r="M5" s="191">
        <v>0</v>
      </c>
      <c r="N5" s="191">
        <v>0</v>
      </c>
      <c r="O5" s="191">
        <v>0</v>
      </c>
      <c r="P5" s="191">
        <v>0</v>
      </c>
      <c r="Q5" s="380"/>
      <c r="R5" s="383">
        <v>0</v>
      </c>
      <c r="S5" s="384">
        <v>0</v>
      </c>
      <c r="T5" s="385">
        <v>0</v>
      </c>
      <c r="U5" s="120" t="str">
        <f t="shared" si="0"/>
        <v>Normal</v>
      </c>
      <c r="V5" s="120" t="str">
        <f t="shared" si="1"/>
        <v>Normal</v>
      </c>
      <c r="W5" s="81">
        <f t="shared" si="2"/>
        <v>0</v>
      </c>
      <c r="X5" s="81">
        <f t="shared" si="3"/>
        <v>0</v>
      </c>
      <c r="Z5" s="218" t="s">
        <v>247</v>
      </c>
      <c r="AA5" s="19">
        <f>AE4-1.5*AE6</f>
        <v>-2.130681818181818E-2</v>
      </c>
      <c r="AB5" s="19">
        <f>AE5+1.5*AE6</f>
        <v>1.2784090909090908E-2</v>
      </c>
      <c r="AC5"/>
      <c r="AD5" s="1" t="s">
        <v>248</v>
      </c>
      <c r="AE5" s="346">
        <f>_xlfn.QUARTILE.INC(G:G, 3)</f>
        <v>0</v>
      </c>
      <c r="AF5" s="369"/>
      <c r="AG5" s="1" t="s">
        <v>248</v>
      </c>
      <c r="AH5" s="346">
        <f>_xlfn.QUARTILE.INC(H:H, 3)</f>
        <v>0</v>
      </c>
    </row>
    <row r="6" spans="1:34" s="280" customFormat="1">
      <c r="A6" s="378">
        <v>45387</v>
      </c>
      <c r="B6" s="386">
        <f>IF(YEAR(Table7[[#This Row],[Date]]) = 2023, WEEKNUM(Table7[[#This Row],[Date]])-13, WEEKNUM(Table7[[#This Row],[Date]])+40)</f>
        <v>1</v>
      </c>
      <c r="C6" s="203" t="s">
        <v>51</v>
      </c>
      <c r="D6" s="203" t="s">
        <v>94</v>
      </c>
      <c r="E6" s="379">
        <v>0</v>
      </c>
      <c r="F6" s="379">
        <v>0</v>
      </c>
      <c r="G6" s="350">
        <v>0</v>
      </c>
      <c r="H6" s="350">
        <v>0</v>
      </c>
      <c r="I6" s="379">
        <v>0</v>
      </c>
      <c r="J6" s="379">
        <v>0</v>
      </c>
      <c r="K6" s="379">
        <v>0</v>
      </c>
      <c r="L6" s="379">
        <v>0</v>
      </c>
      <c r="M6" s="191">
        <v>0</v>
      </c>
      <c r="N6" s="191">
        <v>0</v>
      </c>
      <c r="O6" s="191">
        <v>0</v>
      </c>
      <c r="P6" s="191">
        <v>0</v>
      </c>
      <c r="Q6" s="380"/>
      <c r="R6" s="287">
        <v>0</v>
      </c>
      <c r="S6" s="176">
        <v>0</v>
      </c>
      <c r="T6" s="381">
        <v>0</v>
      </c>
      <c r="U6" s="120" t="str">
        <f t="shared" si="0"/>
        <v>Normal</v>
      </c>
      <c r="V6" s="120" t="str">
        <f t="shared" si="1"/>
        <v>Normal</v>
      </c>
      <c r="W6" s="81">
        <f t="shared" si="2"/>
        <v>0</v>
      </c>
      <c r="X6" s="81">
        <f t="shared" si="3"/>
        <v>0</v>
      </c>
      <c r="Z6" s="218" t="s">
        <v>34</v>
      </c>
      <c r="AA6" s="19">
        <f>AH4-1.5*AH6</f>
        <v>-3.9857320099255578E-2</v>
      </c>
      <c r="AB6" s="19">
        <f>AH5+1.5*AH6</f>
        <v>2.3914392059553348E-2</v>
      </c>
      <c r="AC6"/>
      <c r="AD6" s="65" t="s">
        <v>249</v>
      </c>
      <c r="AE6" s="347">
        <f>AE5-AE4</f>
        <v>8.5227272727272721E-3</v>
      </c>
      <c r="AF6" s="369"/>
      <c r="AG6" s="65" t="s">
        <v>249</v>
      </c>
      <c r="AH6" s="347">
        <f>AH5-AH4</f>
        <v>1.5942928039702233E-2</v>
      </c>
    </row>
    <row r="7" spans="1:34" s="280" customFormat="1">
      <c r="A7" s="382">
        <v>45388</v>
      </c>
      <c r="B7" s="411">
        <f>IF(YEAR(Table7[[#This Row],[Date]]) = 2023, WEEKNUM(Table7[[#This Row],[Date]])-13, WEEKNUM(Table7[[#This Row],[Date]])+40)</f>
        <v>1</v>
      </c>
      <c r="C7" s="203" t="s">
        <v>52</v>
      </c>
      <c r="D7" s="203" t="s">
        <v>94</v>
      </c>
      <c r="E7" s="379">
        <v>0</v>
      </c>
      <c r="F7" s="379">
        <v>0</v>
      </c>
      <c r="G7" s="350">
        <v>0</v>
      </c>
      <c r="H7" s="350">
        <v>0</v>
      </c>
      <c r="I7" s="379">
        <v>0</v>
      </c>
      <c r="J7" s="379">
        <v>0</v>
      </c>
      <c r="K7" s="379">
        <v>0</v>
      </c>
      <c r="L7" s="379">
        <v>0</v>
      </c>
      <c r="M7" s="191">
        <v>0</v>
      </c>
      <c r="N7" s="191">
        <v>0</v>
      </c>
      <c r="O7" s="191">
        <v>0</v>
      </c>
      <c r="P7" s="191">
        <v>0</v>
      </c>
      <c r="Q7" s="380"/>
      <c r="R7" s="383">
        <v>0</v>
      </c>
      <c r="S7" s="384">
        <v>0</v>
      </c>
      <c r="T7" s="385">
        <v>0</v>
      </c>
      <c r="U7" s="120" t="str">
        <f t="shared" si="0"/>
        <v>Normal</v>
      </c>
      <c r="V7" s="120" t="str">
        <f t="shared" si="1"/>
        <v>Normal</v>
      </c>
      <c r="W7" s="81">
        <f t="shared" si="2"/>
        <v>0</v>
      </c>
      <c r="X7" s="81">
        <f t="shared" si="3"/>
        <v>0</v>
      </c>
      <c r="Z7"/>
      <c r="AA7"/>
      <c r="AB7"/>
      <c r="AC7"/>
      <c r="AD7"/>
      <c r="AE7"/>
      <c r="AF7" s="369"/>
      <c r="AG7" s="369"/>
      <c r="AH7" s="369"/>
    </row>
    <row r="8" spans="1:34" s="280" customFormat="1">
      <c r="A8" s="378">
        <v>45389</v>
      </c>
      <c r="B8" s="386">
        <f>IF(YEAR(Table7[[#This Row],[Date]]) = 2023, WEEKNUM(Table7[[#This Row],[Date]])-13, WEEKNUM(Table7[[#This Row],[Date]])+40)</f>
        <v>1</v>
      </c>
      <c r="C8" s="203" t="s">
        <v>53</v>
      </c>
      <c r="D8" s="203" t="s">
        <v>94</v>
      </c>
      <c r="E8" s="379">
        <v>0</v>
      </c>
      <c r="F8" s="379">
        <v>0</v>
      </c>
      <c r="G8" s="350">
        <v>0</v>
      </c>
      <c r="H8" s="350">
        <v>0</v>
      </c>
      <c r="I8" s="379">
        <v>0</v>
      </c>
      <c r="J8" s="379">
        <v>0</v>
      </c>
      <c r="K8" s="379">
        <v>0</v>
      </c>
      <c r="L8" s="379">
        <v>0</v>
      </c>
      <c r="M8" s="191">
        <v>0</v>
      </c>
      <c r="N8" s="191">
        <v>0</v>
      </c>
      <c r="O8" s="191">
        <v>0</v>
      </c>
      <c r="P8" s="191">
        <v>0</v>
      </c>
      <c r="Q8" s="380"/>
      <c r="R8" s="287">
        <v>0</v>
      </c>
      <c r="S8" s="176">
        <v>0</v>
      </c>
      <c r="T8" s="381">
        <v>0</v>
      </c>
      <c r="U8" s="120" t="str">
        <f t="shared" si="0"/>
        <v>Normal</v>
      </c>
      <c r="V8" s="120" t="str">
        <f t="shared" si="1"/>
        <v>Normal</v>
      </c>
      <c r="W8" s="81">
        <f t="shared" si="2"/>
        <v>0</v>
      </c>
      <c r="X8" s="81">
        <f t="shared" si="3"/>
        <v>0</v>
      </c>
      <c r="Z8" s="432" t="s">
        <v>250</v>
      </c>
      <c r="AA8" s="433"/>
      <c r="AB8"/>
      <c r="AC8"/>
      <c r="AD8" s="432" t="s">
        <v>251</v>
      </c>
      <c r="AE8" s="433"/>
      <c r="AF8" s="369"/>
      <c r="AG8" s="369"/>
      <c r="AH8" s="369"/>
    </row>
    <row r="9" spans="1:34" s="280" customFormat="1">
      <c r="A9" s="382">
        <v>45390</v>
      </c>
      <c r="B9" s="411">
        <f>IF(YEAR(Table7[[#This Row],[Date]]) = 2023, WEEKNUM(Table7[[#This Row],[Date]])-13, WEEKNUM(Table7[[#This Row],[Date]])+40)</f>
        <v>1</v>
      </c>
      <c r="C9" s="203" t="s">
        <v>54</v>
      </c>
      <c r="D9" s="203" t="s">
        <v>94</v>
      </c>
      <c r="E9" s="379">
        <v>0</v>
      </c>
      <c r="F9" s="379">
        <v>0</v>
      </c>
      <c r="G9" s="350">
        <v>0</v>
      </c>
      <c r="H9" s="350">
        <v>0</v>
      </c>
      <c r="I9" s="379">
        <v>0</v>
      </c>
      <c r="J9" s="379">
        <v>0</v>
      </c>
      <c r="K9" s="379">
        <v>0</v>
      </c>
      <c r="L9" s="379">
        <v>0</v>
      </c>
      <c r="M9" s="191">
        <v>0</v>
      </c>
      <c r="N9" s="191">
        <v>0</v>
      </c>
      <c r="O9" s="191">
        <v>0</v>
      </c>
      <c r="P9" s="191">
        <v>0</v>
      </c>
      <c r="Q9" s="380"/>
      <c r="R9" s="383">
        <v>0</v>
      </c>
      <c r="S9" s="384">
        <v>0</v>
      </c>
      <c r="T9" s="385">
        <v>0</v>
      </c>
      <c r="U9" s="120" t="str">
        <f t="shared" si="0"/>
        <v>Normal</v>
      </c>
      <c r="V9" s="120" t="str">
        <f t="shared" si="1"/>
        <v>Normal</v>
      </c>
      <c r="W9" s="81">
        <f t="shared" si="2"/>
        <v>0</v>
      </c>
      <c r="X9" s="81">
        <f t="shared" si="3"/>
        <v>0</v>
      </c>
      <c r="Z9" s="1" t="s">
        <v>252</v>
      </c>
      <c r="AA9" s="64">
        <f>AVERAGEIF(G2:G367,"&lt;&gt;0")</f>
        <v>2.7165860920593931E-2</v>
      </c>
      <c r="AB9"/>
      <c r="AC9"/>
      <c r="AD9" s="1" t="s">
        <v>252</v>
      </c>
      <c r="AE9" s="64">
        <f>AVERAGEIF(H2:H367, "&lt;&gt;0")</f>
        <v>0.10164857890092378</v>
      </c>
      <c r="AF9" s="369"/>
      <c r="AG9" s="369"/>
      <c r="AH9" s="369"/>
    </row>
    <row r="10" spans="1:34" s="280" customFormat="1">
      <c r="A10" s="378">
        <v>45391</v>
      </c>
      <c r="B10" s="386">
        <f>IF(YEAR(Table7[[#This Row],[Date]]) = 2023, WEEKNUM(Table7[[#This Row],[Date]])-13, WEEKNUM(Table7[[#This Row],[Date]])+40)</f>
        <v>2</v>
      </c>
      <c r="C10" s="203" t="s">
        <v>48</v>
      </c>
      <c r="D10" s="203" t="s">
        <v>94</v>
      </c>
      <c r="E10" s="379">
        <v>0</v>
      </c>
      <c r="F10" s="379">
        <v>0</v>
      </c>
      <c r="G10" s="350">
        <v>0</v>
      </c>
      <c r="H10" s="350">
        <v>0</v>
      </c>
      <c r="I10" s="379">
        <v>0</v>
      </c>
      <c r="J10" s="379">
        <v>0</v>
      </c>
      <c r="K10" s="379">
        <v>0</v>
      </c>
      <c r="L10" s="379">
        <v>0</v>
      </c>
      <c r="M10" s="191">
        <v>0</v>
      </c>
      <c r="N10" s="191">
        <v>0</v>
      </c>
      <c r="O10" s="191">
        <v>0</v>
      </c>
      <c r="P10" s="191">
        <v>0</v>
      </c>
      <c r="Q10" s="380"/>
      <c r="R10" s="287">
        <v>0</v>
      </c>
      <c r="S10" s="176">
        <v>0</v>
      </c>
      <c r="T10" s="381">
        <v>0</v>
      </c>
      <c r="U10" s="120" t="str">
        <f t="shared" si="0"/>
        <v>Normal</v>
      </c>
      <c r="V10" s="120" t="str">
        <f t="shared" si="1"/>
        <v>Normal</v>
      </c>
      <c r="W10" s="81">
        <f t="shared" si="2"/>
        <v>0</v>
      </c>
      <c r="X10" s="81">
        <f t="shared" si="3"/>
        <v>0</v>
      </c>
      <c r="Z10" s="1" t="s">
        <v>253</v>
      </c>
      <c r="AA10" s="19">
        <f>MEDIAN(G2:G367)</f>
        <v>0</v>
      </c>
      <c r="AB10"/>
      <c r="AC10"/>
      <c r="AD10" s="1" t="s">
        <v>253</v>
      </c>
      <c r="AE10" s="19">
        <f>MEDIAN(H2:H367)</f>
        <v>0</v>
      </c>
      <c r="AF10" s="369"/>
      <c r="AG10" s="369"/>
      <c r="AH10" s="369"/>
    </row>
    <row r="11" spans="1:34" s="280" customFormat="1">
      <c r="A11" s="382">
        <v>45392</v>
      </c>
      <c r="B11" s="411">
        <f>IF(YEAR(Table7[[#This Row],[Date]]) = 2023, WEEKNUM(Table7[[#This Row],[Date]])-13, WEEKNUM(Table7[[#This Row],[Date]])+40)</f>
        <v>2</v>
      </c>
      <c r="C11" s="203" t="s">
        <v>49</v>
      </c>
      <c r="D11" s="203" t="s">
        <v>94</v>
      </c>
      <c r="E11" s="379">
        <v>0</v>
      </c>
      <c r="F11" s="379">
        <v>0</v>
      </c>
      <c r="G11" s="350">
        <v>0</v>
      </c>
      <c r="H11" s="350">
        <v>0</v>
      </c>
      <c r="I11" s="379">
        <v>0</v>
      </c>
      <c r="J11" s="379">
        <v>0</v>
      </c>
      <c r="K11" s="379">
        <v>0</v>
      </c>
      <c r="L11" s="379">
        <v>0</v>
      </c>
      <c r="M11" s="191">
        <v>0</v>
      </c>
      <c r="N11" s="191">
        <v>0</v>
      </c>
      <c r="O11" s="191">
        <v>0</v>
      </c>
      <c r="P11" s="191">
        <v>0</v>
      </c>
      <c r="Q11" s="380"/>
      <c r="R11" s="383">
        <v>0</v>
      </c>
      <c r="S11" s="384">
        <v>0</v>
      </c>
      <c r="T11" s="385">
        <v>0</v>
      </c>
      <c r="U11" s="120" t="str">
        <f t="shared" si="0"/>
        <v>Normal</v>
      </c>
      <c r="V11" s="120" t="str">
        <f t="shared" si="1"/>
        <v>Normal</v>
      </c>
      <c r="W11" s="81">
        <f t="shared" si="2"/>
        <v>0</v>
      </c>
      <c r="X11" s="81">
        <f t="shared" si="3"/>
        <v>0</v>
      </c>
      <c r="Z11" s="1" t="s">
        <v>254</v>
      </c>
      <c r="AA11" s="17">
        <f>_xlfn.MODE.SNGL(G2:G123)</f>
        <v>0</v>
      </c>
      <c r="AB11"/>
      <c r="AC11"/>
      <c r="AD11" s="1" t="s">
        <v>254</v>
      </c>
      <c r="AE11" s="1">
        <f>_xlfn.MODE.SNGL(J2:J123)</f>
        <v>0</v>
      </c>
      <c r="AF11" s="369"/>
      <c r="AG11" s="369"/>
      <c r="AH11" s="369"/>
    </row>
    <row r="12" spans="1:34" s="280" customFormat="1">
      <c r="A12" s="378">
        <v>45393</v>
      </c>
      <c r="B12" s="386">
        <f>IF(YEAR(Table7[[#This Row],[Date]]) = 2023, WEEKNUM(Table7[[#This Row],[Date]])-13, WEEKNUM(Table7[[#This Row],[Date]])+40)</f>
        <v>2</v>
      </c>
      <c r="C12" s="203" t="s">
        <v>50</v>
      </c>
      <c r="D12" s="203" t="s">
        <v>94</v>
      </c>
      <c r="E12" s="379">
        <v>0</v>
      </c>
      <c r="F12" s="379">
        <v>0</v>
      </c>
      <c r="G12" s="350">
        <v>0</v>
      </c>
      <c r="H12" s="350">
        <v>0</v>
      </c>
      <c r="I12" s="379">
        <v>0</v>
      </c>
      <c r="J12" s="379">
        <v>0</v>
      </c>
      <c r="K12" s="379">
        <v>0</v>
      </c>
      <c r="L12" s="379">
        <v>0</v>
      </c>
      <c r="M12" s="191">
        <v>0</v>
      </c>
      <c r="N12" s="191">
        <v>0</v>
      </c>
      <c r="O12" s="191">
        <v>0</v>
      </c>
      <c r="P12" s="191">
        <v>0</v>
      </c>
      <c r="Q12" s="380"/>
      <c r="R12" s="287">
        <v>0</v>
      </c>
      <c r="S12" s="176">
        <v>0</v>
      </c>
      <c r="T12" s="381">
        <v>0</v>
      </c>
      <c r="U12" s="120" t="str">
        <f t="shared" si="0"/>
        <v>Normal</v>
      </c>
      <c r="V12" s="120" t="str">
        <f t="shared" si="1"/>
        <v>Normal</v>
      </c>
      <c r="W12" s="81">
        <f t="shared" si="2"/>
        <v>0</v>
      </c>
      <c r="X12" s="81">
        <f t="shared" si="3"/>
        <v>0</v>
      </c>
    </row>
    <row r="13" spans="1:34" s="280" customFormat="1">
      <c r="A13" s="382">
        <v>45394</v>
      </c>
      <c r="B13" s="411">
        <f>IF(YEAR(Table7[[#This Row],[Date]]) = 2023, WEEKNUM(Table7[[#This Row],[Date]])-13, WEEKNUM(Table7[[#This Row],[Date]])+40)</f>
        <v>2</v>
      </c>
      <c r="C13" s="203" t="s">
        <v>51</v>
      </c>
      <c r="D13" s="203" t="s">
        <v>94</v>
      </c>
      <c r="E13" s="379">
        <v>0</v>
      </c>
      <c r="F13" s="379">
        <v>0</v>
      </c>
      <c r="G13" s="350">
        <v>0</v>
      </c>
      <c r="H13" s="350">
        <v>0</v>
      </c>
      <c r="I13" s="379">
        <v>0</v>
      </c>
      <c r="J13" s="379">
        <v>0</v>
      </c>
      <c r="K13" s="379">
        <v>0</v>
      </c>
      <c r="L13" s="379">
        <v>0</v>
      </c>
      <c r="M13" s="191">
        <v>0</v>
      </c>
      <c r="N13" s="191">
        <v>0</v>
      </c>
      <c r="O13" s="191">
        <v>0</v>
      </c>
      <c r="P13" s="191">
        <v>0</v>
      </c>
      <c r="Q13" s="380"/>
      <c r="R13" s="383">
        <v>0</v>
      </c>
      <c r="S13" s="384">
        <v>0</v>
      </c>
      <c r="T13" s="385">
        <v>0</v>
      </c>
      <c r="U13" s="120" t="str">
        <f t="shared" si="0"/>
        <v>Normal</v>
      </c>
      <c r="V13" s="120" t="str">
        <f t="shared" si="1"/>
        <v>Normal</v>
      </c>
      <c r="W13" s="81">
        <f t="shared" si="2"/>
        <v>0</v>
      </c>
      <c r="X13" s="81">
        <f t="shared" si="3"/>
        <v>0</v>
      </c>
    </row>
    <row r="14" spans="1:34" s="280" customFormat="1">
      <c r="A14" s="378">
        <v>45395</v>
      </c>
      <c r="B14" s="386">
        <f>IF(YEAR(Table7[[#This Row],[Date]]) = 2023, WEEKNUM(Table7[[#This Row],[Date]])-13, WEEKNUM(Table7[[#This Row],[Date]])+40)</f>
        <v>2</v>
      </c>
      <c r="C14" s="203" t="s">
        <v>52</v>
      </c>
      <c r="D14" s="203" t="s">
        <v>94</v>
      </c>
      <c r="E14" s="379">
        <v>0</v>
      </c>
      <c r="F14" s="379">
        <v>0</v>
      </c>
      <c r="G14" s="350">
        <v>0</v>
      </c>
      <c r="H14" s="350">
        <v>0</v>
      </c>
      <c r="I14" s="379">
        <v>0</v>
      </c>
      <c r="J14" s="379">
        <v>0</v>
      </c>
      <c r="K14" s="379">
        <v>0</v>
      </c>
      <c r="L14" s="379">
        <v>0</v>
      </c>
      <c r="M14" s="191">
        <v>0</v>
      </c>
      <c r="N14" s="191">
        <v>0</v>
      </c>
      <c r="O14" s="191">
        <v>0</v>
      </c>
      <c r="P14" s="191">
        <v>0</v>
      </c>
      <c r="Q14" s="380"/>
      <c r="R14" s="287">
        <v>0</v>
      </c>
      <c r="S14" s="176">
        <v>0</v>
      </c>
      <c r="T14" s="381">
        <v>0</v>
      </c>
      <c r="U14" s="120" t="str">
        <f t="shared" si="0"/>
        <v>Normal</v>
      </c>
      <c r="V14" s="120" t="str">
        <f t="shared" si="1"/>
        <v>Normal</v>
      </c>
      <c r="W14" s="81">
        <f t="shared" si="2"/>
        <v>0</v>
      </c>
      <c r="X14" s="81">
        <f t="shared" si="3"/>
        <v>0</v>
      </c>
    </row>
    <row r="15" spans="1:34" s="280" customFormat="1">
      <c r="A15" s="382">
        <v>45396</v>
      </c>
      <c r="B15" s="411">
        <f>IF(YEAR(Table7[[#This Row],[Date]]) = 2023, WEEKNUM(Table7[[#This Row],[Date]])-13, WEEKNUM(Table7[[#This Row],[Date]])+40)</f>
        <v>2</v>
      </c>
      <c r="C15" s="203" t="s">
        <v>53</v>
      </c>
      <c r="D15" s="203" t="s">
        <v>94</v>
      </c>
      <c r="E15" s="379">
        <v>0</v>
      </c>
      <c r="F15" s="379">
        <v>0</v>
      </c>
      <c r="G15" s="350">
        <v>0</v>
      </c>
      <c r="H15" s="350">
        <v>0</v>
      </c>
      <c r="I15" s="379">
        <v>0</v>
      </c>
      <c r="J15" s="379">
        <v>0</v>
      </c>
      <c r="K15" s="379">
        <v>0</v>
      </c>
      <c r="L15" s="379">
        <v>0</v>
      </c>
      <c r="M15" s="191">
        <v>0</v>
      </c>
      <c r="N15" s="191">
        <v>0</v>
      </c>
      <c r="O15" s="191">
        <v>0</v>
      </c>
      <c r="P15" s="191">
        <v>0</v>
      </c>
      <c r="Q15" s="380"/>
      <c r="R15" s="383">
        <v>0</v>
      </c>
      <c r="S15" s="384">
        <v>0</v>
      </c>
      <c r="T15" s="385">
        <v>0</v>
      </c>
      <c r="U15" s="120" t="str">
        <f t="shared" si="0"/>
        <v>Normal</v>
      </c>
      <c r="V15" s="120" t="str">
        <f t="shared" si="1"/>
        <v>Normal</v>
      </c>
      <c r="W15" s="81">
        <f t="shared" si="2"/>
        <v>0</v>
      </c>
      <c r="X15" s="81">
        <f t="shared" si="3"/>
        <v>0</v>
      </c>
    </row>
    <row r="16" spans="1:34" s="280" customFormat="1">
      <c r="A16" s="378">
        <v>45397</v>
      </c>
      <c r="B16" s="386">
        <f>IF(YEAR(Table7[[#This Row],[Date]]) = 2023, WEEKNUM(Table7[[#This Row],[Date]])-13, WEEKNUM(Table7[[#This Row],[Date]])+40)</f>
        <v>2</v>
      </c>
      <c r="C16" s="203" t="s">
        <v>54</v>
      </c>
      <c r="D16" s="203" t="s">
        <v>94</v>
      </c>
      <c r="E16" s="379">
        <v>0</v>
      </c>
      <c r="F16" s="379">
        <v>0</v>
      </c>
      <c r="G16" s="350">
        <v>0</v>
      </c>
      <c r="H16" s="350">
        <v>0</v>
      </c>
      <c r="I16" s="379">
        <v>0</v>
      </c>
      <c r="J16" s="379">
        <v>0</v>
      </c>
      <c r="K16" s="379">
        <v>0</v>
      </c>
      <c r="L16" s="379">
        <v>0</v>
      </c>
      <c r="M16" s="191">
        <v>0</v>
      </c>
      <c r="N16" s="191">
        <v>0</v>
      </c>
      <c r="O16" s="191">
        <v>0</v>
      </c>
      <c r="P16" s="191">
        <v>0</v>
      </c>
      <c r="Q16" s="380"/>
      <c r="R16" s="287">
        <v>0</v>
      </c>
      <c r="S16" s="176">
        <v>0</v>
      </c>
      <c r="T16" s="381">
        <v>0</v>
      </c>
      <c r="U16" s="120" t="str">
        <f t="shared" si="0"/>
        <v>Normal</v>
      </c>
      <c r="V16" s="120" t="str">
        <f t="shared" si="1"/>
        <v>Normal</v>
      </c>
      <c r="W16" s="81">
        <f t="shared" si="2"/>
        <v>0</v>
      </c>
      <c r="X16" s="81">
        <f t="shared" si="3"/>
        <v>0</v>
      </c>
    </row>
    <row r="17" spans="1:24" s="280" customFormat="1">
      <c r="A17" s="382">
        <v>45398</v>
      </c>
      <c r="B17" s="411">
        <f>IF(YEAR(Table7[[#This Row],[Date]]) = 2023, WEEKNUM(Table7[[#This Row],[Date]])-13, WEEKNUM(Table7[[#This Row],[Date]])+40)</f>
        <v>3</v>
      </c>
      <c r="C17" s="203" t="s">
        <v>48</v>
      </c>
      <c r="D17" s="203" t="s">
        <v>94</v>
      </c>
      <c r="E17" s="379">
        <v>0</v>
      </c>
      <c r="F17" s="379">
        <v>0</v>
      </c>
      <c r="G17" s="350">
        <v>0</v>
      </c>
      <c r="H17" s="350">
        <v>0</v>
      </c>
      <c r="I17" s="379">
        <v>0</v>
      </c>
      <c r="J17" s="379">
        <v>0</v>
      </c>
      <c r="K17" s="379">
        <v>0</v>
      </c>
      <c r="L17" s="379">
        <v>0</v>
      </c>
      <c r="M17" s="191">
        <v>0</v>
      </c>
      <c r="N17" s="191">
        <v>0</v>
      </c>
      <c r="O17" s="191">
        <v>0</v>
      </c>
      <c r="P17" s="191">
        <v>0</v>
      </c>
      <c r="Q17" s="380"/>
      <c r="R17" s="383">
        <v>0</v>
      </c>
      <c r="S17" s="384">
        <v>0</v>
      </c>
      <c r="T17" s="385">
        <v>0</v>
      </c>
      <c r="U17" s="120" t="str">
        <f t="shared" si="0"/>
        <v>Normal</v>
      </c>
      <c r="V17" s="120" t="str">
        <f t="shared" si="1"/>
        <v>Normal</v>
      </c>
      <c r="W17" s="81">
        <f t="shared" si="2"/>
        <v>0</v>
      </c>
      <c r="X17" s="81">
        <f t="shared" si="3"/>
        <v>0</v>
      </c>
    </row>
    <row r="18" spans="1:24" s="280" customFormat="1">
      <c r="A18" s="378">
        <v>45399</v>
      </c>
      <c r="B18" s="386">
        <f>IF(YEAR(Table7[[#This Row],[Date]]) = 2023, WEEKNUM(Table7[[#This Row],[Date]])-13, WEEKNUM(Table7[[#This Row],[Date]])+40)</f>
        <v>3</v>
      </c>
      <c r="C18" s="203" t="s">
        <v>49</v>
      </c>
      <c r="D18" s="203" t="s">
        <v>94</v>
      </c>
      <c r="E18" s="379">
        <v>0</v>
      </c>
      <c r="F18" s="379">
        <v>0</v>
      </c>
      <c r="G18" s="350">
        <v>0</v>
      </c>
      <c r="H18" s="350">
        <v>0</v>
      </c>
      <c r="I18" s="379">
        <v>0</v>
      </c>
      <c r="J18" s="379">
        <v>0</v>
      </c>
      <c r="K18" s="379">
        <v>0</v>
      </c>
      <c r="L18" s="379">
        <v>0</v>
      </c>
      <c r="M18" s="191">
        <v>0</v>
      </c>
      <c r="N18" s="191">
        <v>0</v>
      </c>
      <c r="O18" s="191">
        <v>0</v>
      </c>
      <c r="P18" s="191">
        <v>0</v>
      </c>
      <c r="Q18" s="380"/>
      <c r="R18" s="287">
        <v>0</v>
      </c>
      <c r="S18" s="176">
        <v>0</v>
      </c>
      <c r="T18" s="381">
        <v>0</v>
      </c>
      <c r="U18" s="120" t="str">
        <f t="shared" si="0"/>
        <v>Normal</v>
      </c>
      <c r="V18" s="120" t="str">
        <f t="shared" si="1"/>
        <v>Normal</v>
      </c>
      <c r="W18" s="81">
        <f t="shared" si="2"/>
        <v>0</v>
      </c>
      <c r="X18" s="81">
        <f t="shared" si="3"/>
        <v>0</v>
      </c>
    </row>
    <row r="19" spans="1:24" s="280" customFormat="1">
      <c r="A19" s="382">
        <v>45400</v>
      </c>
      <c r="B19" s="411">
        <f>IF(YEAR(Table7[[#This Row],[Date]]) = 2023, WEEKNUM(Table7[[#This Row],[Date]])-13, WEEKNUM(Table7[[#This Row],[Date]])+40)</f>
        <v>3</v>
      </c>
      <c r="C19" s="203" t="s">
        <v>50</v>
      </c>
      <c r="D19" s="203" t="s">
        <v>94</v>
      </c>
      <c r="E19" s="379">
        <v>0</v>
      </c>
      <c r="F19" s="379">
        <v>0</v>
      </c>
      <c r="G19" s="350">
        <v>0</v>
      </c>
      <c r="H19" s="350">
        <v>0</v>
      </c>
      <c r="I19" s="379">
        <v>0</v>
      </c>
      <c r="J19" s="379">
        <v>0</v>
      </c>
      <c r="K19" s="379">
        <v>0</v>
      </c>
      <c r="L19" s="379">
        <v>0</v>
      </c>
      <c r="M19" s="191">
        <v>0</v>
      </c>
      <c r="N19" s="191">
        <v>0</v>
      </c>
      <c r="O19" s="191">
        <v>0</v>
      </c>
      <c r="P19" s="191">
        <v>0</v>
      </c>
      <c r="Q19" s="380"/>
      <c r="R19" s="383">
        <v>0</v>
      </c>
      <c r="S19" s="384">
        <v>0</v>
      </c>
      <c r="T19" s="385">
        <v>0</v>
      </c>
      <c r="U19" s="120" t="str">
        <f t="shared" si="0"/>
        <v>Normal</v>
      </c>
      <c r="V19" s="120" t="str">
        <f t="shared" si="1"/>
        <v>Normal</v>
      </c>
      <c r="W19" s="81">
        <f t="shared" si="2"/>
        <v>0</v>
      </c>
      <c r="X19" s="81">
        <f t="shared" si="3"/>
        <v>0</v>
      </c>
    </row>
    <row r="20" spans="1:24" s="280" customFormat="1">
      <c r="A20" s="378">
        <v>45401</v>
      </c>
      <c r="B20" s="386">
        <f>IF(YEAR(Table7[[#This Row],[Date]]) = 2023, WEEKNUM(Table7[[#This Row],[Date]])-13, WEEKNUM(Table7[[#This Row],[Date]])+40)</f>
        <v>3</v>
      </c>
      <c r="C20" s="203" t="s">
        <v>51</v>
      </c>
      <c r="D20" s="203" t="s">
        <v>94</v>
      </c>
      <c r="E20" s="379">
        <v>0</v>
      </c>
      <c r="F20" s="379">
        <v>0</v>
      </c>
      <c r="G20" s="350">
        <v>0</v>
      </c>
      <c r="H20" s="350">
        <v>0</v>
      </c>
      <c r="I20" s="379">
        <v>0</v>
      </c>
      <c r="J20" s="379">
        <v>0</v>
      </c>
      <c r="K20" s="379">
        <v>0</v>
      </c>
      <c r="L20" s="379">
        <v>0</v>
      </c>
      <c r="M20" s="191">
        <v>0</v>
      </c>
      <c r="N20" s="191">
        <v>0</v>
      </c>
      <c r="O20" s="191">
        <v>0</v>
      </c>
      <c r="P20" s="191">
        <v>0</v>
      </c>
      <c r="Q20" s="380"/>
      <c r="R20" s="287">
        <v>0</v>
      </c>
      <c r="S20" s="176">
        <v>0</v>
      </c>
      <c r="T20" s="381">
        <v>0</v>
      </c>
      <c r="U20" s="120" t="str">
        <f t="shared" si="0"/>
        <v>Normal</v>
      </c>
      <c r="V20" s="120" t="str">
        <f t="shared" si="1"/>
        <v>Normal</v>
      </c>
      <c r="W20" s="81">
        <f t="shared" si="2"/>
        <v>0</v>
      </c>
      <c r="X20" s="81">
        <f t="shared" si="3"/>
        <v>0</v>
      </c>
    </row>
    <row r="21" spans="1:24" s="280" customFormat="1">
      <c r="A21" s="382">
        <v>45402</v>
      </c>
      <c r="B21" s="411">
        <f>IF(YEAR(Table7[[#This Row],[Date]]) = 2023, WEEKNUM(Table7[[#This Row],[Date]])-13, WEEKNUM(Table7[[#This Row],[Date]])+40)</f>
        <v>3</v>
      </c>
      <c r="C21" s="203" t="s">
        <v>52</v>
      </c>
      <c r="D21" s="203" t="s">
        <v>94</v>
      </c>
      <c r="E21" s="379">
        <v>0</v>
      </c>
      <c r="F21" s="379">
        <v>0</v>
      </c>
      <c r="G21" s="350">
        <v>0</v>
      </c>
      <c r="H21" s="350">
        <v>0</v>
      </c>
      <c r="I21" s="379">
        <v>0</v>
      </c>
      <c r="J21" s="379">
        <v>0</v>
      </c>
      <c r="K21" s="379">
        <v>0</v>
      </c>
      <c r="L21" s="379">
        <v>0</v>
      </c>
      <c r="M21" s="191">
        <v>0</v>
      </c>
      <c r="N21" s="191">
        <v>0</v>
      </c>
      <c r="O21" s="191">
        <v>0</v>
      </c>
      <c r="P21" s="191">
        <v>0</v>
      </c>
      <c r="Q21" s="380"/>
      <c r="R21" s="383">
        <v>0</v>
      </c>
      <c r="S21" s="384">
        <v>0</v>
      </c>
      <c r="T21" s="385">
        <v>0</v>
      </c>
      <c r="U21" s="120" t="str">
        <f t="shared" si="0"/>
        <v>Normal</v>
      </c>
      <c r="V21" s="120" t="str">
        <f t="shared" si="1"/>
        <v>Normal</v>
      </c>
      <c r="W21" s="81">
        <f t="shared" si="2"/>
        <v>0</v>
      </c>
      <c r="X21" s="81">
        <f t="shared" si="3"/>
        <v>0</v>
      </c>
    </row>
    <row r="22" spans="1:24" s="280" customFormat="1">
      <c r="A22" s="378">
        <v>45403</v>
      </c>
      <c r="B22" s="386">
        <f>IF(YEAR(Table7[[#This Row],[Date]]) = 2023, WEEKNUM(Table7[[#This Row],[Date]])-13, WEEKNUM(Table7[[#This Row],[Date]])+40)</f>
        <v>3</v>
      </c>
      <c r="C22" s="203" t="s">
        <v>53</v>
      </c>
      <c r="D22" s="203" t="s">
        <v>94</v>
      </c>
      <c r="E22" s="379">
        <v>0</v>
      </c>
      <c r="F22" s="379">
        <v>0</v>
      </c>
      <c r="G22" s="350">
        <v>0</v>
      </c>
      <c r="H22" s="350">
        <v>0</v>
      </c>
      <c r="I22" s="379">
        <v>0</v>
      </c>
      <c r="J22" s="379">
        <v>0</v>
      </c>
      <c r="K22" s="379">
        <v>0</v>
      </c>
      <c r="L22" s="379">
        <v>0</v>
      </c>
      <c r="M22" s="191">
        <v>0</v>
      </c>
      <c r="N22" s="191">
        <v>0</v>
      </c>
      <c r="O22" s="191">
        <v>0</v>
      </c>
      <c r="P22" s="191">
        <v>0</v>
      </c>
      <c r="Q22" s="380"/>
      <c r="R22" s="287">
        <v>0</v>
      </c>
      <c r="S22" s="176">
        <v>0</v>
      </c>
      <c r="T22" s="381">
        <v>0</v>
      </c>
      <c r="U22" s="120" t="str">
        <f t="shared" si="0"/>
        <v>Normal</v>
      </c>
      <c r="V22" s="120" t="str">
        <f t="shared" si="1"/>
        <v>Normal</v>
      </c>
      <c r="W22" s="81">
        <f t="shared" si="2"/>
        <v>0</v>
      </c>
      <c r="X22" s="81">
        <f t="shared" si="3"/>
        <v>0</v>
      </c>
    </row>
    <row r="23" spans="1:24" s="280" customFormat="1">
      <c r="A23" s="382">
        <v>45404</v>
      </c>
      <c r="B23" s="411">
        <f>IF(YEAR(Table7[[#This Row],[Date]]) = 2023, WEEKNUM(Table7[[#This Row],[Date]])-13, WEEKNUM(Table7[[#This Row],[Date]])+40)</f>
        <v>3</v>
      </c>
      <c r="C23" s="203" t="s">
        <v>54</v>
      </c>
      <c r="D23" s="203" t="s">
        <v>94</v>
      </c>
      <c r="E23" s="379">
        <v>0</v>
      </c>
      <c r="F23" s="379">
        <v>0</v>
      </c>
      <c r="G23" s="350">
        <v>0</v>
      </c>
      <c r="H23" s="350">
        <v>0</v>
      </c>
      <c r="I23" s="379">
        <v>0</v>
      </c>
      <c r="J23" s="379">
        <v>0</v>
      </c>
      <c r="K23" s="379">
        <v>0</v>
      </c>
      <c r="L23" s="379">
        <v>0</v>
      </c>
      <c r="M23" s="191">
        <v>0</v>
      </c>
      <c r="N23" s="191">
        <v>0</v>
      </c>
      <c r="O23" s="191">
        <v>0</v>
      </c>
      <c r="P23" s="191">
        <v>0</v>
      </c>
      <c r="Q23" s="380"/>
      <c r="R23" s="383">
        <v>0</v>
      </c>
      <c r="S23" s="384">
        <v>0</v>
      </c>
      <c r="T23" s="385">
        <v>0</v>
      </c>
      <c r="U23" s="120" t="str">
        <f t="shared" si="0"/>
        <v>Normal</v>
      </c>
      <c r="V23" s="120" t="str">
        <f t="shared" si="1"/>
        <v>Normal</v>
      </c>
      <c r="W23" s="81">
        <f t="shared" si="2"/>
        <v>0</v>
      </c>
      <c r="X23" s="81">
        <f t="shared" si="3"/>
        <v>0</v>
      </c>
    </row>
    <row r="24" spans="1:24" s="280" customFormat="1">
      <c r="A24" s="378">
        <v>45405</v>
      </c>
      <c r="B24" s="386">
        <f>IF(YEAR(Table7[[#This Row],[Date]]) = 2023, WEEKNUM(Table7[[#This Row],[Date]])-13, WEEKNUM(Table7[[#This Row],[Date]])+40)</f>
        <v>4</v>
      </c>
      <c r="C24" s="203" t="s">
        <v>48</v>
      </c>
      <c r="D24" s="203" t="s">
        <v>94</v>
      </c>
      <c r="E24" s="379">
        <v>0</v>
      </c>
      <c r="F24" s="379">
        <v>0</v>
      </c>
      <c r="G24" s="350">
        <v>0</v>
      </c>
      <c r="H24" s="350">
        <v>0</v>
      </c>
      <c r="I24" s="379">
        <v>0</v>
      </c>
      <c r="J24" s="379">
        <v>0</v>
      </c>
      <c r="K24" s="379">
        <v>0</v>
      </c>
      <c r="L24" s="379">
        <v>0</v>
      </c>
      <c r="M24" s="191">
        <v>0</v>
      </c>
      <c r="N24" s="191">
        <v>0</v>
      </c>
      <c r="O24" s="191">
        <v>0</v>
      </c>
      <c r="P24" s="191">
        <v>0</v>
      </c>
      <c r="Q24" s="380"/>
      <c r="R24" s="287">
        <v>0</v>
      </c>
      <c r="S24" s="176">
        <v>0</v>
      </c>
      <c r="T24" s="381">
        <v>0</v>
      </c>
      <c r="U24" s="120" t="str">
        <f t="shared" si="0"/>
        <v>Normal</v>
      </c>
      <c r="V24" s="120" t="str">
        <f t="shared" si="1"/>
        <v>Normal</v>
      </c>
      <c r="W24" s="81">
        <f t="shared" si="2"/>
        <v>0</v>
      </c>
      <c r="X24" s="81">
        <f t="shared" si="3"/>
        <v>0</v>
      </c>
    </row>
    <row r="25" spans="1:24" s="280" customFormat="1">
      <c r="A25" s="382">
        <v>45406</v>
      </c>
      <c r="B25" s="411">
        <f>IF(YEAR(Table7[[#This Row],[Date]]) = 2023, WEEKNUM(Table7[[#This Row],[Date]])-13, WEEKNUM(Table7[[#This Row],[Date]])+40)</f>
        <v>4</v>
      </c>
      <c r="C25" s="203" t="s">
        <v>49</v>
      </c>
      <c r="D25" s="203" t="s">
        <v>94</v>
      </c>
      <c r="E25" s="379">
        <v>0</v>
      </c>
      <c r="F25" s="379">
        <v>0</v>
      </c>
      <c r="G25" s="350">
        <v>0</v>
      </c>
      <c r="H25" s="350">
        <v>0</v>
      </c>
      <c r="I25" s="379">
        <v>0</v>
      </c>
      <c r="J25" s="379">
        <v>0</v>
      </c>
      <c r="K25" s="379">
        <v>0</v>
      </c>
      <c r="L25" s="379">
        <v>0</v>
      </c>
      <c r="M25" s="191">
        <v>0</v>
      </c>
      <c r="N25" s="191">
        <v>0</v>
      </c>
      <c r="O25" s="191">
        <v>0</v>
      </c>
      <c r="P25" s="191">
        <v>0</v>
      </c>
      <c r="Q25" s="380"/>
      <c r="R25" s="383">
        <v>0</v>
      </c>
      <c r="S25" s="384">
        <v>0</v>
      </c>
      <c r="T25" s="385">
        <v>0</v>
      </c>
      <c r="U25" s="120" t="str">
        <f t="shared" si="0"/>
        <v>Normal</v>
      </c>
      <c r="V25" s="120" t="str">
        <f t="shared" si="1"/>
        <v>Normal</v>
      </c>
      <c r="W25" s="81">
        <f t="shared" si="2"/>
        <v>0</v>
      </c>
      <c r="X25" s="81">
        <f t="shared" si="3"/>
        <v>0</v>
      </c>
    </row>
    <row r="26" spans="1:24" s="280" customFormat="1">
      <c r="A26" s="378">
        <v>45407</v>
      </c>
      <c r="B26" s="386">
        <f>IF(YEAR(Table7[[#This Row],[Date]]) = 2023, WEEKNUM(Table7[[#This Row],[Date]])-13, WEEKNUM(Table7[[#This Row],[Date]])+40)</f>
        <v>4</v>
      </c>
      <c r="C26" s="203" t="s">
        <v>50</v>
      </c>
      <c r="D26" s="203" t="s">
        <v>94</v>
      </c>
      <c r="E26" s="379">
        <v>0</v>
      </c>
      <c r="F26" s="379">
        <v>0</v>
      </c>
      <c r="G26" s="350">
        <v>0</v>
      </c>
      <c r="H26" s="350">
        <v>0</v>
      </c>
      <c r="I26" s="379">
        <v>0</v>
      </c>
      <c r="J26" s="379">
        <v>0</v>
      </c>
      <c r="K26" s="379">
        <v>0</v>
      </c>
      <c r="L26" s="379">
        <v>0</v>
      </c>
      <c r="M26" s="191">
        <v>0</v>
      </c>
      <c r="N26" s="191">
        <v>0</v>
      </c>
      <c r="O26" s="191">
        <v>0</v>
      </c>
      <c r="P26" s="191">
        <v>0</v>
      </c>
      <c r="Q26" s="380"/>
      <c r="R26" s="287">
        <v>0</v>
      </c>
      <c r="S26" s="176">
        <v>0</v>
      </c>
      <c r="T26" s="381">
        <v>0</v>
      </c>
      <c r="U26" s="120" t="str">
        <f t="shared" si="0"/>
        <v>Normal</v>
      </c>
      <c r="V26" s="120" t="str">
        <f t="shared" si="1"/>
        <v>Normal</v>
      </c>
      <c r="W26" s="81">
        <f t="shared" si="2"/>
        <v>0</v>
      </c>
      <c r="X26" s="81">
        <f t="shared" si="3"/>
        <v>0</v>
      </c>
    </row>
    <row r="27" spans="1:24" s="280" customFormat="1">
      <c r="A27" s="382">
        <v>45408</v>
      </c>
      <c r="B27" s="411">
        <f>IF(YEAR(Table7[[#This Row],[Date]]) = 2023, WEEKNUM(Table7[[#This Row],[Date]])-13, WEEKNUM(Table7[[#This Row],[Date]])+40)</f>
        <v>4</v>
      </c>
      <c r="C27" s="203" t="s">
        <v>51</v>
      </c>
      <c r="D27" s="203" t="s">
        <v>94</v>
      </c>
      <c r="E27" s="379">
        <v>0</v>
      </c>
      <c r="F27" s="379">
        <v>0</v>
      </c>
      <c r="G27" s="350">
        <v>0</v>
      </c>
      <c r="H27" s="350">
        <v>0</v>
      </c>
      <c r="I27" s="379">
        <v>0</v>
      </c>
      <c r="J27" s="379">
        <v>0</v>
      </c>
      <c r="K27" s="379">
        <v>0</v>
      </c>
      <c r="L27" s="379">
        <v>0</v>
      </c>
      <c r="M27" s="191">
        <v>0</v>
      </c>
      <c r="N27" s="191">
        <v>0</v>
      </c>
      <c r="O27" s="191">
        <v>0</v>
      </c>
      <c r="P27" s="191">
        <v>0</v>
      </c>
      <c r="Q27" s="380"/>
      <c r="R27" s="383">
        <v>0</v>
      </c>
      <c r="S27" s="384">
        <v>0</v>
      </c>
      <c r="T27" s="385">
        <v>0</v>
      </c>
      <c r="U27" s="120" t="str">
        <f t="shared" si="0"/>
        <v>Normal</v>
      </c>
      <c r="V27" s="120" t="str">
        <f t="shared" si="1"/>
        <v>Normal</v>
      </c>
      <c r="W27" s="81">
        <f t="shared" si="2"/>
        <v>0</v>
      </c>
      <c r="X27" s="81">
        <f t="shared" si="3"/>
        <v>0</v>
      </c>
    </row>
    <row r="28" spans="1:24" s="280" customFormat="1">
      <c r="A28" s="378">
        <v>45409</v>
      </c>
      <c r="B28" s="386">
        <f>IF(YEAR(Table7[[#This Row],[Date]]) = 2023, WEEKNUM(Table7[[#This Row],[Date]])-13, WEEKNUM(Table7[[#This Row],[Date]])+40)</f>
        <v>4</v>
      </c>
      <c r="C28" s="203" t="s">
        <v>52</v>
      </c>
      <c r="D28" s="203" t="s">
        <v>94</v>
      </c>
      <c r="E28" s="379">
        <v>0</v>
      </c>
      <c r="F28" s="379">
        <v>0</v>
      </c>
      <c r="G28" s="350">
        <v>0</v>
      </c>
      <c r="H28" s="350">
        <v>0</v>
      </c>
      <c r="I28" s="379">
        <v>0</v>
      </c>
      <c r="J28" s="379">
        <v>0</v>
      </c>
      <c r="K28" s="379">
        <v>0</v>
      </c>
      <c r="L28" s="379">
        <v>0</v>
      </c>
      <c r="M28" s="191">
        <v>0</v>
      </c>
      <c r="N28" s="191">
        <v>0</v>
      </c>
      <c r="O28" s="191">
        <v>0</v>
      </c>
      <c r="P28" s="191">
        <v>0</v>
      </c>
      <c r="Q28" s="380"/>
      <c r="R28" s="287">
        <v>0</v>
      </c>
      <c r="S28" s="176">
        <v>0</v>
      </c>
      <c r="T28" s="381">
        <v>0</v>
      </c>
      <c r="U28" s="120" t="str">
        <f t="shared" si="0"/>
        <v>Normal</v>
      </c>
      <c r="V28" s="120" t="str">
        <f t="shared" si="1"/>
        <v>Normal</v>
      </c>
      <c r="W28" s="81">
        <f t="shared" si="2"/>
        <v>0</v>
      </c>
      <c r="X28" s="81">
        <f t="shared" si="3"/>
        <v>0</v>
      </c>
    </row>
    <row r="29" spans="1:24" s="280" customFormat="1">
      <c r="A29" s="382">
        <v>45410</v>
      </c>
      <c r="B29" s="411">
        <f>IF(YEAR(Table7[[#This Row],[Date]]) = 2023, WEEKNUM(Table7[[#This Row],[Date]])-13, WEEKNUM(Table7[[#This Row],[Date]])+40)</f>
        <v>4</v>
      </c>
      <c r="C29" s="203" t="s">
        <v>53</v>
      </c>
      <c r="D29" s="203" t="s">
        <v>94</v>
      </c>
      <c r="E29" s="379">
        <v>0</v>
      </c>
      <c r="F29" s="379">
        <v>0</v>
      </c>
      <c r="G29" s="350">
        <v>0</v>
      </c>
      <c r="H29" s="350">
        <v>0</v>
      </c>
      <c r="I29" s="379">
        <v>0</v>
      </c>
      <c r="J29" s="379">
        <v>0</v>
      </c>
      <c r="K29" s="379">
        <v>0</v>
      </c>
      <c r="L29" s="379">
        <v>0</v>
      </c>
      <c r="M29" s="191">
        <v>0</v>
      </c>
      <c r="N29" s="191">
        <v>0</v>
      </c>
      <c r="O29" s="191">
        <v>0</v>
      </c>
      <c r="P29" s="191">
        <v>0</v>
      </c>
      <c r="Q29" s="380"/>
      <c r="R29" s="383">
        <v>0</v>
      </c>
      <c r="S29" s="384">
        <v>0</v>
      </c>
      <c r="T29" s="385">
        <v>0</v>
      </c>
      <c r="U29" s="120" t="str">
        <f t="shared" si="0"/>
        <v>Normal</v>
      </c>
      <c r="V29" s="120" t="str">
        <f t="shared" si="1"/>
        <v>Normal</v>
      </c>
      <c r="W29" s="81">
        <f t="shared" si="2"/>
        <v>0</v>
      </c>
      <c r="X29" s="81">
        <f t="shared" si="3"/>
        <v>0</v>
      </c>
    </row>
    <row r="30" spans="1:24" s="280" customFormat="1">
      <c r="A30" s="378">
        <v>45411</v>
      </c>
      <c r="B30" s="386">
        <f>IF(YEAR(Table7[[#This Row],[Date]]) = 2023, WEEKNUM(Table7[[#This Row],[Date]])-13, WEEKNUM(Table7[[#This Row],[Date]])+40)</f>
        <v>4</v>
      </c>
      <c r="C30" s="203" t="s">
        <v>54</v>
      </c>
      <c r="D30" s="203" t="s">
        <v>94</v>
      </c>
      <c r="E30" s="379">
        <v>0</v>
      </c>
      <c r="F30" s="379">
        <v>0</v>
      </c>
      <c r="G30" s="350">
        <v>0</v>
      </c>
      <c r="H30" s="350">
        <v>0</v>
      </c>
      <c r="I30" s="379">
        <v>0</v>
      </c>
      <c r="J30" s="379">
        <v>0</v>
      </c>
      <c r="K30" s="379">
        <v>0</v>
      </c>
      <c r="L30" s="379">
        <v>0</v>
      </c>
      <c r="M30" s="191">
        <v>0</v>
      </c>
      <c r="N30" s="191">
        <v>0</v>
      </c>
      <c r="O30" s="191">
        <v>0</v>
      </c>
      <c r="P30" s="191">
        <v>0</v>
      </c>
      <c r="Q30" s="380"/>
      <c r="R30" s="287">
        <v>0</v>
      </c>
      <c r="S30" s="176">
        <v>0</v>
      </c>
      <c r="T30" s="381">
        <v>0</v>
      </c>
      <c r="U30" s="120" t="str">
        <f t="shared" si="0"/>
        <v>Normal</v>
      </c>
      <c r="V30" s="120" t="str">
        <f t="shared" si="1"/>
        <v>Normal</v>
      </c>
      <c r="W30" s="81">
        <f t="shared" si="2"/>
        <v>0</v>
      </c>
      <c r="X30" s="81">
        <f t="shared" si="3"/>
        <v>0</v>
      </c>
    </row>
    <row r="31" spans="1:24" s="280" customFormat="1">
      <c r="A31" s="382">
        <v>45412</v>
      </c>
      <c r="B31" s="411">
        <f>IF(YEAR(Table7[[#This Row],[Date]]) = 2023, WEEKNUM(Table7[[#This Row],[Date]])-13, WEEKNUM(Table7[[#This Row],[Date]])+40)</f>
        <v>5</v>
      </c>
      <c r="C31" s="203" t="s">
        <v>48</v>
      </c>
      <c r="D31" s="203" t="s">
        <v>94</v>
      </c>
      <c r="E31" s="379">
        <v>0</v>
      </c>
      <c r="F31" s="379">
        <v>0</v>
      </c>
      <c r="G31" s="350">
        <v>0</v>
      </c>
      <c r="H31" s="350">
        <v>0</v>
      </c>
      <c r="I31" s="379">
        <v>0</v>
      </c>
      <c r="J31" s="379">
        <v>0</v>
      </c>
      <c r="K31" s="379">
        <v>0</v>
      </c>
      <c r="L31" s="379">
        <v>0</v>
      </c>
      <c r="M31" s="191">
        <v>0</v>
      </c>
      <c r="N31" s="191">
        <v>0</v>
      </c>
      <c r="O31" s="191">
        <v>0</v>
      </c>
      <c r="P31" s="191">
        <v>0</v>
      </c>
      <c r="Q31" s="380"/>
      <c r="R31" s="383">
        <v>0</v>
      </c>
      <c r="S31" s="384">
        <v>0</v>
      </c>
      <c r="T31" s="385">
        <v>0</v>
      </c>
      <c r="U31" s="120" t="str">
        <f t="shared" si="0"/>
        <v>Normal</v>
      </c>
      <c r="V31" s="120" t="str">
        <f t="shared" si="1"/>
        <v>Normal</v>
      </c>
      <c r="W31" s="81">
        <f t="shared" si="2"/>
        <v>0</v>
      </c>
      <c r="X31" s="81">
        <f t="shared" si="3"/>
        <v>0</v>
      </c>
    </row>
    <row r="32" spans="1:24" s="280" customFormat="1">
      <c r="A32" s="378">
        <v>45413</v>
      </c>
      <c r="B32" s="386">
        <f>IF(YEAR(Table7[[#This Row],[Date]]) = 2023, WEEKNUM(Table7[[#This Row],[Date]])-13, WEEKNUM(Table7[[#This Row],[Date]])+40)</f>
        <v>5</v>
      </c>
      <c r="C32" s="203" t="s">
        <v>49</v>
      </c>
      <c r="D32" s="203" t="s">
        <v>94</v>
      </c>
      <c r="E32" s="379">
        <v>0</v>
      </c>
      <c r="F32" s="379">
        <v>0</v>
      </c>
      <c r="G32" s="350">
        <v>0</v>
      </c>
      <c r="H32" s="350">
        <v>0</v>
      </c>
      <c r="I32" s="379">
        <v>0</v>
      </c>
      <c r="J32" s="379">
        <v>0</v>
      </c>
      <c r="K32" s="379">
        <v>0</v>
      </c>
      <c r="L32" s="379">
        <v>0</v>
      </c>
      <c r="M32" s="191">
        <v>0</v>
      </c>
      <c r="N32" s="191">
        <v>0</v>
      </c>
      <c r="O32" s="191">
        <v>0</v>
      </c>
      <c r="P32" s="191">
        <v>0</v>
      </c>
      <c r="Q32" s="380"/>
      <c r="R32" s="287">
        <v>0</v>
      </c>
      <c r="S32" s="176">
        <v>0</v>
      </c>
      <c r="T32" s="381">
        <v>0</v>
      </c>
      <c r="U32" s="120" t="str">
        <f t="shared" si="0"/>
        <v>Normal</v>
      </c>
      <c r="V32" s="120" t="str">
        <f t="shared" si="1"/>
        <v>Normal</v>
      </c>
      <c r="W32" s="81">
        <f t="shared" si="2"/>
        <v>0</v>
      </c>
      <c r="X32" s="81">
        <f t="shared" si="3"/>
        <v>0</v>
      </c>
    </row>
    <row r="33" spans="1:24" s="280" customFormat="1">
      <c r="A33" s="382">
        <v>45414</v>
      </c>
      <c r="B33" s="411">
        <f>IF(YEAR(Table7[[#This Row],[Date]]) = 2023, WEEKNUM(Table7[[#This Row],[Date]])-13, WEEKNUM(Table7[[#This Row],[Date]])+40)</f>
        <v>5</v>
      </c>
      <c r="C33" s="203" t="s">
        <v>50</v>
      </c>
      <c r="D33" s="203" t="s">
        <v>94</v>
      </c>
      <c r="E33" s="379">
        <v>0</v>
      </c>
      <c r="F33" s="379">
        <v>0</v>
      </c>
      <c r="G33" s="350">
        <v>0</v>
      </c>
      <c r="H33" s="350">
        <v>0</v>
      </c>
      <c r="I33" s="379">
        <v>0</v>
      </c>
      <c r="J33" s="379">
        <v>0</v>
      </c>
      <c r="K33" s="379">
        <v>0</v>
      </c>
      <c r="L33" s="379">
        <v>0</v>
      </c>
      <c r="M33" s="191">
        <v>0</v>
      </c>
      <c r="N33" s="191">
        <v>0</v>
      </c>
      <c r="O33" s="191">
        <v>0</v>
      </c>
      <c r="P33" s="191">
        <v>0</v>
      </c>
      <c r="Q33" s="380"/>
      <c r="R33" s="383">
        <v>0</v>
      </c>
      <c r="S33" s="384">
        <v>0</v>
      </c>
      <c r="T33" s="385">
        <v>0</v>
      </c>
      <c r="U33" s="120" t="str">
        <f t="shared" si="0"/>
        <v>Normal</v>
      </c>
      <c r="V33" s="120" t="str">
        <f t="shared" si="1"/>
        <v>Normal</v>
      </c>
      <c r="W33" s="81">
        <f t="shared" si="2"/>
        <v>0</v>
      </c>
      <c r="X33" s="81">
        <f t="shared" si="3"/>
        <v>0</v>
      </c>
    </row>
    <row r="34" spans="1:24" s="280" customFormat="1">
      <c r="A34" s="378">
        <v>45415</v>
      </c>
      <c r="B34" s="386">
        <f>IF(YEAR(Table7[[#This Row],[Date]]) = 2023, WEEKNUM(Table7[[#This Row],[Date]])-13, WEEKNUM(Table7[[#This Row],[Date]])+40)</f>
        <v>5</v>
      </c>
      <c r="C34" s="203" t="s">
        <v>51</v>
      </c>
      <c r="D34" s="203" t="s">
        <v>94</v>
      </c>
      <c r="E34" s="379">
        <v>0</v>
      </c>
      <c r="F34" s="379">
        <v>0</v>
      </c>
      <c r="G34" s="350">
        <v>0</v>
      </c>
      <c r="H34" s="350">
        <v>0</v>
      </c>
      <c r="I34" s="379">
        <v>0</v>
      </c>
      <c r="J34" s="379">
        <v>0</v>
      </c>
      <c r="K34" s="379">
        <v>0</v>
      </c>
      <c r="L34" s="379">
        <v>0</v>
      </c>
      <c r="M34" s="191">
        <v>0</v>
      </c>
      <c r="N34" s="191">
        <v>0</v>
      </c>
      <c r="O34" s="191">
        <v>0</v>
      </c>
      <c r="P34" s="191">
        <v>0</v>
      </c>
      <c r="Q34" s="380"/>
      <c r="R34" s="287">
        <v>0</v>
      </c>
      <c r="S34" s="176">
        <v>0</v>
      </c>
      <c r="T34" s="381">
        <v>0</v>
      </c>
      <c r="U34" s="120" t="str">
        <f t="shared" si="0"/>
        <v>Normal</v>
      </c>
      <c r="V34" s="120" t="str">
        <f t="shared" si="1"/>
        <v>Normal</v>
      </c>
      <c r="W34" s="81">
        <f t="shared" si="2"/>
        <v>0</v>
      </c>
      <c r="X34" s="81">
        <f t="shared" si="3"/>
        <v>0</v>
      </c>
    </row>
    <row r="35" spans="1:24" s="280" customFormat="1">
      <c r="A35" s="382">
        <v>45416</v>
      </c>
      <c r="B35" s="411">
        <f>IF(YEAR(Table7[[#This Row],[Date]]) = 2023, WEEKNUM(Table7[[#This Row],[Date]])-13, WEEKNUM(Table7[[#This Row],[Date]])+40)</f>
        <v>5</v>
      </c>
      <c r="C35" s="203" t="s">
        <v>52</v>
      </c>
      <c r="D35" s="203" t="s">
        <v>94</v>
      </c>
      <c r="E35" s="379">
        <v>0</v>
      </c>
      <c r="F35" s="379">
        <v>0</v>
      </c>
      <c r="G35" s="350">
        <v>0</v>
      </c>
      <c r="H35" s="350">
        <v>0</v>
      </c>
      <c r="I35" s="379">
        <v>0</v>
      </c>
      <c r="J35" s="379">
        <v>0</v>
      </c>
      <c r="K35" s="379">
        <v>0</v>
      </c>
      <c r="L35" s="379">
        <v>0</v>
      </c>
      <c r="M35" s="191">
        <v>0</v>
      </c>
      <c r="N35" s="191">
        <v>0</v>
      </c>
      <c r="O35" s="191">
        <v>0</v>
      </c>
      <c r="P35" s="191">
        <v>0</v>
      </c>
      <c r="Q35" s="380"/>
      <c r="R35" s="383">
        <v>0</v>
      </c>
      <c r="S35" s="384">
        <v>0</v>
      </c>
      <c r="T35" s="385">
        <v>0</v>
      </c>
      <c r="U35" s="120" t="str">
        <f t="shared" si="0"/>
        <v>Normal</v>
      </c>
      <c r="V35" s="120" t="str">
        <f t="shared" si="1"/>
        <v>Normal</v>
      </c>
      <c r="W35" s="81">
        <f t="shared" si="2"/>
        <v>0</v>
      </c>
      <c r="X35" s="81">
        <f t="shared" si="3"/>
        <v>0</v>
      </c>
    </row>
    <row r="36" spans="1:24" s="280" customFormat="1">
      <c r="A36" s="378">
        <v>45417</v>
      </c>
      <c r="B36" s="386">
        <f>IF(YEAR(Table7[[#This Row],[Date]]) = 2023, WEEKNUM(Table7[[#This Row],[Date]])-13, WEEKNUM(Table7[[#This Row],[Date]])+40)</f>
        <v>5</v>
      </c>
      <c r="C36" s="203" t="s">
        <v>53</v>
      </c>
      <c r="D36" s="203" t="s">
        <v>94</v>
      </c>
      <c r="E36" s="379">
        <v>0</v>
      </c>
      <c r="F36" s="379">
        <v>0</v>
      </c>
      <c r="G36" s="350">
        <v>0</v>
      </c>
      <c r="H36" s="350">
        <v>0</v>
      </c>
      <c r="I36" s="379">
        <v>0</v>
      </c>
      <c r="J36" s="379">
        <v>0</v>
      </c>
      <c r="K36" s="379">
        <v>0</v>
      </c>
      <c r="L36" s="379">
        <v>0</v>
      </c>
      <c r="M36" s="191">
        <v>0</v>
      </c>
      <c r="N36" s="191">
        <v>0</v>
      </c>
      <c r="O36" s="191">
        <v>0</v>
      </c>
      <c r="P36" s="191">
        <v>0</v>
      </c>
      <c r="Q36" s="380"/>
      <c r="R36" s="287">
        <v>0</v>
      </c>
      <c r="S36" s="176">
        <v>0</v>
      </c>
      <c r="T36" s="381">
        <v>0</v>
      </c>
      <c r="U36" s="120" t="str">
        <f t="shared" si="0"/>
        <v>Normal</v>
      </c>
      <c r="V36" s="120" t="str">
        <f t="shared" si="1"/>
        <v>Normal</v>
      </c>
      <c r="W36" s="81">
        <f t="shared" si="2"/>
        <v>0</v>
      </c>
      <c r="X36" s="81">
        <f t="shared" si="3"/>
        <v>0</v>
      </c>
    </row>
    <row r="37" spans="1:24" s="280" customFormat="1">
      <c r="A37" s="382">
        <v>45418</v>
      </c>
      <c r="B37" s="411">
        <f>IF(YEAR(Table7[[#This Row],[Date]]) = 2023, WEEKNUM(Table7[[#This Row],[Date]])-13, WEEKNUM(Table7[[#This Row],[Date]])+40)</f>
        <v>5</v>
      </c>
      <c r="C37" s="203" t="s">
        <v>54</v>
      </c>
      <c r="D37" s="203" t="s">
        <v>94</v>
      </c>
      <c r="E37" s="379">
        <v>0</v>
      </c>
      <c r="F37" s="379">
        <v>0</v>
      </c>
      <c r="G37" s="350">
        <v>0</v>
      </c>
      <c r="H37" s="350">
        <v>0</v>
      </c>
      <c r="I37" s="379">
        <v>0</v>
      </c>
      <c r="J37" s="379">
        <v>0</v>
      </c>
      <c r="K37" s="379">
        <v>0</v>
      </c>
      <c r="L37" s="379">
        <v>0</v>
      </c>
      <c r="M37" s="191">
        <v>0</v>
      </c>
      <c r="N37" s="191">
        <v>0</v>
      </c>
      <c r="O37" s="191">
        <v>0</v>
      </c>
      <c r="P37" s="191">
        <v>0</v>
      </c>
      <c r="Q37" s="380"/>
      <c r="R37" s="383">
        <v>0</v>
      </c>
      <c r="S37" s="384">
        <v>0</v>
      </c>
      <c r="T37" s="385">
        <v>0</v>
      </c>
      <c r="U37" s="120" t="str">
        <f t="shared" si="0"/>
        <v>Normal</v>
      </c>
      <c r="V37" s="120" t="str">
        <f t="shared" si="1"/>
        <v>Normal</v>
      </c>
      <c r="W37" s="81">
        <f t="shared" si="2"/>
        <v>0</v>
      </c>
      <c r="X37" s="81">
        <f t="shared" si="3"/>
        <v>0</v>
      </c>
    </row>
    <row r="38" spans="1:24" s="280" customFormat="1">
      <c r="A38" s="378">
        <v>45419</v>
      </c>
      <c r="B38" s="386">
        <f>IF(YEAR(Table7[[#This Row],[Date]]) = 2023, WEEKNUM(Table7[[#This Row],[Date]])-13, WEEKNUM(Table7[[#This Row],[Date]])+40)</f>
        <v>6</v>
      </c>
      <c r="C38" s="203" t="s">
        <v>48</v>
      </c>
      <c r="D38" s="203" t="s">
        <v>94</v>
      </c>
      <c r="E38" s="379">
        <v>0</v>
      </c>
      <c r="F38" s="379">
        <v>0</v>
      </c>
      <c r="G38" s="350">
        <v>0</v>
      </c>
      <c r="H38" s="350">
        <v>0</v>
      </c>
      <c r="I38" s="379">
        <v>0</v>
      </c>
      <c r="J38" s="379">
        <v>0</v>
      </c>
      <c r="K38" s="379">
        <v>0</v>
      </c>
      <c r="L38" s="379">
        <v>0</v>
      </c>
      <c r="M38" s="191">
        <v>0</v>
      </c>
      <c r="N38" s="191">
        <v>0</v>
      </c>
      <c r="O38" s="191">
        <v>0</v>
      </c>
      <c r="P38" s="191">
        <v>0</v>
      </c>
      <c r="Q38" s="380"/>
      <c r="R38" s="287">
        <v>0</v>
      </c>
      <c r="S38" s="176">
        <v>0</v>
      </c>
      <c r="T38" s="381">
        <v>0</v>
      </c>
      <c r="U38" s="120" t="str">
        <f t="shared" si="0"/>
        <v>Normal</v>
      </c>
      <c r="V38" s="120" t="str">
        <f t="shared" si="1"/>
        <v>Normal</v>
      </c>
      <c r="W38" s="81">
        <f t="shared" si="2"/>
        <v>0</v>
      </c>
      <c r="X38" s="81">
        <f t="shared" si="3"/>
        <v>0</v>
      </c>
    </row>
    <row r="39" spans="1:24" s="280" customFormat="1">
      <c r="A39" s="382">
        <v>45420</v>
      </c>
      <c r="B39" s="411">
        <f>IF(YEAR(Table7[[#This Row],[Date]]) = 2023, WEEKNUM(Table7[[#This Row],[Date]])-13, WEEKNUM(Table7[[#This Row],[Date]])+40)</f>
        <v>6</v>
      </c>
      <c r="C39" s="203" t="s">
        <v>49</v>
      </c>
      <c r="D39" s="203" t="s">
        <v>94</v>
      </c>
      <c r="E39" s="379">
        <v>0</v>
      </c>
      <c r="F39" s="379">
        <v>0</v>
      </c>
      <c r="G39" s="350">
        <v>0</v>
      </c>
      <c r="H39" s="350">
        <v>0</v>
      </c>
      <c r="I39" s="379">
        <v>0</v>
      </c>
      <c r="J39" s="379">
        <v>0</v>
      </c>
      <c r="K39" s="379">
        <v>0</v>
      </c>
      <c r="L39" s="379">
        <v>0</v>
      </c>
      <c r="M39" s="191">
        <v>0</v>
      </c>
      <c r="N39" s="191">
        <v>0</v>
      </c>
      <c r="O39" s="191">
        <v>0</v>
      </c>
      <c r="P39" s="191">
        <v>0</v>
      </c>
      <c r="Q39" s="380"/>
      <c r="R39" s="383">
        <v>0</v>
      </c>
      <c r="S39" s="384">
        <v>0</v>
      </c>
      <c r="T39" s="385">
        <v>0</v>
      </c>
      <c r="U39" s="120" t="str">
        <f t="shared" si="0"/>
        <v>Normal</v>
      </c>
      <c r="V39" s="120" t="str">
        <f t="shared" si="1"/>
        <v>Normal</v>
      </c>
      <c r="W39" s="81">
        <f t="shared" si="2"/>
        <v>0</v>
      </c>
      <c r="X39" s="81">
        <f t="shared" si="3"/>
        <v>0</v>
      </c>
    </row>
    <row r="40" spans="1:24" s="280" customFormat="1">
      <c r="A40" s="378">
        <v>45421</v>
      </c>
      <c r="B40" s="386">
        <f>IF(YEAR(Table7[[#This Row],[Date]]) = 2023, WEEKNUM(Table7[[#This Row],[Date]])-13, WEEKNUM(Table7[[#This Row],[Date]])+40)</f>
        <v>6</v>
      </c>
      <c r="C40" s="203" t="s">
        <v>50</v>
      </c>
      <c r="D40" s="203" t="s">
        <v>94</v>
      </c>
      <c r="E40" s="379">
        <v>0</v>
      </c>
      <c r="F40" s="379">
        <v>0</v>
      </c>
      <c r="G40" s="350">
        <v>0</v>
      </c>
      <c r="H40" s="350">
        <v>0</v>
      </c>
      <c r="I40" s="379">
        <v>0</v>
      </c>
      <c r="J40" s="379">
        <v>0</v>
      </c>
      <c r="K40" s="379">
        <v>0</v>
      </c>
      <c r="L40" s="379">
        <v>0</v>
      </c>
      <c r="M40" s="191">
        <v>0</v>
      </c>
      <c r="N40" s="191">
        <v>0</v>
      </c>
      <c r="O40" s="191">
        <v>0</v>
      </c>
      <c r="P40" s="191">
        <v>0</v>
      </c>
      <c r="Q40" s="380"/>
      <c r="R40" s="287">
        <v>0</v>
      </c>
      <c r="S40" s="176">
        <v>0</v>
      </c>
      <c r="T40" s="381">
        <v>0</v>
      </c>
      <c r="U40" s="120" t="str">
        <f t="shared" si="0"/>
        <v>Normal</v>
      </c>
      <c r="V40" s="120" t="str">
        <f t="shared" si="1"/>
        <v>Normal</v>
      </c>
      <c r="W40" s="81">
        <f t="shared" si="2"/>
        <v>0</v>
      </c>
      <c r="X40" s="81">
        <f t="shared" si="3"/>
        <v>0</v>
      </c>
    </row>
    <row r="41" spans="1:24" s="280" customFormat="1">
      <c r="A41" s="382">
        <v>45422</v>
      </c>
      <c r="B41" s="411">
        <f>IF(YEAR(Table7[[#This Row],[Date]]) = 2023, WEEKNUM(Table7[[#This Row],[Date]])-13, WEEKNUM(Table7[[#This Row],[Date]])+40)</f>
        <v>6</v>
      </c>
      <c r="C41" s="203" t="s">
        <v>51</v>
      </c>
      <c r="D41" s="203" t="s">
        <v>94</v>
      </c>
      <c r="E41" s="379">
        <v>0</v>
      </c>
      <c r="F41" s="379">
        <v>0</v>
      </c>
      <c r="G41" s="350">
        <v>0</v>
      </c>
      <c r="H41" s="350">
        <v>0</v>
      </c>
      <c r="I41" s="379">
        <v>0</v>
      </c>
      <c r="J41" s="379">
        <v>0</v>
      </c>
      <c r="K41" s="379">
        <v>0</v>
      </c>
      <c r="L41" s="379">
        <v>0</v>
      </c>
      <c r="M41" s="191">
        <v>0</v>
      </c>
      <c r="N41" s="191">
        <v>0</v>
      </c>
      <c r="O41" s="191">
        <v>0</v>
      </c>
      <c r="P41" s="191">
        <v>0</v>
      </c>
      <c r="Q41" s="380"/>
      <c r="R41" s="383">
        <v>0</v>
      </c>
      <c r="S41" s="384">
        <v>0</v>
      </c>
      <c r="T41" s="385">
        <v>0</v>
      </c>
      <c r="U41" s="120" t="str">
        <f t="shared" si="0"/>
        <v>Normal</v>
      </c>
      <c r="V41" s="120" t="str">
        <f t="shared" si="1"/>
        <v>Normal</v>
      </c>
      <c r="W41" s="81">
        <f t="shared" si="2"/>
        <v>0</v>
      </c>
      <c r="X41" s="81">
        <f t="shared" si="3"/>
        <v>0</v>
      </c>
    </row>
    <row r="42" spans="1:24" s="280" customFormat="1">
      <c r="A42" s="378">
        <v>45423</v>
      </c>
      <c r="B42" s="386">
        <f>IF(YEAR(Table7[[#This Row],[Date]]) = 2023, WEEKNUM(Table7[[#This Row],[Date]])-13, WEEKNUM(Table7[[#This Row],[Date]])+40)</f>
        <v>6</v>
      </c>
      <c r="C42" s="203" t="s">
        <v>52</v>
      </c>
      <c r="D42" s="203" t="s">
        <v>94</v>
      </c>
      <c r="E42" s="379">
        <v>0</v>
      </c>
      <c r="F42" s="379">
        <v>0</v>
      </c>
      <c r="G42" s="350">
        <v>0</v>
      </c>
      <c r="H42" s="350">
        <v>0</v>
      </c>
      <c r="I42" s="379">
        <v>0</v>
      </c>
      <c r="J42" s="379">
        <v>0</v>
      </c>
      <c r="K42" s="379">
        <v>0</v>
      </c>
      <c r="L42" s="379">
        <v>0</v>
      </c>
      <c r="M42" s="191">
        <v>0</v>
      </c>
      <c r="N42" s="191">
        <v>0</v>
      </c>
      <c r="O42" s="191">
        <v>0</v>
      </c>
      <c r="P42" s="191">
        <v>0</v>
      </c>
      <c r="Q42" s="380"/>
      <c r="R42" s="287">
        <v>0</v>
      </c>
      <c r="S42" s="176">
        <v>0</v>
      </c>
      <c r="T42" s="381">
        <v>0</v>
      </c>
      <c r="U42" s="120" t="str">
        <f t="shared" si="0"/>
        <v>Normal</v>
      </c>
      <c r="V42" s="120" t="str">
        <f t="shared" si="1"/>
        <v>Normal</v>
      </c>
      <c r="W42" s="81">
        <f t="shared" si="2"/>
        <v>0</v>
      </c>
      <c r="X42" s="81">
        <f t="shared" si="3"/>
        <v>0</v>
      </c>
    </row>
    <row r="43" spans="1:24" s="280" customFormat="1">
      <c r="A43" s="382">
        <v>45424</v>
      </c>
      <c r="B43" s="411">
        <f>IF(YEAR(Table7[[#This Row],[Date]]) = 2023, WEEKNUM(Table7[[#This Row],[Date]])-13, WEEKNUM(Table7[[#This Row],[Date]])+40)</f>
        <v>6</v>
      </c>
      <c r="C43" s="203" t="s">
        <v>53</v>
      </c>
      <c r="D43" s="203" t="s">
        <v>94</v>
      </c>
      <c r="E43" s="379">
        <v>0</v>
      </c>
      <c r="F43" s="379">
        <v>0</v>
      </c>
      <c r="G43" s="350">
        <v>0</v>
      </c>
      <c r="H43" s="350">
        <v>0</v>
      </c>
      <c r="I43" s="379">
        <v>0</v>
      </c>
      <c r="J43" s="379">
        <v>0</v>
      </c>
      <c r="K43" s="379">
        <v>0</v>
      </c>
      <c r="L43" s="379">
        <v>0</v>
      </c>
      <c r="M43" s="191">
        <v>0</v>
      </c>
      <c r="N43" s="191">
        <v>0</v>
      </c>
      <c r="O43" s="191">
        <v>0</v>
      </c>
      <c r="P43" s="191">
        <v>0</v>
      </c>
      <c r="Q43" s="380"/>
      <c r="R43" s="383">
        <v>0</v>
      </c>
      <c r="S43" s="384">
        <v>0</v>
      </c>
      <c r="T43" s="385">
        <v>0</v>
      </c>
      <c r="U43" s="120" t="str">
        <f t="shared" si="0"/>
        <v>Normal</v>
      </c>
      <c r="V43" s="120" t="str">
        <f t="shared" si="1"/>
        <v>Normal</v>
      </c>
      <c r="W43" s="81">
        <f t="shared" si="2"/>
        <v>0</v>
      </c>
      <c r="X43" s="81">
        <f t="shared" si="3"/>
        <v>0</v>
      </c>
    </row>
    <row r="44" spans="1:24" s="280" customFormat="1">
      <c r="A44" s="378">
        <v>45425</v>
      </c>
      <c r="B44" s="386">
        <f>IF(YEAR(Table7[[#This Row],[Date]]) = 2023, WEEKNUM(Table7[[#This Row],[Date]])-13, WEEKNUM(Table7[[#This Row],[Date]])+40)</f>
        <v>6</v>
      </c>
      <c r="C44" s="203" t="s">
        <v>54</v>
      </c>
      <c r="D44" s="203" t="s">
        <v>94</v>
      </c>
      <c r="E44" s="379">
        <v>0</v>
      </c>
      <c r="F44" s="379">
        <v>0</v>
      </c>
      <c r="G44" s="350">
        <v>0</v>
      </c>
      <c r="H44" s="350">
        <v>0</v>
      </c>
      <c r="I44" s="379">
        <v>0</v>
      </c>
      <c r="J44" s="379">
        <v>0</v>
      </c>
      <c r="K44" s="379">
        <v>0</v>
      </c>
      <c r="L44" s="379">
        <v>0</v>
      </c>
      <c r="M44" s="191">
        <v>0</v>
      </c>
      <c r="N44" s="191">
        <v>0</v>
      </c>
      <c r="O44" s="191">
        <v>0</v>
      </c>
      <c r="P44" s="191">
        <v>0</v>
      </c>
      <c r="Q44" s="380"/>
      <c r="R44" s="287">
        <v>0</v>
      </c>
      <c r="S44" s="176">
        <v>0</v>
      </c>
      <c r="T44" s="381">
        <v>0</v>
      </c>
      <c r="U44" s="120" t="str">
        <f t="shared" si="0"/>
        <v>Normal</v>
      </c>
      <c r="V44" s="120" t="str">
        <f t="shared" si="1"/>
        <v>Normal</v>
      </c>
      <c r="W44" s="81">
        <f t="shared" si="2"/>
        <v>0</v>
      </c>
      <c r="X44" s="81">
        <f t="shared" si="3"/>
        <v>0</v>
      </c>
    </row>
    <row r="45" spans="1:24" s="280" customFormat="1">
      <c r="A45" s="382">
        <v>45426</v>
      </c>
      <c r="B45" s="411">
        <f>IF(YEAR(Table7[[#This Row],[Date]]) = 2023, WEEKNUM(Table7[[#This Row],[Date]])-13, WEEKNUM(Table7[[#This Row],[Date]])+40)</f>
        <v>7</v>
      </c>
      <c r="C45" s="203" t="s">
        <v>48</v>
      </c>
      <c r="D45" s="203" t="s">
        <v>94</v>
      </c>
      <c r="E45" s="379">
        <v>0</v>
      </c>
      <c r="F45" s="379">
        <v>0</v>
      </c>
      <c r="G45" s="350">
        <v>0</v>
      </c>
      <c r="H45" s="350">
        <v>0</v>
      </c>
      <c r="I45" s="379">
        <v>0</v>
      </c>
      <c r="J45" s="379">
        <v>0</v>
      </c>
      <c r="K45" s="379">
        <v>0</v>
      </c>
      <c r="L45" s="379">
        <v>0</v>
      </c>
      <c r="M45" s="191">
        <v>0</v>
      </c>
      <c r="N45" s="191">
        <v>0</v>
      </c>
      <c r="O45" s="191">
        <v>0</v>
      </c>
      <c r="P45" s="191">
        <v>0</v>
      </c>
      <c r="Q45" s="380"/>
      <c r="R45" s="383">
        <v>0</v>
      </c>
      <c r="S45" s="384">
        <v>0</v>
      </c>
      <c r="T45" s="385">
        <v>0</v>
      </c>
      <c r="U45" s="120" t="str">
        <f t="shared" si="0"/>
        <v>Normal</v>
      </c>
      <c r="V45" s="120" t="str">
        <f t="shared" si="1"/>
        <v>Normal</v>
      </c>
      <c r="W45" s="81">
        <f t="shared" si="2"/>
        <v>0</v>
      </c>
      <c r="X45" s="81">
        <f t="shared" si="3"/>
        <v>0</v>
      </c>
    </row>
    <row r="46" spans="1:24" s="280" customFormat="1">
      <c r="A46" s="378">
        <v>45427</v>
      </c>
      <c r="B46" s="386">
        <f>IF(YEAR(Table7[[#This Row],[Date]]) = 2023, WEEKNUM(Table7[[#This Row],[Date]])-13, WEEKNUM(Table7[[#This Row],[Date]])+40)</f>
        <v>7</v>
      </c>
      <c r="C46" s="203" t="s">
        <v>49</v>
      </c>
      <c r="D46" s="203" t="s">
        <v>94</v>
      </c>
      <c r="E46" s="379">
        <v>0</v>
      </c>
      <c r="F46" s="379">
        <v>0</v>
      </c>
      <c r="G46" s="350">
        <v>0</v>
      </c>
      <c r="H46" s="350">
        <v>0</v>
      </c>
      <c r="I46" s="379">
        <v>0</v>
      </c>
      <c r="J46" s="379">
        <v>0</v>
      </c>
      <c r="K46" s="379">
        <v>0</v>
      </c>
      <c r="L46" s="379">
        <v>0</v>
      </c>
      <c r="M46" s="191">
        <v>0</v>
      </c>
      <c r="N46" s="191">
        <v>0</v>
      </c>
      <c r="O46" s="191">
        <v>0</v>
      </c>
      <c r="P46" s="191">
        <v>0</v>
      </c>
      <c r="Q46" s="380"/>
      <c r="R46" s="287">
        <v>0</v>
      </c>
      <c r="S46" s="176">
        <v>0</v>
      </c>
      <c r="T46" s="381">
        <v>0</v>
      </c>
      <c r="U46" s="120" t="str">
        <f t="shared" si="0"/>
        <v>Normal</v>
      </c>
      <c r="V46" s="120" t="str">
        <f t="shared" si="1"/>
        <v>Normal</v>
      </c>
      <c r="W46" s="81">
        <f t="shared" si="2"/>
        <v>0</v>
      </c>
      <c r="X46" s="81">
        <f t="shared" si="3"/>
        <v>0</v>
      </c>
    </row>
    <row r="47" spans="1:24" s="280" customFormat="1">
      <c r="A47" s="382">
        <v>45428</v>
      </c>
      <c r="B47" s="411">
        <f>IF(YEAR(Table7[[#This Row],[Date]]) = 2023, WEEKNUM(Table7[[#This Row],[Date]])-13, WEEKNUM(Table7[[#This Row],[Date]])+40)</f>
        <v>7</v>
      </c>
      <c r="C47" s="203" t="s">
        <v>50</v>
      </c>
      <c r="D47" s="203" t="s">
        <v>94</v>
      </c>
      <c r="E47" s="379">
        <v>0</v>
      </c>
      <c r="F47" s="379">
        <v>0</v>
      </c>
      <c r="G47" s="350">
        <v>0</v>
      </c>
      <c r="H47" s="350">
        <v>0</v>
      </c>
      <c r="I47" s="379">
        <v>0</v>
      </c>
      <c r="J47" s="379">
        <v>0</v>
      </c>
      <c r="K47" s="379">
        <v>0</v>
      </c>
      <c r="L47" s="379">
        <v>0</v>
      </c>
      <c r="M47" s="191">
        <v>0</v>
      </c>
      <c r="N47" s="191">
        <v>0</v>
      </c>
      <c r="O47" s="191">
        <v>0</v>
      </c>
      <c r="P47" s="191">
        <v>0</v>
      </c>
      <c r="Q47" s="380"/>
      <c r="R47" s="383">
        <v>0</v>
      </c>
      <c r="S47" s="384">
        <v>0</v>
      </c>
      <c r="T47" s="385">
        <v>0</v>
      </c>
      <c r="U47" s="120" t="str">
        <f t="shared" si="0"/>
        <v>Normal</v>
      </c>
      <c r="V47" s="120" t="str">
        <f t="shared" si="1"/>
        <v>Normal</v>
      </c>
      <c r="W47" s="81">
        <f t="shared" si="2"/>
        <v>0</v>
      </c>
      <c r="X47" s="81">
        <f t="shared" si="3"/>
        <v>0</v>
      </c>
    </row>
    <row r="48" spans="1:24" s="280" customFormat="1">
      <c r="A48" s="378">
        <v>45429</v>
      </c>
      <c r="B48" s="386">
        <f>IF(YEAR(Table7[[#This Row],[Date]]) = 2023, WEEKNUM(Table7[[#This Row],[Date]])-13, WEEKNUM(Table7[[#This Row],[Date]])+40)</f>
        <v>7</v>
      </c>
      <c r="C48" s="203" t="s">
        <v>51</v>
      </c>
      <c r="D48" s="203" t="s">
        <v>94</v>
      </c>
      <c r="E48" s="379">
        <v>0</v>
      </c>
      <c r="F48" s="379">
        <v>0</v>
      </c>
      <c r="G48" s="350">
        <v>0</v>
      </c>
      <c r="H48" s="350">
        <v>0</v>
      </c>
      <c r="I48" s="379">
        <v>0</v>
      </c>
      <c r="J48" s="379">
        <v>0</v>
      </c>
      <c r="K48" s="379">
        <v>0</v>
      </c>
      <c r="L48" s="379">
        <v>0</v>
      </c>
      <c r="M48" s="191">
        <v>0</v>
      </c>
      <c r="N48" s="191">
        <v>0</v>
      </c>
      <c r="O48" s="191">
        <v>0</v>
      </c>
      <c r="P48" s="191">
        <v>0</v>
      </c>
      <c r="Q48" s="380"/>
      <c r="R48" s="287">
        <v>0</v>
      </c>
      <c r="S48" s="176">
        <v>0</v>
      </c>
      <c r="T48" s="381">
        <v>0</v>
      </c>
      <c r="U48" s="120" t="str">
        <f t="shared" si="0"/>
        <v>Normal</v>
      </c>
      <c r="V48" s="120" t="str">
        <f t="shared" si="1"/>
        <v>Normal</v>
      </c>
      <c r="W48" s="81">
        <f t="shared" si="2"/>
        <v>0</v>
      </c>
      <c r="X48" s="81">
        <f t="shared" si="3"/>
        <v>0</v>
      </c>
    </row>
    <row r="49" spans="1:24" s="280" customFormat="1">
      <c r="A49" s="382">
        <v>45430</v>
      </c>
      <c r="B49" s="411">
        <f>IF(YEAR(Table7[[#This Row],[Date]]) = 2023, WEEKNUM(Table7[[#This Row],[Date]])-13, WEEKNUM(Table7[[#This Row],[Date]])+40)</f>
        <v>7</v>
      </c>
      <c r="C49" s="203" t="s">
        <v>52</v>
      </c>
      <c r="D49" s="203" t="s">
        <v>94</v>
      </c>
      <c r="E49" s="379">
        <v>0</v>
      </c>
      <c r="F49" s="379">
        <v>0</v>
      </c>
      <c r="G49" s="350">
        <v>0</v>
      </c>
      <c r="H49" s="350">
        <v>0</v>
      </c>
      <c r="I49" s="379">
        <v>0</v>
      </c>
      <c r="J49" s="379">
        <v>0</v>
      </c>
      <c r="K49" s="379">
        <v>0</v>
      </c>
      <c r="L49" s="379">
        <v>0</v>
      </c>
      <c r="M49" s="191">
        <v>0</v>
      </c>
      <c r="N49" s="191">
        <v>0</v>
      </c>
      <c r="O49" s="191">
        <v>0</v>
      </c>
      <c r="P49" s="191">
        <v>0</v>
      </c>
      <c r="Q49" s="380"/>
      <c r="R49" s="383">
        <v>0</v>
      </c>
      <c r="S49" s="384">
        <v>0</v>
      </c>
      <c r="T49" s="385">
        <v>0</v>
      </c>
      <c r="U49" s="120" t="str">
        <f t="shared" si="0"/>
        <v>Normal</v>
      </c>
      <c r="V49" s="120" t="str">
        <f t="shared" si="1"/>
        <v>Normal</v>
      </c>
      <c r="W49" s="81">
        <f t="shared" si="2"/>
        <v>0</v>
      </c>
      <c r="X49" s="81">
        <f t="shared" si="3"/>
        <v>0</v>
      </c>
    </row>
    <row r="50" spans="1:24" s="280" customFormat="1">
      <c r="A50" s="378">
        <v>45431</v>
      </c>
      <c r="B50" s="386">
        <f>IF(YEAR(Table7[[#This Row],[Date]]) = 2023, WEEKNUM(Table7[[#This Row],[Date]])-13, WEEKNUM(Table7[[#This Row],[Date]])+40)</f>
        <v>7</v>
      </c>
      <c r="C50" s="203" t="s">
        <v>53</v>
      </c>
      <c r="D50" s="203" t="s">
        <v>94</v>
      </c>
      <c r="E50" s="379">
        <v>0</v>
      </c>
      <c r="F50" s="379">
        <v>0</v>
      </c>
      <c r="G50" s="350">
        <v>0</v>
      </c>
      <c r="H50" s="350">
        <v>0</v>
      </c>
      <c r="I50" s="379">
        <v>0</v>
      </c>
      <c r="J50" s="379">
        <v>0</v>
      </c>
      <c r="K50" s="379">
        <v>0</v>
      </c>
      <c r="L50" s="379">
        <v>0</v>
      </c>
      <c r="M50" s="191">
        <v>0</v>
      </c>
      <c r="N50" s="191">
        <v>0</v>
      </c>
      <c r="O50" s="191">
        <v>0</v>
      </c>
      <c r="P50" s="191">
        <v>0</v>
      </c>
      <c r="Q50" s="380"/>
      <c r="R50" s="287">
        <v>0</v>
      </c>
      <c r="S50" s="176">
        <v>0</v>
      </c>
      <c r="T50" s="381">
        <v>0</v>
      </c>
      <c r="U50" s="120" t="str">
        <f t="shared" si="0"/>
        <v>Normal</v>
      </c>
      <c r="V50" s="120" t="str">
        <f t="shared" si="1"/>
        <v>Normal</v>
      </c>
      <c r="W50" s="81">
        <f t="shared" si="2"/>
        <v>0</v>
      </c>
      <c r="X50" s="81">
        <f t="shared" si="3"/>
        <v>0</v>
      </c>
    </row>
    <row r="51" spans="1:24" s="280" customFormat="1">
      <c r="A51" s="382">
        <v>45432</v>
      </c>
      <c r="B51" s="411">
        <f>IF(YEAR(Table7[[#This Row],[Date]]) = 2023, WEEKNUM(Table7[[#This Row],[Date]])-13, WEEKNUM(Table7[[#This Row],[Date]])+40)</f>
        <v>7</v>
      </c>
      <c r="C51" s="203" t="s">
        <v>54</v>
      </c>
      <c r="D51" s="203" t="s">
        <v>94</v>
      </c>
      <c r="E51" s="379">
        <v>0</v>
      </c>
      <c r="F51" s="379">
        <v>0</v>
      </c>
      <c r="G51" s="350">
        <v>0</v>
      </c>
      <c r="H51" s="350">
        <v>0</v>
      </c>
      <c r="I51" s="379">
        <v>0</v>
      </c>
      <c r="J51" s="379">
        <v>0</v>
      </c>
      <c r="K51" s="379">
        <v>0</v>
      </c>
      <c r="L51" s="379">
        <v>0</v>
      </c>
      <c r="M51" s="191">
        <v>0</v>
      </c>
      <c r="N51" s="191">
        <v>0</v>
      </c>
      <c r="O51" s="191">
        <v>0</v>
      </c>
      <c r="P51" s="191">
        <v>0</v>
      </c>
      <c r="Q51" s="380"/>
      <c r="R51" s="383">
        <v>0</v>
      </c>
      <c r="S51" s="384">
        <v>0</v>
      </c>
      <c r="T51" s="385">
        <v>0</v>
      </c>
      <c r="U51" s="120" t="str">
        <f t="shared" si="0"/>
        <v>Normal</v>
      </c>
      <c r="V51" s="120" t="str">
        <f t="shared" si="1"/>
        <v>Normal</v>
      </c>
      <c r="W51" s="81">
        <f t="shared" si="2"/>
        <v>0</v>
      </c>
      <c r="X51" s="81">
        <f t="shared" si="3"/>
        <v>0</v>
      </c>
    </row>
    <row r="52" spans="1:24" s="280" customFormat="1">
      <c r="A52" s="378">
        <v>45433</v>
      </c>
      <c r="B52" s="386">
        <f>IF(YEAR(Table7[[#This Row],[Date]]) = 2023, WEEKNUM(Table7[[#This Row],[Date]])-13, WEEKNUM(Table7[[#This Row],[Date]])+40)</f>
        <v>8</v>
      </c>
      <c r="C52" s="203" t="s">
        <v>48</v>
      </c>
      <c r="D52" s="203" t="s">
        <v>94</v>
      </c>
      <c r="E52" s="379">
        <v>0</v>
      </c>
      <c r="F52" s="379">
        <v>0</v>
      </c>
      <c r="G52" s="350">
        <v>0</v>
      </c>
      <c r="H52" s="350">
        <v>0</v>
      </c>
      <c r="I52" s="379">
        <v>0</v>
      </c>
      <c r="J52" s="379">
        <v>0</v>
      </c>
      <c r="K52" s="379">
        <v>0</v>
      </c>
      <c r="L52" s="379">
        <v>0</v>
      </c>
      <c r="M52" s="191">
        <v>0</v>
      </c>
      <c r="N52" s="191">
        <v>0</v>
      </c>
      <c r="O52" s="191">
        <v>0</v>
      </c>
      <c r="P52" s="191">
        <v>0</v>
      </c>
      <c r="Q52" s="380"/>
      <c r="R52" s="287">
        <v>0</v>
      </c>
      <c r="S52" s="176">
        <v>0</v>
      </c>
      <c r="T52" s="381">
        <v>0</v>
      </c>
      <c r="U52" s="120" t="str">
        <f t="shared" si="0"/>
        <v>Normal</v>
      </c>
      <c r="V52" s="120" t="str">
        <f t="shared" si="1"/>
        <v>Normal</v>
      </c>
      <c r="W52" s="81">
        <f t="shared" si="2"/>
        <v>0</v>
      </c>
      <c r="X52" s="81">
        <f t="shared" si="3"/>
        <v>0</v>
      </c>
    </row>
    <row r="53" spans="1:24" s="280" customFormat="1">
      <c r="A53" s="382">
        <v>45434</v>
      </c>
      <c r="B53" s="411">
        <f>IF(YEAR(Table7[[#This Row],[Date]]) = 2023, WEEKNUM(Table7[[#This Row],[Date]])-13, WEEKNUM(Table7[[#This Row],[Date]])+40)</f>
        <v>8</v>
      </c>
      <c r="C53" s="203" t="s">
        <v>49</v>
      </c>
      <c r="D53" s="203" t="s">
        <v>94</v>
      </c>
      <c r="E53" s="379">
        <v>0</v>
      </c>
      <c r="F53" s="379">
        <v>0</v>
      </c>
      <c r="G53" s="350">
        <v>0</v>
      </c>
      <c r="H53" s="350">
        <v>0</v>
      </c>
      <c r="I53" s="379">
        <v>0</v>
      </c>
      <c r="J53" s="379">
        <v>0</v>
      </c>
      <c r="K53" s="379">
        <v>0</v>
      </c>
      <c r="L53" s="379">
        <v>0</v>
      </c>
      <c r="M53" s="191">
        <v>0</v>
      </c>
      <c r="N53" s="191">
        <v>0</v>
      </c>
      <c r="O53" s="191">
        <v>0</v>
      </c>
      <c r="P53" s="191">
        <v>0</v>
      </c>
      <c r="Q53" s="380"/>
      <c r="R53" s="383">
        <v>0</v>
      </c>
      <c r="S53" s="384">
        <v>0</v>
      </c>
      <c r="T53" s="385">
        <v>0</v>
      </c>
      <c r="U53" s="120" t="str">
        <f t="shared" si="0"/>
        <v>Normal</v>
      </c>
      <c r="V53" s="120" t="str">
        <f t="shared" si="1"/>
        <v>Normal</v>
      </c>
      <c r="W53" s="81">
        <f t="shared" si="2"/>
        <v>0</v>
      </c>
      <c r="X53" s="81">
        <f t="shared" si="3"/>
        <v>0</v>
      </c>
    </row>
    <row r="54" spans="1:24" s="280" customFormat="1">
      <c r="A54" s="378">
        <v>45435</v>
      </c>
      <c r="B54" s="386">
        <f>IF(YEAR(Table7[[#This Row],[Date]]) = 2023, WEEKNUM(Table7[[#This Row],[Date]])-13, WEEKNUM(Table7[[#This Row],[Date]])+40)</f>
        <v>8</v>
      </c>
      <c r="C54" s="203" t="s">
        <v>50</v>
      </c>
      <c r="D54" s="203" t="s">
        <v>94</v>
      </c>
      <c r="E54" s="379">
        <v>0</v>
      </c>
      <c r="F54" s="379">
        <v>0</v>
      </c>
      <c r="G54" s="350">
        <v>0</v>
      </c>
      <c r="H54" s="350">
        <v>0</v>
      </c>
      <c r="I54" s="379">
        <v>0</v>
      </c>
      <c r="J54" s="379">
        <v>0</v>
      </c>
      <c r="K54" s="379">
        <v>0</v>
      </c>
      <c r="L54" s="379">
        <v>0</v>
      </c>
      <c r="M54" s="191">
        <v>0</v>
      </c>
      <c r="N54" s="191">
        <v>0</v>
      </c>
      <c r="O54" s="191">
        <v>0</v>
      </c>
      <c r="P54" s="191">
        <v>0</v>
      </c>
      <c r="Q54" s="380"/>
      <c r="R54" s="287">
        <v>0</v>
      </c>
      <c r="S54" s="176">
        <v>0</v>
      </c>
      <c r="T54" s="381">
        <v>0</v>
      </c>
      <c r="U54" s="120" t="str">
        <f t="shared" si="0"/>
        <v>Normal</v>
      </c>
      <c r="V54" s="120" t="str">
        <f t="shared" si="1"/>
        <v>Normal</v>
      </c>
      <c r="W54" s="81">
        <f t="shared" si="2"/>
        <v>0</v>
      </c>
      <c r="X54" s="81">
        <f t="shared" si="3"/>
        <v>0</v>
      </c>
    </row>
    <row r="55" spans="1:24" s="280" customFormat="1">
      <c r="A55" s="382">
        <v>45436</v>
      </c>
      <c r="B55" s="411">
        <f>IF(YEAR(Table7[[#This Row],[Date]]) = 2023, WEEKNUM(Table7[[#This Row],[Date]])-13, WEEKNUM(Table7[[#This Row],[Date]])+40)</f>
        <v>8</v>
      </c>
      <c r="C55" s="203" t="s">
        <v>51</v>
      </c>
      <c r="D55" s="203" t="s">
        <v>94</v>
      </c>
      <c r="E55" s="379">
        <v>0</v>
      </c>
      <c r="F55" s="379">
        <v>0</v>
      </c>
      <c r="G55" s="350">
        <v>0</v>
      </c>
      <c r="H55" s="350">
        <v>0</v>
      </c>
      <c r="I55" s="379">
        <v>0</v>
      </c>
      <c r="J55" s="379">
        <v>0</v>
      </c>
      <c r="K55" s="379">
        <v>0</v>
      </c>
      <c r="L55" s="379">
        <v>0</v>
      </c>
      <c r="M55" s="191">
        <v>0</v>
      </c>
      <c r="N55" s="191">
        <v>0</v>
      </c>
      <c r="O55" s="191">
        <v>0</v>
      </c>
      <c r="P55" s="191">
        <v>0</v>
      </c>
      <c r="Q55" s="380"/>
      <c r="R55" s="383">
        <v>0</v>
      </c>
      <c r="S55" s="384">
        <v>0</v>
      </c>
      <c r="T55" s="385">
        <v>0</v>
      </c>
      <c r="U55" s="120" t="str">
        <f t="shared" si="0"/>
        <v>Normal</v>
      </c>
      <c r="V55" s="120" t="str">
        <f t="shared" si="1"/>
        <v>Normal</v>
      </c>
      <c r="W55" s="81">
        <f t="shared" si="2"/>
        <v>0</v>
      </c>
      <c r="X55" s="81">
        <f t="shared" si="3"/>
        <v>0</v>
      </c>
    </row>
    <row r="56" spans="1:24" s="280" customFormat="1">
      <c r="A56" s="378">
        <v>45437</v>
      </c>
      <c r="B56" s="386">
        <f>IF(YEAR(Table7[[#This Row],[Date]]) = 2023, WEEKNUM(Table7[[#This Row],[Date]])-13, WEEKNUM(Table7[[#This Row],[Date]])+40)</f>
        <v>8</v>
      </c>
      <c r="C56" s="203" t="s">
        <v>52</v>
      </c>
      <c r="D56" s="203" t="s">
        <v>94</v>
      </c>
      <c r="E56" s="379">
        <v>0</v>
      </c>
      <c r="F56" s="379">
        <v>0</v>
      </c>
      <c r="G56" s="350">
        <v>0</v>
      </c>
      <c r="H56" s="350">
        <v>0</v>
      </c>
      <c r="I56" s="379">
        <v>0</v>
      </c>
      <c r="J56" s="379">
        <v>0</v>
      </c>
      <c r="K56" s="379">
        <v>0</v>
      </c>
      <c r="L56" s="379">
        <v>0</v>
      </c>
      <c r="M56" s="191">
        <v>0</v>
      </c>
      <c r="N56" s="191">
        <v>0</v>
      </c>
      <c r="O56" s="191">
        <v>0</v>
      </c>
      <c r="P56" s="191">
        <v>0</v>
      </c>
      <c r="Q56" s="380"/>
      <c r="R56" s="287">
        <v>0</v>
      </c>
      <c r="S56" s="176">
        <v>0</v>
      </c>
      <c r="T56" s="381">
        <v>0</v>
      </c>
      <c r="U56" s="120" t="str">
        <f t="shared" si="0"/>
        <v>Normal</v>
      </c>
      <c r="V56" s="120" t="str">
        <f t="shared" si="1"/>
        <v>Normal</v>
      </c>
      <c r="W56" s="81">
        <f t="shared" si="2"/>
        <v>0</v>
      </c>
      <c r="X56" s="81">
        <f t="shared" si="3"/>
        <v>0</v>
      </c>
    </row>
    <row r="57" spans="1:24" s="280" customFormat="1">
      <c r="A57" s="382">
        <v>45438</v>
      </c>
      <c r="B57" s="411">
        <f>IF(YEAR(Table7[[#This Row],[Date]]) = 2023, WEEKNUM(Table7[[#This Row],[Date]])-13, WEEKNUM(Table7[[#This Row],[Date]])+40)</f>
        <v>8</v>
      </c>
      <c r="C57" s="203" t="s">
        <v>53</v>
      </c>
      <c r="D57" s="203" t="s">
        <v>94</v>
      </c>
      <c r="E57" s="379">
        <v>0</v>
      </c>
      <c r="F57" s="379">
        <v>0</v>
      </c>
      <c r="G57" s="350">
        <v>0</v>
      </c>
      <c r="H57" s="350">
        <v>0</v>
      </c>
      <c r="I57" s="379">
        <v>0</v>
      </c>
      <c r="J57" s="379">
        <v>0</v>
      </c>
      <c r="K57" s="379">
        <v>0</v>
      </c>
      <c r="L57" s="379">
        <v>0</v>
      </c>
      <c r="M57" s="191">
        <v>0</v>
      </c>
      <c r="N57" s="191">
        <v>0</v>
      </c>
      <c r="O57" s="191">
        <v>0</v>
      </c>
      <c r="P57" s="191">
        <v>0</v>
      </c>
      <c r="Q57" s="380"/>
      <c r="R57" s="383">
        <v>0</v>
      </c>
      <c r="S57" s="384">
        <v>0</v>
      </c>
      <c r="T57" s="385">
        <v>0</v>
      </c>
      <c r="U57" s="120" t="str">
        <f t="shared" si="0"/>
        <v>Normal</v>
      </c>
      <c r="V57" s="120" t="str">
        <f t="shared" si="1"/>
        <v>Normal</v>
      </c>
      <c r="W57" s="81">
        <f t="shared" si="2"/>
        <v>0</v>
      </c>
      <c r="X57" s="81">
        <f t="shared" si="3"/>
        <v>0</v>
      </c>
    </row>
    <row r="58" spans="1:24" s="280" customFormat="1">
      <c r="A58" s="378">
        <v>45439</v>
      </c>
      <c r="B58" s="386">
        <f>IF(YEAR(Table7[[#This Row],[Date]]) = 2023, WEEKNUM(Table7[[#This Row],[Date]])-13, WEEKNUM(Table7[[#This Row],[Date]])+40)</f>
        <v>8</v>
      </c>
      <c r="C58" s="203" t="s">
        <v>54</v>
      </c>
      <c r="D58" s="203" t="s">
        <v>94</v>
      </c>
      <c r="E58" s="379">
        <v>0</v>
      </c>
      <c r="F58" s="379">
        <v>0</v>
      </c>
      <c r="G58" s="350">
        <v>0</v>
      </c>
      <c r="H58" s="350">
        <v>0</v>
      </c>
      <c r="I58" s="379">
        <v>0</v>
      </c>
      <c r="J58" s="379">
        <v>0</v>
      </c>
      <c r="K58" s="379">
        <v>0</v>
      </c>
      <c r="L58" s="379">
        <v>0</v>
      </c>
      <c r="M58" s="191">
        <v>0</v>
      </c>
      <c r="N58" s="191">
        <v>0</v>
      </c>
      <c r="O58" s="191">
        <v>0</v>
      </c>
      <c r="P58" s="191">
        <v>0</v>
      </c>
      <c r="Q58" s="380"/>
      <c r="R58" s="287">
        <v>0</v>
      </c>
      <c r="S58" s="176">
        <v>0</v>
      </c>
      <c r="T58" s="381">
        <v>0</v>
      </c>
      <c r="U58" s="120" t="str">
        <f t="shared" si="0"/>
        <v>Normal</v>
      </c>
      <c r="V58" s="120" t="str">
        <f t="shared" si="1"/>
        <v>Normal</v>
      </c>
      <c r="W58" s="81">
        <f t="shared" si="2"/>
        <v>0</v>
      </c>
      <c r="X58" s="81">
        <f t="shared" si="3"/>
        <v>0</v>
      </c>
    </row>
    <row r="59" spans="1:24" s="280" customFormat="1">
      <c r="A59" s="382">
        <v>45440</v>
      </c>
      <c r="B59" s="411">
        <f>IF(YEAR(Table7[[#This Row],[Date]]) = 2023, WEEKNUM(Table7[[#This Row],[Date]])-13, WEEKNUM(Table7[[#This Row],[Date]])+40)</f>
        <v>9</v>
      </c>
      <c r="C59" s="203" t="s">
        <v>48</v>
      </c>
      <c r="D59" s="203" t="s">
        <v>94</v>
      </c>
      <c r="E59" s="379">
        <v>0</v>
      </c>
      <c r="F59" s="379">
        <v>0</v>
      </c>
      <c r="G59" s="350">
        <v>0</v>
      </c>
      <c r="H59" s="350">
        <v>0</v>
      </c>
      <c r="I59" s="379">
        <v>0</v>
      </c>
      <c r="J59" s="379">
        <v>0</v>
      </c>
      <c r="K59" s="379">
        <v>0</v>
      </c>
      <c r="L59" s="379">
        <v>0</v>
      </c>
      <c r="M59" s="191">
        <v>0</v>
      </c>
      <c r="N59" s="191">
        <v>0</v>
      </c>
      <c r="O59" s="191">
        <v>0</v>
      </c>
      <c r="P59" s="191">
        <v>0</v>
      </c>
      <c r="Q59" s="380"/>
      <c r="R59" s="383">
        <v>0</v>
      </c>
      <c r="S59" s="384">
        <v>0</v>
      </c>
      <c r="T59" s="385">
        <v>0</v>
      </c>
      <c r="U59" s="120" t="str">
        <f t="shared" si="0"/>
        <v>Normal</v>
      </c>
      <c r="V59" s="120" t="str">
        <f t="shared" si="1"/>
        <v>Normal</v>
      </c>
      <c r="W59" s="81">
        <f t="shared" si="2"/>
        <v>0</v>
      </c>
      <c r="X59" s="81">
        <f t="shared" si="3"/>
        <v>0</v>
      </c>
    </row>
    <row r="60" spans="1:24" s="280" customFormat="1">
      <c r="A60" s="378">
        <v>45441</v>
      </c>
      <c r="B60" s="386">
        <f>IF(YEAR(Table7[[#This Row],[Date]]) = 2023, WEEKNUM(Table7[[#This Row],[Date]])-13, WEEKNUM(Table7[[#This Row],[Date]])+40)</f>
        <v>9</v>
      </c>
      <c r="C60" s="203" t="s">
        <v>49</v>
      </c>
      <c r="D60" s="203" t="s">
        <v>94</v>
      </c>
      <c r="E60" s="379">
        <v>0</v>
      </c>
      <c r="F60" s="379">
        <v>0</v>
      </c>
      <c r="G60" s="350">
        <v>0</v>
      </c>
      <c r="H60" s="350">
        <v>0</v>
      </c>
      <c r="I60" s="379">
        <v>0</v>
      </c>
      <c r="J60" s="379">
        <v>0</v>
      </c>
      <c r="K60" s="379">
        <v>0</v>
      </c>
      <c r="L60" s="379">
        <v>0</v>
      </c>
      <c r="M60" s="191">
        <v>0</v>
      </c>
      <c r="N60" s="191">
        <v>0</v>
      </c>
      <c r="O60" s="191">
        <v>0</v>
      </c>
      <c r="P60" s="191">
        <v>0</v>
      </c>
      <c r="Q60" s="380"/>
      <c r="R60" s="287">
        <v>0</v>
      </c>
      <c r="S60" s="176">
        <v>0</v>
      </c>
      <c r="T60" s="381">
        <v>0</v>
      </c>
      <c r="U60" s="120" t="str">
        <f t="shared" si="0"/>
        <v>Normal</v>
      </c>
      <c r="V60" s="120" t="str">
        <f t="shared" si="1"/>
        <v>Normal</v>
      </c>
      <c r="W60" s="81">
        <f t="shared" si="2"/>
        <v>0</v>
      </c>
      <c r="X60" s="81">
        <f t="shared" si="3"/>
        <v>0</v>
      </c>
    </row>
    <row r="61" spans="1:24" s="280" customFormat="1">
      <c r="A61" s="382">
        <v>45442</v>
      </c>
      <c r="B61" s="411">
        <f>IF(YEAR(Table7[[#This Row],[Date]]) = 2023, WEEKNUM(Table7[[#This Row],[Date]])-13, WEEKNUM(Table7[[#This Row],[Date]])+40)</f>
        <v>9</v>
      </c>
      <c r="C61" s="203" t="s">
        <v>50</v>
      </c>
      <c r="D61" s="203" t="s">
        <v>94</v>
      </c>
      <c r="E61" s="379">
        <v>0</v>
      </c>
      <c r="F61" s="379">
        <v>0</v>
      </c>
      <c r="G61" s="350">
        <v>0</v>
      </c>
      <c r="H61" s="350">
        <v>0</v>
      </c>
      <c r="I61" s="379">
        <v>0</v>
      </c>
      <c r="J61" s="379">
        <v>0</v>
      </c>
      <c r="K61" s="379">
        <v>0</v>
      </c>
      <c r="L61" s="379">
        <v>0</v>
      </c>
      <c r="M61" s="191">
        <v>0</v>
      </c>
      <c r="N61" s="191">
        <v>0</v>
      </c>
      <c r="O61" s="191">
        <v>0</v>
      </c>
      <c r="P61" s="191">
        <v>0</v>
      </c>
      <c r="Q61" s="380"/>
      <c r="R61" s="383">
        <v>0</v>
      </c>
      <c r="S61" s="384">
        <v>0</v>
      </c>
      <c r="T61" s="385">
        <v>0</v>
      </c>
      <c r="U61" s="120" t="str">
        <f t="shared" si="0"/>
        <v>Normal</v>
      </c>
      <c r="V61" s="120" t="str">
        <f t="shared" si="1"/>
        <v>Normal</v>
      </c>
      <c r="W61" s="81">
        <f t="shared" si="2"/>
        <v>0</v>
      </c>
      <c r="X61" s="81">
        <f t="shared" si="3"/>
        <v>0</v>
      </c>
    </row>
    <row r="62" spans="1:24" s="280" customFormat="1">
      <c r="A62" s="378">
        <v>45443</v>
      </c>
      <c r="B62" s="386">
        <f>IF(YEAR(Table7[[#This Row],[Date]]) = 2023, WEEKNUM(Table7[[#This Row],[Date]])-13, WEEKNUM(Table7[[#This Row],[Date]])+40)</f>
        <v>9</v>
      </c>
      <c r="C62" s="203" t="s">
        <v>51</v>
      </c>
      <c r="D62" s="203" t="s">
        <v>94</v>
      </c>
      <c r="E62" s="379">
        <v>0</v>
      </c>
      <c r="F62" s="379">
        <v>0</v>
      </c>
      <c r="G62" s="350">
        <v>0</v>
      </c>
      <c r="H62" s="350">
        <v>0</v>
      </c>
      <c r="I62" s="379">
        <v>0</v>
      </c>
      <c r="J62" s="379">
        <v>0</v>
      </c>
      <c r="K62" s="379">
        <v>0</v>
      </c>
      <c r="L62" s="379">
        <v>0</v>
      </c>
      <c r="M62" s="191">
        <v>0</v>
      </c>
      <c r="N62" s="191">
        <v>0</v>
      </c>
      <c r="O62" s="191">
        <v>0</v>
      </c>
      <c r="P62" s="191">
        <v>0</v>
      </c>
      <c r="Q62" s="380"/>
      <c r="R62" s="287">
        <v>0</v>
      </c>
      <c r="S62" s="176">
        <v>0</v>
      </c>
      <c r="T62" s="381">
        <v>0</v>
      </c>
      <c r="U62" s="120" t="str">
        <f t="shared" si="0"/>
        <v>Normal</v>
      </c>
      <c r="V62" s="120" t="str">
        <f t="shared" si="1"/>
        <v>Normal</v>
      </c>
      <c r="W62" s="81">
        <f t="shared" si="2"/>
        <v>0</v>
      </c>
      <c r="X62" s="81">
        <f t="shared" si="3"/>
        <v>0</v>
      </c>
    </row>
    <row r="63" spans="1:24" s="280" customFormat="1">
      <c r="A63" s="382">
        <v>45444</v>
      </c>
      <c r="B63" s="411">
        <f>IF(YEAR(Table7[[#This Row],[Date]]) = 2023, WEEKNUM(Table7[[#This Row],[Date]])-13, WEEKNUM(Table7[[#This Row],[Date]])+40)</f>
        <v>9</v>
      </c>
      <c r="C63" s="203" t="s">
        <v>52</v>
      </c>
      <c r="D63" s="203" t="s">
        <v>94</v>
      </c>
      <c r="E63" s="379">
        <v>0</v>
      </c>
      <c r="F63" s="379">
        <v>0</v>
      </c>
      <c r="G63" s="350">
        <v>0</v>
      </c>
      <c r="H63" s="350">
        <v>0</v>
      </c>
      <c r="I63" s="379">
        <v>0</v>
      </c>
      <c r="J63" s="379">
        <v>0</v>
      </c>
      <c r="K63" s="379">
        <v>0</v>
      </c>
      <c r="L63" s="379">
        <v>0</v>
      </c>
      <c r="M63" s="191">
        <v>0</v>
      </c>
      <c r="N63" s="191">
        <v>0</v>
      </c>
      <c r="O63" s="191">
        <v>0</v>
      </c>
      <c r="P63" s="191">
        <v>0</v>
      </c>
      <c r="Q63" s="380"/>
      <c r="R63" s="383">
        <v>0</v>
      </c>
      <c r="S63" s="384">
        <v>0</v>
      </c>
      <c r="T63" s="385">
        <v>0</v>
      </c>
      <c r="U63" s="120" t="str">
        <f t="shared" si="0"/>
        <v>Normal</v>
      </c>
      <c r="V63" s="120" t="str">
        <f t="shared" si="1"/>
        <v>Normal</v>
      </c>
      <c r="W63" s="81">
        <f t="shared" si="2"/>
        <v>0</v>
      </c>
      <c r="X63" s="81">
        <f t="shared" si="3"/>
        <v>0</v>
      </c>
    </row>
    <row r="64" spans="1:24" s="280" customFormat="1">
      <c r="A64" s="378">
        <v>45445</v>
      </c>
      <c r="B64" s="386">
        <f>IF(YEAR(Table7[[#This Row],[Date]]) = 2023, WEEKNUM(Table7[[#This Row],[Date]])-13, WEEKNUM(Table7[[#This Row],[Date]])+40)</f>
        <v>9</v>
      </c>
      <c r="C64" s="203" t="s">
        <v>53</v>
      </c>
      <c r="D64" s="203" t="s">
        <v>94</v>
      </c>
      <c r="E64" s="379">
        <v>0</v>
      </c>
      <c r="F64" s="379">
        <v>0</v>
      </c>
      <c r="G64" s="350">
        <v>0</v>
      </c>
      <c r="H64" s="350">
        <v>0</v>
      </c>
      <c r="I64" s="379">
        <v>0</v>
      </c>
      <c r="J64" s="379">
        <v>0</v>
      </c>
      <c r="K64" s="379">
        <v>0</v>
      </c>
      <c r="L64" s="379">
        <v>0</v>
      </c>
      <c r="M64" s="191">
        <v>0</v>
      </c>
      <c r="N64" s="191">
        <v>0</v>
      </c>
      <c r="O64" s="191">
        <v>0</v>
      </c>
      <c r="P64" s="191">
        <v>0</v>
      </c>
      <c r="Q64" s="380"/>
      <c r="R64" s="287">
        <v>0</v>
      </c>
      <c r="S64" s="176">
        <v>0</v>
      </c>
      <c r="T64" s="381">
        <v>0</v>
      </c>
      <c r="U64" s="120" t="str">
        <f t="shared" si="0"/>
        <v>Normal</v>
      </c>
      <c r="V64" s="120" t="str">
        <f t="shared" si="1"/>
        <v>Normal</v>
      </c>
      <c r="W64" s="81">
        <f t="shared" si="2"/>
        <v>0</v>
      </c>
      <c r="X64" s="81">
        <f t="shared" si="3"/>
        <v>0</v>
      </c>
    </row>
    <row r="65" spans="1:24" s="280" customFormat="1">
      <c r="A65" s="382">
        <v>45446</v>
      </c>
      <c r="B65" s="411">
        <f>IF(YEAR(Table7[[#This Row],[Date]]) = 2023, WEEKNUM(Table7[[#This Row],[Date]])-13, WEEKNUM(Table7[[#This Row],[Date]])+40)</f>
        <v>9</v>
      </c>
      <c r="C65" s="203" t="s">
        <v>54</v>
      </c>
      <c r="D65" s="203" t="s">
        <v>94</v>
      </c>
      <c r="E65" s="379">
        <v>0</v>
      </c>
      <c r="F65" s="379">
        <v>0</v>
      </c>
      <c r="G65" s="350">
        <v>0</v>
      </c>
      <c r="H65" s="350">
        <v>0</v>
      </c>
      <c r="I65" s="379">
        <v>0</v>
      </c>
      <c r="J65" s="379">
        <v>0</v>
      </c>
      <c r="K65" s="379">
        <v>0</v>
      </c>
      <c r="L65" s="379">
        <v>0</v>
      </c>
      <c r="M65" s="191">
        <v>0</v>
      </c>
      <c r="N65" s="191">
        <v>0</v>
      </c>
      <c r="O65" s="191">
        <v>0</v>
      </c>
      <c r="P65" s="191">
        <v>0</v>
      </c>
      <c r="Q65" s="380"/>
      <c r="R65" s="383">
        <v>0</v>
      </c>
      <c r="S65" s="384">
        <v>0</v>
      </c>
      <c r="T65" s="385">
        <v>0</v>
      </c>
      <c r="U65" s="120" t="str">
        <f t="shared" si="0"/>
        <v>Normal</v>
      </c>
      <c r="V65" s="120" t="str">
        <f t="shared" si="1"/>
        <v>Normal</v>
      </c>
      <c r="W65" s="81">
        <f t="shared" si="2"/>
        <v>0</v>
      </c>
      <c r="X65" s="81">
        <f t="shared" si="3"/>
        <v>0</v>
      </c>
    </row>
    <row r="66" spans="1:24" s="280" customFormat="1">
      <c r="A66" s="378">
        <v>45447</v>
      </c>
      <c r="B66" s="386">
        <f>IF(YEAR(Table7[[#This Row],[Date]]) = 2023, WEEKNUM(Table7[[#This Row],[Date]])-13, WEEKNUM(Table7[[#This Row],[Date]])+40)</f>
        <v>10</v>
      </c>
      <c r="C66" s="203" t="s">
        <v>48</v>
      </c>
      <c r="D66" s="203" t="s">
        <v>94</v>
      </c>
      <c r="E66" s="379">
        <v>0</v>
      </c>
      <c r="F66" s="379">
        <v>0</v>
      </c>
      <c r="G66" s="350">
        <v>0</v>
      </c>
      <c r="H66" s="350">
        <v>0</v>
      </c>
      <c r="I66" s="379">
        <v>0</v>
      </c>
      <c r="J66" s="379">
        <v>0</v>
      </c>
      <c r="K66" s="379">
        <v>0</v>
      </c>
      <c r="L66" s="379">
        <v>0</v>
      </c>
      <c r="M66" s="191">
        <v>0</v>
      </c>
      <c r="N66" s="191">
        <v>0</v>
      </c>
      <c r="O66" s="191">
        <v>0</v>
      </c>
      <c r="P66" s="191">
        <v>0</v>
      </c>
      <c r="Q66" s="380"/>
      <c r="R66" s="287">
        <v>0</v>
      </c>
      <c r="S66" s="176">
        <v>0</v>
      </c>
      <c r="T66" s="381">
        <v>0</v>
      </c>
      <c r="U66" s="120" t="str">
        <f t="shared" si="0"/>
        <v>Normal</v>
      </c>
      <c r="V66" s="120" t="str">
        <f t="shared" si="1"/>
        <v>Normal</v>
      </c>
      <c r="W66" s="81">
        <f t="shared" si="2"/>
        <v>0</v>
      </c>
      <c r="X66" s="81">
        <f t="shared" si="3"/>
        <v>0</v>
      </c>
    </row>
    <row r="67" spans="1:24" s="280" customFormat="1">
      <c r="A67" s="382">
        <v>45448</v>
      </c>
      <c r="B67" s="411">
        <f>IF(YEAR(Table7[[#This Row],[Date]]) = 2023, WEEKNUM(Table7[[#This Row],[Date]])-13, WEEKNUM(Table7[[#This Row],[Date]])+40)</f>
        <v>10</v>
      </c>
      <c r="C67" s="203" t="s">
        <v>49</v>
      </c>
      <c r="D67" s="203" t="s">
        <v>94</v>
      </c>
      <c r="E67" s="379">
        <v>0</v>
      </c>
      <c r="F67" s="379">
        <v>0</v>
      </c>
      <c r="G67" s="350">
        <v>0</v>
      </c>
      <c r="H67" s="350">
        <v>0</v>
      </c>
      <c r="I67" s="379">
        <v>0</v>
      </c>
      <c r="J67" s="379">
        <v>0</v>
      </c>
      <c r="K67" s="379">
        <v>0</v>
      </c>
      <c r="L67" s="379">
        <v>0</v>
      </c>
      <c r="M67" s="191">
        <v>0</v>
      </c>
      <c r="N67" s="191">
        <v>0</v>
      </c>
      <c r="O67" s="191">
        <v>0</v>
      </c>
      <c r="P67" s="191">
        <v>0</v>
      </c>
      <c r="Q67" s="380"/>
      <c r="R67" s="383">
        <v>0</v>
      </c>
      <c r="S67" s="384">
        <v>0</v>
      </c>
      <c r="T67" s="385">
        <v>0</v>
      </c>
      <c r="U67" s="120" t="str">
        <f t="shared" ref="U67:U130" si="4">IF(OR(H67&lt;$AJ$5,H67&gt;$AK$5), "Outlier", "Normal")</f>
        <v>Normal</v>
      </c>
      <c r="V67" s="120" t="str">
        <f t="shared" ref="V67:V130" si="5">IF(OR(I67&lt;$AJ$6,I67&gt;$AK$6), "Outlier", "Normal")</f>
        <v>Normal</v>
      </c>
      <c r="W67" s="81">
        <f t="shared" ref="W67:W130" si="6">IF(U67="Normal",$G67,IF($G67&lt;150%, $G67, $AA$9))</f>
        <v>0</v>
      </c>
      <c r="X67" s="81">
        <f t="shared" ref="X67:X130" si="7">IF(V67="Normal",$H67,IF($H67&lt;150%, $H67, $AE$9))</f>
        <v>0</v>
      </c>
    </row>
    <row r="68" spans="1:24" s="280" customFormat="1">
      <c r="A68" s="378">
        <v>45449</v>
      </c>
      <c r="B68" s="386">
        <f>IF(YEAR(Table7[[#This Row],[Date]]) = 2023, WEEKNUM(Table7[[#This Row],[Date]])-13, WEEKNUM(Table7[[#This Row],[Date]])+40)</f>
        <v>10</v>
      </c>
      <c r="C68" s="203" t="s">
        <v>50</v>
      </c>
      <c r="D68" s="203" t="s">
        <v>94</v>
      </c>
      <c r="E68" s="379">
        <v>0</v>
      </c>
      <c r="F68" s="379">
        <v>0</v>
      </c>
      <c r="G68" s="350">
        <v>0</v>
      </c>
      <c r="H68" s="350">
        <v>0</v>
      </c>
      <c r="I68" s="379">
        <v>0</v>
      </c>
      <c r="J68" s="379">
        <v>0</v>
      </c>
      <c r="K68" s="379">
        <v>0</v>
      </c>
      <c r="L68" s="379">
        <v>0</v>
      </c>
      <c r="M68" s="191">
        <v>0</v>
      </c>
      <c r="N68" s="191">
        <v>0</v>
      </c>
      <c r="O68" s="191">
        <v>0</v>
      </c>
      <c r="P68" s="191">
        <v>0</v>
      </c>
      <c r="Q68" s="380"/>
      <c r="R68" s="287">
        <v>0</v>
      </c>
      <c r="S68" s="176">
        <v>0</v>
      </c>
      <c r="T68" s="381">
        <v>0</v>
      </c>
      <c r="U68" s="120" t="str">
        <f t="shared" si="4"/>
        <v>Normal</v>
      </c>
      <c r="V68" s="120" t="str">
        <f t="shared" si="5"/>
        <v>Normal</v>
      </c>
      <c r="W68" s="81">
        <f t="shared" si="6"/>
        <v>0</v>
      </c>
      <c r="X68" s="81">
        <f t="shared" si="7"/>
        <v>0</v>
      </c>
    </row>
    <row r="69" spans="1:24" s="280" customFormat="1">
      <c r="A69" s="382">
        <v>45450</v>
      </c>
      <c r="B69" s="411">
        <f>IF(YEAR(Table7[[#This Row],[Date]]) = 2023, WEEKNUM(Table7[[#This Row],[Date]])-13, WEEKNUM(Table7[[#This Row],[Date]])+40)</f>
        <v>10</v>
      </c>
      <c r="C69" s="203" t="s">
        <v>51</v>
      </c>
      <c r="D69" s="203" t="s">
        <v>94</v>
      </c>
      <c r="E69" s="379">
        <v>0</v>
      </c>
      <c r="F69" s="379">
        <v>0</v>
      </c>
      <c r="G69" s="350">
        <v>0</v>
      </c>
      <c r="H69" s="350">
        <v>0</v>
      </c>
      <c r="I69" s="379">
        <v>0</v>
      </c>
      <c r="J69" s="379">
        <v>0</v>
      </c>
      <c r="K69" s="379">
        <v>0</v>
      </c>
      <c r="L69" s="379">
        <v>0</v>
      </c>
      <c r="M69" s="191">
        <v>0</v>
      </c>
      <c r="N69" s="191">
        <v>0</v>
      </c>
      <c r="O69" s="191">
        <v>0</v>
      </c>
      <c r="P69" s="191">
        <v>0</v>
      </c>
      <c r="Q69" s="380"/>
      <c r="R69" s="383">
        <v>0</v>
      </c>
      <c r="S69" s="384">
        <v>0</v>
      </c>
      <c r="T69" s="385">
        <v>0</v>
      </c>
      <c r="U69" s="120" t="str">
        <f t="shared" si="4"/>
        <v>Normal</v>
      </c>
      <c r="V69" s="120" t="str">
        <f t="shared" si="5"/>
        <v>Normal</v>
      </c>
      <c r="W69" s="81">
        <f t="shared" si="6"/>
        <v>0</v>
      </c>
      <c r="X69" s="81">
        <f t="shared" si="7"/>
        <v>0</v>
      </c>
    </row>
    <row r="70" spans="1:24" s="280" customFormat="1">
      <c r="A70" s="378">
        <v>45451</v>
      </c>
      <c r="B70" s="386">
        <f>IF(YEAR(Table7[[#This Row],[Date]]) = 2023, WEEKNUM(Table7[[#This Row],[Date]])-13, WEEKNUM(Table7[[#This Row],[Date]])+40)</f>
        <v>10</v>
      </c>
      <c r="C70" s="203" t="s">
        <v>52</v>
      </c>
      <c r="D70" s="203" t="s">
        <v>94</v>
      </c>
      <c r="E70" s="379">
        <v>0</v>
      </c>
      <c r="F70" s="379">
        <v>0</v>
      </c>
      <c r="G70" s="350">
        <v>0</v>
      </c>
      <c r="H70" s="350">
        <v>0</v>
      </c>
      <c r="I70" s="379">
        <v>0</v>
      </c>
      <c r="J70" s="379">
        <v>0</v>
      </c>
      <c r="K70" s="379">
        <v>0</v>
      </c>
      <c r="L70" s="379">
        <v>0</v>
      </c>
      <c r="M70" s="191">
        <v>0</v>
      </c>
      <c r="N70" s="191">
        <v>0</v>
      </c>
      <c r="O70" s="191">
        <v>0</v>
      </c>
      <c r="P70" s="191">
        <v>0</v>
      </c>
      <c r="Q70" s="380"/>
      <c r="R70" s="287">
        <v>0</v>
      </c>
      <c r="S70" s="176">
        <v>0</v>
      </c>
      <c r="T70" s="381">
        <v>0</v>
      </c>
      <c r="U70" s="120" t="str">
        <f t="shared" si="4"/>
        <v>Normal</v>
      </c>
      <c r="V70" s="120" t="str">
        <f t="shared" si="5"/>
        <v>Normal</v>
      </c>
      <c r="W70" s="81">
        <f t="shared" si="6"/>
        <v>0</v>
      </c>
      <c r="X70" s="81">
        <f t="shared" si="7"/>
        <v>0</v>
      </c>
    </row>
    <row r="71" spans="1:24" s="280" customFormat="1">
      <c r="A71" s="382">
        <v>45452</v>
      </c>
      <c r="B71" s="411">
        <f>IF(YEAR(Table7[[#This Row],[Date]]) = 2023, WEEKNUM(Table7[[#This Row],[Date]])-13, WEEKNUM(Table7[[#This Row],[Date]])+40)</f>
        <v>10</v>
      </c>
      <c r="C71" s="203" t="s">
        <v>53</v>
      </c>
      <c r="D71" s="203" t="s">
        <v>94</v>
      </c>
      <c r="E71" s="379">
        <v>0</v>
      </c>
      <c r="F71" s="379">
        <v>0</v>
      </c>
      <c r="G71" s="350">
        <v>0</v>
      </c>
      <c r="H71" s="350">
        <v>0</v>
      </c>
      <c r="I71" s="379">
        <v>0</v>
      </c>
      <c r="J71" s="379">
        <v>0</v>
      </c>
      <c r="K71" s="379">
        <v>0</v>
      </c>
      <c r="L71" s="379">
        <v>0</v>
      </c>
      <c r="M71" s="191">
        <v>0</v>
      </c>
      <c r="N71" s="191">
        <v>0</v>
      </c>
      <c r="O71" s="191">
        <v>0</v>
      </c>
      <c r="P71" s="191">
        <v>0</v>
      </c>
      <c r="Q71" s="380"/>
      <c r="R71" s="383">
        <v>0</v>
      </c>
      <c r="S71" s="384">
        <v>0</v>
      </c>
      <c r="T71" s="385">
        <v>0</v>
      </c>
      <c r="U71" s="120" t="str">
        <f t="shared" si="4"/>
        <v>Normal</v>
      </c>
      <c r="V71" s="120" t="str">
        <f t="shared" si="5"/>
        <v>Normal</v>
      </c>
      <c r="W71" s="81">
        <f t="shared" si="6"/>
        <v>0</v>
      </c>
      <c r="X71" s="81">
        <f t="shared" si="7"/>
        <v>0</v>
      </c>
    </row>
    <row r="72" spans="1:24" s="280" customFormat="1">
      <c r="A72" s="378">
        <v>45453</v>
      </c>
      <c r="B72" s="386">
        <f>IF(YEAR(Table7[[#This Row],[Date]]) = 2023, WEEKNUM(Table7[[#This Row],[Date]])-13, WEEKNUM(Table7[[#This Row],[Date]])+40)</f>
        <v>10</v>
      </c>
      <c r="C72" s="203" t="s">
        <v>54</v>
      </c>
      <c r="D72" s="203" t="s">
        <v>94</v>
      </c>
      <c r="E72" s="379">
        <v>0</v>
      </c>
      <c r="F72" s="379">
        <v>0</v>
      </c>
      <c r="G72" s="350">
        <v>0</v>
      </c>
      <c r="H72" s="350">
        <v>0</v>
      </c>
      <c r="I72" s="379">
        <v>0</v>
      </c>
      <c r="J72" s="379">
        <v>0</v>
      </c>
      <c r="K72" s="379">
        <v>0</v>
      </c>
      <c r="L72" s="379">
        <v>0</v>
      </c>
      <c r="M72" s="191">
        <v>0</v>
      </c>
      <c r="N72" s="191">
        <v>0</v>
      </c>
      <c r="O72" s="191">
        <v>0</v>
      </c>
      <c r="P72" s="191">
        <v>0</v>
      </c>
      <c r="Q72" s="380"/>
      <c r="R72" s="287">
        <v>0</v>
      </c>
      <c r="S72" s="176">
        <v>0</v>
      </c>
      <c r="T72" s="381">
        <v>0</v>
      </c>
      <c r="U72" s="120" t="str">
        <f t="shared" si="4"/>
        <v>Normal</v>
      </c>
      <c r="V72" s="120" t="str">
        <f t="shared" si="5"/>
        <v>Normal</v>
      </c>
      <c r="W72" s="81">
        <f t="shared" si="6"/>
        <v>0</v>
      </c>
      <c r="X72" s="81">
        <f t="shared" si="7"/>
        <v>0</v>
      </c>
    </row>
    <row r="73" spans="1:24" s="280" customFormat="1">
      <c r="A73" s="382">
        <v>45454</v>
      </c>
      <c r="B73" s="411">
        <f>IF(YEAR(Table7[[#This Row],[Date]]) = 2023, WEEKNUM(Table7[[#This Row],[Date]])-13, WEEKNUM(Table7[[#This Row],[Date]])+40)</f>
        <v>11</v>
      </c>
      <c r="C73" s="203" t="s">
        <v>48</v>
      </c>
      <c r="D73" s="203" t="s">
        <v>94</v>
      </c>
      <c r="E73" s="379">
        <v>0</v>
      </c>
      <c r="F73" s="379">
        <v>0</v>
      </c>
      <c r="G73" s="350">
        <v>0</v>
      </c>
      <c r="H73" s="350">
        <v>0</v>
      </c>
      <c r="I73" s="379">
        <v>0</v>
      </c>
      <c r="J73" s="379">
        <v>0</v>
      </c>
      <c r="K73" s="379">
        <v>0</v>
      </c>
      <c r="L73" s="379">
        <v>0</v>
      </c>
      <c r="M73" s="191">
        <v>0</v>
      </c>
      <c r="N73" s="191">
        <v>0</v>
      </c>
      <c r="O73" s="191">
        <v>0</v>
      </c>
      <c r="P73" s="191">
        <v>0</v>
      </c>
      <c r="Q73" s="380"/>
      <c r="R73" s="383">
        <v>0</v>
      </c>
      <c r="S73" s="384">
        <v>0</v>
      </c>
      <c r="T73" s="385">
        <v>0</v>
      </c>
      <c r="U73" s="120" t="str">
        <f t="shared" si="4"/>
        <v>Normal</v>
      </c>
      <c r="V73" s="120" t="str">
        <f t="shared" si="5"/>
        <v>Normal</v>
      </c>
      <c r="W73" s="81">
        <f t="shared" si="6"/>
        <v>0</v>
      </c>
      <c r="X73" s="81">
        <f t="shared" si="7"/>
        <v>0</v>
      </c>
    </row>
    <row r="74" spans="1:24" s="280" customFormat="1">
      <c r="A74" s="378">
        <v>45455</v>
      </c>
      <c r="B74" s="386">
        <f>IF(YEAR(Table7[[#This Row],[Date]]) = 2023, WEEKNUM(Table7[[#This Row],[Date]])-13, WEEKNUM(Table7[[#This Row],[Date]])+40)</f>
        <v>11</v>
      </c>
      <c r="C74" s="203" t="s">
        <v>49</v>
      </c>
      <c r="D74" s="203" t="s">
        <v>94</v>
      </c>
      <c r="E74" s="379">
        <v>0</v>
      </c>
      <c r="F74" s="379">
        <v>0</v>
      </c>
      <c r="G74" s="350">
        <v>0</v>
      </c>
      <c r="H74" s="350">
        <v>0</v>
      </c>
      <c r="I74" s="379">
        <v>0</v>
      </c>
      <c r="J74" s="379">
        <v>0</v>
      </c>
      <c r="K74" s="379">
        <v>0</v>
      </c>
      <c r="L74" s="379">
        <v>0</v>
      </c>
      <c r="M74" s="191">
        <v>0</v>
      </c>
      <c r="N74" s="191">
        <v>0</v>
      </c>
      <c r="O74" s="191">
        <v>0</v>
      </c>
      <c r="P74" s="191">
        <v>0</v>
      </c>
      <c r="Q74" s="380"/>
      <c r="R74" s="287">
        <v>0</v>
      </c>
      <c r="S74" s="176">
        <v>0</v>
      </c>
      <c r="T74" s="381">
        <v>0</v>
      </c>
      <c r="U74" s="120" t="str">
        <f t="shared" si="4"/>
        <v>Normal</v>
      </c>
      <c r="V74" s="120" t="str">
        <f t="shared" si="5"/>
        <v>Normal</v>
      </c>
      <c r="W74" s="81">
        <f t="shared" si="6"/>
        <v>0</v>
      </c>
      <c r="X74" s="81">
        <f t="shared" si="7"/>
        <v>0</v>
      </c>
    </row>
    <row r="75" spans="1:24" s="280" customFormat="1">
      <c r="A75" s="382">
        <v>45456</v>
      </c>
      <c r="B75" s="411">
        <f>IF(YEAR(Table7[[#This Row],[Date]]) = 2023, WEEKNUM(Table7[[#This Row],[Date]])-13, WEEKNUM(Table7[[#This Row],[Date]])+40)</f>
        <v>11</v>
      </c>
      <c r="C75" s="203" t="s">
        <v>50</v>
      </c>
      <c r="D75" s="203" t="s">
        <v>94</v>
      </c>
      <c r="E75" s="379">
        <v>0</v>
      </c>
      <c r="F75" s="379">
        <v>0</v>
      </c>
      <c r="G75" s="350">
        <v>0</v>
      </c>
      <c r="H75" s="350">
        <v>0</v>
      </c>
      <c r="I75" s="379">
        <v>0</v>
      </c>
      <c r="J75" s="379">
        <v>0</v>
      </c>
      <c r="K75" s="379">
        <v>0</v>
      </c>
      <c r="L75" s="379">
        <v>0</v>
      </c>
      <c r="M75" s="191">
        <v>0</v>
      </c>
      <c r="N75" s="191">
        <v>0</v>
      </c>
      <c r="O75" s="191">
        <v>0</v>
      </c>
      <c r="P75" s="191">
        <v>0</v>
      </c>
      <c r="Q75" s="380"/>
      <c r="R75" s="383">
        <v>0</v>
      </c>
      <c r="S75" s="384">
        <v>0</v>
      </c>
      <c r="T75" s="385">
        <v>0</v>
      </c>
      <c r="U75" s="120" t="str">
        <f t="shared" si="4"/>
        <v>Normal</v>
      </c>
      <c r="V75" s="120" t="str">
        <f t="shared" si="5"/>
        <v>Normal</v>
      </c>
      <c r="W75" s="81">
        <f t="shared" si="6"/>
        <v>0</v>
      </c>
      <c r="X75" s="81">
        <f t="shared" si="7"/>
        <v>0</v>
      </c>
    </row>
    <row r="76" spans="1:24" s="280" customFormat="1">
      <c r="A76" s="378">
        <v>45457</v>
      </c>
      <c r="B76" s="386">
        <f>IF(YEAR(Table7[[#This Row],[Date]]) = 2023, WEEKNUM(Table7[[#This Row],[Date]])-13, WEEKNUM(Table7[[#This Row],[Date]])+40)</f>
        <v>11</v>
      </c>
      <c r="C76" s="203" t="s">
        <v>51</v>
      </c>
      <c r="D76" s="203" t="s">
        <v>94</v>
      </c>
      <c r="E76" s="379">
        <v>0</v>
      </c>
      <c r="F76" s="379">
        <v>0</v>
      </c>
      <c r="G76" s="350">
        <v>0</v>
      </c>
      <c r="H76" s="350">
        <v>0</v>
      </c>
      <c r="I76" s="379">
        <v>0</v>
      </c>
      <c r="J76" s="379">
        <v>0</v>
      </c>
      <c r="K76" s="379">
        <v>0</v>
      </c>
      <c r="L76" s="379">
        <v>0</v>
      </c>
      <c r="M76" s="191">
        <v>0</v>
      </c>
      <c r="N76" s="191">
        <v>0</v>
      </c>
      <c r="O76" s="191">
        <v>0</v>
      </c>
      <c r="P76" s="191">
        <v>0</v>
      </c>
      <c r="Q76" s="380"/>
      <c r="R76" s="287">
        <v>0</v>
      </c>
      <c r="S76" s="176">
        <v>0</v>
      </c>
      <c r="T76" s="381">
        <v>0</v>
      </c>
      <c r="U76" s="120" t="str">
        <f t="shared" si="4"/>
        <v>Normal</v>
      </c>
      <c r="V76" s="120" t="str">
        <f t="shared" si="5"/>
        <v>Normal</v>
      </c>
      <c r="W76" s="81">
        <f t="shared" si="6"/>
        <v>0</v>
      </c>
      <c r="X76" s="81">
        <f t="shared" si="7"/>
        <v>0</v>
      </c>
    </row>
    <row r="77" spans="1:24" s="280" customFormat="1">
      <c r="A77" s="382">
        <v>45458</v>
      </c>
      <c r="B77" s="411">
        <f>IF(YEAR(Table7[[#This Row],[Date]]) = 2023, WEEKNUM(Table7[[#This Row],[Date]])-13, WEEKNUM(Table7[[#This Row],[Date]])+40)</f>
        <v>11</v>
      </c>
      <c r="C77" s="203" t="s">
        <v>52</v>
      </c>
      <c r="D77" s="203" t="s">
        <v>94</v>
      </c>
      <c r="E77" s="379">
        <v>0</v>
      </c>
      <c r="F77" s="379">
        <v>0</v>
      </c>
      <c r="G77" s="350">
        <v>0</v>
      </c>
      <c r="H77" s="350">
        <v>0</v>
      </c>
      <c r="I77" s="379">
        <v>0</v>
      </c>
      <c r="J77" s="379">
        <v>0</v>
      </c>
      <c r="K77" s="379">
        <v>0</v>
      </c>
      <c r="L77" s="379">
        <v>0</v>
      </c>
      <c r="M77" s="191">
        <v>0</v>
      </c>
      <c r="N77" s="191">
        <v>0</v>
      </c>
      <c r="O77" s="191">
        <v>0</v>
      </c>
      <c r="P77" s="191">
        <v>0</v>
      </c>
      <c r="Q77" s="380"/>
      <c r="R77" s="383">
        <v>0</v>
      </c>
      <c r="S77" s="384">
        <v>0</v>
      </c>
      <c r="T77" s="385">
        <v>0</v>
      </c>
      <c r="U77" s="120" t="str">
        <f t="shared" si="4"/>
        <v>Normal</v>
      </c>
      <c r="V77" s="120" t="str">
        <f t="shared" si="5"/>
        <v>Normal</v>
      </c>
      <c r="W77" s="81">
        <f t="shared" si="6"/>
        <v>0</v>
      </c>
      <c r="X77" s="81">
        <f t="shared" si="7"/>
        <v>0</v>
      </c>
    </row>
    <row r="78" spans="1:24" s="280" customFormat="1">
      <c r="A78" s="378">
        <v>45459</v>
      </c>
      <c r="B78" s="386">
        <f>IF(YEAR(Table7[[#This Row],[Date]]) = 2023, WEEKNUM(Table7[[#This Row],[Date]])-13, WEEKNUM(Table7[[#This Row],[Date]])+40)</f>
        <v>11</v>
      </c>
      <c r="C78" s="203" t="s">
        <v>53</v>
      </c>
      <c r="D78" s="203" t="s">
        <v>94</v>
      </c>
      <c r="E78" s="379">
        <v>0</v>
      </c>
      <c r="F78" s="379">
        <v>0</v>
      </c>
      <c r="G78" s="350">
        <v>0</v>
      </c>
      <c r="H78" s="350">
        <v>0</v>
      </c>
      <c r="I78" s="379">
        <v>0</v>
      </c>
      <c r="J78" s="379">
        <v>0</v>
      </c>
      <c r="K78" s="379">
        <v>0</v>
      </c>
      <c r="L78" s="379">
        <v>0</v>
      </c>
      <c r="M78" s="191">
        <v>0</v>
      </c>
      <c r="N78" s="191">
        <v>0</v>
      </c>
      <c r="O78" s="191">
        <v>0</v>
      </c>
      <c r="P78" s="191">
        <v>0</v>
      </c>
      <c r="Q78" s="380"/>
      <c r="R78" s="287">
        <v>0</v>
      </c>
      <c r="S78" s="176">
        <v>0</v>
      </c>
      <c r="T78" s="381">
        <v>0</v>
      </c>
      <c r="U78" s="120" t="str">
        <f t="shared" si="4"/>
        <v>Normal</v>
      </c>
      <c r="V78" s="120" t="str">
        <f t="shared" si="5"/>
        <v>Normal</v>
      </c>
      <c r="W78" s="81">
        <f t="shared" si="6"/>
        <v>0</v>
      </c>
      <c r="X78" s="81">
        <f t="shared" si="7"/>
        <v>0</v>
      </c>
    </row>
    <row r="79" spans="1:24" s="280" customFormat="1">
      <c r="A79" s="382">
        <v>45460</v>
      </c>
      <c r="B79" s="411">
        <f>IF(YEAR(Table7[[#This Row],[Date]]) = 2023, WEEKNUM(Table7[[#This Row],[Date]])-13, WEEKNUM(Table7[[#This Row],[Date]])+40)</f>
        <v>11</v>
      </c>
      <c r="C79" s="203" t="s">
        <v>54</v>
      </c>
      <c r="D79" s="203" t="s">
        <v>94</v>
      </c>
      <c r="E79" s="379">
        <v>0</v>
      </c>
      <c r="F79" s="379">
        <v>0</v>
      </c>
      <c r="G79" s="350">
        <v>0</v>
      </c>
      <c r="H79" s="350">
        <v>0</v>
      </c>
      <c r="I79" s="379">
        <v>0</v>
      </c>
      <c r="J79" s="379">
        <v>0</v>
      </c>
      <c r="K79" s="379">
        <v>0</v>
      </c>
      <c r="L79" s="379">
        <v>0</v>
      </c>
      <c r="M79" s="191">
        <v>0</v>
      </c>
      <c r="N79" s="191">
        <v>0</v>
      </c>
      <c r="O79" s="191">
        <v>0</v>
      </c>
      <c r="P79" s="191">
        <v>0</v>
      </c>
      <c r="Q79" s="380"/>
      <c r="R79" s="383">
        <v>0</v>
      </c>
      <c r="S79" s="384">
        <v>0</v>
      </c>
      <c r="T79" s="385">
        <v>0</v>
      </c>
      <c r="U79" s="120" t="str">
        <f t="shared" si="4"/>
        <v>Normal</v>
      </c>
      <c r="V79" s="120" t="str">
        <f t="shared" si="5"/>
        <v>Normal</v>
      </c>
      <c r="W79" s="81">
        <f t="shared" si="6"/>
        <v>0</v>
      </c>
      <c r="X79" s="81">
        <f t="shared" si="7"/>
        <v>0</v>
      </c>
    </row>
    <row r="80" spans="1:24" s="280" customFormat="1">
      <c r="A80" s="378">
        <v>45461</v>
      </c>
      <c r="B80" s="386">
        <f>IF(YEAR(Table7[[#This Row],[Date]]) = 2023, WEEKNUM(Table7[[#This Row],[Date]])-13, WEEKNUM(Table7[[#This Row],[Date]])+40)</f>
        <v>12</v>
      </c>
      <c r="C80" s="203" t="s">
        <v>48</v>
      </c>
      <c r="D80" s="203" t="s">
        <v>94</v>
      </c>
      <c r="E80" s="379">
        <v>0</v>
      </c>
      <c r="F80" s="379">
        <v>0</v>
      </c>
      <c r="G80" s="350">
        <v>0</v>
      </c>
      <c r="H80" s="350">
        <v>0</v>
      </c>
      <c r="I80" s="379">
        <v>0</v>
      </c>
      <c r="J80" s="379">
        <v>0</v>
      </c>
      <c r="K80" s="379">
        <v>0</v>
      </c>
      <c r="L80" s="379">
        <v>0</v>
      </c>
      <c r="M80" s="191">
        <v>0</v>
      </c>
      <c r="N80" s="191">
        <v>0</v>
      </c>
      <c r="O80" s="191">
        <v>0</v>
      </c>
      <c r="P80" s="191">
        <v>0</v>
      </c>
      <c r="Q80" s="380"/>
      <c r="R80" s="287">
        <v>0</v>
      </c>
      <c r="S80" s="176">
        <v>0</v>
      </c>
      <c r="T80" s="381">
        <v>0</v>
      </c>
      <c r="U80" s="120" t="str">
        <f t="shared" si="4"/>
        <v>Normal</v>
      </c>
      <c r="V80" s="120" t="str">
        <f t="shared" si="5"/>
        <v>Normal</v>
      </c>
      <c r="W80" s="81">
        <f t="shared" si="6"/>
        <v>0</v>
      </c>
      <c r="X80" s="81">
        <f t="shared" si="7"/>
        <v>0</v>
      </c>
    </row>
    <row r="81" spans="1:24" s="280" customFormat="1">
      <c r="A81" s="382">
        <v>45462</v>
      </c>
      <c r="B81" s="411">
        <f>IF(YEAR(Table7[[#This Row],[Date]]) = 2023, WEEKNUM(Table7[[#This Row],[Date]])-13, WEEKNUM(Table7[[#This Row],[Date]])+40)</f>
        <v>12</v>
      </c>
      <c r="C81" s="203" t="s">
        <v>49</v>
      </c>
      <c r="D81" s="203" t="s">
        <v>94</v>
      </c>
      <c r="E81" s="379">
        <v>0</v>
      </c>
      <c r="F81" s="379">
        <v>0</v>
      </c>
      <c r="G81" s="350">
        <v>0</v>
      </c>
      <c r="H81" s="350">
        <v>0</v>
      </c>
      <c r="I81" s="379">
        <v>0</v>
      </c>
      <c r="J81" s="379">
        <v>0</v>
      </c>
      <c r="K81" s="379">
        <v>0</v>
      </c>
      <c r="L81" s="379">
        <v>0</v>
      </c>
      <c r="M81" s="191">
        <v>0</v>
      </c>
      <c r="N81" s="191">
        <v>0</v>
      </c>
      <c r="O81" s="191">
        <v>0</v>
      </c>
      <c r="P81" s="191">
        <v>0</v>
      </c>
      <c r="Q81" s="380"/>
      <c r="R81" s="383">
        <v>0</v>
      </c>
      <c r="S81" s="384">
        <v>0</v>
      </c>
      <c r="T81" s="385">
        <v>0</v>
      </c>
      <c r="U81" s="120" t="str">
        <f t="shared" si="4"/>
        <v>Normal</v>
      </c>
      <c r="V81" s="120" t="str">
        <f t="shared" si="5"/>
        <v>Normal</v>
      </c>
      <c r="W81" s="81">
        <f t="shared" si="6"/>
        <v>0</v>
      </c>
      <c r="X81" s="81">
        <f t="shared" si="7"/>
        <v>0</v>
      </c>
    </row>
    <row r="82" spans="1:24" s="280" customFormat="1">
      <c r="A82" s="378">
        <v>45463</v>
      </c>
      <c r="B82" s="386">
        <f>IF(YEAR(Table7[[#This Row],[Date]]) = 2023, WEEKNUM(Table7[[#This Row],[Date]])-13, WEEKNUM(Table7[[#This Row],[Date]])+40)</f>
        <v>12</v>
      </c>
      <c r="C82" s="203" t="s">
        <v>50</v>
      </c>
      <c r="D82" s="203" t="s">
        <v>94</v>
      </c>
      <c r="E82" s="379">
        <v>0</v>
      </c>
      <c r="F82" s="379">
        <v>0</v>
      </c>
      <c r="G82" s="350">
        <v>0</v>
      </c>
      <c r="H82" s="350">
        <v>0</v>
      </c>
      <c r="I82" s="379">
        <v>0</v>
      </c>
      <c r="J82" s="379">
        <v>0</v>
      </c>
      <c r="K82" s="379">
        <v>0</v>
      </c>
      <c r="L82" s="379">
        <v>0</v>
      </c>
      <c r="M82" s="191">
        <v>0</v>
      </c>
      <c r="N82" s="191">
        <v>0</v>
      </c>
      <c r="O82" s="191">
        <v>0</v>
      </c>
      <c r="P82" s="191">
        <v>0</v>
      </c>
      <c r="Q82" s="380"/>
      <c r="R82" s="287">
        <v>0</v>
      </c>
      <c r="S82" s="176">
        <v>0</v>
      </c>
      <c r="T82" s="381">
        <v>0</v>
      </c>
      <c r="U82" s="120" t="str">
        <f t="shared" si="4"/>
        <v>Normal</v>
      </c>
      <c r="V82" s="120" t="str">
        <f t="shared" si="5"/>
        <v>Normal</v>
      </c>
      <c r="W82" s="81">
        <f t="shared" si="6"/>
        <v>0</v>
      </c>
      <c r="X82" s="81">
        <f t="shared" si="7"/>
        <v>0</v>
      </c>
    </row>
    <row r="83" spans="1:24" s="280" customFormat="1">
      <c r="A83" s="382">
        <v>45464</v>
      </c>
      <c r="B83" s="411">
        <f>IF(YEAR(Table7[[#This Row],[Date]]) = 2023, WEEKNUM(Table7[[#This Row],[Date]])-13, WEEKNUM(Table7[[#This Row],[Date]])+40)</f>
        <v>12</v>
      </c>
      <c r="C83" s="203" t="s">
        <v>51</v>
      </c>
      <c r="D83" s="203" t="s">
        <v>94</v>
      </c>
      <c r="E83" s="379">
        <v>0</v>
      </c>
      <c r="F83" s="379">
        <v>0</v>
      </c>
      <c r="G83" s="350">
        <v>0</v>
      </c>
      <c r="H83" s="350">
        <v>0</v>
      </c>
      <c r="I83" s="379">
        <v>0</v>
      </c>
      <c r="J83" s="379">
        <v>0</v>
      </c>
      <c r="K83" s="379">
        <v>0</v>
      </c>
      <c r="L83" s="379">
        <v>0</v>
      </c>
      <c r="M83" s="191">
        <v>0</v>
      </c>
      <c r="N83" s="191">
        <v>0</v>
      </c>
      <c r="O83" s="191">
        <v>0</v>
      </c>
      <c r="P83" s="191">
        <v>0</v>
      </c>
      <c r="Q83" s="380"/>
      <c r="R83" s="383">
        <v>0</v>
      </c>
      <c r="S83" s="384">
        <v>0</v>
      </c>
      <c r="T83" s="385">
        <v>0</v>
      </c>
      <c r="U83" s="120" t="str">
        <f t="shared" si="4"/>
        <v>Normal</v>
      </c>
      <c r="V83" s="120" t="str">
        <f t="shared" si="5"/>
        <v>Normal</v>
      </c>
      <c r="W83" s="81">
        <f t="shared" si="6"/>
        <v>0</v>
      </c>
      <c r="X83" s="81">
        <f t="shared" si="7"/>
        <v>0</v>
      </c>
    </row>
    <row r="84" spans="1:24" s="280" customFormat="1">
      <c r="A84" s="378">
        <v>45465</v>
      </c>
      <c r="B84" s="386">
        <f>IF(YEAR(Table7[[#This Row],[Date]]) = 2023, WEEKNUM(Table7[[#This Row],[Date]])-13, WEEKNUM(Table7[[#This Row],[Date]])+40)</f>
        <v>12</v>
      </c>
      <c r="C84" s="203" t="s">
        <v>52</v>
      </c>
      <c r="D84" s="203" t="s">
        <v>94</v>
      </c>
      <c r="E84" s="379">
        <v>0</v>
      </c>
      <c r="F84" s="379">
        <v>0</v>
      </c>
      <c r="G84" s="350">
        <v>0</v>
      </c>
      <c r="H84" s="350">
        <v>0</v>
      </c>
      <c r="I84" s="379">
        <v>0</v>
      </c>
      <c r="J84" s="379">
        <v>0</v>
      </c>
      <c r="K84" s="379">
        <v>0</v>
      </c>
      <c r="L84" s="379">
        <v>0</v>
      </c>
      <c r="M84" s="191">
        <v>0</v>
      </c>
      <c r="N84" s="191">
        <v>0</v>
      </c>
      <c r="O84" s="191">
        <v>0</v>
      </c>
      <c r="P84" s="191">
        <v>0</v>
      </c>
      <c r="Q84" s="380"/>
      <c r="R84" s="287">
        <v>0</v>
      </c>
      <c r="S84" s="176">
        <v>0</v>
      </c>
      <c r="T84" s="381">
        <v>0</v>
      </c>
      <c r="U84" s="120" t="str">
        <f t="shared" si="4"/>
        <v>Normal</v>
      </c>
      <c r="V84" s="120" t="str">
        <f t="shared" si="5"/>
        <v>Normal</v>
      </c>
      <c r="W84" s="81">
        <f t="shared" si="6"/>
        <v>0</v>
      </c>
      <c r="X84" s="81">
        <f t="shared" si="7"/>
        <v>0</v>
      </c>
    </row>
    <row r="85" spans="1:24" s="280" customFormat="1">
      <c r="A85" s="382">
        <v>45466</v>
      </c>
      <c r="B85" s="411">
        <f>IF(YEAR(Table7[[#This Row],[Date]]) = 2023, WEEKNUM(Table7[[#This Row],[Date]])-13, WEEKNUM(Table7[[#This Row],[Date]])+40)</f>
        <v>12</v>
      </c>
      <c r="C85" s="203" t="s">
        <v>53</v>
      </c>
      <c r="D85" s="203" t="s">
        <v>94</v>
      </c>
      <c r="E85" s="379">
        <v>0</v>
      </c>
      <c r="F85" s="379">
        <v>0</v>
      </c>
      <c r="G85" s="350">
        <v>0</v>
      </c>
      <c r="H85" s="350">
        <v>0</v>
      </c>
      <c r="I85" s="379">
        <v>0</v>
      </c>
      <c r="J85" s="379">
        <v>0</v>
      </c>
      <c r="K85" s="379">
        <v>0</v>
      </c>
      <c r="L85" s="379">
        <v>0</v>
      </c>
      <c r="M85" s="191">
        <v>0</v>
      </c>
      <c r="N85" s="191">
        <v>0</v>
      </c>
      <c r="O85" s="191">
        <v>0</v>
      </c>
      <c r="P85" s="191">
        <v>0</v>
      </c>
      <c r="Q85" s="380"/>
      <c r="R85" s="383">
        <v>0</v>
      </c>
      <c r="S85" s="384">
        <v>0</v>
      </c>
      <c r="T85" s="385">
        <v>0</v>
      </c>
      <c r="U85" s="120" t="str">
        <f t="shared" si="4"/>
        <v>Normal</v>
      </c>
      <c r="V85" s="120" t="str">
        <f t="shared" si="5"/>
        <v>Normal</v>
      </c>
      <c r="W85" s="81">
        <f t="shared" si="6"/>
        <v>0</v>
      </c>
      <c r="X85" s="81">
        <f t="shared" si="7"/>
        <v>0</v>
      </c>
    </row>
    <row r="86" spans="1:24" s="280" customFormat="1">
      <c r="A86" s="378">
        <v>45467</v>
      </c>
      <c r="B86" s="386">
        <f>IF(YEAR(Table7[[#This Row],[Date]]) = 2023, WEEKNUM(Table7[[#This Row],[Date]])-13, WEEKNUM(Table7[[#This Row],[Date]])+40)</f>
        <v>12</v>
      </c>
      <c r="C86" s="203" t="s">
        <v>54</v>
      </c>
      <c r="D86" s="203" t="s">
        <v>94</v>
      </c>
      <c r="E86" s="379">
        <v>0</v>
      </c>
      <c r="F86" s="379">
        <v>0</v>
      </c>
      <c r="G86" s="350">
        <v>0</v>
      </c>
      <c r="H86" s="350">
        <v>0</v>
      </c>
      <c r="I86" s="379">
        <v>0</v>
      </c>
      <c r="J86" s="379">
        <v>0</v>
      </c>
      <c r="K86" s="379">
        <v>0</v>
      </c>
      <c r="L86" s="379">
        <v>0</v>
      </c>
      <c r="M86" s="191">
        <v>0</v>
      </c>
      <c r="N86" s="191">
        <v>0</v>
      </c>
      <c r="O86" s="191">
        <v>0</v>
      </c>
      <c r="P86" s="191">
        <v>0</v>
      </c>
      <c r="Q86" s="380"/>
      <c r="R86" s="287">
        <v>0</v>
      </c>
      <c r="S86" s="176">
        <v>0</v>
      </c>
      <c r="T86" s="381">
        <v>0</v>
      </c>
      <c r="U86" s="120" t="str">
        <f t="shared" si="4"/>
        <v>Normal</v>
      </c>
      <c r="V86" s="120" t="str">
        <f t="shared" si="5"/>
        <v>Normal</v>
      </c>
      <c r="W86" s="81">
        <f t="shared" si="6"/>
        <v>0</v>
      </c>
      <c r="X86" s="81">
        <f t="shared" si="7"/>
        <v>0</v>
      </c>
    </row>
    <row r="87" spans="1:24" s="280" customFormat="1">
      <c r="A87" s="382">
        <v>45468</v>
      </c>
      <c r="B87" s="411">
        <f>IF(YEAR(Table7[[#This Row],[Date]]) = 2023, WEEKNUM(Table7[[#This Row],[Date]])-13, WEEKNUM(Table7[[#This Row],[Date]])+40)</f>
        <v>13</v>
      </c>
      <c r="C87" s="203" t="s">
        <v>48</v>
      </c>
      <c r="D87" s="203" t="s">
        <v>94</v>
      </c>
      <c r="E87" s="379">
        <v>0</v>
      </c>
      <c r="F87" s="379">
        <v>0</v>
      </c>
      <c r="G87" s="350">
        <v>0</v>
      </c>
      <c r="H87" s="350">
        <v>0</v>
      </c>
      <c r="I87" s="379">
        <v>0</v>
      </c>
      <c r="J87" s="379">
        <v>0</v>
      </c>
      <c r="K87" s="379">
        <v>0</v>
      </c>
      <c r="L87" s="379">
        <v>0</v>
      </c>
      <c r="M87" s="191">
        <v>0</v>
      </c>
      <c r="N87" s="191">
        <v>0</v>
      </c>
      <c r="O87" s="191">
        <v>0</v>
      </c>
      <c r="P87" s="191">
        <v>0</v>
      </c>
      <c r="Q87" s="380"/>
      <c r="R87" s="383">
        <v>0</v>
      </c>
      <c r="S87" s="384">
        <v>0</v>
      </c>
      <c r="T87" s="385">
        <v>0</v>
      </c>
      <c r="U87" s="120" t="str">
        <f t="shared" si="4"/>
        <v>Normal</v>
      </c>
      <c r="V87" s="120" t="str">
        <f t="shared" si="5"/>
        <v>Normal</v>
      </c>
      <c r="W87" s="81">
        <f t="shared" si="6"/>
        <v>0</v>
      </c>
      <c r="X87" s="81">
        <f t="shared" si="7"/>
        <v>0</v>
      </c>
    </row>
    <row r="88" spans="1:24" s="280" customFormat="1">
      <c r="A88" s="378">
        <v>45469</v>
      </c>
      <c r="B88" s="386">
        <f>IF(YEAR(Table7[[#This Row],[Date]]) = 2023, WEEKNUM(Table7[[#This Row],[Date]])-13, WEEKNUM(Table7[[#This Row],[Date]])+40)</f>
        <v>13</v>
      </c>
      <c r="C88" s="203" t="s">
        <v>49</v>
      </c>
      <c r="D88" s="203" t="s">
        <v>94</v>
      </c>
      <c r="E88" s="379">
        <v>0</v>
      </c>
      <c r="F88" s="379">
        <v>0</v>
      </c>
      <c r="G88" s="350">
        <v>0</v>
      </c>
      <c r="H88" s="350">
        <v>0</v>
      </c>
      <c r="I88" s="379">
        <v>0</v>
      </c>
      <c r="J88" s="379">
        <v>0</v>
      </c>
      <c r="K88" s="379">
        <v>0</v>
      </c>
      <c r="L88" s="379">
        <v>0</v>
      </c>
      <c r="M88" s="191">
        <v>0</v>
      </c>
      <c r="N88" s="191">
        <v>0</v>
      </c>
      <c r="O88" s="191">
        <v>0</v>
      </c>
      <c r="P88" s="191">
        <v>0</v>
      </c>
      <c r="Q88" s="380"/>
      <c r="R88" s="287">
        <v>0</v>
      </c>
      <c r="S88" s="176">
        <v>0</v>
      </c>
      <c r="T88" s="381">
        <v>0</v>
      </c>
      <c r="U88" s="120" t="str">
        <f t="shared" si="4"/>
        <v>Normal</v>
      </c>
      <c r="V88" s="120" t="str">
        <f t="shared" si="5"/>
        <v>Normal</v>
      </c>
      <c r="W88" s="81">
        <f t="shared" si="6"/>
        <v>0</v>
      </c>
      <c r="X88" s="81">
        <f t="shared" si="7"/>
        <v>0</v>
      </c>
    </row>
    <row r="89" spans="1:24" s="280" customFormat="1">
      <c r="A89" s="382">
        <v>45470</v>
      </c>
      <c r="B89" s="411">
        <f>IF(YEAR(Table7[[#This Row],[Date]]) = 2023, WEEKNUM(Table7[[#This Row],[Date]])-13, WEEKNUM(Table7[[#This Row],[Date]])+40)</f>
        <v>13</v>
      </c>
      <c r="C89" s="203" t="s">
        <v>50</v>
      </c>
      <c r="D89" s="203" t="s">
        <v>94</v>
      </c>
      <c r="E89" s="379">
        <v>0</v>
      </c>
      <c r="F89" s="379">
        <v>0</v>
      </c>
      <c r="G89" s="350">
        <v>0</v>
      </c>
      <c r="H89" s="350">
        <v>0</v>
      </c>
      <c r="I89" s="379">
        <v>0</v>
      </c>
      <c r="J89" s="379">
        <v>0</v>
      </c>
      <c r="K89" s="379">
        <v>0</v>
      </c>
      <c r="L89" s="379">
        <v>0</v>
      </c>
      <c r="M89" s="191">
        <v>0</v>
      </c>
      <c r="N89" s="191">
        <v>0</v>
      </c>
      <c r="O89" s="191">
        <v>0</v>
      </c>
      <c r="P89" s="191">
        <v>0</v>
      </c>
      <c r="Q89" s="380"/>
      <c r="R89" s="383">
        <v>0</v>
      </c>
      <c r="S89" s="384">
        <v>0</v>
      </c>
      <c r="T89" s="385">
        <v>0</v>
      </c>
      <c r="U89" s="120" t="str">
        <f t="shared" si="4"/>
        <v>Normal</v>
      </c>
      <c r="V89" s="120" t="str">
        <f t="shared" si="5"/>
        <v>Normal</v>
      </c>
      <c r="W89" s="81">
        <f t="shared" si="6"/>
        <v>0</v>
      </c>
      <c r="X89" s="81">
        <f t="shared" si="7"/>
        <v>0</v>
      </c>
    </row>
    <row r="90" spans="1:24" s="280" customFormat="1">
      <c r="A90" s="378">
        <v>45471</v>
      </c>
      <c r="B90" s="386">
        <f>IF(YEAR(Table7[[#This Row],[Date]]) = 2023, WEEKNUM(Table7[[#This Row],[Date]])-13, WEEKNUM(Table7[[#This Row],[Date]])+40)</f>
        <v>13</v>
      </c>
      <c r="C90" s="203" t="s">
        <v>51</v>
      </c>
      <c r="D90" s="203" t="s">
        <v>94</v>
      </c>
      <c r="E90" s="379">
        <v>0</v>
      </c>
      <c r="F90" s="379">
        <v>0</v>
      </c>
      <c r="G90" s="350">
        <v>0</v>
      </c>
      <c r="H90" s="350">
        <v>0</v>
      </c>
      <c r="I90" s="379">
        <v>0</v>
      </c>
      <c r="J90" s="379">
        <v>0</v>
      </c>
      <c r="K90" s="379">
        <v>0</v>
      </c>
      <c r="L90" s="379">
        <v>0</v>
      </c>
      <c r="M90" s="191">
        <v>0</v>
      </c>
      <c r="N90" s="191">
        <v>0</v>
      </c>
      <c r="O90" s="191">
        <v>0</v>
      </c>
      <c r="P90" s="191">
        <v>0</v>
      </c>
      <c r="Q90" s="380"/>
      <c r="R90" s="287">
        <v>0</v>
      </c>
      <c r="S90" s="176">
        <v>0</v>
      </c>
      <c r="T90" s="381">
        <v>0</v>
      </c>
      <c r="U90" s="120" t="str">
        <f t="shared" si="4"/>
        <v>Normal</v>
      </c>
      <c r="V90" s="120" t="str">
        <f t="shared" si="5"/>
        <v>Normal</v>
      </c>
      <c r="W90" s="81">
        <f t="shared" si="6"/>
        <v>0</v>
      </c>
      <c r="X90" s="81">
        <f t="shared" si="7"/>
        <v>0</v>
      </c>
    </row>
    <row r="91" spans="1:24" s="280" customFormat="1">
      <c r="A91" s="382">
        <v>45472</v>
      </c>
      <c r="B91" s="411">
        <f>IF(YEAR(Table7[[#This Row],[Date]]) = 2023, WEEKNUM(Table7[[#This Row],[Date]])-13, WEEKNUM(Table7[[#This Row],[Date]])+40)</f>
        <v>13</v>
      </c>
      <c r="C91" s="203" t="s">
        <v>52</v>
      </c>
      <c r="D91" s="203" t="s">
        <v>94</v>
      </c>
      <c r="E91" s="379">
        <v>0</v>
      </c>
      <c r="F91" s="379">
        <v>0</v>
      </c>
      <c r="G91" s="350">
        <v>0</v>
      </c>
      <c r="H91" s="350">
        <v>0</v>
      </c>
      <c r="I91" s="379">
        <v>0</v>
      </c>
      <c r="J91" s="379">
        <v>0</v>
      </c>
      <c r="K91" s="379">
        <v>0</v>
      </c>
      <c r="L91" s="379">
        <v>0</v>
      </c>
      <c r="M91" s="191">
        <v>0</v>
      </c>
      <c r="N91" s="191">
        <v>0</v>
      </c>
      <c r="O91" s="191">
        <v>0</v>
      </c>
      <c r="P91" s="191">
        <v>0</v>
      </c>
      <c r="Q91" s="380"/>
      <c r="R91" s="383">
        <v>0</v>
      </c>
      <c r="S91" s="384">
        <v>0</v>
      </c>
      <c r="T91" s="385">
        <v>0</v>
      </c>
      <c r="U91" s="120" t="str">
        <f t="shared" si="4"/>
        <v>Normal</v>
      </c>
      <c r="V91" s="120" t="str">
        <f t="shared" si="5"/>
        <v>Normal</v>
      </c>
      <c r="W91" s="81">
        <f t="shared" si="6"/>
        <v>0</v>
      </c>
      <c r="X91" s="81">
        <f t="shared" si="7"/>
        <v>0</v>
      </c>
    </row>
    <row r="92" spans="1:24" s="280" customFormat="1">
      <c r="A92" s="378">
        <v>45473</v>
      </c>
      <c r="B92" s="386">
        <f>IF(YEAR(Table7[[#This Row],[Date]]) = 2023, WEEKNUM(Table7[[#This Row],[Date]])-13, WEEKNUM(Table7[[#This Row],[Date]])+40)</f>
        <v>13</v>
      </c>
      <c r="C92" s="203" t="s">
        <v>53</v>
      </c>
      <c r="D92" s="203" t="s">
        <v>94</v>
      </c>
      <c r="E92" s="379">
        <v>0</v>
      </c>
      <c r="F92" s="379">
        <v>0</v>
      </c>
      <c r="G92" s="350">
        <v>0</v>
      </c>
      <c r="H92" s="350">
        <v>0</v>
      </c>
      <c r="I92" s="379">
        <v>0</v>
      </c>
      <c r="J92" s="379">
        <v>0</v>
      </c>
      <c r="K92" s="379">
        <v>0</v>
      </c>
      <c r="L92" s="379">
        <v>0</v>
      </c>
      <c r="M92" s="191">
        <v>0</v>
      </c>
      <c r="N92" s="191">
        <v>0</v>
      </c>
      <c r="O92" s="191">
        <v>0</v>
      </c>
      <c r="P92" s="191">
        <v>0</v>
      </c>
      <c r="Q92" s="380"/>
      <c r="R92" s="287">
        <v>0</v>
      </c>
      <c r="S92" s="176">
        <v>0</v>
      </c>
      <c r="T92" s="381">
        <v>0</v>
      </c>
      <c r="U92" s="120" t="str">
        <f t="shared" si="4"/>
        <v>Normal</v>
      </c>
      <c r="V92" s="120" t="str">
        <f t="shared" si="5"/>
        <v>Normal</v>
      </c>
      <c r="W92" s="81">
        <f t="shared" si="6"/>
        <v>0</v>
      </c>
      <c r="X92" s="81">
        <f t="shared" si="7"/>
        <v>0</v>
      </c>
    </row>
    <row r="93" spans="1:24" s="280" customFormat="1">
      <c r="A93" s="382">
        <v>45474</v>
      </c>
      <c r="B93" s="411">
        <f>IF(YEAR(Table7[[#This Row],[Date]]) = 2023, WEEKNUM(Table7[[#This Row],[Date]])-13, WEEKNUM(Table7[[#This Row],[Date]])+40)</f>
        <v>13</v>
      </c>
      <c r="C93" s="203" t="s">
        <v>54</v>
      </c>
      <c r="D93" s="203" t="s">
        <v>94</v>
      </c>
      <c r="E93" s="379">
        <v>0</v>
      </c>
      <c r="F93" s="379">
        <v>0</v>
      </c>
      <c r="G93" s="350">
        <v>0</v>
      </c>
      <c r="H93" s="350">
        <v>0</v>
      </c>
      <c r="I93" s="379">
        <v>0</v>
      </c>
      <c r="J93" s="379">
        <v>0</v>
      </c>
      <c r="K93" s="379">
        <v>0</v>
      </c>
      <c r="L93" s="379">
        <v>0</v>
      </c>
      <c r="M93" s="191">
        <v>0</v>
      </c>
      <c r="N93" s="191">
        <v>0</v>
      </c>
      <c r="O93" s="191">
        <v>0</v>
      </c>
      <c r="P93" s="191">
        <v>0</v>
      </c>
      <c r="Q93" s="380"/>
      <c r="R93" s="383">
        <v>0</v>
      </c>
      <c r="S93" s="384">
        <v>0</v>
      </c>
      <c r="T93" s="385">
        <v>0</v>
      </c>
      <c r="U93" s="120" t="str">
        <f t="shared" si="4"/>
        <v>Normal</v>
      </c>
      <c r="V93" s="120" t="str">
        <f t="shared" si="5"/>
        <v>Normal</v>
      </c>
      <c r="W93" s="81">
        <f t="shared" si="6"/>
        <v>0</v>
      </c>
      <c r="X93" s="81">
        <f t="shared" si="7"/>
        <v>0</v>
      </c>
    </row>
    <row r="94" spans="1:24" s="280" customFormat="1">
      <c r="A94" s="378">
        <v>45475</v>
      </c>
      <c r="B94" s="386">
        <f>IF(YEAR(Table7[[#This Row],[Date]]) = 2023, WEEKNUM(Table7[[#This Row],[Date]])-13, WEEKNUM(Table7[[#This Row],[Date]])+40)</f>
        <v>14</v>
      </c>
      <c r="C94" s="203" t="s">
        <v>48</v>
      </c>
      <c r="D94" s="203" t="s">
        <v>94</v>
      </c>
      <c r="E94" s="379">
        <v>0</v>
      </c>
      <c r="F94" s="379">
        <v>0</v>
      </c>
      <c r="G94" s="350">
        <v>0</v>
      </c>
      <c r="H94" s="350">
        <v>0</v>
      </c>
      <c r="I94" s="379">
        <v>0</v>
      </c>
      <c r="J94" s="379">
        <v>0</v>
      </c>
      <c r="K94" s="379">
        <v>0</v>
      </c>
      <c r="L94" s="379">
        <v>0</v>
      </c>
      <c r="M94" s="191">
        <v>0</v>
      </c>
      <c r="N94" s="191">
        <v>0</v>
      </c>
      <c r="O94" s="191">
        <v>0</v>
      </c>
      <c r="P94" s="191">
        <v>0</v>
      </c>
      <c r="Q94" s="380"/>
      <c r="R94" s="287">
        <v>0</v>
      </c>
      <c r="S94" s="176">
        <v>0</v>
      </c>
      <c r="T94" s="381">
        <v>0</v>
      </c>
      <c r="U94" s="120" t="str">
        <f t="shared" si="4"/>
        <v>Normal</v>
      </c>
      <c r="V94" s="120" t="str">
        <f t="shared" si="5"/>
        <v>Normal</v>
      </c>
      <c r="W94" s="81">
        <f t="shared" si="6"/>
        <v>0</v>
      </c>
      <c r="X94" s="81">
        <f t="shared" si="7"/>
        <v>0</v>
      </c>
    </row>
    <row r="95" spans="1:24" s="280" customFormat="1">
      <c r="A95" s="382">
        <v>45476</v>
      </c>
      <c r="B95" s="411">
        <f>IF(YEAR(Table7[[#This Row],[Date]]) = 2023, WEEKNUM(Table7[[#This Row],[Date]])-13, WEEKNUM(Table7[[#This Row],[Date]])+40)</f>
        <v>14</v>
      </c>
      <c r="C95" s="203" t="s">
        <v>49</v>
      </c>
      <c r="D95" s="203" t="s">
        <v>94</v>
      </c>
      <c r="E95" s="379">
        <v>0</v>
      </c>
      <c r="F95" s="379">
        <v>0</v>
      </c>
      <c r="G95" s="350">
        <v>0</v>
      </c>
      <c r="H95" s="350">
        <v>0</v>
      </c>
      <c r="I95" s="379">
        <v>0</v>
      </c>
      <c r="J95" s="379">
        <v>0</v>
      </c>
      <c r="K95" s="379">
        <v>0</v>
      </c>
      <c r="L95" s="379">
        <v>0</v>
      </c>
      <c r="M95" s="191">
        <v>0</v>
      </c>
      <c r="N95" s="191">
        <v>0</v>
      </c>
      <c r="O95" s="191">
        <v>0</v>
      </c>
      <c r="P95" s="191">
        <v>0</v>
      </c>
      <c r="Q95" s="380"/>
      <c r="R95" s="383">
        <v>0</v>
      </c>
      <c r="S95" s="384">
        <v>0</v>
      </c>
      <c r="T95" s="385">
        <v>0</v>
      </c>
      <c r="U95" s="120" t="str">
        <f t="shared" si="4"/>
        <v>Normal</v>
      </c>
      <c r="V95" s="120" t="str">
        <f t="shared" si="5"/>
        <v>Normal</v>
      </c>
      <c r="W95" s="81">
        <f t="shared" si="6"/>
        <v>0</v>
      </c>
      <c r="X95" s="81">
        <f t="shared" si="7"/>
        <v>0</v>
      </c>
    </row>
    <row r="96" spans="1:24" s="280" customFormat="1">
      <c r="A96" s="378">
        <v>45477</v>
      </c>
      <c r="B96" s="386">
        <f>IF(YEAR(Table7[[#This Row],[Date]]) = 2023, WEEKNUM(Table7[[#This Row],[Date]])-13, WEEKNUM(Table7[[#This Row],[Date]])+40)</f>
        <v>14</v>
      </c>
      <c r="C96" s="203" t="s">
        <v>50</v>
      </c>
      <c r="D96" s="203" t="s">
        <v>94</v>
      </c>
      <c r="E96" s="379">
        <v>0</v>
      </c>
      <c r="F96" s="379">
        <v>0</v>
      </c>
      <c r="G96" s="350">
        <v>0</v>
      </c>
      <c r="H96" s="350">
        <v>0</v>
      </c>
      <c r="I96" s="379">
        <v>0</v>
      </c>
      <c r="J96" s="379">
        <v>0</v>
      </c>
      <c r="K96" s="379">
        <v>0</v>
      </c>
      <c r="L96" s="379">
        <v>0</v>
      </c>
      <c r="M96" s="191">
        <v>0</v>
      </c>
      <c r="N96" s="191">
        <v>0</v>
      </c>
      <c r="O96" s="191">
        <v>0</v>
      </c>
      <c r="P96" s="191">
        <v>0</v>
      </c>
      <c r="Q96" s="380"/>
      <c r="R96" s="287">
        <v>0</v>
      </c>
      <c r="S96" s="176">
        <v>0</v>
      </c>
      <c r="T96" s="381">
        <v>0</v>
      </c>
      <c r="U96" s="120" t="str">
        <f t="shared" si="4"/>
        <v>Normal</v>
      </c>
      <c r="V96" s="120" t="str">
        <f t="shared" si="5"/>
        <v>Normal</v>
      </c>
      <c r="W96" s="81">
        <f t="shared" si="6"/>
        <v>0</v>
      </c>
      <c r="X96" s="81">
        <f t="shared" si="7"/>
        <v>0</v>
      </c>
    </row>
    <row r="97" spans="1:24" s="280" customFormat="1">
      <c r="A97" s="382">
        <v>45478</v>
      </c>
      <c r="B97" s="411">
        <f>IF(YEAR(Table7[[#This Row],[Date]]) = 2023, WEEKNUM(Table7[[#This Row],[Date]])-13, WEEKNUM(Table7[[#This Row],[Date]])+40)</f>
        <v>14</v>
      </c>
      <c r="C97" s="203" t="s">
        <v>51</v>
      </c>
      <c r="D97" s="203" t="s">
        <v>94</v>
      </c>
      <c r="E97" s="379">
        <v>0</v>
      </c>
      <c r="F97" s="379">
        <v>0</v>
      </c>
      <c r="G97" s="350">
        <v>0</v>
      </c>
      <c r="H97" s="350">
        <v>0</v>
      </c>
      <c r="I97" s="379">
        <v>0</v>
      </c>
      <c r="J97" s="379">
        <v>0</v>
      </c>
      <c r="K97" s="379">
        <v>0</v>
      </c>
      <c r="L97" s="379">
        <v>0</v>
      </c>
      <c r="M97" s="191">
        <v>0</v>
      </c>
      <c r="N97" s="191">
        <v>0</v>
      </c>
      <c r="O97" s="191">
        <v>0</v>
      </c>
      <c r="P97" s="191">
        <v>0</v>
      </c>
      <c r="Q97" s="380"/>
      <c r="R97" s="383">
        <v>0</v>
      </c>
      <c r="S97" s="384">
        <v>0</v>
      </c>
      <c r="T97" s="385">
        <v>0</v>
      </c>
      <c r="U97" s="120" t="str">
        <f t="shared" si="4"/>
        <v>Normal</v>
      </c>
      <c r="V97" s="120" t="str">
        <f t="shared" si="5"/>
        <v>Normal</v>
      </c>
      <c r="W97" s="81">
        <f t="shared" si="6"/>
        <v>0</v>
      </c>
      <c r="X97" s="81">
        <f t="shared" si="7"/>
        <v>0</v>
      </c>
    </row>
    <row r="98" spans="1:24" s="280" customFormat="1">
      <c r="A98" s="378">
        <v>45479</v>
      </c>
      <c r="B98" s="386">
        <f>IF(YEAR(Table7[[#This Row],[Date]]) = 2023, WEEKNUM(Table7[[#This Row],[Date]])-13, WEEKNUM(Table7[[#This Row],[Date]])+40)</f>
        <v>14</v>
      </c>
      <c r="C98" s="203" t="s">
        <v>52</v>
      </c>
      <c r="D98" s="203" t="s">
        <v>94</v>
      </c>
      <c r="E98" s="379">
        <v>0</v>
      </c>
      <c r="F98" s="379">
        <v>0</v>
      </c>
      <c r="G98" s="350">
        <v>0</v>
      </c>
      <c r="H98" s="350">
        <v>0</v>
      </c>
      <c r="I98" s="379">
        <v>0</v>
      </c>
      <c r="J98" s="379">
        <v>0</v>
      </c>
      <c r="K98" s="379">
        <v>0</v>
      </c>
      <c r="L98" s="379">
        <v>0</v>
      </c>
      <c r="M98" s="191">
        <v>0</v>
      </c>
      <c r="N98" s="191">
        <v>0</v>
      </c>
      <c r="O98" s="191">
        <v>0</v>
      </c>
      <c r="P98" s="191">
        <v>0</v>
      </c>
      <c r="Q98" s="380"/>
      <c r="R98" s="287">
        <v>0</v>
      </c>
      <c r="S98" s="176">
        <v>0</v>
      </c>
      <c r="T98" s="381">
        <v>0</v>
      </c>
      <c r="U98" s="120" t="str">
        <f t="shared" si="4"/>
        <v>Normal</v>
      </c>
      <c r="V98" s="120" t="str">
        <f t="shared" si="5"/>
        <v>Normal</v>
      </c>
      <c r="W98" s="81">
        <f t="shared" si="6"/>
        <v>0</v>
      </c>
      <c r="X98" s="81">
        <f t="shared" si="7"/>
        <v>0</v>
      </c>
    </row>
    <row r="99" spans="1:24" s="280" customFormat="1">
      <c r="A99" s="382">
        <v>45480</v>
      </c>
      <c r="B99" s="411">
        <f>IF(YEAR(Table7[[#This Row],[Date]]) = 2023, WEEKNUM(Table7[[#This Row],[Date]])-13, WEEKNUM(Table7[[#This Row],[Date]])+40)</f>
        <v>14</v>
      </c>
      <c r="C99" s="203" t="s">
        <v>53</v>
      </c>
      <c r="D99" s="203" t="s">
        <v>94</v>
      </c>
      <c r="E99" s="379">
        <v>0</v>
      </c>
      <c r="F99" s="379">
        <v>0</v>
      </c>
      <c r="G99" s="350">
        <v>0</v>
      </c>
      <c r="H99" s="350">
        <v>0</v>
      </c>
      <c r="I99" s="379">
        <v>0</v>
      </c>
      <c r="J99" s="379">
        <v>0</v>
      </c>
      <c r="K99" s="379">
        <v>0</v>
      </c>
      <c r="L99" s="379">
        <v>0</v>
      </c>
      <c r="M99" s="191">
        <v>0</v>
      </c>
      <c r="N99" s="191">
        <v>0</v>
      </c>
      <c r="O99" s="191">
        <v>0</v>
      </c>
      <c r="P99" s="191">
        <v>0</v>
      </c>
      <c r="Q99" s="380"/>
      <c r="R99" s="383">
        <v>0</v>
      </c>
      <c r="S99" s="384">
        <v>0</v>
      </c>
      <c r="T99" s="385">
        <v>0</v>
      </c>
      <c r="U99" s="120" t="str">
        <f t="shared" si="4"/>
        <v>Normal</v>
      </c>
      <c r="V99" s="120" t="str">
        <f t="shared" si="5"/>
        <v>Normal</v>
      </c>
      <c r="W99" s="81">
        <f t="shared" si="6"/>
        <v>0</v>
      </c>
      <c r="X99" s="81">
        <f t="shared" si="7"/>
        <v>0</v>
      </c>
    </row>
    <row r="100" spans="1:24" s="280" customFormat="1">
      <c r="A100" s="378">
        <v>45481</v>
      </c>
      <c r="B100" s="386">
        <f>IF(YEAR(Table7[[#This Row],[Date]]) = 2023, WEEKNUM(Table7[[#This Row],[Date]])-13, WEEKNUM(Table7[[#This Row],[Date]])+40)</f>
        <v>14</v>
      </c>
      <c r="C100" s="203" t="s">
        <v>54</v>
      </c>
      <c r="D100" s="203" t="s">
        <v>94</v>
      </c>
      <c r="E100" s="379">
        <v>0</v>
      </c>
      <c r="F100" s="379">
        <v>0</v>
      </c>
      <c r="G100" s="350">
        <v>0</v>
      </c>
      <c r="H100" s="350">
        <v>0</v>
      </c>
      <c r="I100" s="379">
        <v>0</v>
      </c>
      <c r="J100" s="379">
        <v>0</v>
      </c>
      <c r="K100" s="379">
        <v>0</v>
      </c>
      <c r="L100" s="379">
        <v>0</v>
      </c>
      <c r="M100" s="191">
        <v>0</v>
      </c>
      <c r="N100" s="191">
        <v>0</v>
      </c>
      <c r="O100" s="191">
        <v>0</v>
      </c>
      <c r="P100" s="191">
        <v>0</v>
      </c>
      <c r="Q100" s="380"/>
      <c r="R100" s="287">
        <v>0</v>
      </c>
      <c r="S100" s="176">
        <v>0</v>
      </c>
      <c r="T100" s="381">
        <v>0</v>
      </c>
      <c r="U100" s="120" t="str">
        <f t="shared" si="4"/>
        <v>Normal</v>
      </c>
      <c r="V100" s="120" t="str">
        <f t="shared" si="5"/>
        <v>Normal</v>
      </c>
      <c r="W100" s="81">
        <f t="shared" si="6"/>
        <v>0</v>
      </c>
      <c r="X100" s="81">
        <f t="shared" si="7"/>
        <v>0</v>
      </c>
    </row>
    <row r="101" spans="1:24" s="280" customFormat="1">
      <c r="A101" s="382">
        <v>45482</v>
      </c>
      <c r="B101" s="411">
        <f>IF(YEAR(Table7[[#This Row],[Date]]) = 2023, WEEKNUM(Table7[[#This Row],[Date]])-13, WEEKNUM(Table7[[#This Row],[Date]])+40)</f>
        <v>15</v>
      </c>
      <c r="C101" s="203" t="s">
        <v>48</v>
      </c>
      <c r="D101" s="203" t="s">
        <v>94</v>
      </c>
      <c r="E101" s="379">
        <v>0</v>
      </c>
      <c r="F101" s="379">
        <v>0</v>
      </c>
      <c r="G101" s="350">
        <v>0</v>
      </c>
      <c r="H101" s="350">
        <v>0</v>
      </c>
      <c r="I101" s="379">
        <v>0</v>
      </c>
      <c r="J101" s="379">
        <v>0</v>
      </c>
      <c r="K101" s="379">
        <v>0</v>
      </c>
      <c r="L101" s="379">
        <v>0</v>
      </c>
      <c r="M101" s="191">
        <v>0</v>
      </c>
      <c r="N101" s="191">
        <v>0</v>
      </c>
      <c r="O101" s="191">
        <v>0</v>
      </c>
      <c r="P101" s="191">
        <v>0</v>
      </c>
      <c r="Q101" s="380"/>
      <c r="R101" s="383">
        <v>0</v>
      </c>
      <c r="S101" s="384">
        <v>0</v>
      </c>
      <c r="T101" s="385">
        <v>0</v>
      </c>
      <c r="U101" s="120" t="str">
        <f t="shared" si="4"/>
        <v>Normal</v>
      </c>
      <c r="V101" s="120" t="str">
        <f t="shared" si="5"/>
        <v>Normal</v>
      </c>
      <c r="W101" s="81">
        <f t="shared" si="6"/>
        <v>0</v>
      </c>
      <c r="X101" s="81">
        <f t="shared" si="7"/>
        <v>0</v>
      </c>
    </row>
    <row r="102" spans="1:24" s="280" customFormat="1">
      <c r="A102" s="378">
        <v>45483</v>
      </c>
      <c r="B102" s="386">
        <f>IF(YEAR(Table7[[#This Row],[Date]]) = 2023, WEEKNUM(Table7[[#This Row],[Date]])-13, WEEKNUM(Table7[[#This Row],[Date]])+40)</f>
        <v>15</v>
      </c>
      <c r="C102" s="203" t="s">
        <v>49</v>
      </c>
      <c r="D102" s="203" t="s">
        <v>94</v>
      </c>
      <c r="E102" s="379">
        <v>0</v>
      </c>
      <c r="F102" s="379">
        <v>0</v>
      </c>
      <c r="G102" s="350">
        <v>0</v>
      </c>
      <c r="H102" s="350">
        <v>0</v>
      </c>
      <c r="I102" s="379">
        <v>0</v>
      </c>
      <c r="J102" s="379">
        <v>0</v>
      </c>
      <c r="K102" s="379">
        <v>0</v>
      </c>
      <c r="L102" s="379">
        <v>0</v>
      </c>
      <c r="M102" s="191">
        <v>0</v>
      </c>
      <c r="N102" s="191">
        <v>0</v>
      </c>
      <c r="O102" s="191">
        <v>0</v>
      </c>
      <c r="P102" s="191">
        <v>0</v>
      </c>
      <c r="Q102" s="380"/>
      <c r="R102" s="287">
        <v>0</v>
      </c>
      <c r="S102" s="176">
        <v>0</v>
      </c>
      <c r="T102" s="381">
        <v>0</v>
      </c>
      <c r="U102" s="120" t="str">
        <f t="shared" si="4"/>
        <v>Normal</v>
      </c>
      <c r="V102" s="120" t="str">
        <f t="shared" si="5"/>
        <v>Normal</v>
      </c>
      <c r="W102" s="81">
        <f t="shared" si="6"/>
        <v>0</v>
      </c>
      <c r="X102" s="81">
        <f t="shared" si="7"/>
        <v>0</v>
      </c>
    </row>
    <row r="103" spans="1:24" s="280" customFormat="1">
      <c r="A103" s="382">
        <v>45484</v>
      </c>
      <c r="B103" s="411">
        <f>IF(YEAR(Table7[[#This Row],[Date]]) = 2023, WEEKNUM(Table7[[#This Row],[Date]])-13, WEEKNUM(Table7[[#This Row],[Date]])+40)</f>
        <v>15</v>
      </c>
      <c r="C103" s="203" t="s">
        <v>50</v>
      </c>
      <c r="D103" s="203" t="s">
        <v>94</v>
      </c>
      <c r="E103" s="379">
        <v>0</v>
      </c>
      <c r="F103" s="379">
        <v>0</v>
      </c>
      <c r="G103" s="350">
        <v>0</v>
      </c>
      <c r="H103" s="350">
        <v>0</v>
      </c>
      <c r="I103" s="379">
        <v>0</v>
      </c>
      <c r="J103" s="379">
        <v>0</v>
      </c>
      <c r="K103" s="379">
        <v>0</v>
      </c>
      <c r="L103" s="379">
        <v>0</v>
      </c>
      <c r="M103" s="191">
        <v>0</v>
      </c>
      <c r="N103" s="191">
        <v>0</v>
      </c>
      <c r="O103" s="191">
        <v>0</v>
      </c>
      <c r="P103" s="191">
        <v>0</v>
      </c>
      <c r="Q103" s="380"/>
      <c r="R103" s="383">
        <v>0</v>
      </c>
      <c r="S103" s="384">
        <v>0</v>
      </c>
      <c r="T103" s="385">
        <v>0</v>
      </c>
      <c r="U103" s="120" t="str">
        <f t="shared" si="4"/>
        <v>Normal</v>
      </c>
      <c r="V103" s="120" t="str">
        <f t="shared" si="5"/>
        <v>Normal</v>
      </c>
      <c r="W103" s="81">
        <f t="shared" si="6"/>
        <v>0</v>
      </c>
      <c r="X103" s="81">
        <f t="shared" si="7"/>
        <v>0</v>
      </c>
    </row>
    <row r="104" spans="1:24" s="280" customFormat="1">
      <c r="A104" s="378">
        <v>45485</v>
      </c>
      <c r="B104" s="386">
        <f>IF(YEAR(Table7[[#This Row],[Date]]) = 2023, WEEKNUM(Table7[[#This Row],[Date]])-13, WEEKNUM(Table7[[#This Row],[Date]])+40)</f>
        <v>15</v>
      </c>
      <c r="C104" s="203" t="s">
        <v>51</v>
      </c>
      <c r="D104" s="203" t="s">
        <v>94</v>
      </c>
      <c r="E104" s="379">
        <v>0</v>
      </c>
      <c r="F104" s="379">
        <v>0</v>
      </c>
      <c r="G104" s="350">
        <v>0</v>
      </c>
      <c r="H104" s="350">
        <v>0</v>
      </c>
      <c r="I104" s="379">
        <v>0</v>
      </c>
      <c r="J104" s="379">
        <v>0</v>
      </c>
      <c r="K104" s="379">
        <v>0</v>
      </c>
      <c r="L104" s="379">
        <v>0</v>
      </c>
      <c r="M104" s="191">
        <v>0</v>
      </c>
      <c r="N104" s="191">
        <v>0</v>
      </c>
      <c r="O104" s="191">
        <v>0</v>
      </c>
      <c r="P104" s="191">
        <v>0</v>
      </c>
      <c r="Q104" s="380"/>
      <c r="R104" s="287">
        <v>0</v>
      </c>
      <c r="S104" s="176">
        <v>0</v>
      </c>
      <c r="T104" s="381">
        <v>0</v>
      </c>
      <c r="U104" s="120" t="str">
        <f t="shared" si="4"/>
        <v>Normal</v>
      </c>
      <c r="V104" s="120" t="str">
        <f t="shared" si="5"/>
        <v>Normal</v>
      </c>
      <c r="W104" s="81">
        <f t="shared" si="6"/>
        <v>0</v>
      </c>
      <c r="X104" s="81">
        <f t="shared" si="7"/>
        <v>0</v>
      </c>
    </row>
    <row r="105" spans="1:24" s="280" customFormat="1">
      <c r="A105" s="382">
        <v>45486</v>
      </c>
      <c r="B105" s="411">
        <f>IF(YEAR(Table7[[#This Row],[Date]]) = 2023, WEEKNUM(Table7[[#This Row],[Date]])-13, WEEKNUM(Table7[[#This Row],[Date]])+40)</f>
        <v>15</v>
      </c>
      <c r="C105" s="203" t="s">
        <v>52</v>
      </c>
      <c r="D105" s="203" t="s">
        <v>94</v>
      </c>
      <c r="E105" s="379">
        <v>0</v>
      </c>
      <c r="F105" s="379">
        <v>0</v>
      </c>
      <c r="G105" s="350">
        <v>0</v>
      </c>
      <c r="H105" s="350">
        <v>0</v>
      </c>
      <c r="I105" s="379">
        <v>0</v>
      </c>
      <c r="J105" s="379">
        <v>0</v>
      </c>
      <c r="K105" s="379">
        <v>0</v>
      </c>
      <c r="L105" s="379">
        <v>0</v>
      </c>
      <c r="M105" s="191">
        <v>0</v>
      </c>
      <c r="N105" s="191">
        <v>0</v>
      </c>
      <c r="O105" s="191">
        <v>0</v>
      </c>
      <c r="P105" s="191">
        <v>0</v>
      </c>
      <c r="Q105" s="380"/>
      <c r="R105" s="383">
        <v>0</v>
      </c>
      <c r="S105" s="384">
        <v>0</v>
      </c>
      <c r="T105" s="385">
        <v>0</v>
      </c>
      <c r="U105" s="120" t="str">
        <f t="shared" si="4"/>
        <v>Normal</v>
      </c>
      <c r="V105" s="120" t="str">
        <f t="shared" si="5"/>
        <v>Normal</v>
      </c>
      <c r="W105" s="81">
        <f t="shared" si="6"/>
        <v>0</v>
      </c>
      <c r="X105" s="81">
        <f t="shared" si="7"/>
        <v>0</v>
      </c>
    </row>
    <row r="106" spans="1:24" s="280" customFormat="1">
      <c r="A106" s="378">
        <v>45487</v>
      </c>
      <c r="B106" s="386">
        <f>IF(YEAR(Table7[[#This Row],[Date]]) = 2023, WEEKNUM(Table7[[#This Row],[Date]])-13, WEEKNUM(Table7[[#This Row],[Date]])+40)</f>
        <v>15</v>
      </c>
      <c r="C106" s="203" t="s">
        <v>53</v>
      </c>
      <c r="D106" s="203" t="s">
        <v>94</v>
      </c>
      <c r="E106" s="379">
        <v>0</v>
      </c>
      <c r="F106" s="379">
        <v>0</v>
      </c>
      <c r="G106" s="350">
        <v>0</v>
      </c>
      <c r="H106" s="350">
        <v>0</v>
      </c>
      <c r="I106" s="379">
        <v>0</v>
      </c>
      <c r="J106" s="379">
        <v>0</v>
      </c>
      <c r="K106" s="379">
        <v>0</v>
      </c>
      <c r="L106" s="379">
        <v>0</v>
      </c>
      <c r="M106" s="191">
        <v>0</v>
      </c>
      <c r="N106" s="191">
        <v>0</v>
      </c>
      <c r="O106" s="191">
        <v>0</v>
      </c>
      <c r="P106" s="191">
        <v>0</v>
      </c>
      <c r="Q106" s="380"/>
      <c r="R106" s="287">
        <v>0</v>
      </c>
      <c r="S106" s="176">
        <v>0</v>
      </c>
      <c r="T106" s="381">
        <v>0</v>
      </c>
      <c r="U106" s="120" t="str">
        <f t="shared" si="4"/>
        <v>Normal</v>
      </c>
      <c r="V106" s="120" t="str">
        <f t="shared" si="5"/>
        <v>Normal</v>
      </c>
      <c r="W106" s="81">
        <f t="shared" si="6"/>
        <v>0</v>
      </c>
      <c r="X106" s="81">
        <f t="shared" si="7"/>
        <v>0</v>
      </c>
    </row>
    <row r="107" spans="1:24" s="280" customFormat="1">
      <c r="A107" s="382">
        <v>45488</v>
      </c>
      <c r="B107" s="411">
        <f>IF(YEAR(Table7[[#This Row],[Date]]) = 2023, WEEKNUM(Table7[[#This Row],[Date]])-13, WEEKNUM(Table7[[#This Row],[Date]])+40)</f>
        <v>15</v>
      </c>
      <c r="C107" s="203" t="s">
        <v>54</v>
      </c>
      <c r="D107" s="203" t="s">
        <v>94</v>
      </c>
      <c r="E107" s="379">
        <v>0</v>
      </c>
      <c r="F107" s="379">
        <v>0</v>
      </c>
      <c r="G107" s="350">
        <v>0</v>
      </c>
      <c r="H107" s="350">
        <v>0</v>
      </c>
      <c r="I107" s="379">
        <v>0</v>
      </c>
      <c r="J107" s="379">
        <v>0</v>
      </c>
      <c r="K107" s="379">
        <v>0</v>
      </c>
      <c r="L107" s="379">
        <v>0</v>
      </c>
      <c r="M107" s="191">
        <v>0</v>
      </c>
      <c r="N107" s="191">
        <v>0</v>
      </c>
      <c r="O107" s="191">
        <v>0</v>
      </c>
      <c r="P107" s="191">
        <v>0</v>
      </c>
      <c r="Q107" s="380"/>
      <c r="R107" s="383">
        <v>0</v>
      </c>
      <c r="S107" s="384">
        <v>0</v>
      </c>
      <c r="T107" s="385">
        <v>0</v>
      </c>
      <c r="U107" s="120" t="str">
        <f t="shared" si="4"/>
        <v>Normal</v>
      </c>
      <c r="V107" s="120" t="str">
        <f t="shared" si="5"/>
        <v>Normal</v>
      </c>
      <c r="W107" s="81">
        <f t="shared" si="6"/>
        <v>0</v>
      </c>
      <c r="X107" s="81">
        <f t="shared" si="7"/>
        <v>0</v>
      </c>
    </row>
    <row r="108" spans="1:24" s="280" customFormat="1">
      <c r="A108" s="378">
        <v>45489</v>
      </c>
      <c r="B108" s="386">
        <f>IF(YEAR(Table7[[#This Row],[Date]]) = 2023, WEEKNUM(Table7[[#This Row],[Date]])-13, WEEKNUM(Table7[[#This Row],[Date]])+40)</f>
        <v>16</v>
      </c>
      <c r="C108" s="203" t="s">
        <v>48</v>
      </c>
      <c r="D108" s="203" t="s">
        <v>94</v>
      </c>
      <c r="E108" s="379">
        <v>0</v>
      </c>
      <c r="F108" s="379">
        <v>0</v>
      </c>
      <c r="G108" s="350">
        <v>0</v>
      </c>
      <c r="H108" s="350">
        <v>0</v>
      </c>
      <c r="I108" s="379">
        <v>0</v>
      </c>
      <c r="J108" s="379">
        <v>0</v>
      </c>
      <c r="K108" s="379">
        <v>0</v>
      </c>
      <c r="L108" s="379">
        <v>0</v>
      </c>
      <c r="M108" s="191">
        <v>0</v>
      </c>
      <c r="N108" s="191">
        <v>0</v>
      </c>
      <c r="O108" s="191">
        <v>0</v>
      </c>
      <c r="P108" s="191">
        <v>0</v>
      </c>
      <c r="Q108" s="380"/>
      <c r="R108" s="287">
        <v>0</v>
      </c>
      <c r="S108" s="176">
        <v>0</v>
      </c>
      <c r="T108" s="381">
        <v>0</v>
      </c>
      <c r="U108" s="120" t="str">
        <f t="shared" si="4"/>
        <v>Normal</v>
      </c>
      <c r="V108" s="120" t="str">
        <f t="shared" si="5"/>
        <v>Normal</v>
      </c>
      <c r="W108" s="81">
        <f t="shared" si="6"/>
        <v>0</v>
      </c>
      <c r="X108" s="81">
        <f t="shared" si="7"/>
        <v>0</v>
      </c>
    </row>
    <row r="109" spans="1:24" s="280" customFormat="1">
      <c r="A109" s="382">
        <v>45490</v>
      </c>
      <c r="B109" s="411">
        <f>IF(YEAR(Table7[[#This Row],[Date]]) = 2023, WEEKNUM(Table7[[#This Row],[Date]])-13, WEEKNUM(Table7[[#This Row],[Date]])+40)</f>
        <v>16</v>
      </c>
      <c r="C109" s="203" t="s">
        <v>49</v>
      </c>
      <c r="D109" s="203" t="s">
        <v>94</v>
      </c>
      <c r="E109" s="379">
        <v>0</v>
      </c>
      <c r="F109" s="379">
        <v>0</v>
      </c>
      <c r="G109" s="350">
        <v>0</v>
      </c>
      <c r="H109" s="350">
        <v>0</v>
      </c>
      <c r="I109" s="379">
        <v>0</v>
      </c>
      <c r="J109" s="379">
        <v>0</v>
      </c>
      <c r="K109" s="379">
        <v>0</v>
      </c>
      <c r="L109" s="379">
        <v>0</v>
      </c>
      <c r="M109" s="191">
        <v>0</v>
      </c>
      <c r="N109" s="191">
        <v>0</v>
      </c>
      <c r="O109" s="191">
        <v>0</v>
      </c>
      <c r="P109" s="191">
        <v>0</v>
      </c>
      <c r="Q109" s="380"/>
      <c r="R109" s="383">
        <v>0</v>
      </c>
      <c r="S109" s="384">
        <v>0</v>
      </c>
      <c r="T109" s="385">
        <v>0</v>
      </c>
      <c r="U109" s="120" t="str">
        <f t="shared" si="4"/>
        <v>Normal</v>
      </c>
      <c r="V109" s="120" t="str">
        <f t="shared" si="5"/>
        <v>Normal</v>
      </c>
      <c r="W109" s="81">
        <f t="shared" si="6"/>
        <v>0</v>
      </c>
      <c r="X109" s="81">
        <f t="shared" si="7"/>
        <v>0</v>
      </c>
    </row>
    <row r="110" spans="1:24" s="280" customFormat="1">
      <c r="A110" s="378">
        <v>45491</v>
      </c>
      <c r="B110" s="386">
        <f>IF(YEAR(Table7[[#This Row],[Date]]) = 2023, WEEKNUM(Table7[[#This Row],[Date]])-13, WEEKNUM(Table7[[#This Row],[Date]])+40)</f>
        <v>16</v>
      </c>
      <c r="C110" s="203" t="s">
        <v>50</v>
      </c>
      <c r="D110" s="203" t="s">
        <v>94</v>
      </c>
      <c r="E110" s="379">
        <v>0</v>
      </c>
      <c r="F110" s="379">
        <v>0</v>
      </c>
      <c r="G110" s="350">
        <v>0</v>
      </c>
      <c r="H110" s="350">
        <v>0</v>
      </c>
      <c r="I110" s="379">
        <v>0</v>
      </c>
      <c r="J110" s="379">
        <v>0</v>
      </c>
      <c r="K110" s="379">
        <v>0</v>
      </c>
      <c r="L110" s="379">
        <v>0</v>
      </c>
      <c r="M110" s="191">
        <v>0</v>
      </c>
      <c r="N110" s="191">
        <v>0</v>
      </c>
      <c r="O110" s="191">
        <v>0</v>
      </c>
      <c r="P110" s="191">
        <v>0</v>
      </c>
      <c r="Q110" s="380"/>
      <c r="R110" s="287">
        <v>0</v>
      </c>
      <c r="S110" s="176">
        <v>0</v>
      </c>
      <c r="T110" s="381">
        <v>0</v>
      </c>
      <c r="U110" s="120" t="str">
        <f t="shared" si="4"/>
        <v>Normal</v>
      </c>
      <c r="V110" s="120" t="str">
        <f t="shared" si="5"/>
        <v>Normal</v>
      </c>
      <c r="W110" s="81">
        <f t="shared" si="6"/>
        <v>0</v>
      </c>
      <c r="X110" s="81">
        <f t="shared" si="7"/>
        <v>0</v>
      </c>
    </row>
    <row r="111" spans="1:24" s="280" customFormat="1">
      <c r="A111" s="382">
        <v>45492</v>
      </c>
      <c r="B111" s="411">
        <f>IF(YEAR(Table7[[#This Row],[Date]]) = 2023, WEEKNUM(Table7[[#This Row],[Date]])-13, WEEKNUM(Table7[[#This Row],[Date]])+40)</f>
        <v>16</v>
      </c>
      <c r="C111" s="203" t="s">
        <v>51</v>
      </c>
      <c r="D111" s="203" t="s">
        <v>94</v>
      </c>
      <c r="E111" s="379">
        <v>0</v>
      </c>
      <c r="F111" s="379">
        <v>0</v>
      </c>
      <c r="G111" s="350">
        <v>0</v>
      </c>
      <c r="H111" s="350">
        <v>0</v>
      </c>
      <c r="I111" s="379">
        <v>0</v>
      </c>
      <c r="J111" s="379">
        <v>0</v>
      </c>
      <c r="K111" s="379">
        <v>0</v>
      </c>
      <c r="L111" s="379">
        <v>0</v>
      </c>
      <c r="M111" s="191">
        <v>0</v>
      </c>
      <c r="N111" s="191">
        <v>0</v>
      </c>
      <c r="O111" s="191">
        <v>0</v>
      </c>
      <c r="P111" s="191">
        <v>0</v>
      </c>
      <c r="Q111" s="380"/>
      <c r="R111" s="383">
        <v>0</v>
      </c>
      <c r="S111" s="384">
        <v>0</v>
      </c>
      <c r="T111" s="385">
        <v>0</v>
      </c>
      <c r="U111" s="120" t="str">
        <f t="shared" si="4"/>
        <v>Normal</v>
      </c>
      <c r="V111" s="120" t="str">
        <f t="shared" si="5"/>
        <v>Normal</v>
      </c>
      <c r="W111" s="81">
        <f t="shared" si="6"/>
        <v>0</v>
      </c>
      <c r="X111" s="81">
        <f t="shared" si="7"/>
        <v>0</v>
      </c>
    </row>
    <row r="112" spans="1:24" s="280" customFormat="1">
      <c r="A112" s="378">
        <v>45493</v>
      </c>
      <c r="B112" s="386">
        <f>IF(YEAR(Table7[[#This Row],[Date]]) = 2023, WEEKNUM(Table7[[#This Row],[Date]])-13, WEEKNUM(Table7[[#This Row],[Date]])+40)</f>
        <v>16</v>
      </c>
      <c r="C112" s="203" t="s">
        <v>52</v>
      </c>
      <c r="D112" s="203" t="s">
        <v>94</v>
      </c>
      <c r="E112" s="379">
        <v>0</v>
      </c>
      <c r="F112" s="379">
        <v>0</v>
      </c>
      <c r="G112" s="350">
        <v>0</v>
      </c>
      <c r="H112" s="350">
        <v>0</v>
      </c>
      <c r="I112" s="379">
        <v>0</v>
      </c>
      <c r="J112" s="379">
        <v>0</v>
      </c>
      <c r="K112" s="379">
        <v>0</v>
      </c>
      <c r="L112" s="379">
        <v>0</v>
      </c>
      <c r="M112" s="191">
        <v>0</v>
      </c>
      <c r="N112" s="191">
        <v>0</v>
      </c>
      <c r="O112" s="191">
        <v>0</v>
      </c>
      <c r="P112" s="191">
        <v>0</v>
      </c>
      <c r="Q112" s="380"/>
      <c r="R112" s="287">
        <v>0</v>
      </c>
      <c r="S112" s="176">
        <v>0</v>
      </c>
      <c r="T112" s="381">
        <v>0</v>
      </c>
      <c r="U112" s="120" t="str">
        <f t="shared" si="4"/>
        <v>Normal</v>
      </c>
      <c r="V112" s="120" t="str">
        <f t="shared" si="5"/>
        <v>Normal</v>
      </c>
      <c r="W112" s="81">
        <f t="shared" si="6"/>
        <v>0</v>
      </c>
      <c r="X112" s="81">
        <f t="shared" si="7"/>
        <v>0</v>
      </c>
    </row>
    <row r="113" spans="1:25" s="280" customFormat="1">
      <c r="A113" s="382">
        <v>45494</v>
      </c>
      <c r="B113" s="411">
        <f>IF(YEAR(Table7[[#This Row],[Date]]) = 2023, WEEKNUM(Table7[[#This Row],[Date]])-13, WEEKNUM(Table7[[#This Row],[Date]])+40)</f>
        <v>16</v>
      </c>
      <c r="C113" s="203" t="s">
        <v>53</v>
      </c>
      <c r="D113" s="203" t="s">
        <v>94</v>
      </c>
      <c r="E113" s="379">
        <v>0</v>
      </c>
      <c r="F113" s="379">
        <v>0</v>
      </c>
      <c r="G113" s="350">
        <v>0</v>
      </c>
      <c r="H113" s="350">
        <v>0</v>
      </c>
      <c r="I113" s="379">
        <v>0</v>
      </c>
      <c r="J113" s="379">
        <v>0</v>
      </c>
      <c r="K113" s="379">
        <v>0</v>
      </c>
      <c r="L113" s="379">
        <v>0</v>
      </c>
      <c r="M113" s="191">
        <v>0</v>
      </c>
      <c r="N113" s="191">
        <v>0</v>
      </c>
      <c r="O113" s="191">
        <v>0</v>
      </c>
      <c r="P113" s="191">
        <v>0</v>
      </c>
      <c r="Q113" s="380"/>
      <c r="R113" s="383">
        <v>0</v>
      </c>
      <c r="S113" s="384">
        <v>0</v>
      </c>
      <c r="T113" s="385">
        <v>0</v>
      </c>
      <c r="U113" s="120" t="str">
        <f t="shared" si="4"/>
        <v>Normal</v>
      </c>
      <c r="V113" s="120" t="str">
        <f t="shared" si="5"/>
        <v>Normal</v>
      </c>
      <c r="W113" s="81">
        <f t="shared" si="6"/>
        <v>0</v>
      </c>
      <c r="X113" s="81">
        <f t="shared" si="7"/>
        <v>0</v>
      </c>
    </row>
    <row r="114" spans="1:25" s="280" customFormat="1">
      <c r="A114" s="378">
        <v>45495</v>
      </c>
      <c r="B114" s="386">
        <f>IF(YEAR(Table7[[#This Row],[Date]]) = 2023, WEEKNUM(Table7[[#This Row],[Date]])-13, WEEKNUM(Table7[[#This Row],[Date]])+40)</f>
        <v>16</v>
      </c>
      <c r="C114" s="203" t="s">
        <v>54</v>
      </c>
      <c r="D114" s="203" t="s">
        <v>94</v>
      </c>
      <c r="E114" s="379">
        <v>0</v>
      </c>
      <c r="F114" s="379">
        <v>0</v>
      </c>
      <c r="G114" s="350">
        <v>0</v>
      </c>
      <c r="H114" s="350">
        <v>0</v>
      </c>
      <c r="I114" s="379">
        <v>0</v>
      </c>
      <c r="J114" s="379">
        <v>0</v>
      </c>
      <c r="K114" s="379">
        <v>0</v>
      </c>
      <c r="L114" s="379">
        <v>0</v>
      </c>
      <c r="M114" s="191">
        <v>0</v>
      </c>
      <c r="N114" s="191">
        <v>0</v>
      </c>
      <c r="O114" s="191">
        <v>0</v>
      </c>
      <c r="P114" s="191">
        <v>0</v>
      </c>
      <c r="Q114" s="380"/>
      <c r="R114" s="287">
        <v>0</v>
      </c>
      <c r="S114" s="176">
        <v>0</v>
      </c>
      <c r="T114" s="381">
        <v>0</v>
      </c>
      <c r="U114" s="120" t="str">
        <f t="shared" si="4"/>
        <v>Normal</v>
      </c>
      <c r="V114" s="120" t="str">
        <f t="shared" si="5"/>
        <v>Normal</v>
      </c>
      <c r="W114" s="81">
        <f t="shared" si="6"/>
        <v>0</v>
      </c>
      <c r="X114" s="81">
        <f t="shared" si="7"/>
        <v>0</v>
      </c>
    </row>
    <row r="115" spans="1:25" s="280" customFormat="1">
      <c r="A115" s="382">
        <v>45496</v>
      </c>
      <c r="B115" s="411">
        <f>IF(YEAR(Table7[[#This Row],[Date]]) = 2023, WEEKNUM(Table7[[#This Row],[Date]])-13, WEEKNUM(Table7[[#This Row],[Date]])+40)</f>
        <v>17</v>
      </c>
      <c r="C115" s="203" t="s">
        <v>48</v>
      </c>
      <c r="D115" s="203" t="s">
        <v>94</v>
      </c>
      <c r="E115" s="379">
        <v>0</v>
      </c>
      <c r="F115" s="379">
        <v>0</v>
      </c>
      <c r="G115" s="350">
        <v>0</v>
      </c>
      <c r="H115" s="350">
        <v>0</v>
      </c>
      <c r="I115" s="379">
        <v>0</v>
      </c>
      <c r="J115" s="379">
        <v>0</v>
      </c>
      <c r="K115" s="379">
        <v>0</v>
      </c>
      <c r="L115" s="379">
        <v>0</v>
      </c>
      <c r="M115" s="191">
        <v>0</v>
      </c>
      <c r="N115" s="191">
        <v>0</v>
      </c>
      <c r="O115" s="191">
        <v>0</v>
      </c>
      <c r="P115" s="191">
        <v>0</v>
      </c>
      <c r="Q115" s="380"/>
      <c r="R115" s="383">
        <v>0</v>
      </c>
      <c r="S115" s="384">
        <v>0</v>
      </c>
      <c r="T115" s="385">
        <v>0</v>
      </c>
      <c r="U115" s="120" t="str">
        <f t="shared" si="4"/>
        <v>Normal</v>
      </c>
      <c r="V115" s="120" t="str">
        <f t="shared" si="5"/>
        <v>Normal</v>
      </c>
      <c r="W115" s="81">
        <f t="shared" si="6"/>
        <v>0</v>
      </c>
      <c r="X115" s="81">
        <f t="shared" si="7"/>
        <v>0</v>
      </c>
    </row>
    <row r="116" spans="1:25" s="280" customFormat="1">
      <c r="A116" s="378">
        <v>45497</v>
      </c>
      <c r="B116" s="386">
        <f>IF(YEAR(Table7[[#This Row],[Date]]) = 2023, WEEKNUM(Table7[[#This Row],[Date]])-13, WEEKNUM(Table7[[#This Row],[Date]])+40)</f>
        <v>17</v>
      </c>
      <c r="C116" s="203" t="s">
        <v>49</v>
      </c>
      <c r="D116" s="203" t="s">
        <v>94</v>
      </c>
      <c r="E116" s="379">
        <v>0</v>
      </c>
      <c r="F116" s="379">
        <v>0</v>
      </c>
      <c r="G116" s="350">
        <v>0</v>
      </c>
      <c r="H116" s="350">
        <v>0</v>
      </c>
      <c r="I116" s="379">
        <v>0</v>
      </c>
      <c r="J116" s="379">
        <v>0</v>
      </c>
      <c r="K116" s="379">
        <v>0</v>
      </c>
      <c r="L116" s="379">
        <v>0</v>
      </c>
      <c r="M116" s="191">
        <v>0</v>
      </c>
      <c r="N116" s="191">
        <v>0</v>
      </c>
      <c r="O116" s="191">
        <v>0</v>
      </c>
      <c r="P116" s="191">
        <v>0</v>
      </c>
      <c r="Q116" s="380"/>
      <c r="R116" s="287">
        <v>0</v>
      </c>
      <c r="S116" s="176">
        <v>0</v>
      </c>
      <c r="T116" s="381">
        <v>0</v>
      </c>
      <c r="U116" s="120" t="str">
        <f t="shared" si="4"/>
        <v>Normal</v>
      </c>
      <c r="V116" s="120" t="str">
        <f t="shared" si="5"/>
        <v>Normal</v>
      </c>
      <c r="W116" s="81">
        <f t="shared" si="6"/>
        <v>0</v>
      </c>
      <c r="X116" s="81">
        <f t="shared" si="7"/>
        <v>0</v>
      </c>
    </row>
    <row r="117" spans="1:25" s="280" customFormat="1">
      <c r="A117" s="382">
        <v>45498</v>
      </c>
      <c r="B117" s="411">
        <f>IF(YEAR(Table7[[#This Row],[Date]]) = 2023, WEEKNUM(Table7[[#This Row],[Date]])-13, WEEKNUM(Table7[[#This Row],[Date]])+40)</f>
        <v>17</v>
      </c>
      <c r="C117" s="203" t="s">
        <v>50</v>
      </c>
      <c r="D117" s="203" t="s">
        <v>94</v>
      </c>
      <c r="E117" s="379">
        <v>0</v>
      </c>
      <c r="F117" s="379">
        <v>0</v>
      </c>
      <c r="G117" s="350">
        <v>0</v>
      </c>
      <c r="H117" s="350">
        <v>0</v>
      </c>
      <c r="I117" s="379">
        <v>0</v>
      </c>
      <c r="J117" s="379">
        <v>0</v>
      </c>
      <c r="K117" s="379">
        <v>0</v>
      </c>
      <c r="L117" s="379">
        <v>0</v>
      </c>
      <c r="M117" s="191">
        <v>0</v>
      </c>
      <c r="N117" s="191">
        <v>0</v>
      </c>
      <c r="O117" s="191">
        <v>0</v>
      </c>
      <c r="P117" s="191">
        <v>0</v>
      </c>
      <c r="Q117" s="380"/>
      <c r="R117" s="383">
        <v>0</v>
      </c>
      <c r="S117" s="384">
        <v>0</v>
      </c>
      <c r="T117" s="385">
        <v>0</v>
      </c>
      <c r="U117" s="120" t="str">
        <f t="shared" si="4"/>
        <v>Normal</v>
      </c>
      <c r="V117" s="120" t="str">
        <f t="shared" si="5"/>
        <v>Normal</v>
      </c>
      <c r="W117" s="81">
        <f t="shared" si="6"/>
        <v>0</v>
      </c>
      <c r="X117" s="81">
        <f t="shared" si="7"/>
        <v>0</v>
      </c>
    </row>
    <row r="118" spans="1:25" s="280" customFormat="1">
      <c r="A118" s="378">
        <v>45499</v>
      </c>
      <c r="B118" s="386">
        <f>IF(YEAR(Table7[[#This Row],[Date]]) = 2023, WEEKNUM(Table7[[#This Row],[Date]])-13, WEEKNUM(Table7[[#This Row],[Date]])+40)</f>
        <v>17</v>
      </c>
      <c r="C118" s="203" t="s">
        <v>51</v>
      </c>
      <c r="D118" s="203" t="s">
        <v>94</v>
      </c>
      <c r="E118" s="379">
        <v>0</v>
      </c>
      <c r="F118" s="379">
        <v>0</v>
      </c>
      <c r="G118" s="350">
        <v>0</v>
      </c>
      <c r="H118" s="350">
        <v>0</v>
      </c>
      <c r="I118" s="379">
        <v>0</v>
      </c>
      <c r="J118" s="379">
        <v>0</v>
      </c>
      <c r="K118" s="379">
        <v>0</v>
      </c>
      <c r="L118" s="379">
        <v>0</v>
      </c>
      <c r="M118" s="191">
        <v>0</v>
      </c>
      <c r="N118" s="191">
        <v>0</v>
      </c>
      <c r="O118" s="191">
        <v>0</v>
      </c>
      <c r="P118" s="191">
        <v>0</v>
      </c>
      <c r="Q118" s="380"/>
      <c r="R118" s="287">
        <v>0</v>
      </c>
      <c r="S118" s="176">
        <v>0</v>
      </c>
      <c r="T118" s="381">
        <v>0</v>
      </c>
      <c r="U118" s="120" t="str">
        <f t="shared" si="4"/>
        <v>Normal</v>
      </c>
      <c r="V118" s="120" t="str">
        <f t="shared" si="5"/>
        <v>Normal</v>
      </c>
      <c r="W118" s="81">
        <f t="shared" si="6"/>
        <v>0</v>
      </c>
      <c r="X118" s="81">
        <f t="shared" si="7"/>
        <v>0</v>
      </c>
    </row>
    <row r="119" spans="1:25" s="280" customFormat="1">
      <c r="A119" s="382">
        <v>45500</v>
      </c>
      <c r="B119" s="411">
        <f>IF(YEAR(Table7[[#This Row],[Date]]) = 2023, WEEKNUM(Table7[[#This Row],[Date]])-13, WEEKNUM(Table7[[#This Row],[Date]])+40)</f>
        <v>17</v>
      </c>
      <c r="C119" s="203" t="s">
        <v>52</v>
      </c>
      <c r="D119" s="203" t="s">
        <v>94</v>
      </c>
      <c r="E119" s="379">
        <v>0</v>
      </c>
      <c r="F119" s="379">
        <v>0</v>
      </c>
      <c r="G119" s="350">
        <v>0</v>
      </c>
      <c r="H119" s="350">
        <v>0</v>
      </c>
      <c r="I119" s="379">
        <v>0</v>
      </c>
      <c r="J119" s="379">
        <v>0</v>
      </c>
      <c r="K119" s="379">
        <v>0</v>
      </c>
      <c r="L119" s="379">
        <v>0</v>
      </c>
      <c r="M119" s="191">
        <v>0</v>
      </c>
      <c r="N119" s="191">
        <v>0</v>
      </c>
      <c r="O119" s="191">
        <v>0</v>
      </c>
      <c r="P119" s="191">
        <v>0</v>
      </c>
      <c r="Q119" s="380"/>
      <c r="R119" s="383">
        <v>0</v>
      </c>
      <c r="S119" s="384">
        <v>0</v>
      </c>
      <c r="T119" s="385">
        <v>0</v>
      </c>
      <c r="U119" s="120" t="str">
        <f t="shared" si="4"/>
        <v>Normal</v>
      </c>
      <c r="V119" s="120" t="str">
        <f t="shared" si="5"/>
        <v>Normal</v>
      </c>
      <c r="W119" s="81">
        <f t="shared" si="6"/>
        <v>0</v>
      </c>
      <c r="X119" s="81">
        <f t="shared" si="7"/>
        <v>0</v>
      </c>
    </row>
    <row r="120" spans="1:25" s="280" customFormat="1">
      <c r="A120" s="378">
        <v>45501</v>
      </c>
      <c r="B120" s="386">
        <f>IF(YEAR(Table7[[#This Row],[Date]]) = 2023, WEEKNUM(Table7[[#This Row],[Date]])-13, WEEKNUM(Table7[[#This Row],[Date]])+40)</f>
        <v>17</v>
      </c>
      <c r="C120" s="203" t="s">
        <v>53</v>
      </c>
      <c r="D120" s="203" t="s">
        <v>94</v>
      </c>
      <c r="E120" s="379">
        <v>0</v>
      </c>
      <c r="F120" s="379">
        <v>0</v>
      </c>
      <c r="G120" s="350">
        <v>0</v>
      </c>
      <c r="H120" s="350">
        <v>0</v>
      </c>
      <c r="I120" s="379">
        <v>0</v>
      </c>
      <c r="J120" s="379">
        <v>0</v>
      </c>
      <c r="K120" s="379">
        <v>0</v>
      </c>
      <c r="L120" s="379">
        <v>0</v>
      </c>
      <c r="M120" s="191">
        <v>0</v>
      </c>
      <c r="N120" s="191">
        <v>0</v>
      </c>
      <c r="O120" s="191">
        <v>0</v>
      </c>
      <c r="P120" s="191">
        <v>0</v>
      </c>
      <c r="Q120" s="380"/>
      <c r="R120" s="287">
        <v>0</v>
      </c>
      <c r="S120" s="176">
        <v>0</v>
      </c>
      <c r="T120" s="381">
        <v>0</v>
      </c>
      <c r="U120" s="120" t="str">
        <f t="shared" si="4"/>
        <v>Normal</v>
      </c>
      <c r="V120" s="120" t="str">
        <f t="shared" si="5"/>
        <v>Normal</v>
      </c>
      <c r="W120" s="81">
        <f t="shared" si="6"/>
        <v>0</v>
      </c>
      <c r="X120" s="81">
        <f t="shared" si="7"/>
        <v>0</v>
      </c>
    </row>
    <row r="121" spans="1:25" s="280" customFormat="1">
      <c r="A121" s="382">
        <v>45502</v>
      </c>
      <c r="B121" s="411">
        <f>IF(YEAR(Table7[[#This Row],[Date]]) = 2023, WEEKNUM(Table7[[#This Row],[Date]])-13, WEEKNUM(Table7[[#This Row],[Date]])+40)</f>
        <v>17</v>
      </c>
      <c r="C121" s="203" t="s">
        <v>54</v>
      </c>
      <c r="D121" s="203" t="s">
        <v>94</v>
      </c>
      <c r="E121" s="379">
        <v>0</v>
      </c>
      <c r="F121" s="379">
        <v>0</v>
      </c>
      <c r="G121" s="350">
        <v>0</v>
      </c>
      <c r="H121" s="350">
        <v>0</v>
      </c>
      <c r="I121" s="379">
        <v>0</v>
      </c>
      <c r="J121" s="379">
        <v>0</v>
      </c>
      <c r="K121" s="379">
        <v>0</v>
      </c>
      <c r="L121" s="379">
        <v>0</v>
      </c>
      <c r="M121" s="191">
        <v>0</v>
      </c>
      <c r="N121" s="191">
        <v>0</v>
      </c>
      <c r="O121" s="191">
        <v>0</v>
      </c>
      <c r="P121" s="191">
        <v>0</v>
      </c>
      <c r="Q121" s="380"/>
      <c r="R121" s="383">
        <v>0</v>
      </c>
      <c r="S121" s="384">
        <v>0</v>
      </c>
      <c r="T121" s="385">
        <v>0</v>
      </c>
      <c r="U121" s="120" t="str">
        <f t="shared" si="4"/>
        <v>Normal</v>
      </c>
      <c r="V121" s="120" t="str">
        <f t="shared" si="5"/>
        <v>Normal</v>
      </c>
      <c r="W121" s="81">
        <f t="shared" si="6"/>
        <v>0</v>
      </c>
      <c r="X121" s="81">
        <f t="shared" si="7"/>
        <v>0</v>
      </c>
    </row>
    <row r="122" spans="1:25" s="280" customFormat="1">
      <c r="A122" s="378">
        <v>45503</v>
      </c>
      <c r="B122" s="386">
        <f>IF(YEAR(Table7[[#This Row],[Date]]) = 2023, WEEKNUM(Table7[[#This Row],[Date]])-13, WEEKNUM(Table7[[#This Row],[Date]])+40)</f>
        <v>18</v>
      </c>
      <c r="C122" s="203" t="s">
        <v>48</v>
      </c>
      <c r="D122" s="203" t="s">
        <v>94</v>
      </c>
      <c r="E122" s="379">
        <v>0</v>
      </c>
      <c r="F122" s="379">
        <v>0</v>
      </c>
      <c r="G122" s="350">
        <v>0</v>
      </c>
      <c r="H122" s="350">
        <v>0</v>
      </c>
      <c r="I122" s="379">
        <v>0</v>
      </c>
      <c r="J122" s="379">
        <v>0</v>
      </c>
      <c r="K122" s="379">
        <v>0</v>
      </c>
      <c r="L122" s="379">
        <v>0</v>
      </c>
      <c r="M122" s="191">
        <v>0</v>
      </c>
      <c r="N122" s="191">
        <v>0</v>
      </c>
      <c r="O122" s="191">
        <v>0</v>
      </c>
      <c r="P122" s="191">
        <v>0</v>
      </c>
      <c r="Q122" s="380"/>
      <c r="R122" s="287">
        <v>0</v>
      </c>
      <c r="S122" s="176">
        <v>0</v>
      </c>
      <c r="T122" s="381">
        <v>0</v>
      </c>
      <c r="U122" s="120" t="str">
        <f t="shared" si="4"/>
        <v>Normal</v>
      </c>
      <c r="V122" s="120" t="str">
        <f t="shared" si="5"/>
        <v>Normal</v>
      </c>
      <c r="W122" s="81">
        <f t="shared" si="6"/>
        <v>0</v>
      </c>
      <c r="X122" s="81">
        <f t="shared" si="7"/>
        <v>0</v>
      </c>
    </row>
    <row r="123" spans="1:25" s="280" customFormat="1">
      <c r="A123" s="382">
        <v>45504</v>
      </c>
      <c r="B123" s="411">
        <f>IF(YEAR(Table7[[#This Row],[Date]]) = 2023, WEEKNUM(Table7[[#This Row],[Date]])-13, WEEKNUM(Table7[[#This Row],[Date]])+40)</f>
        <v>18</v>
      </c>
      <c r="C123" s="203" t="s">
        <v>49</v>
      </c>
      <c r="D123" s="203" t="s">
        <v>94</v>
      </c>
      <c r="E123" s="379">
        <v>0</v>
      </c>
      <c r="F123" s="379">
        <v>0</v>
      </c>
      <c r="G123" s="350">
        <v>0</v>
      </c>
      <c r="H123" s="350">
        <v>0</v>
      </c>
      <c r="I123" s="379">
        <v>0</v>
      </c>
      <c r="J123" s="379">
        <v>0</v>
      </c>
      <c r="K123" s="379">
        <v>0</v>
      </c>
      <c r="L123" s="379">
        <v>0</v>
      </c>
      <c r="M123" s="191">
        <v>0</v>
      </c>
      <c r="N123" s="191">
        <v>0</v>
      </c>
      <c r="O123" s="191">
        <v>0</v>
      </c>
      <c r="P123" s="191">
        <v>0</v>
      </c>
      <c r="Q123" s="380"/>
      <c r="R123" s="383">
        <v>0</v>
      </c>
      <c r="S123" s="384">
        <v>0</v>
      </c>
      <c r="T123" s="385">
        <v>0</v>
      </c>
      <c r="U123" s="120" t="str">
        <f t="shared" si="4"/>
        <v>Normal</v>
      </c>
      <c r="V123" s="120" t="str">
        <f t="shared" si="5"/>
        <v>Normal</v>
      </c>
      <c r="W123" s="81">
        <f t="shared" si="6"/>
        <v>0</v>
      </c>
      <c r="X123" s="81">
        <f t="shared" si="7"/>
        <v>0</v>
      </c>
    </row>
    <row r="124" spans="1:25">
      <c r="A124" s="378">
        <v>45505</v>
      </c>
      <c r="B124" s="386">
        <f>IF(YEAR(Table7[[#This Row],[Date]]) = 2023, WEEKNUM(Table7[[#This Row],[Date]])-13, WEEKNUM(Table7[[#This Row],[Date]])+40)</f>
        <v>18</v>
      </c>
      <c r="C124" s="203" t="s">
        <v>50</v>
      </c>
      <c r="D124" s="203" t="s">
        <v>94</v>
      </c>
      <c r="E124" s="379">
        <v>203</v>
      </c>
      <c r="F124" s="379">
        <v>88</v>
      </c>
      <c r="G124" s="350">
        <v>0</v>
      </c>
      <c r="H124" s="350">
        <v>0</v>
      </c>
      <c r="I124" s="379">
        <f>E124</f>
        <v>203</v>
      </c>
      <c r="J124" s="379">
        <f>F124</f>
        <v>88</v>
      </c>
      <c r="K124" s="379">
        <f>E124</f>
        <v>203</v>
      </c>
      <c r="L124" s="379">
        <f>F124</f>
        <v>88</v>
      </c>
      <c r="M124" s="191">
        <v>0.4335</v>
      </c>
      <c r="N124" s="191">
        <v>0.56650246305418717</v>
      </c>
      <c r="O124" s="191">
        <v>0.43</v>
      </c>
      <c r="P124" s="191">
        <v>0.27839506172839507</v>
      </c>
      <c r="Q124" s="380"/>
      <c r="R124" s="287">
        <v>82</v>
      </c>
      <c r="S124" s="176">
        <v>5.0694444444444452E-2</v>
      </c>
      <c r="T124" s="381">
        <v>1</v>
      </c>
      <c r="U124" s="120" t="str">
        <f t="shared" si="4"/>
        <v>Normal</v>
      </c>
      <c r="V124" s="120" t="str">
        <f t="shared" si="5"/>
        <v>Outlier</v>
      </c>
      <c r="W124" s="81">
        <f t="shared" si="6"/>
        <v>0</v>
      </c>
      <c r="X124" s="81">
        <f t="shared" si="7"/>
        <v>0</v>
      </c>
      <c r="Y124" s="280"/>
    </row>
    <row r="125" spans="1:25">
      <c r="A125" s="382">
        <v>45506</v>
      </c>
      <c r="B125" s="411">
        <f>IF(YEAR(Table7[[#This Row],[Date]]) = 2023, WEEKNUM(Table7[[#This Row],[Date]])-13, WEEKNUM(Table7[[#This Row],[Date]])+40)</f>
        <v>18</v>
      </c>
      <c r="C125" s="203" t="s">
        <v>51</v>
      </c>
      <c r="D125" s="203" t="s">
        <v>94</v>
      </c>
      <c r="E125" s="379">
        <v>242</v>
      </c>
      <c r="F125" s="379">
        <v>48</v>
      </c>
      <c r="G125" s="350">
        <v>0</v>
      </c>
      <c r="H125" s="350">
        <v>0</v>
      </c>
      <c r="I125" s="379">
        <f>I124+E125</f>
        <v>445</v>
      </c>
      <c r="J125" s="379">
        <f t="shared" ref="J125" si="8">J124+F125</f>
        <v>136</v>
      </c>
      <c r="K125" s="379">
        <f>K124+E125</f>
        <v>445</v>
      </c>
      <c r="L125" s="379">
        <f>L124+F125</f>
        <v>136</v>
      </c>
      <c r="M125" s="191">
        <v>0.36780000000000002</v>
      </c>
      <c r="N125" s="191">
        <v>0.80165289256198347</v>
      </c>
      <c r="O125" s="191">
        <v>0.2</v>
      </c>
      <c r="P125" s="191">
        <v>0.16296296296296298</v>
      </c>
      <c r="Q125" s="380"/>
      <c r="R125" s="383">
        <v>88</v>
      </c>
      <c r="S125" s="384">
        <v>0.13749999999999998</v>
      </c>
      <c r="T125" s="385">
        <v>1</v>
      </c>
      <c r="U125" s="120" t="str">
        <f t="shared" si="4"/>
        <v>Normal</v>
      </c>
      <c r="V125" s="120" t="str">
        <f t="shared" si="5"/>
        <v>Outlier</v>
      </c>
      <c r="W125" s="81">
        <f t="shared" si="6"/>
        <v>0</v>
      </c>
      <c r="X125" s="81">
        <f t="shared" si="7"/>
        <v>0</v>
      </c>
      <c r="Y125" s="280"/>
    </row>
    <row r="126" spans="1:25">
      <c r="A126" s="382">
        <v>45507</v>
      </c>
      <c r="B126" s="411">
        <f>IF(YEAR(Table7[[#This Row],[Date]]) = 2023, WEEKNUM(Table7[[#This Row],[Date]])-13, WEEKNUM(Table7[[#This Row],[Date]])+40)</f>
        <v>18</v>
      </c>
      <c r="C126" s="203" t="s">
        <v>52</v>
      </c>
      <c r="D126" s="203" t="s">
        <v>94</v>
      </c>
      <c r="E126" s="379">
        <v>154</v>
      </c>
      <c r="F126" s="379">
        <v>56</v>
      </c>
      <c r="G126" s="350">
        <v>0</v>
      </c>
      <c r="H126" s="350">
        <v>0</v>
      </c>
      <c r="I126" s="379">
        <f t="shared" ref="I126:I128" si="9">I125+E126</f>
        <v>599</v>
      </c>
      <c r="J126" s="379">
        <f t="shared" ref="J126:J128" si="10">J125+F126</f>
        <v>192</v>
      </c>
      <c r="K126" s="379">
        <f t="shared" ref="K126:K128" si="11">K125+E126</f>
        <v>599</v>
      </c>
      <c r="L126" s="379">
        <f t="shared" ref="L126:L128" si="12">L125+F126</f>
        <v>192</v>
      </c>
      <c r="M126" s="191">
        <v>0.36059999999999998</v>
      </c>
      <c r="N126" s="191">
        <v>0.63636363636363635</v>
      </c>
      <c r="O126" s="191">
        <v>0.36</v>
      </c>
      <c r="P126" s="191">
        <v>0.10370370370370371</v>
      </c>
      <c r="Q126" s="380"/>
      <c r="R126" s="287">
        <v>48</v>
      </c>
      <c r="S126" s="176">
        <v>1.7361111111111112E-2</v>
      </c>
      <c r="T126" s="381">
        <v>1</v>
      </c>
      <c r="U126" s="120" t="str">
        <f t="shared" si="4"/>
        <v>Normal</v>
      </c>
      <c r="V126" s="120" t="str">
        <f t="shared" si="5"/>
        <v>Outlier</v>
      </c>
      <c r="W126" s="81">
        <f t="shared" si="6"/>
        <v>0</v>
      </c>
      <c r="X126" s="81">
        <f t="shared" si="7"/>
        <v>0</v>
      </c>
      <c r="Y126" s="280"/>
    </row>
    <row r="127" spans="1:25">
      <c r="A127" s="382">
        <v>45508</v>
      </c>
      <c r="B127" s="411">
        <f>IF(YEAR(Table7[[#This Row],[Date]]) = 2023, WEEKNUM(Table7[[#This Row],[Date]])-13, WEEKNUM(Table7[[#This Row],[Date]])+40)</f>
        <v>18</v>
      </c>
      <c r="C127" s="203" t="s">
        <v>53</v>
      </c>
      <c r="D127" s="203" t="s">
        <v>94</v>
      </c>
      <c r="E127" s="379">
        <v>176</v>
      </c>
      <c r="F127" s="379">
        <v>89</v>
      </c>
      <c r="G127" s="350">
        <v>0</v>
      </c>
      <c r="H127" s="350">
        <v>0</v>
      </c>
      <c r="I127" s="379">
        <f t="shared" si="9"/>
        <v>775</v>
      </c>
      <c r="J127" s="379">
        <f t="shared" si="10"/>
        <v>281</v>
      </c>
      <c r="K127" s="379">
        <f t="shared" si="11"/>
        <v>775</v>
      </c>
      <c r="L127" s="379">
        <f t="shared" si="12"/>
        <v>281</v>
      </c>
      <c r="M127" s="191">
        <v>0.34289999999999998</v>
      </c>
      <c r="N127" s="191">
        <v>0.49431818181818182</v>
      </c>
      <c r="O127" s="191">
        <v>0.51</v>
      </c>
      <c r="P127" s="191">
        <v>0.18541666666666667</v>
      </c>
      <c r="Q127" s="380"/>
      <c r="R127" s="383">
        <v>54</v>
      </c>
      <c r="S127" s="384">
        <v>4.5833333333333337E-2</v>
      </c>
      <c r="T127" s="385">
        <v>1</v>
      </c>
      <c r="U127" s="120" t="str">
        <f t="shared" si="4"/>
        <v>Normal</v>
      </c>
      <c r="V127" s="120" t="str">
        <f t="shared" si="5"/>
        <v>Outlier</v>
      </c>
      <c r="W127" s="81">
        <f t="shared" si="6"/>
        <v>0</v>
      </c>
      <c r="X127" s="81">
        <f t="shared" si="7"/>
        <v>0</v>
      </c>
      <c r="Y127" s="280"/>
    </row>
    <row r="128" spans="1:25">
      <c r="A128" s="382">
        <v>45509</v>
      </c>
      <c r="B128" s="411">
        <f>IF(YEAR(Table7[[#This Row],[Date]]) = 2023, WEEKNUM(Table7[[#This Row],[Date]])-13, WEEKNUM(Table7[[#This Row],[Date]])+40)</f>
        <v>18</v>
      </c>
      <c r="C128" s="203" t="s">
        <v>54</v>
      </c>
      <c r="D128" s="203" t="s">
        <v>94</v>
      </c>
      <c r="E128" s="379">
        <v>83</v>
      </c>
      <c r="F128" s="379">
        <v>22</v>
      </c>
      <c r="G128" s="350">
        <v>0</v>
      </c>
      <c r="H128" s="350">
        <v>0</v>
      </c>
      <c r="I128" s="379">
        <f t="shared" si="9"/>
        <v>858</v>
      </c>
      <c r="J128" s="379">
        <f t="shared" si="10"/>
        <v>303</v>
      </c>
      <c r="K128" s="379">
        <f t="shared" si="11"/>
        <v>858</v>
      </c>
      <c r="L128" s="379">
        <f t="shared" si="12"/>
        <v>303</v>
      </c>
      <c r="M128" s="191">
        <v>0.4471</v>
      </c>
      <c r="N128" s="191">
        <v>0.73493975903614461</v>
      </c>
      <c r="O128" s="191">
        <v>0.37</v>
      </c>
      <c r="P128" s="191">
        <v>7.2145061728395063E-2</v>
      </c>
      <c r="Q128" s="380"/>
      <c r="R128" s="287">
        <v>85</v>
      </c>
      <c r="S128" s="176">
        <v>1.3194444444444444E-2</v>
      </c>
      <c r="T128" s="381">
        <v>1</v>
      </c>
      <c r="U128" s="120" t="str">
        <f t="shared" si="4"/>
        <v>Normal</v>
      </c>
      <c r="V128" s="120" t="str">
        <f t="shared" si="5"/>
        <v>Outlier</v>
      </c>
      <c r="W128" s="81">
        <f t="shared" si="6"/>
        <v>0</v>
      </c>
      <c r="X128" s="81">
        <f t="shared" si="7"/>
        <v>0</v>
      </c>
      <c r="Y128" s="280"/>
    </row>
    <row r="129" spans="1:25">
      <c r="A129" s="382">
        <v>45510</v>
      </c>
      <c r="B129" s="411">
        <f>IF(YEAR(Table7[[#This Row],[Date]]) = 2023, WEEKNUM(Table7[[#This Row],[Date]])-13, WEEKNUM(Table7[[#This Row],[Date]])+40)</f>
        <v>19</v>
      </c>
      <c r="C129" s="203" t="s">
        <v>48</v>
      </c>
      <c r="D129" s="203" t="s">
        <v>94</v>
      </c>
      <c r="E129" s="379">
        <v>0</v>
      </c>
      <c r="F129" s="379">
        <v>0</v>
      </c>
      <c r="G129" s="350">
        <v>0</v>
      </c>
      <c r="H129" s="350">
        <v>0</v>
      </c>
      <c r="I129" s="379">
        <v>0</v>
      </c>
      <c r="J129" s="379">
        <v>0</v>
      </c>
      <c r="K129" s="379">
        <v>0</v>
      </c>
      <c r="L129" s="379">
        <v>0</v>
      </c>
      <c r="M129" s="191">
        <v>0</v>
      </c>
      <c r="N129" s="191">
        <v>0</v>
      </c>
      <c r="O129" s="191">
        <v>0</v>
      </c>
      <c r="P129" s="191">
        <v>0</v>
      </c>
      <c r="Q129" s="380"/>
      <c r="R129" s="383">
        <v>0</v>
      </c>
      <c r="S129" s="384">
        <v>0</v>
      </c>
      <c r="T129" s="385">
        <v>0</v>
      </c>
      <c r="U129" s="120" t="str">
        <f t="shared" si="4"/>
        <v>Normal</v>
      </c>
      <c r="V129" s="120" t="str">
        <f t="shared" si="5"/>
        <v>Normal</v>
      </c>
      <c r="W129" s="81">
        <f t="shared" si="6"/>
        <v>0</v>
      </c>
      <c r="X129" s="81">
        <f t="shared" si="7"/>
        <v>0</v>
      </c>
      <c r="Y129" s="280"/>
    </row>
    <row r="130" spans="1:25">
      <c r="A130" s="382">
        <v>45511</v>
      </c>
      <c r="B130" s="411">
        <f>IF(YEAR(Table7[[#This Row],[Date]]) = 2023, WEEKNUM(Table7[[#This Row],[Date]])-13, WEEKNUM(Table7[[#This Row],[Date]])+40)</f>
        <v>19</v>
      </c>
      <c r="C130" s="203" t="s">
        <v>49</v>
      </c>
      <c r="D130" s="203" t="s">
        <v>94</v>
      </c>
      <c r="E130" s="379">
        <v>192</v>
      </c>
      <c r="F130" s="379">
        <v>117</v>
      </c>
      <c r="G130" s="350">
        <v>0</v>
      </c>
      <c r="H130" s="350">
        <v>0</v>
      </c>
      <c r="I130" s="379">
        <f>I128+E130</f>
        <v>1050</v>
      </c>
      <c r="J130" s="379">
        <f>J128+F130</f>
        <v>420</v>
      </c>
      <c r="K130" s="379">
        <f>K128+E130</f>
        <v>1050</v>
      </c>
      <c r="L130" s="379">
        <f>L128+F130</f>
        <v>420</v>
      </c>
      <c r="M130" s="191">
        <v>0.47770000000000001</v>
      </c>
      <c r="N130" s="191">
        <v>0.390625</v>
      </c>
      <c r="O130" s="191">
        <v>0.61</v>
      </c>
      <c r="P130" s="191">
        <v>0.37465277777777778</v>
      </c>
      <c r="Q130" s="380"/>
      <c r="R130" s="287">
        <v>83</v>
      </c>
      <c r="S130" s="176">
        <v>8.3333333333333332E-3</v>
      </c>
      <c r="T130" s="381">
        <v>1</v>
      </c>
      <c r="U130" s="120" t="str">
        <f t="shared" si="4"/>
        <v>Normal</v>
      </c>
      <c r="V130" s="120" t="str">
        <f t="shared" si="5"/>
        <v>Outlier</v>
      </c>
      <c r="W130" s="81">
        <f t="shared" si="6"/>
        <v>0</v>
      </c>
      <c r="X130" s="81">
        <f t="shared" si="7"/>
        <v>0</v>
      </c>
      <c r="Y130" s="280"/>
    </row>
    <row r="131" spans="1:25">
      <c r="A131" s="382">
        <v>45512</v>
      </c>
      <c r="B131" s="411">
        <f>IF(YEAR(Table7[[#This Row],[Date]]) = 2023, WEEKNUM(Table7[[#This Row],[Date]])-13, WEEKNUM(Table7[[#This Row],[Date]])+40)</f>
        <v>19</v>
      </c>
      <c r="C131" s="203" t="s">
        <v>50</v>
      </c>
      <c r="D131" s="203" t="s">
        <v>94</v>
      </c>
      <c r="E131" s="379">
        <v>212</v>
      </c>
      <c r="F131" s="379">
        <v>82</v>
      </c>
      <c r="G131" s="350">
        <f>IFERROR((E131-E124)/E124,0%)</f>
        <v>4.4334975369458129E-2</v>
      </c>
      <c r="H131" s="350">
        <f>IFERROR((F131-F124)/F124,0%)</f>
        <v>-6.8181818181818177E-2</v>
      </c>
      <c r="I131" s="379">
        <f>I130+E131</f>
        <v>1262</v>
      </c>
      <c r="J131" s="379">
        <f>J130+F131</f>
        <v>502</v>
      </c>
      <c r="K131" s="379">
        <f>K130+E131</f>
        <v>1262</v>
      </c>
      <c r="L131" s="379">
        <f>L130+F131</f>
        <v>502</v>
      </c>
      <c r="M131" s="191">
        <v>0.3488</v>
      </c>
      <c r="N131" s="191">
        <v>0.6132075471698113</v>
      </c>
      <c r="O131" s="191">
        <v>0.39</v>
      </c>
      <c r="P131" s="191">
        <v>0.35115740740740747</v>
      </c>
      <c r="Q131" s="380"/>
      <c r="R131" s="383">
        <v>111</v>
      </c>
      <c r="S131" s="384">
        <v>3.4722222222222224E-2</v>
      </c>
      <c r="T131" s="385">
        <v>1</v>
      </c>
      <c r="U131" s="120" t="str">
        <f t="shared" ref="U131:U194" si="13">IF(OR(H131&lt;$AJ$5,H131&gt;$AK$5), "Outlier", "Normal")</f>
        <v>Outlier</v>
      </c>
      <c r="V131" s="120" t="str">
        <f t="shared" ref="V131:V194" si="14">IF(OR(I131&lt;$AJ$6,I131&gt;$AK$6), "Outlier", "Normal")</f>
        <v>Outlier</v>
      </c>
      <c r="W131" s="81">
        <f t="shared" ref="W131:W194" si="15">IF(U131="Normal",$G131,IF($G131&lt;150%, $G131, $AA$9))</f>
        <v>4.4334975369458129E-2</v>
      </c>
      <c r="X131" s="81">
        <f t="shared" ref="X131:X194" si="16">IF(V131="Normal",$H131,IF($H131&lt;150%, $H131, $AE$9))</f>
        <v>-6.8181818181818177E-2</v>
      </c>
      <c r="Y131" s="280"/>
    </row>
    <row r="132" spans="1:25">
      <c r="A132" s="382">
        <v>45513</v>
      </c>
      <c r="B132" s="411">
        <f>IF(YEAR(Table7[[#This Row],[Date]]) = 2023, WEEKNUM(Table7[[#This Row],[Date]])-13, WEEKNUM(Table7[[#This Row],[Date]])+40)</f>
        <v>19</v>
      </c>
      <c r="C132" s="203" t="s">
        <v>51</v>
      </c>
      <c r="D132" s="203" t="s">
        <v>94</v>
      </c>
      <c r="E132" s="379">
        <v>149</v>
      </c>
      <c r="F132" s="379">
        <v>101</v>
      </c>
      <c r="G132" s="350">
        <f t="shared" ref="G132:H132" si="17">IFERROR((E132-E125)/E125,0%)</f>
        <v>-0.38429752066115702</v>
      </c>
      <c r="H132" s="350">
        <f t="shared" si="17"/>
        <v>1.1041666666666667</v>
      </c>
      <c r="I132" s="379">
        <f t="shared" ref="I132:I135" si="18">I131+E132</f>
        <v>1411</v>
      </c>
      <c r="J132" s="379">
        <f t="shared" ref="J132:J135" si="19">J131+F132</f>
        <v>603</v>
      </c>
      <c r="K132" s="379">
        <f t="shared" ref="K132:K135" si="20">K131+E132</f>
        <v>1411</v>
      </c>
      <c r="L132" s="379">
        <f t="shared" ref="L132:L135" si="21">L131+F132</f>
        <v>603</v>
      </c>
      <c r="M132" s="191">
        <v>0.55700000000000005</v>
      </c>
      <c r="N132" s="191">
        <v>0.32214765100671139</v>
      </c>
      <c r="O132" s="191">
        <v>0.68</v>
      </c>
      <c r="P132" s="191">
        <v>0.35459104938271607</v>
      </c>
      <c r="Q132" s="380"/>
      <c r="R132" s="287">
        <v>91</v>
      </c>
      <c r="S132" s="176">
        <v>1.5972222222222224E-2</v>
      </c>
      <c r="T132" s="381">
        <v>1</v>
      </c>
      <c r="U132" s="120" t="str">
        <f t="shared" si="13"/>
        <v>Outlier</v>
      </c>
      <c r="V132" s="120" t="str">
        <f t="shared" si="14"/>
        <v>Outlier</v>
      </c>
      <c r="W132" s="81">
        <f t="shared" si="15"/>
        <v>-0.38429752066115702</v>
      </c>
      <c r="X132" s="81">
        <f t="shared" si="16"/>
        <v>1.1041666666666667</v>
      </c>
      <c r="Y132" s="280"/>
    </row>
    <row r="133" spans="1:25">
      <c r="A133" s="382">
        <v>45514</v>
      </c>
      <c r="B133" s="411">
        <f>IF(YEAR(Table7[[#This Row],[Date]]) = 2023, WEEKNUM(Table7[[#This Row],[Date]])-13, WEEKNUM(Table7[[#This Row],[Date]])+40)</f>
        <v>19</v>
      </c>
      <c r="C133" s="203" t="s">
        <v>52</v>
      </c>
      <c r="D133" s="203" t="s">
        <v>94</v>
      </c>
      <c r="E133" s="379">
        <v>193</v>
      </c>
      <c r="F133" s="379">
        <v>101</v>
      </c>
      <c r="G133" s="350">
        <f t="shared" ref="G133:H133" si="22">IFERROR((E133-E126)/E126,0%)</f>
        <v>0.25324675324675322</v>
      </c>
      <c r="H133" s="350">
        <f t="shared" si="22"/>
        <v>0.8035714285714286</v>
      </c>
      <c r="I133" s="379">
        <f t="shared" si="18"/>
        <v>1604</v>
      </c>
      <c r="J133" s="379">
        <f t="shared" si="19"/>
        <v>704</v>
      </c>
      <c r="K133" s="379">
        <f t="shared" si="20"/>
        <v>1604</v>
      </c>
      <c r="L133" s="379">
        <f t="shared" si="21"/>
        <v>704</v>
      </c>
      <c r="M133" s="191">
        <v>0.43540000000000001</v>
      </c>
      <c r="N133" s="191">
        <v>0.47668393782383417</v>
      </c>
      <c r="O133" s="191">
        <v>0.52</v>
      </c>
      <c r="P133" s="191">
        <v>0.20652006172839507</v>
      </c>
      <c r="Q133" s="380"/>
      <c r="R133" s="383">
        <v>53</v>
      </c>
      <c r="S133" s="384">
        <v>2.7083333333333334E-2</v>
      </c>
      <c r="T133" s="385">
        <v>1</v>
      </c>
      <c r="U133" s="120" t="str">
        <f t="shared" si="13"/>
        <v>Outlier</v>
      </c>
      <c r="V133" s="120" t="str">
        <f t="shared" si="14"/>
        <v>Outlier</v>
      </c>
      <c r="W133" s="81">
        <f t="shared" si="15"/>
        <v>0.25324675324675322</v>
      </c>
      <c r="X133" s="81">
        <f t="shared" si="16"/>
        <v>0.8035714285714286</v>
      </c>
      <c r="Y133" s="280"/>
    </row>
    <row r="134" spans="1:25">
      <c r="A134" s="382">
        <v>45515</v>
      </c>
      <c r="B134" s="411">
        <f>IF(YEAR(Table7[[#This Row],[Date]]) = 2023, WEEKNUM(Table7[[#This Row],[Date]])-13, WEEKNUM(Table7[[#This Row],[Date]])+40)</f>
        <v>19</v>
      </c>
      <c r="C134" s="203" t="s">
        <v>53</v>
      </c>
      <c r="D134" s="203" t="s">
        <v>94</v>
      </c>
      <c r="E134" s="379">
        <v>242</v>
      </c>
      <c r="F134" s="379">
        <v>141</v>
      </c>
      <c r="G134" s="350">
        <f t="shared" ref="G134:H134" si="23">IFERROR((E134-E127)/E127,0%)</f>
        <v>0.375</v>
      </c>
      <c r="H134" s="350">
        <f t="shared" si="23"/>
        <v>0.5842696629213483</v>
      </c>
      <c r="I134" s="379">
        <f t="shared" si="18"/>
        <v>1846</v>
      </c>
      <c r="J134" s="379">
        <f t="shared" si="19"/>
        <v>845</v>
      </c>
      <c r="K134" s="379">
        <f t="shared" si="20"/>
        <v>1846</v>
      </c>
      <c r="L134" s="379">
        <f t="shared" si="21"/>
        <v>845</v>
      </c>
      <c r="M134" s="191">
        <v>0.43390000000000001</v>
      </c>
      <c r="N134" s="191">
        <v>0.41735537190082644</v>
      </c>
      <c r="O134" s="191">
        <v>0.57999999999999996</v>
      </c>
      <c r="P134" s="191">
        <v>0.3263888888888889</v>
      </c>
      <c r="Q134" s="380"/>
      <c r="R134" s="287">
        <v>60</v>
      </c>
      <c r="S134" s="176">
        <v>1.2499999999999999E-2</v>
      </c>
      <c r="T134" s="381">
        <v>1</v>
      </c>
      <c r="U134" s="120" t="str">
        <f t="shared" si="13"/>
        <v>Outlier</v>
      </c>
      <c r="V134" s="120" t="str">
        <f t="shared" si="14"/>
        <v>Outlier</v>
      </c>
      <c r="W134" s="81">
        <f t="shared" si="15"/>
        <v>0.375</v>
      </c>
      <c r="X134" s="81">
        <f t="shared" si="16"/>
        <v>0.5842696629213483</v>
      </c>
      <c r="Y134" s="280"/>
    </row>
    <row r="135" spans="1:25">
      <c r="A135" s="382">
        <v>45516</v>
      </c>
      <c r="B135" s="411">
        <f>IF(YEAR(Table7[[#This Row],[Date]]) = 2023, WEEKNUM(Table7[[#This Row],[Date]])-13, WEEKNUM(Table7[[#This Row],[Date]])+40)</f>
        <v>19</v>
      </c>
      <c r="C135" s="203" t="s">
        <v>54</v>
      </c>
      <c r="D135" s="203" t="s">
        <v>94</v>
      </c>
      <c r="E135" s="379">
        <v>120</v>
      </c>
      <c r="F135" s="379">
        <v>45</v>
      </c>
      <c r="G135" s="350">
        <f t="shared" ref="G135:H135" si="24">IFERROR((E135-E128)/E128,0%)</f>
        <v>0.44578313253012047</v>
      </c>
      <c r="H135" s="350">
        <f t="shared" si="24"/>
        <v>1.0454545454545454</v>
      </c>
      <c r="I135" s="379">
        <f t="shared" si="18"/>
        <v>1966</v>
      </c>
      <c r="J135" s="379">
        <f t="shared" si="19"/>
        <v>890</v>
      </c>
      <c r="K135" s="379">
        <f t="shared" si="20"/>
        <v>1966</v>
      </c>
      <c r="L135" s="379">
        <f t="shared" si="21"/>
        <v>890</v>
      </c>
      <c r="M135" s="191">
        <v>0.43</v>
      </c>
      <c r="N135" s="191">
        <v>0.625</v>
      </c>
      <c r="O135" s="191">
        <v>0.37</v>
      </c>
      <c r="P135" s="191">
        <v>6.25E-2</v>
      </c>
      <c r="Q135" s="380"/>
      <c r="R135" s="383">
        <v>36</v>
      </c>
      <c r="S135" s="384">
        <v>0.15416666666666667</v>
      </c>
      <c r="T135" s="385">
        <v>1</v>
      </c>
      <c r="U135" s="120" t="str">
        <f t="shared" si="13"/>
        <v>Outlier</v>
      </c>
      <c r="V135" s="120" t="str">
        <f t="shared" si="14"/>
        <v>Outlier</v>
      </c>
      <c r="W135" s="81">
        <f t="shared" si="15"/>
        <v>0.44578313253012047</v>
      </c>
      <c r="X135" s="81">
        <f t="shared" si="16"/>
        <v>1.0454545454545454</v>
      </c>
      <c r="Y135" s="280"/>
    </row>
    <row r="136" spans="1:25">
      <c r="A136" s="382">
        <v>45517</v>
      </c>
      <c r="B136" s="411">
        <f>IF(YEAR(Table7[[#This Row],[Date]]) = 2023, WEEKNUM(Table7[[#This Row],[Date]])-13, WEEKNUM(Table7[[#This Row],[Date]])+40)</f>
        <v>20</v>
      </c>
      <c r="C136" s="203" t="s">
        <v>48</v>
      </c>
      <c r="D136" s="203" t="s">
        <v>94</v>
      </c>
      <c r="E136" s="379">
        <v>0</v>
      </c>
      <c r="F136" s="379">
        <v>0</v>
      </c>
      <c r="G136" s="350">
        <v>0</v>
      </c>
      <c r="H136" s="350">
        <v>0</v>
      </c>
      <c r="I136" s="379">
        <v>0</v>
      </c>
      <c r="J136" s="379">
        <v>0</v>
      </c>
      <c r="K136" s="379">
        <v>0</v>
      </c>
      <c r="L136" s="379">
        <v>0</v>
      </c>
      <c r="M136" s="191">
        <v>0</v>
      </c>
      <c r="N136" s="191">
        <v>0</v>
      </c>
      <c r="O136" s="191">
        <v>0</v>
      </c>
      <c r="P136" s="191">
        <v>0</v>
      </c>
      <c r="Q136" s="380"/>
      <c r="R136" s="287">
        <v>0</v>
      </c>
      <c r="S136" s="176">
        <v>0</v>
      </c>
      <c r="T136" s="381">
        <v>0</v>
      </c>
      <c r="U136" s="120" t="str">
        <f t="shared" si="13"/>
        <v>Normal</v>
      </c>
      <c r="V136" s="120" t="str">
        <f t="shared" si="14"/>
        <v>Normal</v>
      </c>
      <c r="W136" s="81">
        <f t="shared" si="15"/>
        <v>0</v>
      </c>
      <c r="X136" s="81">
        <f t="shared" si="16"/>
        <v>0</v>
      </c>
      <c r="Y136" s="280"/>
    </row>
    <row r="137" spans="1:25">
      <c r="A137" s="382">
        <v>45518</v>
      </c>
      <c r="B137" s="411">
        <f>IF(YEAR(Table7[[#This Row],[Date]]) = 2023, WEEKNUM(Table7[[#This Row],[Date]])-13, WEEKNUM(Table7[[#This Row],[Date]])+40)</f>
        <v>20</v>
      </c>
      <c r="C137" s="203" t="s">
        <v>49</v>
      </c>
      <c r="D137" s="203" t="s">
        <v>94</v>
      </c>
      <c r="E137" s="379">
        <v>236</v>
      </c>
      <c r="F137" s="379">
        <v>109</v>
      </c>
      <c r="G137" s="350">
        <f t="shared" ref="G137:H137" si="25">IFERROR((E137-E130)/E130,0%)</f>
        <v>0.22916666666666666</v>
      </c>
      <c r="H137" s="350">
        <f t="shared" si="25"/>
        <v>-6.8376068376068383E-2</v>
      </c>
      <c r="I137" s="379">
        <f>I135+E137</f>
        <v>2202</v>
      </c>
      <c r="J137" s="379">
        <f>J135+F137</f>
        <v>999</v>
      </c>
      <c r="K137" s="379">
        <f>K135+E137</f>
        <v>2202</v>
      </c>
      <c r="L137" s="379">
        <f>L135+F137</f>
        <v>999</v>
      </c>
      <c r="M137" s="191">
        <v>0.39750000000000002</v>
      </c>
      <c r="N137" s="191">
        <v>0.53813559322033899</v>
      </c>
      <c r="O137" s="191">
        <v>0.46</v>
      </c>
      <c r="P137" s="191">
        <v>0.21867283950617283</v>
      </c>
      <c r="Q137" s="380"/>
      <c r="R137" s="383">
        <v>52</v>
      </c>
      <c r="S137" s="384">
        <v>1.8749999999999999E-2</v>
      </c>
      <c r="T137" s="385">
        <v>1</v>
      </c>
      <c r="U137" s="120" t="str">
        <f t="shared" si="13"/>
        <v>Outlier</v>
      </c>
      <c r="V137" s="120" t="str">
        <f t="shared" si="14"/>
        <v>Outlier</v>
      </c>
      <c r="W137" s="81">
        <f t="shared" si="15"/>
        <v>0.22916666666666666</v>
      </c>
      <c r="X137" s="81">
        <f t="shared" si="16"/>
        <v>-6.8376068376068383E-2</v>
      </c>
      <c r="Y137" s="280"/>
    </row>
    <row r="138" spans="1:25">
      <c r="A138" s="382">
        <v>45519</v>
      </c>
      <c r="B138" s="411">
        <f>IF(YEAR(Table7[[#This Row],[Date]]) = 2023, WEEKNUM(Table7[[#This Row],[Date]])-13, WEEKNUM(Table7[[#This Row],[Date]])+40)</f>
        <v>20</v>
      </c>
      <c r="C138" s="203" t="s">
        <v>50</v>
      </c>
      <c r="D138" s="203" t="s">
        <v>94</v>
      </c>
      <c r="E138" s="379">
        <v>242</v>
      </c>
      <c r="F138" s="379">
        <v>107</v>
      </c>
      <c r="G138" s="350">
        <f t="shared" ref="G138:H138" si="26">IFERROR((E138-E131)/E131,0%)</f>
        <v>0.14150943396226415</v>
      </c>
      <c r="H138" s="350">
        <f t="shared" si="26"/>
        <v>0.3048780487804878</v>
      </c>
      <c r="I138" s="379">
        <f>I137+E138</f>
        <v>2444</v>
      </c>
      <c r="J138" s="379">
        <f>J137+F138</f>
        <v>1106</v>
      </c>
      <c r="K138" s="379">
        <f>K137+E138</f>
        <v>2444</v>
      </c>
      <c r="L138" s="379">
        <f>L137+F138</f>
        <v>1106</v>
      </c>
      <c r="M138" s="191">
        <v>0.31819999999999998</v>
      </c>
      <c r="N138" s="191">
        <v>0.55785123966942152</v>
      </c>
      <c r="O138" s="191">
        <v>0.44</v>
      </c>
      <c r="P138" s="191">
        <v>0.18163580246913577</v>
      </c>
      <c r="Q138" s="380"/>
      <c r="R138" s="287">
        <v>44</v>
      </c>
      <c r="S138" s="176">
        <v>9.375E-2</v>
      </c>
      <c r="T138" s="381">
        <v>1</v>
      </c>
      <c r="U138" s="120" t="str">
        <f t="shared" si="13"/>
        <v>Outlier</v>
      </c>
      <c r="V138" s="120" t="str">
        <f t="shared" si="14"/>
        <v>Outlier</v>
      </c>
      <c r="W138" s="81">
        <f t="shared" si="15"/>
        <v>0.14150943396226415</v>
      </c>
      <c r="X138" s="81">
        <f t="shared" si="16"/>
        <v>0.3048780487804878</v>
      </c>
      <c r="Y138" s="280"/>
    </row>
    <row r="139" spans="1:25">
      <c r="A139" s="382">
        <v>45520</v>
      </c>
      <c r="B139" s="411">
        <f>IF(YEAR(Table7[[#This Row],[Date]]) = 2023, WEEKNUM(Table7[[#This Row],[Date]])-13, WEEKNUM(Table7[[#This Row],[Date]])+40)</f>
        <v>20</v>
      </c>
      <c r="C139" s="203" t="s">
        <v>51</v>
      </c>
      <c r="D139" s="203" t="s">
        <v>94</v>
      </c>
      <c r="E139" s="379">
        <v>276</v>
      </c>
      <c r="F139" s="379">
        <v>93</v>
      </c>
      <c r="G139" s="350">
        <f t="shared" ref="G139:H139" si="27">IFERROR((E139-E132)/E132,0%)</f>
        <v>0.8523489932885906</v>
      </c>
      <c r="H139" s="350">
        <f t="shared" si="27"/>
        <v>-7.9207920792079209E-2</v>
      </c>
      <c r="I139" s="379">
        <f t="shared" ref="I139:J139" si="28">I137+E139</f>
        <v>2478</v>
      </c>
      <c r="J139" s="379">
        <f t="shared" si="28"/>
        <v>1092</v>
      </c>
      <c r="K139" s="379">
        <f t="shared" ref="K139:L139" si="29">K137+E139</f>
        <v>2478</v>
      </c>
      <c r="L139" s="379">
        <f t="shared" si="29"/>
        <v>1092</v>
      </c>
      <c r="M139" s="191">
        <v>0.41670000000000001</v>
      </c>
      <c r="N139" s="191">
        <v>0.66304347826086951</v>
      </c>
      <c r="O139" s="191">
        <v>0.34</v>
      </c>
      <c r="P139" s="191">
        <v>0.68530092592592584</v>
      </c>
      <c r="Q139" s="380"/>
      <c r="R139" s="383">
        <v>191</v>
      </c>
      <c r="S139" s="384">
        <v>4.4444444444444446E-2</v>
      </c>
      <c r="T139" s="385">
        <v>1</v>
      </c>
      <c r="U139" s="120" t="str">
        <f t="shared" si="13"/>
        <v>Outlier</v>
      </c>
      <c r="V139" s="120" t="str">
        <f t="shared" si="14"/>
        <v>Outlier</v>
      </c>
      <c r="W139" s="81">
        <f t="shared" si="15"/>
        <v>0.8523489932885906</v>
      </c>
      <c r="X139" s="81">
        <f t="shared" si="16"/>
        <v>-7.9207920792079209E-2</v>
      </c>
      <c r="Y139" s="280"/>
    </row>
    <row r="140" spans="1:25">
      <c r="A140" s="382">
        <v>45521</v>
      </c>
      <c r="B140" s="411">
        <f>IF(YEAR(Table7[[#This Row],[Date]]) = 2023, WEEKNUM(Table7[[#This Row],[Date]])-13, WEEKNUM(Table7[[#This Row],[Date]])+40)</f>
        <v>20</v>
      </c>
      <c r="C140" s="203" t="s">
        <v>52</v>
      </c>
      <c r="D140" s="203" t="s">
        <v>94</v>
      </c>
      <c r="E140" s="379">
        <v>195</v>
      </c>
      <c r="F140" s="379">
        <v>82</v>
      </c>
      <c r="G140" s="350">
        <f t="shared" ref="G140:H140" si="30">IFERROR((E140-E133)/E133,0%)</f>
        <v>1.0362694300518135E-2</v>
      </c>
      <c r="H140" s="350">
        <f t="shared" si="30"/>
        <v>-0.18811881188118812</v>
      </c>
      <c r="I140" s="379">
        <f t="shared" ref="I140:J140" si="31">I138+E140</f>
        <v>2639</v>
      </c>
      <c r="J140" s="379">
        <f t="shared" si="31"/>
        <v>1188</v>
      </c>
      <c r="K140" s="379">
        <f t="shared" ref="K140:L140" si="32">K138+E140</f>
        <v>2639</v>
      </c>
      <c r="L140" s="379">
        <f t="shared" si="32"/>
        <v>1188</v>
      </c>
      <c r="M140" s="191">
        <v>0.441</v>
      </c>
      <c r="N140" s="191">
        <v>0.57948717948717954</v>
      </c>
      <c r="O140" s="191">
        <v>0.42</v>
      </c>
      <c r="P140" s="191">
        <v>0.6137345679012346</v>
      </c>
      <c r="Q140" s="380"/>
      <c r="R140" s="287">
        <v>194</v>
      </c>
      <c r="S140" s="176">
        <v>4.4444444444444446E-2</v>
      </c>
      <c r="T140" s="381">
        <v>1</v>
      </c>
      <c r="U140" s="120" t="str">
        <f t="shared" si="13"/>
        <v>Outlier</v>
      </c>
      <c r="V140" s="120" t="str">
        <f t="shared" si="14"/>
        <v>Outlier</v>
      </c>
      <c r="W140" s="81">
        <f t="shared" si="15"/>
        <v>1.0362694300518135E-2</v>
      </c>
      <c r="X140" s="81">
        <f t="shared" si="16"/>
        <v>-0.18811881188118812</v>
      </c>
      <c r="Y140" s="280"/>
    </row>
    <row r="141" spans="1:25">
      <c r="A141" s="382">
        <v>45522</v>
      </c>
      <c r="B141" s="411">
        <f>IF(YEAR(Table7[[#This Row],[Date]]) = 2023, WEEKNUM(Table7[[#This Row],[Date]])-13, WEEKNUM(Table7[[#This Row],[Date]])+40)</f>
        <v>20</v>
      </c>
      <c r="C141" s="203" t="s">
        <v>53</v>
      </c>
      <c r="D141" s="203" t="s">
        <v>94</v>
      </c>
      <c r="E141" s="379">
        <v>215</v>
      </c>
      <c r="F141" s="379">
        <v>47</v>
      </c>
      <c r="G141" s="350">
        <f t="shared" ref="G141:H141" si="33">IFERROR((E141-E134)/E134,0%)</f>
        <v>-0.1115702479338843</v>
      </c>
      <c r="H141" s="350">
        <f t="shared" si="33"/>
        <v>-0.66666666666666663</v>
      </c>
      <c r="I141" s="379">
        <f t="shared" ref="I141:J141" si="34">I139+E141</f>
        <v>2693</v>
      </c>
      <c r="J141" s="379">
        <f t="shared" si="34"/>
        <v>1139</v>
      </c>
      <c r="K141" s="379">
        <f t="shared" ref="K141:L141" si="35">K139+E141</f>
        <v>2693</v>
      </c>
      <c r="L141" s="379">
        <f t="shared" si="35"/>
        <v>1139</v>
      </c>
      <c r="M141" s="191">
        <v>0.34420000000000001</v>
      </c>
      <c r="N141" s="191">
        <v>0.78139534883720929</v>
      </c>
      <c r="O141" s="191">
        <v>0.22</v>
      </c>
      <c r="P141" s="191">
        <v>0.33545524691358031</v>
      </c>
      <c r="Q141" s="380"/>
      <c r="R141" s="383">
        <v>185</v>
      </c>
      <c r="S141" s="384">
        <v>6.3194444444444442E-2</v>
      </c>
      <c r="T141" s="385">
        <v>1</v>
      </c>
      <c r="U141" s="120" t="str">
        <f t="shared" si="13"/>
        <v>Outlier</v>
      </c>
      <c r="V141" s="120" t="str">
        <f t="shared" si="14"/>
        <v>Outlier</v>
      </c>
      <c r="W141" s="81">
        <f t="shared" si="15"/>
        <v>-0.1115702479338843</v>
      </c>
      <c r="X141" s="81">
        <f t="shared" si="16"/>
        <v>-0.66666666666666663</v>
      </c>
      <c r="Y141" s="280"/>
    </row>
    <row r="142" spans="1:25">
      <c r="A142" s="382">
        <v>45523</v>
      </c>
      <c r="B142" s="411">
        <f>IF(YEAR(Table7[[#This Row],[Date]]) = 2023, WEEKNUM(Table7[[#This Row],[Date]])-13, WEEKNUM(Table7[[#This Row],[Date]])+40)</f>
        <v>20</v>
      </c>
      <c r="C142" s="203" t="s">
        <v>54</v>
      </c>
      <c r="D142" s="203" t="s">
        <v>94</v>
      </c>
      <c r="E142" s="379">
        <v>132</v>
      </c>
      <c r="F142" s="379">
        <v>10</v>
      </c>
      <c r="G142" s="350">
        <f t="shared" ref="G142:H142" si="36">IFERROR((E142-E135)/E135,0%)</f>
        <v>0.1</v>
      </c>
      <c r="H142" s="350">
        <f t="shared" si="36"/>
        <v>-0.77777777777777779</v>
      </c>
      <c r="I142" s="379">
        <f t="shared" ref="I142:J142" si="37">I140+E142</f>
        <v>2771</v>
      </c>
      <c r="J142" s="379">
        <f t="shared" si="37"/>
        <v>1198</v>
      </c>
      <c r="K142" s="379">
        <f t="shared" ref="K142:L142" si="38">K140+E142</f>
        <v>2771</v>
      </c>
      <c r="L142" s="379">
        <f t="shared" si="38"/>
        <v>1198</v>
      </c>
      <c r="M142" s="191">
        <v>0.20449999999999999</v>
      </c>
      <c r="N142" s="191">
        <v>0.9242424242424242</v>
      </c>
      <c r="O142" s="191">
        <v>0.08</v>
      </c>
      <c r="P142" s="191">
        <v>4.0509259259259259E-2</v>
      </c>
      <c r="Q142" s="380"/>
      <c r="R142" s="287">
        <v>105</v>
      </c>
      <c r="S142" s="176">
        <v>0.67222222222222217</v>
      </c>
      <c r="T142" s="381">
        <v>1</v>
      </c>
      <c r="U142" s="120" t="str">
        <f t="shared" si="13"/>
        <v>Outlier</v>
      </c>
      <c r="V142" s="120" t="str">
        <f t="shared" si="14"/>
        <v>Outlier</v>
      </c>
      <c r="W142" s="81">
        <f t="shared" si="15"/>
        <v>0.1</v>
      </c>
      <c r="X142" s="81">
        <f t="shared" si="16"/>
        <v>-0.77777777777777779</v>
      </c>
      <c r="Y142" s="280"/>
    </row>
    <row r="143" spans="1:25">
      <c r="A143" s="382">
        <v>45524</v>
      </c>
      <c r="B143" s="411">
        <f>IF(YEAR(Table7[[#This Row],[Date]]) = 2023, WEEKNUM(Table7[[#This Row],[Date]])-13, WEEKNUM(Table7[[#This Row],[Date]])+40)</f>
        <v>21</v>
      </c>
      <c r="C143" s="203" t="s">
        <v>48</v>
      </c>
      <c r="D143" s="203" t="s">
        <v>94</v>
      </c>
      <c r="E143" s="379">
        <v>0</v>
      </c>
      <c r="F143" s="379">
        <v>0</v>
      </c>
      <c r="G143" s="350">
        <v>0</v>
      </c>
      <c r="H143" s="350">
        <v>0</v>
      </c>
      <c r="I143" s="379">
        <v>0</v>
      </c>
      <c r="J143" s="379">
        <v>0</v>
      </c>
      <c r="K143" s="379">
        <v>0</v>
      </c>
      <c r="L143" s="379">
        <v>0</v>
      </c>
      <c r="M143" s="191">
        <v>0</v>
      </c>
      <c r="N143" s="191">
        <v>0</v>
      </c>
      <c r="O143" s="191">
        <v>0</v>
      </c>
      <c r="P143" s="191">
        <v>0</v>
      </c>
      <c r="Q143" s="380"/>
      <c r="R143" s="383">
        <v>0</v>
      </c>
      <c r="S143" s="384">
        <v>0</v>
      </c>
      <c r="T143" s="385">
        <v>0</v>
      </c>
      <c r="U143" s="120" t="str">
        <f t="shared" si="13"/>
        <v>Normal</v>
      </c>
      <c r="V143" s="120" t="str">
        <f t="shared" si="14"/>
        <v>Normal</v>
      </c>
      <c r="W143" s="81">
        <f t="shared" si="15"/>
        <v>0</v>
      </c>
      <c r="X143" s="81">
        <f t="shared" si="16"/>
        <v>0</v>
      </c>
      <c r="Y143" s="280"/>
    </row>
    <row r="144" spans="1:25">
      <c r="A144" s="382">
        <v>45525</v>
      </c>
      <c r="B144" s="411">
        <f>IF(YEAR(Table7[[#This Row],[Date]]) = 2023, WEEKNUM(Table7[[#This Row],[Date]])-13, WEEKNUM(Table7[[#This Row],[Date]])+40)</f>
        <v>21</v>
      </c>
      <c r="C144" s="203" t="s">
        <v>49</v>
      </c>
      <c r="D144" s="203" t="s">
        <v>94</v>
      </c>
      <c r="E144" s="379">
        <v>253</v>
      </c>
      <c r="F144" s="379">
        <v>73</v>
      </c>
      <c r="G144" s="350">
        <f t="shared" ref="G144:H144" si="39">IFERROR((E144-E137)/E137,0%)</f>
        <v>7.2033898305084748E-2</v>
      </c>
      <c r="H144" s="350">
        <f t="shared" si="39"/>
        <v>-0.33027522935779818</v>
      </c>
      <c r="I144" s="379">
        <f>I142+E144</f>
        <v>3024</v>
      </c>
      <c r="J144" s="379">
        <f>J142+F144</f>
        <v>1271</v>
      </c>
      <c r="K144" s="379">
        <f>K142+E144</f>
        <v>3024</v>
      </c>
      <c r="L144" s="379">
        <f>L142+F144</f>
        <v>1271</v>
      </c>
      <c r="M144" s="191">
        <v>0.29780000000000001</v>
      </c>
      <c r="N144" s="191">
        <v>0.71146245059288538</v>
      </c>
      <c r="O144" s="191">
        <v>0.28999999999999998</v>
      </c>
      <c r="P144" s="191">
        <v>0.26</v>
      </c>
      <c r="Q144" s="380"/>
      <c r="R144" s="287">
        <v>92</v>
      </c>
      <c r="S144" s="176">
        <v>3.6805555555555557E-2</v>
      </c>
      <c r="T144" s="381">
        <v>1</v>
      </c>
      <c r="U144" s="120" t="str">
        <f t="shared" si="13"/>
        <v>Outlier</v>
      </c>
      <c r="V144" s="120" t="str">
        <f t="shared" si="14"/>
        <v>Outlier</v>
      </c>
      <c r="W144" s="81">
        <f t="shared" si="15"/>
        <v>7.2033898305084748E-2</v>
      </c>
      <c r="X144" s="81">
        <f t="shared" si="16"/>
        <v>-0.33027522935779818</v>
      </c>
      <c r="Y144" s="280"/>
    </row>
    <row r="145" spans="1:25">
      <c r="A145" s="382">
        <v>45526</v>
      </c>
      <c r="B145" s="411">
        <f>IF(YEAR(Table7[[#This Row],[Date]]) = 2023, WEEKNUM(Table7[[#This Row],[Date]])-13, WEEKNUM(Table7[[#This Row],[Date]])+40)</f>
        <v>21</v>
      </c>
      <c r="C145" s="203" t="s">
        <v>50</v>
      </c>
      <c r="D145" s="203" t="s">
        <v>94</v>
      </c>
      <c r="E145" s="379">
        <v>223</v>
      </c>
      <c r="F145" s="379">
        <v>75</v>
      </c>
      <c r="G145" s="350">
        <f t="shared" ref="G145:H145" si="40">IFERROR((E145-E138)/E138,0%)</f>
        <v>-7.8512396694214878E-2</v>
      </c>
      <c r="H145" s="350">
        <f t="shared" si="40"/>
        <v>-0.29906542056074764</v>
      </c>
      <c r="I145" s="379">
        <f>I144+E145</f>
        <v>3247</v>
      </c>
      <c r="J145" s="379">
        <f>J144+F145</f>
        <v>1346</v>
      </c>
      <c r="K145" s="379">
        <f>K144+E145</f>
        <v>3247</v>
      </c>
      <c r="L145" s="379">
        <f>L144+F145</f>
        <v>1346</v>
      </c>
      <c r="M145" s="191">
        <v>0.1754</v>
      </c>
      <c r="N145" s="191">
        <v>0.66367713004484308</v>
      </c>
      <c r="O145" s="191">
        <v>0.34</v>
      </c>
      <c r="P145" s="191">
        <v>0.31</v>
      </c>
      <c r="Q145" s="380"/>
      <c r="R145" s="383">
        <v>107</v>
      </c>
      <c r="S145" s="384">
        <v>2.4305555555555556E-2</v>
      </c>
      <c r="T145" s="385">
        <v>1</v>
      </c>
      <c r="U145" s="120" t="str">
        <f t="shared" si="13"/>
        <v>Outlier</v>
      </c>
      <c r="V145" s="120" t="str">
        <f t="shared" si="14"/>
        <v>Outlier</v>
      </c>
      <c r="W145" s="81">
        <f t="shared" si="15"/>
        <v>-7.8512396694214878E-2</v>
      </c>
      <c r="X145" s="81">
        <f t="shared" si="16"/>
        <v>-0.29906542056074764</v>
      </c>
      <c r="Y145" s="280"/>
    </row>
    <row r="146" spans="1:25">
      <c r="A146" s="382">
        <v>45527</v>
      </c>
      <c r="B146" s="411">
        <f>IF(YEAR(Table7[[#This Row],[Date]]) = 2023, WEEKNUM(Table7[[#This Row],[Date]])-13, WEEKNUM(Table7[[#This Row],[Date]])+40)</f>
        <v>21</v>
      </c>
      <c r="C146" s="203" t="s">
        <v>51</v>
      </c>
      <c r="D146" s="203" t="s">
        <v>94</v>
      </c>
      <c r="E146" s="379">
        <v>194</v>
      </c>
      <c r="F146" s="379">
        <v>58</v>
      </c>
      <c r="G146" s="350">
        <f t="shared" ref="G146:H146" si="41">IFERROR((E146-E139)/E139,0%)</f>
        <v>-0.29710144927536231</v>
      </c>
      <c r="H146" s="350">
        <f t="shared" si="41"/>
        <v>-0.37634408602150538</v>
      </c>
      <c r="I146" s="379">
        <f t="shared" ref="I146:I149" si="42">I144+E146</f>
        <v>3218</v>
      </c>
      <c r="J146" s="379">
        <f t="shared" ref="J146:J149" si="43">J144+F146</f>
        <v>1329</v>
      </c>
      <c r="K146" s="379">
        <f t="shared" ref="K146:K149" si="44">K144+E146</f>
        <v>3218</v>
      </c>
      <c r="L146" s="379">
        <f t="shared" ref="L146:L149" si="45">L144+F146</f>
        <v>1329</v>
      </c>
      <c r="M146" s="191">
        <v>0.215</v>
      </c>
      <c r="N146" s="191">
        <v>0.7010309278350515</v>
      </c>
      <c r="O146" s="191">
        <v>0.3</v>
      </c>
      <c r="P146" s="191">
        <v>0.21</v>
      </c>
      <c r="Q146" s="380"/>
      <c r="R146" s="287">
        <v>92</v>
      </c>
      <c r="S146" s="176">
        <v>6.8749999999999992E-2</v>
      </c>
      <c r="T146" s="381">
        <v>1</v>
      </c>
      <c r="U146" s="120" t="str">
        <f t="shared" si="13"/>
        <v>Outlier</v>
      </c>
      <c r="V146" s="120" t="str">
        <f t="shared" si="14"/>
        <v>Outlier</v>
      </c>
      <c r="W146" s="81">
        <f t="shared" si="15"/>
        <v>-0.29710144927536231</v>
      </c>
      <c r="X146" s="81">
        <f t="shared" si="16"/>
        <v>-0.37634408602150538</v>
      </c>
      <c r="Y146" s="280"/>
    </row>
    <row r="147" spans="1:25">
      <c r="A147" s="382">
        <v>45528</v>
      </c>
      <c r="B147" s="411">
        <f>IF(YEAR(Table7[[#This Row],[Date]]) = 2023, WEEKNUM(Table7[[#This Row],[Date]])-13, WEEKNUM(Table7[[#This Row],[Date]])+40)</f>
        <v>21</v>
      </c>
      <c r="C147" s="203" t="s">
        <v>52</v>
      </c>
      <c r="D147" s="203" t="s">
        <v>94</v>
      </c>
      <c r="E147" s="379">
        <v>226</v>
      </c>
      <c r="F147" s="379">
        <v>84</v>
      </c>
      <c r="G147" s="350">
        <f t="shared" ref="G147:H147" si="46">IFERROR((E147-E140)/E140,0%)</f>
        <v>0.15897435897435896</v>
      </c>
      <c r="H147" s="350">
        <f t="shared" si="46"/>
        <v>2.4390243902439025E-2</v>
      </c>
      <c r="I147" s="379">
        <f t="shared" si="42"/>
        <v>3473</v>
      </c>
      <c r="J147" s="379">
        <f t="shared" si="43"/>
        <v>1430</v>
      </c>
      <c r="K147" s="379">
        <f t="shared" si="44"/>
        <v>3473</v>
      </c>
      <c r="L147" s="379">
        <f t="shared" si="45"/>
        <v>1430</v>
      </c>
      <c r="M147" s="191">
        <v>0.1883</v>
      </c>
      <c r="N147" s="191">
        <v>0.62831858407079644</v>
      </c>
      <c r="O147" s="191">
        <v>0.37</v>
      </c>
      <c r="P147" s="191">
        <v>0.22</v>
      </c>
      <c r="Q147" s="380"/>
      <c r="R147" s="383">
        <v>82</v>
      </c>
      <c r="S147" s="384">
        <v>4.6527777777777779E-2</v>
      </c>
      <c r="T147" s="385">
        <v>1</v>
      </c>
      <c r="U147" s="120" t="str">
        <f t="shared" si="13"/>
        <v>Outlier</v>
      </c>
      <c r="V147" s="120" t="str">
        <f t="shared" si="14"/>
        <v>Outlier</v>
      </c>
      <c r="W147" s="81">
        <f t="shared" si="15"/>
        <v>0.15897435897435896</v>
      </c>
      <c r="X147" s="81">
        <f t="shared" si="16"/>
        <v>2.4390243902439025E-2</v>
      </c>
      <c r="Y147" s="280"/>
    </row>
    <row r="148" spans="1:25">
      <c r="A148" s="382">
        <v>45529</v>
      </c>
      <c r="B148" s="411">
        <f>IF(YEAR(Table7[[#This Row],[Date]]) = 2023, WEEKNUM(Table7[[#This Row],[Date]])-13, WEEKNUM(Table7[[#This Row],[Date]])+40)</f>
        <v>21</v>
      </c>
      <c r="C148" s="203" t="s">
        <v>53</v>
      </c>
      <c r="D148" s="203" t="s">
        <v>94</v>
      </c>
      <c r="E148" s="379">
        <v>175</v>
      </c>
      <c r="F148" s="379">
        <v>82</v>
      </c>
      <c r="G148" s="350">
        <f t="shared" ref="G148:H148" si="47">IFERROR((E148-E141)/E141,0%)</f>
        <v>-0.18604651162790697</v>
      </c>
      <c r="H148" s="350">
        <f t="shared" si="47"/>
        <v>0.74468085106382975</v>
      </c>
      <c r="I148" s="379">
        <f t="shared" si="42"/>
        <v>3393</v>
      </c>
      <c r="J148" s="379">
        <f t="shared" si="43"/>
        <v>1411</v>
      </c>
      <c r="K148" s="379">
        <f t="shared" si="44"/>
        <v>3393</v>
      </c>
      <c r="L148" s="379">
        <f t="shared" si="45"/>
        <v>1411</v>
      </c>
      <c r="M148" s="191">
        <v>0.23480000000000001</v>
      </c>
      <c r="N148" s="191">
        <v>0.53142857142857147</v>
      </c>
      <c r="O148" s="191">
        <v>0.47</v>
      </c>
      <c r="P148" s="191">
        <v>0.64</v>
      </c>
      <c r="Q148" s="380"/>
      <c r="R148" s="287">
        <v>109</v>
      </c>
      <c r="S148" s="176">
        <v>0.14027777777777778</v>
      </c>
      <c r="T148" s="381">
        <v>1</v>
      </c>
      <c r="U148" s="120" t="str">
        <f t="shared" si="13"/>
        <v>Outlier</v>
      </c>
      <c r="V148" s="120" t="str">
        <f t="shared" si="14"/>
        <v>Outlier</v>
      </c>
      <c r="W148" s="81">
        <f t="shared" si="15"/>
        <v>-0.18604651162790697</v>
      </c>
      <c r="X148" s="81">
        <f t="shared" si="16"/>
        <v>0.74468085106382975</v>
      </c>
      <c r="Y148" s="280"/>
    </row>
    <row r="149" spans="1:25">
      <c r="A149" s="382">
        <v>45530</v>
      </c>
      <c r="B149" s="411">
        <f>IF(YEAR(Table7[[#This Row],[Date]]) = 2023, WEEKNUM(Table7[[#This Row],[Date]])-13, WEEKNUM(Table7[[#This Row],[Date]])+40)</f>
        <v>21</v>
      </c>
      <c r="C149" s="203" t="s">
        <v>54</v>
      </c>
      <c r="D149" s="203" t="s">
        <v>94</v>
      </c>
      <c r="E149" s="379">
        <v>174</v>
      </c>
      <c r="F149" s="379">
        <v>99</v>
      </c>
      <c r="G149" s="350">
        <f t="shared" ref="G149:H149" si="48">IFERROR((E149-E142)/E142,0%)</f>
        <v>0.31818181818181818</v>
      </c>
      <c r="H149" s="350">
        <f t="shared" si="48"/>
        <v>8.9</v>
      </c>
      <c r="I149" s="379">
        <f t="shared" si="42"/>
        <v>3647</v>
      </c>
      <c r="J149" s="379">
        <f t="shared" si="43"/>
        <v>1529</v>
      </c>
      <c r="K149" s="379">
        <f t="shared" si="44"/>
        <v>3647</v>
      </c>
      <c r="L149" s="379">
        <f t="shared" si="45"/>
        <v>1529</v>
      </c>
      <c r="M149" s="191">
        <v>0.313</v>
      </c>
      <c r="N149" s="191">
        <v>0.43103448275862066</v>
      </c>
      <c r="O149" s="191">
        <v>0.56999999999999995</v>
      </c>
      <c r="P149" s="191">
        <v>0.81</v>
      </c>
      <c r="Q149" s="380"/>
      <c r="R149" s="383">
        <v>79</v>
      </c>
      <c r="S149" s="384">
        <v>0.14791666666666667</v>
      </c>
      <c r="T149" s="385">
        <v>1</v>
      </c>
      <c r="U149" s="120" t="str">
        <f t="shared" si="13"/>
        <v>Outlier</v>
      </c>
      <c r="V149" s="120" t="str">
        <f t="shared" si="14"/>
        <v>Outlier</v>
      </c>
      <c r="W149" s="81">
        <f t="shared" si="15"/>
        <v>0.31818181818181818</v>
      </c>
      <c r="X149" s="81">
        <f t="shared" si="16"/>
        <v>0.10164857890092378</v>
      </c>
      <c r="Y149" s="280"/>
    </row>
    <row r="150" spans="1:25">
      <c r="A150" s="382">
        <v>45531</v>
      </c>
      <c r="B150" s="411">
        <f>IF(YEAR(Table7[[#This Row],[Date]]) = 2023, WEEKNUM(Table7[[#This Row],[Date]])-13, WEEKNUM(Table7[[#This Row],[Date]])+40)</f>
        <v>22</v>
      </c>
      <c r="C150" s="203" t="s">
        <v>48</v>
      </c>
      <c r="D150" s="203" t="s">
        <v>94</v>
      </c>
      <c r="E150" s="379">
        <v>0</v>
      </c>
      <c r="F150" s="379">
        <v>0</v>
      </c>
      <c r="G150" s="350">
        <v>0</v>
      </c>
      <c r="H150" s="350">
        <v>0</v>
      </c>
      <c r="I150" s="379">
        <v>0</v>
      </c>
      <c r="J150" s="379">
        <v>0</v>
      </c>
      <c r="K150" s="379">
        <v>0</v>
      </c>
      <c r="L150" s="379">
        <v>0</v>
      </c>
      <c r="M150" s="191">
        <v>0</v>
      </c>
      <c r="N150" s="191">
        <v>0</v>
      </c>
      <c r="O150" s="191">
        <v>0</v>
      </c>
      <c r="P150" s="191">
        <v>0</v>
      </c>
      <c r="Q150" s="380"/>
      <c r="R150" s="287">
        <v>0</v>
      </c>
      <c r="S150" s="176">
        <v>0</v>
      </c>
      <c r="T150" s="381">
        <v>0</v>
      </c>
      <c r="U150" s="120" t="str">
        <f t="shared" si="13"/>
        <v>Normal</v>
      </c>
      <c r="V150" s="120" t="str">
        <f t="shared" si="14"/>
        <v>Normal</v>
      </c>
      <c r="W150" s="81">
        <f t="shared" si="15"/>
        <v>0</v>
      </c>
      <c r="X150" s="81">
        <f t="shared" si="16"/>
        <v>0</v>
      </c>
      <c r="Y150" s="280"/>
    </row>
    <row r="151" spans="1:25">
      <c r="A151" s="382">
        <v>45532</v>
      </c>
      <c r="B151" s="411">
        <f>IF(YEAR(Table7[[#This Row],[Date]]) = 2023, WEEKNUM(Table7[[#This Row],[Date]])-13, WEEKNUM(Table7[[#This Row],[Date]])+40)</f>
        <v>22</v>
      </c>
      <c r="C151" s="203" t="s">
        <v>49</v>
      </c>
      <c r="D151" s="203" t="s">
        <v>94</v>
      </c>
      <c r="E151" s="379">
        <v>232</v>
      </c>
      <c r="F151" s="379">
        <v>116</v>
      </c>
      <c r="G151" s="350">
        <f t="shared" ref="G151:H151" si="49">IFERROR((E151-E144)/E144,0%)</f>
        <v>-8.3003952569169967E-2</v>
      </c>
      <c r="H151" s="350">
        <f t="shared" si="49"/>
        <v>0.58904109589041098</v>
      </c>
      <c r="I151" s="379">
        <f>I149+E151</f>
        <v>3879</v>
      </c>
      <c r="J151" s="379">
        <f>J149+F151</f>
        <v>1645</v>
      </c>
      <c r="K151" s="379">
        <f>K149+E151</f>
        <v>3879</v>
      </c>
      <c r="L151" s="379">
        <f>L149+F151</f>
        <v>1645</v>
      </c>
      <c r="M151" s="191">
        <v>0.2712</v>
      </c>
      <c r="N151" s="191">
        <v>0.5</v>
      </c>
      <c r="O151" s="191">
        <v>0.5</v>
      </c>
      <c r="P151" s="191">
        <v>0.26</v>
      </c>
      <c r="Q151" s="380"/>
      <c r="R151" s="383">
        <v>64</v>
      </c>
      <c r="S151" s="384">
        <v>4.0972222222222222E-2</v>
      </c>
      <c r="T151" s="385">
        <v>1</v>
      </c>
      <c r="U151" s="120" t="str">
        <f t="shared" si="13"/>
        <v>Outlier</v>
      </c>
      <c r="V151" s="120" t="str">
        <f t="shared" si="14"/>
        <v>Outlier</v>
      </c>
      <c r="W151" s="81">
        <f t="shared" si="15"/>
        <v>-8.3003952569169967E-2</v>
      </c>
      <c r="X151" s="81">
        <f t="shared" si="16"/>
        <v>0.58904109589041098</v>
      </c>
      <c r="Y151" s="280"/>
    </row>
    <row r="152" spans="1:25">
      <c r="A152" s="382">
        <v>45533</v>
      </c>
      <c r="B152" s="411">
        <f>IF(YEAR(Table7[[#This Row],[Date]]) = 2023, WEEKNUM(Table7[[#This Row],[Date]])-13, WEEKNUM(Table7[[#This Row],[Date]])+40)</f>
        <v>22</v>
      </c>
      <c r="C152" s="203" t="s">
        <v>50</v>
      </c>
      <c r="D152" s="203" t="s">
        <v>94</v>
      </c>
      <c r="E152" s="379">
        <v>193</v>
      </c>
      <c r="F152" s="379">
        <v>101</v>
      </c>
      <c r="G152" s="350">
        <f t="shared" ref="G152:H152" si="50">IFERROR((E152-E145)/E145,0%)</f>
        <v>-0.13452914798206278</v>
      </c>
      <c r="H152" s="350">
        <f t="shared" si="50"/>
        <v>0.34666666666666668</v>
      </c>
      <c r="I152" s="379">
        <f>I151+E152</f>
        <v>4072</v>
      </c>
      <c r="J152" s="379">
        <f>J151+F152</f>
        <v>1746</v>
      </c>
      <c r="K152" s="379">
        <f>K151+E152</f>
        <v>4072</v>
      </c>
      <c r="L152" s="379">
        <f>L151+F152</f>
        <v>1746</v>
      </c>
      <c r="M152" s="191">
        <v>0.35899999999999999</v>
      </c>
      <c r="N152" s="191">
        <v>0.47668393782383417</v>
      </c>
      <c r="O152" s="191">
        <v>0.52</v>
      </c>
      <c r="P152" s="191">
        <v>0.19</v>
      </c>
      <c r="Q152" s="380"/>
      <c r="R152" s="287">
        <v>106</v>
      </c>
      <c r="S152" s="176">
        <v>3.4027777777777775E-2</v>
      </c>
      <c r="T152" s="381">
        <v>1</v>
      </c>
      <c r="U152" s="120" t="str">
        <f t="shared" si="13"/>
        <v>Outlier</v>
      </c>
      <c r="V152" s="120" t="str">
        <f t="shared" si="14"/>
        <v>Outlier</v>
      </c>
      <c r="W152" s="81">
        <f t="shared" si="15"/>
        <v>-0.13452914798206278</v>
      </c>
      <c r="X152" s="81">
        <f t="shared" si="16"/>
        <v>0.34666666666666668</v>
      </c>
      <c r="Y152" s="280"/>
    </row>
    <row r="153" spans="1:25">
      <c r="A153" s="382">
        <v>45534</v>
      </c>
      <c r="B153" s="411">
        <f>IF(YEAR(Table7[[#This Row],[Date]]) = 2023, WEEKNUM(Table7[[#This Row],[Date]])-13, WEEKNUM(Table7[[#This Row],[Date]])+40)</f>
        <v>22</v>
      </c>
      <c r="C153" s="203" t="s">
        <v>51</v>
      </c>
      <c r="D153" s="203" t="s">
        <v>94</v>
      </c>
      <c r="E153" s="379">
        <v>206</v>
      </c>
      <c r="F153" s="379">
        <v>98</v>
      </c>
      <c r="G153" s="350">
        <f t="shared" ref="G153:H153" si="51">IFERROR((E153-E146)/E146,0%)</f>
        <v>6.1855670103092786E-2</v>
      </c>
      <c r="H153" s="350">
        <f t="shared" si="51"/>
        <v>0.68965517241379315</v>
      </c>
      <c r="I153" s="379">
        <f t="shared" ref="I153:I154" si="52">I151+E153</f>
        <v>4085</v>
      </c>
      <c r="J153" s="379">
        <f t="shared" ref="J153:J154" si="53">J151+F153</f>
        <v>1743</v>
      </c>
      <c r="K153" s="379">
        <f t="shared" ref="K153:K156" si="54">K151+E153</f>
        <v>4085</v>
      </c>
      <c r="L153" s="379">
        <f t="shared" ref="L153:L156" si="55">L151+F153</f>
        <v>1743</v>
      </c>
      <c r="M153" s="191">
        <v>0.30480000000000002</v>
      </c>
      <c r="N153" s="191">
        <v>0.52427184466019416</v>
      </c>
      <c r="O153" s="191">
        <v>0.48</v>
      </c>
      <c r="P153" s="191">
        <v>0.17</v>
      </c>
      <c r="Q153" s="380"/>
      <c r="R153" s="383">
        <v>112</v>
      </c>
      <c r="S153" s="384">
        <v>3.1944444444444449E-2</v>
      </c>
      <c r="T153" s="385">
        <v>1</v>
      </c>
      <c r="U153" s="120" t="str">
        <f t="shared" si="13"/>
        <v>Outlier</v>
      </c>
      <c r="V153" s="120" t="str">
        <f t="shared" si="14"/>
        <v>Outlier</v>
      </c>
      <c r="W153" s="81">
        <f t="shared" si="15"/>
        <v>6.1855670103092786E-2</v>
      </c>
      <c r="X153" s="81">
        <f t="shared" si="16"/>
        <v>0.68965517241379315</v>
      </c>
      <c r="Y153" s="280"/>
    </row>
    <row r="154" spans="1:25">
      <c r="A154" s="382">
        <v>45535</v>
      </c>
      <c r="B154" s="411">
        <f>IF(YEAR(Table7[[#This Row],[Date]]) = 2023, WEEKNUM(Table7[[#This Row],[Date]])-13, WEEKNUM(Table7[[#This Row],[Date]])+40)</f>
        <v>22</v>
      </c>
      <c r="C154" s="203" t="s">
        <v>52</v>
      </c>
      <c r="D154" s="203" t="s">
        <v>94</v>
      </c>
      <c r="E154" s="379">
        <v>163</v>
      </c>
      <c r="F154" s="379">
        <v>88</v>
      </c>
      <c r="G154" s="350">
        <f t="shared" ref="G154:H154" si="56">IFERROR((E154-E147)/E147,0%)</f>
        <v>-0.27876106194690264</v>
      </c>
      <c r="H154" s="350">
        <f t="shared" si="56"/>
        <v>4.7619047619047616E-2</v>
      </c>
      <c r="I154" s="379">
        <f t="shared" si="52"/>
        <v>4235</v>
      </c>
      <c r="J154" s="379">
        <f t="shared" si="53"/>
        <v>1834</v>
      </c>
      <c r="K154" s="379">
        <f t="shared" si="54"/>
        <v>4235</v>
      </c>
      <c r="L154" s="379">
        <f t="shared" si="55"/>
        <v>1834</v>
      </c>
      <c r="M154" s="191">
        <v>0.33739999999999998</v>
      </c>
      <c r="N154" s="191">
        <v>0.46012269938650308</v>
      </c>
      <c r="O154" s="191">
        <v>0.54</v>
      </c>
      <c r="P154" s="191">
        <v>7.0000000000000007E-2</v>
      </c>
      <c r="Q154" s="380"/>
      <c r="R154" s="287">
        <v>105</v>
      </c>
      <c r="S154" s="176">
        <v>1.3888888888888888E-2</v>
      </c>
      <c r="T154" s="381">
        <v>1</v>
      </c>
      <c r="U154" s="120" t="str">
        <f t="shared" si="13"/>
        <v>Outlier</v>
      </c>
      <c r="V154" s="120" t="str">
        <f t="shared" si="14"/>
        <v>Outlier</v>
      </c>
      <c r="W154" s="81">
        <f t="shared" si="15"/>
        <v>-0.27876106194690264</v>
      </c>
      <c r="X154" s="81">
        <f t="shared" si="16"/>
        <v>4.7619047619047616E-2</v>
      </c>
      <c r="Y154" s="280"/>
    </row>
    <row r="155" spans="1:25" s="47" customFormat="1">
      <c r="A155" s="382">
        <v>45536</v>
      </c>
      <c r="B155" s="411">
        <f>IF(YEAR(Table7[[#This Row],[Date]]) = 2023, WEEKNUM(Table7[[#This Row],[Date]])-13, WEEKNUM(Table7[[#This Row],[Date]])+40)</f>
        <v>22</v>
      </c>
      <c r="C155" s="203" t="s">
        <v>53</v>
      </c>
      <c r="D155" s="203" t="s">
        <v>94</v>
      </c>
      <c r="E155" s="379">
        <v>232</v>
      </c>
      <c r="F155" s="379">
        <v>77</v>
      </c>
      <c r="G155" s="350">
        <f t="shared" ref="G155:H155" si="57">IFERROR((E155-E148)/E148,0%)</f>
        <v>0.32571428571428573</v>
      </c>
      <c r="H155" s="350">
        <f t="shared" si="57"/>
        <v>-6.097560975609756E-2</v>
      </c>
      <c r="I155" s="379">
        <f>E155</f>
        <v>232</v>
      </c>
      <c r="J155" s="379">
        <f>F155</f>
        <v>77</v>
      </c>
      <c r="K155" s="379">
        <f t="shared" si="54"/>
        <v>4317</v>
      </c>
      <c r="L155" s="379">
        <f t="shared" si="55"/>
        <v>1820</v>
      </c>
      <c r="M155" s="191">
        <v>0.18529999999999999</v>
      </c>
      <c r="N155" s="191">
        <v>0.67</v>
      </c>
      <c r="O155" s="191">
        <v>0.33</v>
      </c>
      <c r="P155" s="191">
        <v>0.56999999999999995</v>
      </c>
      <c r="Q155" s="380"/>
      <c r="R155" s="383">
        <v>192</v>
      </c>
      <c r="S155" s="384">
        <v>1.8749999999999999E-2</v>
      </c>
      <c r="T155" s="385">
        <v>1</v>
      </c>
      <c r="U155" s="120" t="str">
        <f t="shared" si="13"/>
        <v>Outlier</v>
      </c>
      <c r="V155" s="120" t="str">
        <f t="shared" si="14"/>
        <v>Outlier</v>
      </c>
      <c r="W155" s="81">
        <f t="shared" si="15"/>
        <v>0.32571428571428573</v>
      </c>
      <c r="X155" s="81">
        <f t="shared" si="16"/>
        <v>-6.097560975609756E-2</v>
      </c>
      <c r="Y155" s="280"/>
    </row>
    <row r="156" spans="1:25">
      <c r="A156" s="382">
        <v>45537</v>
      </c>
      <c r="B156" s="411">
        <f>IF(YEAR(Table7[[#This Row],[Date]]) = 2023, WEEKNUM(Table7[[#This Row],[Date]])-13, WEEKNUM(Table7[[#This Row],[Date]])+40)</f>
        <v>22</v>
      </c>
      <c r="C156" s="203" t="s">
        <v>54</v>
      </c>
      <c r="D156" s="203" t="s">
        <v>94</v>
      </c>
      <c r="E156" s="379">
        <v>139</v>
      </c>
      <c r="F156" s="379">
        <v>45</v>
      </c>
      <c r="G156" s="350">
        <f t="shared" ref="G156:H156" si="58">IFERROR((E156-E149)/E149,0%)</f>
        <v>-0.20114942528735633</v>
      </c>
      <c r="H156" s="350">
        <f t="shared" si="58"/>
        <v>-0.54545454545454541</v>
      </c>
      <c r="I156" s="379">
        <f>I155+E156</f>
        <v>371</v>
      </c>
      <c r="J156" s="379">
        <f>J155+F156</f>
        <v>122</v>
      </c>
      <c r="K156" s="379">
        <f t="shared" si="54"/>
        <v>4374</v>
      </c>
      <c r="L156" s="379">
        <f t="shared" si="55"/>
        <v>1879</v>
      </c>
      <c r="M156" s="191">
        <v>0.16</v>
      </c>
      <c r="N156" s="191">
        <v>0.68</v>
      </c>
      <c r="O156" s="191">
        <v>0.32</v>
      </c>
      <c r="P156" s="191">
        <v>0.16</v>
      </c>
      <c r="Q156" s="380"/>
      <c r="R156" s="287">
        <v>90</v>
      </c>
      <c r="S156" s="176">
        <v>8.2638888888888887E-2</v>
      </c>
      <c r="T156" s="381">
        <v>1</v>
      </c>
      <c r="U156" s="120" t="str">
        <f t="shared" si="13"/>
        <v>Outlier</v>
      </c>
      <c r="V156" s="120" t="str">
        <f t="shared" si="14"/>
        <v>Outlier</v>
      </c>
      <c r="W156" s="81">
        <f t="shared" si="15"/>
        <v>-0.20114942528735633</v>
      </c>
      <c r="X156" s="81">
        <f t="shared" si="16"/>
        <v>-0.54545454545454541</v>
      </c>
      <c r="Y156" s="280"/>
    </row>
    <row r="157" spans="1:25">
      <c r="A157" s="382">
        <v>45538</v>
      </c>
      <c r="B157" s="411">
        <f>IF(YEAR(Table7[[#This Row],[Date]]) = 2023, WEEKNUM(Table7[[#This Row],[Date]])-13, WEEKNUM(Table7[[#This Row],[Date]])+40)</f>
        <v>23</v>
      </c>
      <c r="C157" s="203" t="s">
        <v>48</v>
      </c>
      <c r="D157" s="203" t="s">
        <v>94</v>
      </c>
      <c r="E157" s="379">
        <v>120</v>
      </c>
      <c r="F157" s="379">
        <v>60</v>
      </c>
      <c r="G157" s="350">
        <f t="shared" ref="G157:H157" si="59">IFERROR((E157-E150)/E150,0%)</f>
        <v>0</v>
      </c>
      <c r="H157" s="350">
        <f t="shared" si="59"/>
        <v>0</v>
      </c>
      <c r="I157" s="379">
        <v>0</v>
      </c>
      <c r="J157" s="379">
        <v>0</v>
      </c>
      <c r="K157" s="379">
        <v>0</v>
      </c>
      <c r="L157" s="379">
        <v>0</v>
      </c>
      <c r="M157" s="191">
        <v>0.5</v>
      </c>
      <c r="N157" s="191">
        <v>0.59</v>
      </c>
      <c r="O157" s="191">
        <v>0.41</v>
      </c>
      <c r="P157" s="191">
        <v>0.11</v>
      </c>
      <c r="Q157" s="380"/>
      <c r="R157" s="383">
        <v>30</v>
      </c>
      <c r="S157" s="384">
        <v>0.1388888888888889</v>
      </c>
      <c r="T157" s="385">
        <v>1</v>
      </c>
      <c r="U157" s="120" t="str">
        <f t="shared" si="13"/>
        <v>Normal</v>
      </c>
      <c r="V157" s="120" t="str">
        <f t="shared" si="14"/>
        <v>Normal</v>
      </c>
      <c r="W157" s="81">
        <f t="shared" si="15"/>
        <v>0</v>
      </c>
      <c r="X157" s="81">
        <f t="shared" si="16"/>
        <v>0</v>
      </c>
      <c r="Y157" s="280"/>
    </row>
    <row r="158" spans="1:25">
      <c r="A158" s="382">
        <v>45539</v>
      </c>
      <c r="B158" s="411">
        <f>IF(YEAR(Table7[[#This Row],[Date]]) = 2023, WEEKNUM(Table7[[#This Row],[Date]])-13, WEEKNUM(Table7[[#This Row],[Date]])+40)</f>
        <v>23</v>
      </c>
      <c r="C158" s="203" t="s">
        <v>49</v>
      </c>
      <c r="D158" s="203" t="s">
        <v>94</v>
      </c>
      <c r="E158" s="379">
        <v>238</v>
      </c>
      <c r="F158" s="379">
        <v>98</v>
      </c>
      <c r="G158" s="350">
        <f t="shared" ref="G158:H158" si="60">IFERROR((E158-E151)/E151,0%)</f>
        <v>2.5862068965517241E-2</v>
      </c>
      <c r="H158" s="350">
        <f t="shared" si="60"/>
        <v>-0.15517241379310345</v>
      </c>
      <c r="I158" s="379">
        <f>I156+E158</f>
        <v>609</v>
      </c>
      <c r="J158" s="379">
        <f>J156+F158</f>
        <v>220</v>
      </c>
      <c r="K158" s="379">
        <f>K156+E158</f>
        <v>4612</v>
      </c>
      <c r="L158" s="379">
        <f>L156+F158</f>
        <v>1977</v>
      </c>
      <c r="M158" s="191">
        <v>0.2311</v>
      </c>
      <c r="N158" s="191">
        <v>0.6</v>
      </c>
      <c r="O158" s="191">
        <v>0.4</v>
      </c>
      <c r="P158" s="191">
        <v>0.2</v>
      </c>
      <c r="Q158" s="380"/>
      <c r="R158" s="287">
        <v>90</v>
      </c>
      <c r="S158" s="176">
        <v>3.5416666666666666E-2</v>
      </c>
      <c r="T158" s="381">
        <v>1</v>
      </c>
      <c r="U158" s="120" t="str">
        <f t="shared" si="13"/>
        <v>Outlier</v>
      </c>
      <c r="V158" s="120" t="str">
        <f t="shared" si="14"/>
        <v>Outlier</v>
      </c>
      <c r="W158" s="81">
        <f t="shared" si="15"/>
        <v>2.5862068965517241E-2</v>
      </c>
      <c r="X158" s="81">
        <f t="shared" si="16"/>
        <v>-0.15517241379310345</v>
      </c>
      <c r="Y158" s="280"/>
    </row>
    <row r="159" spans="1:25">
      <c r="A159" s="382">
        <v>45540</v>
      </c>
      <c r="B159" s="411">
        <f>IF(YEAR(Table7[[#This Row],[Date]]) = 2023, WEEKNUM(Table7[[#This Row],[Date]])-13, WEEKNUM(Table7[[#This Row],[Date]])+40)</f>
        <v>23</v>
      </c>
      <c r="C159" s="203" t="s">
        <v>50</v>
      </c>
      <c r="D159" s="203" t="s">
        <v>94</v>
      </c>
      <c r="E159" s="379">
        <v>209</v>
      </c>
      <c r="F159" s="379">
        <v>84</v>
      </c>
      <c r="G159" s="350">
        <f t="shared" ref="G159:H159" si="61">IFERROR((E159-E152)/E152,0%)</f>
        <v>8.2901554404145081E-2</v>
      </c>
      <c r="H159" s="350">
        <f t="shared" si="61"/>
        <v>-0.16831683168316833</v>
      </c>
      <c r="I159" s="379">
        <f>I158+E159</f>
        <v>818</v>
      </c>
      <c r="J159" s="379">
        <f>J158+F159</f>
        <v>304</v>
      </c>
      <c r="K159" s="379">
        <f>K158+E159</f>
        <v>4821</v>
      </c>
      <c r="L159" s="379">
        <f>L158+F159</f>
        <v>2061</v>
      </c>
      <c r="M159" s="191">
        <v>0.2019</v>
      </c>
      <c r="N159" s="191">
        <v>0.73</v>
      </c>
      <c r="O159" s="191">
        <v>0.27</v>
      </c>
      <c r="P159" s="191">
        <v>0.19</v>
      </c>
      <c r="Q159" s="380"/>
      <c r="R159" s="383">
        <v>65</v>
      </c>
      <c r="S159" s="384">
        <v>3.5416666666666666E-2</v>
      </c>
      <c r="T159" s="385">
        <v>1</v>
      </c>
      <c r="U159" s="120" t="str">
        <f t="shared" si="13"/>
        <v>Outlier</v>
      </c>
      <c r="V159" s="120" t="str">
        <f t="shared" si="14"/>
        <v>Outlier</v>
      </c>
      <c r="W159" s="81">
        <f t="shared" si="15"/>
        <v>8.2901554404145081E-2</v>
      </c>
      <c r="X159" s="81">
        <f t="shared" si="16"/>
        <v>-0.16831683168316833</v>
      </c>
      <c r="Y159" s="280"/>
    </row>
    <row r="160" spans="1:25">
      <c r="A160" s="382">
        <v>45541</v>
      </c>
      <c r="B160" s="411">
        <f>IF(YEAR(Table7[[#This Row],[Date]]) = 2023, WEEKNUM(Table7[[#This Row],[Date]])-13, WEEKNUM(Table7[[#This Row],[Date]])+40)</f>
        <v>23</v>
      </c>
      <c r="C160" s="203" t="s">
        <v>51</v>
      </c>
      <c r="D160" s="203" t="s">
        <v>94</v>
      </c>
      <c r="E160" s="379">
        <v>276</v>
      </c>
      <c r="F160" s="379">
        <v>75</v>
      </c>
      <c r="G160" s="350">
        <f t="shared" ref="G160:H160" si="62">IFERROR((E160-E153)/E153,0%)</f>
        <v>0.33980582524271846</v>
      </c>
      <c r="H160" s="350">
        <f t="shared" si="62"/>
        <v>-0.23469387755102042</v>
      </c>
      <c r="I160" s="379">
        <f t="shared" ref="I160:I161" si="63">I158+E160</f>
        <v>885</v>
      </c>
      <c r="J160" s="379">
        <f t="shared" ref="J160:J161" si="64">J158+F160</f>
        <v>295</v>
      </c>
      <c r="K160" s="379">
        <f t="shared" ref="K160:K163" si="65">K158+E160</f>
        <v>4888</v>
      </c>
      <c r="L160" s="379">
        <f t="shared" ref="L160:L163" si="66">L158+F160</f>
        <v>2052</v>
      </c>
      <c r="M160" s="191">
        <v>0.1386</v>
      </c>
      <c r="N160" s="191">
        <v>0.72</v>
      </c>
      <c r="O160" s="191">
        <v>0.23</v>
      </c>
      <c r="P160" s="191">
        <v>0.16</v>
      </c>
      <c r="Q160" s="380"/>
      <c r="R160" s="287">
        <v>62</v>
      </c>
      <c r="S160" s="176">
        <v>2.9861111111111113E-2</v>
      </c>
      <c r="T160" s="381">
        <v>1</v>
      </c>
      <c r="U160" s="120" t="str">
        <f t="shared" si="13"/>
        <v>Outlier</v>
      </c>
      <c r="V160" s="120" t="str">
        <f t="shared" si="14"/>
        <v>Outlier</v>
      </c>
      <c r="W160" s="81">
        <f t="shared" si="15"/>
        <v>0.33980582524271846</v>
      </c>
      <c r="X160" s="81">
        <f t="shared" si="16"/>
        <v>-0.23469387755102042</v>
      </c>
      <c r="Y160" s="280"/>
    </row>
    <row r="161" spans="1:25">
      <c r="A161" s="382">
        <v>45542</v>
      </c>
      <c r="B161" s="411">
        <f>IF(YEAR(Table7[[#This Row],[Date]]) = 2023, WEEKNUM(Table7[[#This Row],[Date]])-13, WEEKNUM(Table7[[#This Row],[Date]])+40)</f>
        <v>23</v>
      </c>
      <c r="C161" s="203" t="s">
        <v>52</v>
      </c>
      <c r="D161" s="203" t="s">
        <v>94</v>
      </c>
      <c r="E161" s="379">
        <v>237</v>
      </c>
      <c r="F161" s="379">
        <v>66</v>
      </c>
      <c r="G161" s="350">
        <f t="shared" ref="G161:H161" si="67">IFERROR((E161-E154)/E154,0%)</f>
        <v>0.45398773006134968</v>
      </c>
      <c r="H161" s="350">
        <f t="shared" si="67"/>
        <v>-0.25</v>
      </c>
      <c r="I161" s="379">
        <f t="shared" si="63"/>
        <v>1055</v>
      </c>
      <c r="J161" s="379">
        <f t="shared" si="64"/>
        <v>370</v>
      </c>
      <c r="K161" s="379">
        <f t="shared" si="65"/>
        <v>5058</v>
      </c>
      <c r="L161" s="379">
        <f t="shared" si="66"/>
        <v>2127</v>
      </c>
      <c r="M161" s="191">
        <v>0.12239999999999999</v>
      </c>
      <c r="N161" s="191">
        <v>0.72</v>
      </c>
      <c r="O161" s="191">
        <v>0.23</v>
      </c>
      <c r="P161" s="191">
        <v>0.09</v>
      </c>
      <c r="Q161" s="380"/>
      <c r="R161" s="383">
        <v>34</v>
      </c>
      <c r="S161" s="384">
        <v>3.2638888888888891E-2</v>
      </c>
      <c r="T161" s="385">
        <v>1</v>
      </c>
      <c r="U161" s="120" t="str">
        <f t="shared" si="13"/>
        <v>Outlier</v>
      </c>
      <c r="V161" s="120" t="str">
        <f t="shared" si="14"/>
        <v>Outlier</v>
      </c>
      <c r="W161" s="81">
        <f t="shared" si="15"/>
        <v>0.45398773006134968</v>
      </c>
      <c r="X161" s="81">
        <f t="shared" si="16"/>
        <v>-0.25</v>
      </c>
      <c r="Y161" s="280"/>
    </row>
    <row r="162" spans="1:25">
      <c r="A162" s="382">
        <v>45543</v>
      </c>
      <c r="B162" s="411">
        <f>IF(YEAR(Table7[[#This Row],[Date]]) = 2023, WEEKNUM(Table7[[#This Row],[Date]])-13, WEEKNUM(Table7[[#This Row],[Date]])+40)</f>
        <v>23</v>
      </c>
      <c r="C162" s="203" t="s">
        <v>53</v>
      </c>
      <c r="D162" s="203" t="s">
        <v>94</v>
      </c>
      <c r="E162" s="379">
        <v>202</v>
      </c>
      <c r="F162" s="379">
        <v>119</v>
      </c>
      <c r="G162" s="350">
        <f t="shared" ref="G162:H162" si="68">IFERROR((E162-E155)/E155,0%)</f>
        <v>-0.12931034482758622</v>
      </c>
      <c r="H162" s="350">
        <f t="shared" si="68"/>
        <v>0.54545454545454541</v>
      </c>
      <c r="I162" s="379">
        <f>E162</f>
        <v>202</v>
      </c>
      <c r="J162" s="379">
        <f>F162</f>
        <v>119</v>
      </c>
      <c r="K162" s="379">
        <f t="shared" si="65"/>
        <v>5090</v>
      </c>
      <c r="L162" s="379">
        <f t="shared" si="66"/>
        <v>2171</v>
      </c>
      <c r="M162" s="191">
        <v>0.49</v>
      </c>
      <c r="N162" s="191">
        <v>0.41</v>
      </c>
      <c r="O162" s="191">
        <v>0.59</v>
      </c>
      <c r="P162" s="191">
        <v>0.28000000000000003</v>
      </c>
      <c r="Q162" s="380"/>
      <c r="R162" s="287">
        <v>61</v>
      </c>
      <c r="S162" s="176">
        <v>1.5277777777777777E-2</v>
      </c>
      <c r="T162" s="381">
        <v>1</v>
      </c>
      <c r="U162" s="120" t="str">
        <f t="shared" si="13"/>
        <v>Outlier</v>
      </c>
      <c r="V162" s="120" t="str">
        <f t="shared" si="14"/>
        <v>Outlier</v>
      </c>
      <c r="W162" s="81">
        <f t="shared" si="15"/>
        <v>-0.12931034482758622</v>
      </c>
      <c r="X162" s="81">
        <f t="shared" si="16"/>
        <v>0.54545454545454541</v>
      </c>
      <c r="Y162" s="280"/>
    </row>
    <row r="163" spans="1:25">
      <c r="A163" s="382">
        <v>45544</v>
      </c>
      <c r="B163" s="411">
        <f>IF(YEAR(Table7[[#This Row],[Date]]) = 2023, WEEKNUM(Table7[[#This Row],[Date]])-13, WEEKNUM(Table7[[#This Row],[Date]])+40)</f>
        <v>23</v>
      </c>
      <c r="C163" s="203" t="s">
        <v>54</v>
      </c>
      <c r="D163" s="203" t="s">
        <v>94</v>
      </c>
      <c r="E163" s="379">
        <v>79</v>
      </c>
      <c r="F163" s="379">
        <v>55</v>
      </c>
      <c r="G163" s="350">
        <f t="shared" ref="G163:H163" si="69">IFERROR((E163-E156)/E156,0%)</f>
        <v>-0.43165467625899279</v>
      </c>
      <c r="H163" s="350">
        <f t="shared" si="69"/>
        <v>0.22222222222222221</v>
      </c>
      <c r="I163" s="379">
        <f>I162+E163</f>
        <v>281</v>
      </c>
      <c r="J163" s="379">
        <f>J162+F163</f>
        <v>174</v>
      </c>
      <c r="K163" s="379">
        <f t="shared" si="65"/>
        <v>5137</v>
      </c>
      <c r="L163" s="379">
        <f t="shared" si="66"/>
        <v>2182</v>
      </c>
      <c r="M163" s="191">
        <v>0.54</v>
      </c>
      <c r="N163" s="191">
        <v>0.3</v>
      </c>
      <c r="O163" s="191">
        <v>0.7</v>
      </c>
      <c r="P163" s="191">
        <v>0.06</v>
      </c>
      <c r="Q163" s="380"/>
      <c r="R163" s="383">
        <v>28</v>
      </c>
      <c r="S163" s="384">
        <v>9.7916666666666666E-2</v>
      </c>
      <c r="T163" s="385">
        <v>1</v>
      </c>
      <c r="U163" s="120" t="str">
        <f t="shared" si="13"/>
        <v>Outlier</v>
      </c>
      <c r="V163" s="120" t="str">
        <f t="shared" si="14"/>
        <v>Outlier</v>
      </c>
      <c r="W163" s="81">
        <f t="shared" si="15"/>
        <v>-0.43165467625899279</v>
      </c>
      <c r="X163" s="81">
        <f t="shared" si="16"/>
        <v>0.22222222222222221</v>
      </c>
      <c r="Y163" s="280"/>
    </row>
    <row r="164" spans="1:25">
      <c r="A164" s="382">
        <v>45545</v>
      </c>
      <c r="B164" s="411">
        <f>IF(YEAR(Table7[[#This Row],[Date]]) = 2023, WEEKNUM(Table7[[#This Row],[Date]])-13, WEEKNUM(Table7[[#This Row],[Date]])+40)</f>
        <v>24</v>
      </c>
      <c r="C164" s="203" t="s">
        <v>48</v>
      </c>
      <c r="D164" s="203" t="s">
        <v>94</v>
      </c>
      <c r="E164" s="379">
        <v>0</v>
      </c>
      <c r="F164" s="379">
        <v>0</v>
      </c>
      <c r="G164" s="350">
        <v>0</v>
      </c>
      <c r="H164" s="350">
        <v>0</v>
      </c>
      <c r="I164" s="379">
        <v>0</v>
      </c>
      <c r="J164" s="379">
        <v>0</v>
      </c>
      <c r="K164" s="379">
        <v>0</v>
      </c>
      <c r="L164" s="379">
        <v>0</v>
      </c>
      <c r="M164" s="191">
        <v>0</v>
      </c>
      <c r="N164" s="191">
        <v>0</v>
      </c>
      <c r="O164" s="191">
        <v>0</v>
      </c>
      <c r="P164" s="191">
        <v>0</v>
      </c>
      <c r="Q164" s="380"/>
      <c r="R164" s="287">
        <v>0</v>
      </c>
      <c r="S164" s="176">
        <v>0</v>
      </c>
      <c r="T164" s="381">
        <v>0</v>
      </c>
      <c r="U164" s="120" t="str">
        <f t="shared" si="13"/>
        <v>Normal</v>
      </c>
      <c r="V164" s="120" t="str">
        <f t="shared" si="14"/>
        <v>Normal</v>
      </c>
      <c r="W164" s="81">
        <f t="shared" si="15"/>
        <v>0</v>
      </c>
      <c r="X164" s="81">
        <f t="shared" si="16"/>
        <v>0</v>
      </c>
      <c r="Y164" s="280"/>
    </row>
    <row r="165" spans="1:25">
      <c r="A165" s="382">
        <v>45546</v>
      </c>
      <c r="B165" s="411">
        <f>IF(YEAR(Table7[[#This Row],[Date]]) = 2023, WEEKNUM(Table7[[#This Row],[Date]])-13, WEEKNUM(Table7[[#This Row],[Date]])+40)</f>
        <v>24</v>
      </c>
      <c r="C165" s="203" t="s">
        <v>64</v>
      </c>
      <c r="D165" s="203" t="s">
        <v>94</v>
      </c>
      <c r="E165" s="379">
        <v>0</v>
      </c>
      <c r="F165" s="379">
        <v>0</v>
      </c>
      <c r="G165" s="350">
        <v>0</v>
      </c>
      <c r="H165" s="350">
        <v>0</v>
      </c>
      <c r="I165" s="379">
        <v>0</v>
      </c>
      <c r="J165" s="379">
        <v>0</v>
      </c>
      <c r="K165" s="379">
        <v>0</v>
      </c>
      <c r="L165" s="379">
        <v>0</v>
      </c>
      <c r="M165" s="191">
        <v>0</v>
      </c>
      <c r="N165" s="191">
        <v>0</v>
      </c>
      <c r="O165" s="191">
        <v>0</v>
      </c>
      <c r="P165" s="191">
        <v>0</v>
      </c>
      <c r="Q165" s="380"/>
      <c r="R165" s="383">
        <v>0</v>
      </c>
      <c r="S165" s="384">
        <v>0</v>
      </c>
      <c r="T165" s="385">
        <v>0</v>
      </c>
      <c r="U165" s="120" t="str">
        <f t="shared" si="13"/>
        <v>Normal</v>
      </c>
      <c r="V165" s="120" t="str">
        <f t="shared" si="14"/>
        <v>Normal</v>
      </c>
      <c r="W165" s="81">
        <f t="shared" si="15"/>
        <v>0</v>
      </c>
      <c r="X165" s="81">
        <f t="shared" si="16"/>
        <v>0</v>
      </c>
      <c r="Y165" s="280"/>
    </row>
    <row r="166" spans="1:25">
      <c r="A166" s="382">
        <v>45547</v>
      </c>
      <c r="B166" s="411">
        <f>IF(YEAR(Table7[[#This Row],[Date]]) = 2023, WEEKNUM(Table7[[#This Row],[Date]])-13, WEEKNUM(Table7[[#This Row],[Date]])+40)</f>
        <v>24</v>
      </c>
      <c r="C166" s="203" t="s">
        <v>50</v>
      </c>
      <c r="D166" s="203" t="s">
        <v>94</v>
      </c>
      <c r="E166" s="379">
        <v>263</v>
      </c>
      <c r="F166" s="379">
        <v>167</v>
      </c>
      <c r="G166" s="350">
        <f t="shared" ref="G166:H166" si="70">IFERROR((E166-E159)/E159,0%)</f>
        <v>0.25837320574162681</v>
      </c>
      <c r="H166" s="350">
        <f t="shared" si="70"/>
        <v>0.98809523809523814</v>
      </c>
      <c r="I166" s="379">
        <f>E166+I163</f>
        <v>544</v>
      </c>
      <c r="J166" s="379">
        <f>F166+J163</f>
        <v>341</v>
      </c>
      <c r="K166" s="379">
        <f>K163+E166</f>
        <v>5400</v>
      </c>
      <c r="L166" s="379">
        <f>L163+F166</f>
        <v>2349</v>
      </c>
      <c r="M166" s="191">
        <v>0.18</v>
      </c>
      <c r="N166" s="191">
        <v>0.37</v>
      </c>
      <c r="O166" s="191">
        <v>0.63</v>
      </c>
      <c r="P166" s="191">
        <v>0.73</v>
      </c>
      <c r="Q166" s="380"/>
      <c r="R166" s="287">
        <v>114</v>
      </c>
      <c r="S166" s="176">
        <v>0.14583333333333334</v>
      </c>
      <c r="T166" s="381">
        <v>1</v>
      </c>
      <c r="U166" s="120" t="str">
        <f t="shared" si="13"/>
        <v>Outlier</v>
      </c>
      <c r="V166" s="120" t="str">
        <f t="shared" si="14"/>
        <v>Outlier</v>
      </c>
      <c r="W166" s="81">
        <f t="shared" si="15"/>
        <v>0.25837320574162681</v>
      </c>
      <c r="X166" s="81">
        <f t="shared" si="16"/>
        <v>0.98809523809523814</v>
      </c>
      <c r="Y166" s="280"/>
    </row>
    <row r="167" spans="1:25">
      <c r="A167" s="382">
        <v>45548</v>
      </c>
      <c r="B167" s="411">
        <f>IF(YEAR(Table7[[#This Row],[Date]]) = 2023, WEEKNUM(Table7[[#This Row],[Date]])-13, WEEKNUM(Table7[[#This Row],[Date]])+40)</f>
        <v>24</v>
      </c>
      <c r="C167" s="203" t="s">
        <v>51</v>
      </c>
      <c r="D167" s="203" t="s">
        <v>94</v>
      </c>
      <c r="E167" s="379">
        <v>266</v>
      </c>
      <c r="F167" s="379">
        <v>85</v>
      </c>
      <c r="G167" s="350">
        <f t="shared" ref="G167:H167" si="71">IFERROR((E167-E160)/E160,0%)</f>
        <v>-3.6231884057971016E-2</v>
      </c>
      <c r="H167" s="350">
        <f t="shared" si="71"/>
        <v>0.13333333333333333</v>
      </c>
      <c r="I167" s="379">
        <f>I166+E167</f>
        <v>810</v>
      </c>
      <c r="J167" s="379">
        <f>J166+F167</f>
        <v>426</v>
      </c>
      <c r="K167" s="379">
        <f>K166+E167</f>
        <v>5666</v>
      </c>
      <c r="L167" s="379">
        <f>L166+F167</f>
        <v>2434</v>
      </c>
      <c r="M167" s="191">
        <v>0.12</v>
      </c>
      <c r="N167" s="191">
        <v>0.68</v>
      </c>
      <c r="O167" s="191">
        <v>0.32</v>
      </c>
      <c r="P167" s="191">
        <v>0.11</v>
      </c>
      <c r="Q167" s="380"/>
      <c r="R167" s="383">
        <v>33</v>
      </c>
      <c r="S167" s="384">
        <v>4.2361111111111106E-2</v>
      </c>
      <c r="T167" s="385">
        <v>1</v>
      </c>
      <c r="U167" s="120" t="str">
        <f t="shared" si="13"/>
        <v>Outlier</v>
      </c>
      <c r="V167" s="120" t="str">
        <f t="shared" si="14"/>
        <v>Outlier</v>
      </c>
      <c r="W167" s="81">
        <f t="shared" si="15"/>
        <v>-3.6231884057971016E-2</v>
      </c>
      <c r="X167" s="81">
        <f t="shared" si="16"/>
        <v>0.13333333333333333</v>
      </c>
      <c r="Y167" s="280"/>
    </row>
    <row r="168" spans="1:25">
      <c r="A168" s="382">
        <v>45549</v>
      </c>
      <c r="B168" s="411">
        <f>IF(YEAR(Table7[[#This Row],[Date]]) = 2023, WEEKNUM(Table7[[#This Row],[Date]])-13, WEEKNUM(Table7[[#This Row],[Date]])+40)</f>
        <v>24</v>
      </c>
      <c r="C168" s="203" t="s">
        <v>52</v>
      </c>
      <c r="D168" s="203" t="s">
        <v>94</v>
      </c>
      <c r="E168" s="379">
        <v>273</v>
      </c>
      <c r="F168" s="379">
        <v>109</v>
      </c>
      <c r="G168" s="350">
        <f t="shared" ref="G168:H168" si="72">IFERROR((E168-E161)/E161,0%)</f>
        <v>0.15189873417721519</v>
      </c>
      <c r="H168" s="350">
        <f t="shared" si="72"/>
        <v>0.65151515151515149</v>
      </c>
      <c r="I168" s="379">
        <f t="shared" ref="I168:I169" si="73">I166+E168</f>
        <v>817</v>
      </c>
      <c r="J168" s="379">
        <f t="shared" ref="J168:J169" si="74">J166+F168</f>
        <v>450</v>
      </c>
      <c r="K168" s="379">
        <f t="shared" ref="K168:K169" si="75">K166+E168</f>
        <v>5673</v>
      </c>
      <c r="L168" s="379">
        <f t="shared" ref="L168:L169" si="76">L166+F168</f>
        <v>2458</v>
      </c>
      <c r="M168" s="191">
        <v>0.18</v>
      </c>
      <c r="N168" s="191">
        <v>0.6</v>
      </c>
      <c r="O168" s="191">
        <v>0.4</v>
      </c>
      <c r="P168" s="191">
        <v>0.14000000000000001</v>
      </c>
      <c r="Q168" s="380"/>
      <c r="R168" s="287">
        <v>159</v>
      </c>
      <c r="S168" s="176">
        <v>7.1527777777777787E-2</v>
      </c>
      <c r="T168" s="381">
        <v>1</v>
      </c>
      <c r="U168" s="120" t="str">
        <f t="shared" si="13"/>
        <v>Outlier</v>
      </c>
      <c r="V168" s="120" t="str">
        <f t="shared" si="14"/>
        <v>Outlier</v>
      </c>
      <c r="W168" s="81">
        <f t="shared" si="15"/>
        <v>0.15189873417721519</v>
      </c>
      <c r="X168" s="81">
        <f t="shared" si="16"/>
        <v>0.65151515151515149</v>
      </c>
      <c r="Y168" s="280"/>
    </row>
    <row r="169" spans="1:25">
      <c r="A169" s="382">
        <v>45550</v>
      </c>
      <c r="B169" s="411">
        <f>IF(YEAR(Table7[[#This Row],[Date]]) = 2023, WEEKNUM(Table7[[#This Row],[Date]])-13, WEEKNUM(Table7[[#This Row],[Date]])+40)</f>
        <v>24</v>
      </c>
      <c r="C169" s="203" t="s">
        <v>53</v>
      </c>
      <c r="D169" s="203" t="s">
        <v>94</v>
      </c>
      <c r="E169" s="379">
        <v>243</v>
      </c>
      <c r="F169" s="379">
        <v>87</v>
      </c>
      <c r="G169" s="350">
        <f t="shared" ref="G169:H169" si="77">IFERROR((E169-E162)/E162,0%)</f>
        <v>0.20297029702970298</v>
      </c>
      <c r="H169" s="350">
        <f t="shared" si="77"/>
        <v>-0.26890756302521007</v>
      </c>
      <c r="I169" s="379">
        <f t="shared" si="73"/>
        <v>1053</v>
      </c>
      <c r="J169" s="379">
        <f t="shared" si="74"/>
        <v>513</v>
      </c>
      <c r="K169" s="379">
        <f t="shared" si="75"/>
        <v>5909</v>
      </c>
      <c r="L169" s="379">
        <f t="shared" si="76"/>
        <v>2521</v>
      </c>
      <c r="M169" s="191">
        <v>0.17</v>
      </c>
      <c r="N169" s="191">
        <v>0.64</v>
      </c>
      <c r="O169" s="191">
        <v>0.36</v>
      </c>
      <c r="P169" s="191">
        <v>0.53</v>
      </c>
      <c r="Q169" s="380"/>
      <c r="R169" s="383">
        <v>21</v>
      </c>
      <c r="S169" s="384">
        <v>1.6666666666666666E-2</v>
      </c>
      <c r="T169" s="385">
        <v>1</v>
      </c>
      <c r="U169" s="120" t="str">
        <f t="shared" si="13"/>
        <v>Outlier</v>
      </c>
      <c r="V169" s="120" t="str">
        <f t="shared" si="14"/>
        <v>Outlier</v>
      </c>
      <c r="W169" s="81">
        <f t="shared" si="15"/>
        <v>0.20297029702970298</v>
      </c>
      <c r="X169" s="81">
        <f t="shared" si="16"/>
        <v>-0.26890756302521007</v>
      </c>
      <c r="Y169" s="280"/>
    </row>
    <row r="170" spans="1:25">
      <c r="A170" s="382">
        <v>45551</v>
      </c>
      <c r="B170" s="411">
        <f>IF(YEAR(Table7[[#This Row],[Date]]) = 2023, WEEKNUM(Table7[[#This Row],[Date]])-13, WEEKNUM(Table7[[#This Row],[Date]])+40)</f>
        <v>24</v>
      </c>
      <c r="C170" s="203" t="s">
        <v>54</v>
      </c>
      <c r="D170" s="203" t="s">
        <v>94</v>
      </c>
      <c r="E170" s="379">
        <v>153</v>
      </c>
      <c r="F170" s="379">
        <v>69</v>
      </c>
      <c r="G170" s="350">
        <f t="shared" ref="G170:H170" si="78">IFERROR((E170-E163)/E163,0%)</f>
        <v>0.93670886075949367</v>
      </c>
      <c r="H170" s="350">
        <f t="shared" si="78"/>
        <v>0.25454545454545452</v>
      </c>
      <c r="I170" s="379">
        <f>E170+I169</f>
        <v>1206</v>
      </c>
      <c r="J170" s="379">
        <f>F170+J169</f>
        <v>582</v>
      </c>
      <c r="K170" s="379">
        <f>K169+E170</f>
        <v>6062</v>
      </c>
      <c r="L170" s="379">
        <f>L169+F170</f>
        <v>2590</v>
      </c>
      <c r="M170" s="191">
        <v>0.31</v>
      </c>
      <c r="N170" s="191">
        <v>0.55000000000000004</v>
      </c>
      <c r="O170" s="191">
        <v>0.45</v>
      </c>
      <c r="P170" s="191">
        <v>0.06</v>
      </c>
      <c r="Q170" s="380"/>
      <c r="R170" s="287">
        <v>87</v>
      </c>
      <c r="S170" s="176">
        <v>9.0277777777777787E-3</v>
      </c>
      <c r="T170" s="381">
        <v>1</v>
      </c>
      <c r="U170" s="120" t="str">
        <f t="shared" si="13"/>
        <v>Outlier</v>
      </c>
      <c r="V170" s="120" t="str">
        <f t="shared" si="14"/>
        <v>Outlier</v>
      </c>
      <c r="W170" s="81">
        <f t="shared" si="15"/>
        <v>0.93670886075949367</v>
      </c>
      <c r="X170" s="81">
        <f t="shared" si="16"/>
        <v>0.25454545454545452</v>
      </c>
      <c r="Y170" s="280"/>
    </row>
    <row r="171" spans="1:25">
      <c r="A171" s="382">
        <v>45552</v>
      </c>
      <c r="B171" s="411">
        <f>IF(YEAR(Table7[[#This Row],[Date]]) = 2023, WEEKNUM(Table7[[#This Row],[Date]])-13, WEEKNUM(Table7[[#This Row],[Date]])+40)</f>
        <v>25</v>
      </c>
      <c r="C171" s="203" t="s">
        <v>48</v>
      </c>
      <c r="D171" s="203" t="s">
        <v>94</v>
      </c>
      <c r="E171" s="379">
        <v>0</v>
      </c>
      <c r="F171" s="379">
        <v>0</v>
      </c>
      <c r="G171" s="350">
        <v>0</v>
      </c>
      <c r="H171" s="350">
        <v>0</v>
      </c>
      <c r="I171" s="379">
        <v>0</v>
      </c>
      <c r="J171" s="379">
        <v>0</v>
      </c>
      <c r="K171" s="379">
        <v>0</v>
      </c>
      <c r="L171" s="379">
        <v>0</v>
      </c>
      <c r="M171" s="191">
        <v>0</v>
      </c>
      <c r="N171" s="191">
        <v>0</v>
      </c>
      <c r="O171" s="191">
        <v>0</v>
      </c>
      <c r="P171" s="191">
        <v>0</v>
      </c>
      <c r="Q171" s="380"/>
      <c r="R171" s="383">
        <v>0</v>
      </c>
      <c r="S171" s="384">
        <v>0</v>
      </c>
      <c r="T171" s="385">
        <v>0</v>
      </c>
      <c r="U171" s="120" t="str">
        <f t="shared" si="13"/>
        <v>Normal</v>
      </c>
      <c r="V171" s="120" t="str">
        <f t="shared" si="14"/>
        <v>Normal</v>
      </c>
      <c r="W171" s="81">
        <f t="shared" si="15"/>
        <v>0</v>
      </c>
      <c r="X171" s="81">
        <f t="shared" si="16"/>
        <v>0</v>
      </c>
      <c r="Y171" s="280"/>
    </row>
    <row r="172" spans="1:25">
      <c r="A172" s="382">
        <v>45553</v>
      </c>
      <c r="B172" s="411">
        <f>IF(YEAR(Table7[[#This Row],[Date]]) = 2023, WEEKNUM(Table7[[#This Row],[Date]])-13, WEEKNUM(Table7[[#This Row],[Date]])+40)</f>
        <v>25</v>
      </c>
      <c r="C172" s="203" t="s">
        <v>49</v>
      </c>
      <c r="D172" s="203" t="s">
        <v>94</v>
      </c>
      <c r="E172" s="379">
        <v>332</v>
      </c>
      <c r="F172" s="379">
        <v>49</v>
      </c>
      <c r="G172" s="350">
        <f t="shared" ref="G172:H172" si="79">IFERROR((E172-E165)/E165,0%)</f>
        <v>0</v>
      </c>
      <c r="H172" s="350">
        <f t="shared" si="79"/>
        <v>0</v>
      </c>
      <c r="I172" s="379">
        <f>I170+E172</f>
        <v>1538</v>
      </c>
      <c r="J172" s="379">
        <f>J170+F172</f>
        <v>631</v>
      </c>
      <c r="K172" s="379">
        <f>K170+E172</f>
        <v>6394</v>
      </c>
      <c r="L172" s="379">
        <f>L170+F172</f>
        <v>2639</v>
      </c>
      <c r="M172" s="191">
        <v>0.28000000000000003</v>
      </c>
      <c r="N172" s="191">
        <v>0.83</v>
      </c>
      <c r="O172" s="191">
        <v>0.17</v>
      </c>
      <c r="P172" s="191">
        <v>0.27</v>
      </c>
      <c r="Q172" s="380"/>
      <c r="R172" s="287">
        <v>141</v>
      </c>
      <c r="S172" s="176">
        <v>7.1527777777777787E-2</v>
      </c>
      <c r="T172" s="381">
        <v>1</v>
      </c>
      <c r="U172" s="120" t="str">
        <f t="shared" si="13"/>
        <v>Normal</v>
      </c>
      <c r="V172" s="120" t="str">
        <f t="shared" si="14"/>
        <v>Outlier</v>
      </c>
      <c r="W172" s="81">
        <f t="shared" si="15"/>
        <v>0</v>
      </c>
      <c r="X172" s="81">
        <f t="shared" si="16"/>
        <v>0</v>
      </c>
      <c r="Y172" s="280"/>
    </row>
    <row r="173" spans="1:25">
      <c r="A173" s="382">
        <v>45554</v>
      </c>
      <c r="B173" s="411">
        <f>IF(YEAR(Table7[[#This Row],[Date]]) = 2023, WEEKNUM(Table7[[#This Row],[Date]])-13, WEEKNUM(Table7[[#This Row],[Date]])+40)</f>
        <v>25</v>
      </c>
      <c r="C173" s="203" t="s">
        <v>50</v>
      </c>
      <c r="D173" s="203" t="s">
        <v>94</v>
      </c>
      <c r="E173" s="379">
        <v>287</v>
      </c>
      <c r="F173" s="379">
        <v>119</v>
      </c>
      <c r="G173" s="350">
        <f t="shared" ref="G173:H173" si="80">IFERROR((E173-E166)/E166,0%)</f>
        <v>9.125475285171103E-2</v>
      </c>
      <c r="H173" s="350">
        <f t="shared" si="80"/>
        <v>-0.28742514970059879</v>
      </c>
      <c r="I173" s="379">
        <f>I172+E173</f>
        <v>1825</v>
      </c>
      <c r="J173" s="379">
        <f>J172+F173</f>
        <v>750</v>
      </c>
      <c r="K173" s="379">
        <f>K172+E173</f>
        <v>6681</v>
      </c>
      <c r="L173" s="379">
        <f>L172+F173</f>
        <v>2758</v>
      </c>
      <c r="M173" s="191">
        <v>0.26</v>
      </c>
      <c r="N173" s="191">
        <v>0.59</v>
      </c>
      <c r="O173" s="191">
        <v>0.41</v>
      </c>
      <c r="P173" s="191">
        <v>0.26</v>
      </c>
      <c r="Q173" s="380"/>
      <c r="R173" s="383">
        <v>56</v>
      </c>
      <c r="S173" s="384">
        <v>2.2916666666666669E-2</v>
      </c>
      <c r="T173" s="385">
        <v>1</v>
      </c>
      <c r="U173" s="120" t="str">
        <f t="shared" si="13"/>
        <v>Outlier</v>
      </c>
      <c r="V173" s="120" t="str">
        <f t="shared" si="14"/>
        <v>Outlier</v>
      </c>
      <c r="W173" s="81">
        <f t="shared" si="15"/>
        <v>9.125475285171103E-2</v>
      </c>
      <c r="X173" s="81">
        <f t="shared" si="16"/>
        <v>-0.28742514970059879</v>
      </c>
      <c r="Y173" s="280"/>
    </row>
    <row r="174" spans="1:25">
      <c r="A174" s="382">
        <v>45555</v>
      </c>
      <c r="B174" s="411">
        <f>IF(YEAR(Table7[[#This Row],[Date]]) = 2023, WEEKNUM(Table7[[#This Row],[Date]])-13, WEEKNUM(Table7[[#This Row],[Date]])+40)</f>
        <v>25</v>
      </c>
      <c r="C174" s="203" t="s">
        <v>51</v>
      </c>
      <c r="D174" s="203" t="s">
        <v>94</v>
      </c>
      <c r="E174" s="379">
        <v>185</v>
      </c>
      <c r="F174" s="379">
        <v>98</v>
      </c>
      <c r="G174" s="350">
        <f t="shared" ref="G174:H174" si="81">IFERROR((E174-E167)/E167,0%)</f>
        <v>-0.30451127819548873</v>
      </c>
      <c r="H174" s="350">
        <f t="shared" si="81"/>
        <v>0.15294117647058825</v>
      </c>
      <c r="I174" s="379">
        <f t="shared" ref="I174" si="82">I172+E174</f>
        <v>1723</v>
      </c>
      <c r="J174" s="379">
        <f t="shared" ref="J174" si="83">J172+F174</f>
        <v>729</v>
      </c>
      <c r="K174" s="379">
        <f t="shared" ref="K174" si="84">K172+E174</f>
        <v>6579</v>
      </c>
      <c r="L174" s="379">
        <f t="shared" ref="L174" si="85">L172+F174</f>
        <v>2737</v>
      </c>
      <c r="M174" s="191">
        <v>0.38</v>
      </c>
      <c r="N174" s="191">
        <v>0.47</v>
      </c>
      <c r="O174" s="191">
        <v>0.53</v>
      </c>
      <c r="P174" s="191">
        <v>0.18</v>
      </c>
      <c r="Q174" s="380"/>
      <c r="R174" s="287">
        <v>47</v>
      </c>
      <c r="S174" s="176">
        <v>3.5416666666666666E-2</v>
      </c>
      <c r="T174" s="381">
        <v>1</v>
      </c>
      <c r="U174" s="120" t="str">
        <f t="shared" si="13"/>
        <v>Outlier</v>
      </c>
      <c r="V174" s="120" t="str">
        <f t="shared" si="14"/>
        <v>Outlier</v>
      </c>
      <c r="W174" s="81">
        <f t="shared" si="15"/>
        <v>-0.30451127819548873</v>
      </c>
      <c r="X174" s="81">
        <f t="shared" si="16"/>
        <v>0.15294117647058825</v>
      </c>
      <c r="Y174" s="280"/>
    </row>
    <row r="175" spans="1:25">
      <c r="A175" s="382">
        <v>45556</v>
      </c>
      <c r="B175" s="411">
        <f>IF(YEAR(Table7[[#This Row],[Date]]) = 2023, WEEKNUM(Table7[[#This Row],[Date]])-13, WEEKNUM(Table7[[#This Row],[Date]])+40)</f>
        <v>25</v>
      </c>
      <c r="C175" s="203" t="s">
        <v>64</v>
      </c>
      <c r="D175" s="203" t="s">
        <v>94</v>
      </c>
      <c r="E175" s="379">
        <v>0</v>
      </c>
      <c r="F175" s="379">
        <v>0</v>
      </c>
      <c r="G175" s="350">
        <v>0</v>
      </c>
      <c r="H175" s="350">
        <v>0</v>
      </c>
      <c r="I175" s="379">
        <v>0</v>
      </c>
      <c r="J175" s="379">
        <v>0</v>
      </c>
      <c r="K175" s="379">
        <v>0</v>
      </c>
      <c r="L175" s="379">
        <v>0</v>
      </c>
      <c r="M175" s="191">
        <v>0</v>
      </c>
      <c r="N175" s="191">
        <v>0</v>
      </c>
      <c r="O175" s="191">
        <v>0</v>
      </c>
      <c r="P175" s="191">
        <v>0</v>
      </c>
      <c r="Q175" s="380"/>
      <c r="R175" s="383">
        <v>0</v>
      </c>
      <c r="S175" s="384">
        <v>0</v>
      </c>
      <c r="T175" s="385">
        <v>0</v>
      </c>
      <c r="U175" s="120" t="str">
        <f t="shared" si="13"/>
        <v>Normal</v>
      </c>
      <c r="V175" s="120" t="str">
        <f t="shared" si="14"/>
        <v>Normal</v>
      </c>
      <c r="W175" s="81">
        <f t="shared" si="15"/>
        <v>0</v>
      </c>
      <c r="X175" s="81">
        <f t="shared" si="16"/>
        <v>0</v>
      </c>
      <c r="Y175" s="280"/>
    </row>
    <row r="176" spans="1:25">
      <c r="A176" s="382">
        <v>45557</v>
      </c>
      <c r="B176" s="411">
        <f>IF(YEAR(Table7[[#This Row],[Date]]) = 2023, WEEKNUM(Table7[[#This Row],[Date]])-13, WEEKNUM(Table7[[#This Row],[Date]])+40)</f>
        <v>25</v>
      </c>
      <c r="C176" s="203" t="s">
        <v>53</v>
      </c>
      <c r="D176" s="203" t="s">
        <v>94</v>
      </c>
      <c r="E176" s="379">
        <v>212</v>
      </c>
      <c r="F176" s="379">
        <v>82</v>
      </c>
      <c r="G176" s="350">
        <f t="shared" ref="G176:H176" si="86">IFERROR((E176-E169)/E169,0%)</f>
        <v>-0.12757201646090535</v>
      </c>
      <c r="H176" s="350">
        <f t="shared" si="86"/>
        <v>-5.7471264367816091E-2</v>
      </c>
      <c r="I176" s="379">
        <f>I174+E176</f>
        <v>1935</v>
      </c>
      <c r="J176" s="379">
        <f>J174+F176</f>
        <v>811</v>
      </c>
      <c r="K176" s="379">
        <f>K174+E176</f>
        <v>6791</v>
      </c>
      <c r="L176" s="379">
        <f>L174+F176</f>
        <v>2819</v>
      </c>
      <c r="M176" s="191">
        <v>0.25</v>
      </c>
      <c r="N176" s="191">
        <v>0.61</v>
      </c>
      <c r="O176" s="191">
        <v>0.39</v>
      </c>
      <c r="P176" s="191">
        <v>0.31</v>
      </c>
      <c r="Q176" s="380"/>
      <c r="R176" s="287">
        <v>98</v>
      </c>
      <c r="S176" s="176">
        <v>3.1944444444444449E-2</v>
      </c>
      <c r="T176" s="381">
        <v>1</v>
      </c>
      <c r="U176" s="120" t="str">
        <f t="shared" si="13"/>
        <v>Outlier</v>
      </c>
      <c r="V176" s="120" t="str">
        <f t="shared" si="14"/>
        <v>Outlier</v>
      </c>
      <c r="W176" s="81">
        <f t="shared" si="15"/>
        <v>-0.12757201646090535</v>
      </c>
      <c r="X176" s="81">
        <f t="shared" si="16"/>
        <v>-5.7471264367816091E-2</v>
      </c>
      <c r="Y176" s="280"/>
    </row>
    <row r="177" spans="1:25">
      <c r="A177" s="382">
        <v>45558</v>
      </c>
      <c r="B177" s="411">
        <f>IF(YEAR(Table7[[#This Row],[Date]]) = 2023, WEEKNUM(Table7[[#This Row],[Date]])-13, WEEKNUM(Table7[[#This Row],[Date]])+40)</f>
        <v>25</v>
      </c>
      <c r="C177" s="203" t="s">
        <v>54</v>
      </c>
      <c r="D177" s="203" t="s">
        <v>94</v>
      </c>
      <c r="E177" s="379">
        <v>88</v>
      </c>
      <c r="F177" s="379">
        <v>73</v>
      </c>
      <c r="G177" s="350">
        <f t="shared" ref="G177:H177" si="87">IFERROR((E177-E170)/E170,0%)</f>
        <v>-0.42483660130718953</v>
      </c>
      <c r="H177" s="350">
        <f t="shared" si="87"/>
        <v>5.7971014492753624E-2</v>
      </c>
      <c r="I177" s="379">
        <f>I176+E177</f>
        <v>2023</v>
      </c>
      <c r="J177" s="379">
        <f>J176+F177</f>
        <v>884</v>
      </c>
      <c r="K177" s="379">
        <f>K176+E177</f>
        <v>6879</v>
      </c>
      <c r="L177" s="379">
        <f>L176+F177</f>
        <v>2892</v>
      </c>
      <c r="M177" s="191">
        <v>0.75</v>
      </c>
      <c r="N177" s="191">
        <v>0.17</v>
      </c>
      <c r="O177" s="191">
        <v>0.83</v>
      </c>
      <c r="P177" s="191">
        <v>0.37</v>
      </c>
      <c r="Q177" s="380"/>
      <c r="R177" s="383">
        <v>132</v>
      </c>
      <c r="S177" s="384">
        <v>1.7361111111111112E-2</v>
      </c>
      <c r="T177" s="385">
        <v>1</v>
      </c>
      <c r="U177" s="120" t="str">
        <f t="shared" si="13"/>
        <v>Outlier</v>
      </c>
      <c r="V177" s="120" t="str">
        <f t="shared" si="14"/>
        <v>Outlier</v>
      </c>
      <c r="W177" s="81">
        <f t="shared" si="15"/>
        <v>-0.42483660130718953</v>
      </c>
      <c r="X177" s="81">
        <f t="shared" si="16"/>
        <v>5.7971014492753624E-2</v>
      </c>
      <c r="Y177" s="280"/>
    </row>
    <row r="178" spans="1:25">
      <c r="A178" s="382">
        <v>45559</v>
      </c>
      <c r="B178" s="411">
        <f>IF(YEAR(Table7[[#This Row],[Date]]) = 2023, WEEKNUM(Table7[[#This Row],[Date]])-13, WEEKNUM(Table7[[#This Row],[Date]])+40)</f>
        <v>26</v>
      </c>
      <c r="C178" s="203" t="s">
        <v>48</v>
      </c>
      <c r="D178" s="203" t="s">
        <v>94</v>
      </c>
      <c r="E178" s="379">
        <v>0</v>
      </c>
      <c r="F178" s="379">
        <v>0</v>
      </c>
      <c r="G178" s="350">
        <v>0</v>
      </c>
      <c r="H178" s="350">
        <v>0</v>
      </c>
      <c r="I178" s="379">
        <v>0</v>
      </c>
      <c r="J178" s="379">
        <v>0</v>
      </c>
      <c r="K178" s="379">
        <v>0</v>
      </c>
      <c r="L178" s="379">
        <v>0</v>
      </c>
      <c r="M178" s="191">
        <v>0</v>
      </c>
      <c r="N178" s="191">
        <v>0</v>
      </c>
      <c r="O178" s="191">
        <v>0</v>
      </c>
      <c r="P178" s="191">
        <v>0</v>
      </c>
      <c r="Q178" s="380"/>
      <c r="R178" s="287">
        <v>0</v>
      </c>
      <c r="S178" s="176">
        <v>0</v>
      </c>
      <c r="T178" s="381">
        <v>0</v>
      </c>
      <c r="U178" s="120" t="str">
        <f t="shared" si="13"/>
        <v>Normal</v>
      </c>
      <c r="V178" s="120" t="str">
        <f t="shared" si="14"/>
        <v>Normal</v>
      </c>
      <c r="W178" s="81">
        <f t="shared" si="15"/>
        <v>0</v>
      </c>
      <c r="X178" s="81">
        <f t="shared" si="16"/>
        <v>0</v>
      </c>
      <c r="Y178" s="280"/>
    </row>
    <row r="179" spans="1:25">
      <c r="A179" s="382">
        <v>45560</v>
      </c>
      <c r="B179" s="411">
        <f>IF(YEAR(Table7[[#This Row],[Date]]) = 2023, WEEKNUM(Table7[[#This Row],[Date]])-13, WEEKNUM(Table7[[#This Row],[Date]])+40)</f>
        <v>26</v>
      </c>
      <c r="C179" s="203" t="s">
        <v>49</v>
      </c>
      <c r="D179" s="203" t="s">
        <v>94</v>
      </c>
      <c r="E179" s="379">
        <v>227</v>
      </c>
      <c r="F179" s="379">
        <v>87</v>
      </c>
      <c r="G179" s="350">
        <f t="shared" ref="G179:H179" si="88">IFERROR((E179-E172)/E172,0%)</f>
        <v>-0.31626506024096385</v>
      </c>
      <c r="H179" s="350">
        <f t="shared" si="88"/>
        <v>0.77551020408163263</v>
      </c>
      <c r="I179" s="379">
        <f>I177+E179</f>
        <v>2250</v>
      </c>
      <c r="J179" s="379">
        <f>J177+F179</f>
        <v>971</v>
      </c>
      <c r="K179" s="379">
        <f>K177+E179</f>
        <v>7106</v>
      </c>
      <c r="L179" s="379">
        <f>L177+F179</f>
        <v>2979</v>
      </c>
      <c r="M179" s="191">
        <v>0.28000000000000003</v>
      </c>
      <c r="N179" s="191">
        <v>0.62</v>
      </c>
      <c r="O179" s="191">
        <v>0.38</v>
      </c>
      <c r="P179" s="191">
        <v>0.05</v>
      </c>
      <c r="Q179" s="380"/>
      <c r="R179" s="383">
        <v>22</v>
      </c>
      <c r="S179" s="384">
        <v>1.1111111111111112E-2</v>
      </c>
      <c r="T179" s="385">
        <v>1</v>
      </c>
      <c r="U179" s="120" t="str">
        <f t="shared" si="13"/>
        <v>Outlier</v>
      </c>
      <c r="V179" s="120" t="str">
        <f t="shared" si="14"/>
        <v>Outlier</v>
      </c>
      <c r="W179" s="81">
        <f t="shared" si="15"/>
        <v>-0.31626506024096385</v>
      </c>
      <c r="X179" s="81">
        <f t="shared" si="16"/>
        <v>0.77551020408163263</v>
      </c>
      <c r="Y179" s="280"/>
    </row>
    <row r="180" spans="1:25">
      <c r="A180" s="382">
        <v>45561</v>
      </c>
      <c r="B180" s="411">
        <f>IF(YEAR(Table7[[#This Row],[Date]]) = 2023, WEEKNUM(Table7[[#This Row],[Date]])-13, WEEKNUM(Table7[[#This Row],[Date]])+40)</f>
        <v>26</v>
      </c>
      <c r="C180" s="203" t="s">
        <v>50</v>
      </c>
      <c r="D180" s="203" t="s">
        <v>94</v>
      </c>
      <c r="E180" s="379">
        <v>238</v>
      </c>
      <c r="F180" s="379">
        <v>87</v>
      </c>
      <c r="G180" s="350">
        <f t="shared" ref="G180:H180" si="89">IFERROR((E180-E173)/E173,0%)</f>
        <v>-0.17073170731707318</v>
      </c>
      <c r="H180" s="350">
        <f t="shared" si="89"/>
        <v>-0.26890756302521007</v>
      </c>
      <c r="I180" s="379">
        <f>I179+E180</f>
        <v>2488</v>
      </c>
      <c r="J180" s="379">
        <f>J179+F180</f>
        <v>1058</v>
      </c>
      <c r="K180" s="379">
        <f>K179+E180</f>
        <v>7344</v>
      </c>
      <c r="L180" s="379">
        <f>L179+F180</f>
        <v>3066</v>
      </c>
      <c r="M180" s="191">
        <v>0.21</v>
      </c>
      <c r="N180" s="191">
        <v>0.63</v>
      </c>
      <c r="O180" s="191">
        <v>0.37</v>
      </c>
      <c r="P180" s="191">
        <v>0.21</v>
      </c>
      <c r="Q180" s="380"/>
      <c r="R180" s="287">
        <v>95</v>
      </c>
      <c r="S180" s="176">
        <v>4.3055555555555562E-2</v>
      </c>
      <c r="T180" s="381">
        <v>1</v>
      </c>
      <c r="U180" s="120" t="str">
        <f t="shared" si="13"/>
        <v>Outlier</v>
      </c>
      <c r="V180" s="120" t="str">
        <f t="shared" si="14"/>
        <v>Outlier</v>
      </c>
      <c r="W180" s="81">
        <f t="shared" si="15"/>
        <v>-0.17073170731707318</v>
      </c>
      <c r="X180" s="81">
        <f t="shared" si="16"/>
        <v>-0.26890756302521007</v>
      </c>
      <c r="Y180" s="280"/>
    </row>
    <row r="181" spans="1:25">
      <c r="A181" s="382">
        <v>45562</v>
      </c>
      <c r="B181" s="411">
        <f>IF(YEAR(Table7[[#This Row],[Date]]) = 2023, WEEKNUM(Table7[[#This Row],[Date]])-13, WEEKNUM(Table7[[#This Row],[Date]])+40)</f>
        <v>26</v>
      </c>
      <c r="C181" s="203" t="s">
        <v>51</v>
      </c>
      <c r="D181" s="203" t="s">
        <v>94</v>
      </c>
      <c r="E181" s="379">
        <v>191</v>
      </c>
      <c r="F181" s="379">
        <v>93</v>
      </c>
      <c r="G181" s="350">
        <f t="shared" ref="G181:H181" si="90">IFERROR((E181-E174)/E174,0%)</f>
        <v>3.2432432432432434E-2</v>
      </c>
      <c r="H181" s="350">
        <f t="shared" si="90"/>
        <v>-5.1020408163265307E-2</v>
      </c>
      <c r="I181" s="379">
        <f t="shared" ref="I181:I182" si="91">I179+E181</f>
        <v>2441</v>
      </c>
      <c r="J181" s="379">
        <f t="shared" ref="J181:J182" si="92">J179+F181</f>
        <v>1064</v>
      </c>
      <c r="K181" s="379">
        <f t="shared" ref="K181:K184" si="93">K179+E181</f>
        <v>7297</v>
      </c>
      <c r="L181" s="379">
        <f t="shared" ref="L181:L184" si="94">L179+F181</f>
        <v>3072</v>
      </c>
      <c r="M181" s="191">
        <v>0.3</v>
      </c>
      <c r="N181" s="191">
        <v>0.51</v>
      </c>
      <c r="O181" s="191">
        <v>0.49</v>
      </c>
      <c r="P181" s="191">
        <v>0.08</v>
      </c>
      <c r="Q181" s="380"/>
      <c r="R181" s="383">
        <v>35</v>
      </c>
      <c r="S181" s="384">
        <v>2.6620370370370372E-4</v>
      </c>
      <c r="T181" s="385">
        <v>1</v>
      </c>
      <c r="U181" s="120" t="str">
        <f t="shared" si="13"/>
        <v>Outlier</v>
      </c>
      <c r="V181" s="120" t="str">
        <f t="shared" si="14"/>
        <v>Outlier</v>
      </c>
      <c r="W181" s="81">
        <f t="shared" si="15"/>
        <v>3.2432432432432434E-2</v>
      </c>
      <c r="X181" s="81">
        <f t="shared" si="16"/>
        <v>-5.1020408163265307E-2</v>
      </c>
      <c r="Y181" s="280"/>
    </row>
    <row r="182" spans="1:25">
      <c r="A182" s="382">
        <v>45563</v>
      </c>
      <c r="B182" s="411">
        <f>IF(YEAR(Table7[[#This Row],[Date]]) = 2023, WEEKNUM(Table7[[#This Row],[Date]])-13, WEEKNUM(Table7[[#This Row],[Date]])+40)</f>
        <v>26</v>
      </c>
      <c r="C182" s="203" t="s">
        <v>52</v>
      </c>
      <c r="D182" s="203" t="s">
        <v>94</v>
      </c>
      <c r="E182" s="379">
        <v>226</v>
      </c>
      <c r="F182" s="379">
        <v>100</v>
      </c>
      <c r="G182" s="350">
        <f t="shared" ref="G182:H182" si="95">IFERROR((E182-E175)/E175,0%)</f>
        <v>0</v>
      </c>
      <c r="H182" s="350">
        <f t="shared" si="95"/>
        <v>0</v>
      </c>
      <c r="I182" s="379">
        <f t="shared" si="91"/>
        <v>2714</v>
      </c>
      <c r="J182" s="379">
        <f t="shared" si="92"/>
        <v>1158</v>
      </c>
      <c r="K182" s="379">
        <f t="shared" si="93"/>
        <v>7570</v>
      </c>
      <c r="L182" s="379">
        <f t="shared" si="94"/>
        <v>3166</v>
      </c>
      <c r="M182" s="191">
        <v>0.28999999999999998</v>
      </c>
      <c r="N182" s="191">
        <v>0.56000000000000005</v>
      </c>
      <c r="O182" s="191">
        <v>0.44</v>
      </c>
      <c r="P182" s="191">
        <v>0.06</v>
      </c>
      <c r="Q182" s="380"/>
      <c r="R182" s="287">
        <v>31</v>
      </c>
      <c r="S182" s="176">
        <v>1.0416666666666666E-2</v>
      </c>
      <c r="T182" s="381">
        <v>1</v>
      </c>
      <c r="U182" s="120" t="str">
        <f t="shared" si="13"/>
        <v>Normal</v>
      </c>
      <c r="V182" s="120" t="str">
        <f t="shared" si="14"/>
        <v>Outlier</v>
      </c>
      <c r="W182" s="81">
        <f t="shared" si="15"/>
        <v>0</v>
      </c>
      <c r="X182" s="81">
        <f t="shared" si="16"/>
        <v>0</v>
      </c>
      <c r="Y182" s="280"/>
    </row>
    <row r="183" spans="1:25">
      <c r="A183" s="382">
        <v>45564</v>
      </c>
      <c r="B183" s="411">
        <f>IF(YEAR(Table7[[#This Row],[Date]]) = 2023, WEEKNUM(Table7[[#This Row],[Date]])-13, WEEKNUM(Table7[[#This Row],[Date]])+40)</f>
        <v>26</v>
      </c>
      <c r="C183" s="203" t="s">
        <v>53</v>
      </c>
      <c r="D183" s="203" t="s">
        <v>94</v>
      </c>
      <c r="E183" s="379">
        <v>170</v>
      </c>
      <c r="F183" s="379">
        <v>97</v>
      </c>
      <c r="G183" s="350">
        <f t="shared" ref="G183:H183" si="96">IFERROR((E183-E176)/E176,0%)</f>
        <v>-0.19811320754716982</v>
      </c>
      <c r="H183" s="350">
        <f t="shared" si="96"/>
        <v>0.18292682926829268</v>
      </c>
      <c r="I183" s="379">
        <f>E183+I182</f>
        <v>2884</v>
      </c>
      <c r="J183" s="386">
        <f>F183+J182</f>
        <v>1255</v>
      </c>
      <c r="K183" s="379">
        <f t="shared" si="93"/>
        <v>7467</v>
      </c>
      <c r="L183" s="379">
        <f t="shared" si="94"/>
        <v>3169</v>
      </c>
      <c r="M183" s="191">
        <v>0.4</v>
      </c>
      <c r="N183" s="191">
        <v>0.43</v>
      </c>
      <c r="O183" s="191">
        <v>0.56999999999999995</v>
      </c>
      <c r="P183" s="191">
        <v>0.77</v>
      </c>
      <c r="Q183" s="380"/>
      <c r="R183" s="383">
        <v>22</v>
      </c>
      <c r="S183" s="384">
        <v>0.14375000000000002</v>
      </c>
      <c r="T183" s="385">
        <v>1</v>
      </c>
      <c r="U183" s="120" t="str">
        <f t="shared" si="13"/>
        <v>Outlier</v>
      </c>
      <c r="V183" s="120" t="str">
        <f t="shared" si="14"/>
        <v>Outlier</v>
      </c>
      <c r="W183" s="81">
        <f t="shared" si="15"/>
        <v>-0.19811320754716982</v>
      </c>
      <c r="X183" s="81">
        <f t="shared" si="16"/>
        <v>0.18292682926829268</v>
      </c>
      <c r="Y183" s="280"/>
    </row>
    <row r="184" spans="1:25">
      <c r="A184" s="382">
        <v>45565</v>
      </c>
      <c r="B184" s="411">
        <f>IF(YEAR(Table7[[#This Row],[Date]]) = 2023, WEEKNUM(Table7[[#This Row],[Date]])-13, WEEKNUM(Table7[[#This Row],[Date]])+40)</f>
        <v>26</v>
      </c>
      <c r="C184" s="203" t="s">
        <v>54</v>
      </c>
      <c r="D184" s="203" t="s">
        <v>94</v>
      </c>
      <c r="E184" s="379">
        <v>112</v>
      </c>
      <c r="F184" s="379">
        <v>54</v>
      </c>
      <c r="G184" s="350">
        <f t="shared" ref="G184:H184" si="97">IFERROR((E184-E177)/E177,0%)</f>
        <v>0.27272727272727271</v>
      </c>
      <c r="H184" s="350">
        <f t="shared" si="97"/>
        <v>-0.26027397260273971</v>
      </c>
      <c r="I184" s="379">
        <f>I183+E184</f>
        <v>2996</v>
      </c>
      <c r="J184" s="379">
        <f>J183+F184</f>
        <v>1309</v>
      </c>
      <c r="K184" s="379">
        <f t="shared" si="93"/>
        <v>7682</v>
      </c>
      <c r="L184" s="379">
        <f t="shared" si="94"/>
        <v>3220</v>
      </c>
      <c r="M184" s="191">
        <v>0.31</v>
      </c>
      <c r="N184" s="191">
        <v>0.52</v>
      </c>
      <c r="O184" s="191">
        <v>0.48</v>
      </c>
      <c r="P184" s="191">
        <v>7.0000000000000007E-2</v>
      </c>
      <c r="Q184" s="380"/>
      <c r="R184" s="287">
        <v>48</v>
      </c>
      <c r="S184" s="176">
        <v>2.2222222222222223E-2</v>
      </c>
      <c r="T184" s="381">
        <v>1</v>
      </c>
      <c r="U184" s="120" t="str">
        <f t="shared" si="13"/>
        <v>Outlier</v>
      </c>
      <c r="V184" s="120" t="str">
        <f t="shared" si="14"/>
        <v>Outlier</v>
      </c>
      <c r="W184" s="81">
        <f t="shared" si="15"/>
        <v>0.27272727272727271</v>
      </c>
      <c r="X184" s="81">
        <f t="shared" si="16"/>
        <v>-0.26027397260273971</v>
      </c>
      <c r="Y184" s="280"/>
    </row>
    <row r="185" spans="1:25" s="47" customFormat="1">
      <c r="A185" s="378">
        <v>45200</v>
      </c>
      <c r="B185" s="386">
        <f>IF(YEAR(Table7[[#This Row],[Date]]) = 2023, WEEKNUM(Table7[[#This Row],[Date]])-13, WEEKNUM(Table7[[#This Row],[Date]])+40)</f>
        <v>27</v>
      </c>
      <c r="C185" s="203" t="s">
        <v>48</v>
      </c>
      <c r="D185" s="203" t="s">
        <v>94</v>
      </c>
      <c r="E185" s="379">
        <v>0</v>
      </c>
      <c r="F185" s="379">
        <v>0</v>
      </c>
      <c r="G185" s="350">
        <v>0</v>
      </c>
      <c r="H185" s="350">
        <v>0</v>
      </c>
      <c r="I185" s="379">
        <v>0</v>
      </c>
      <c r="J185" s="379">
        <v>0</v>
      </c>
      <c r="K185" s="379">
        <v>0</v>
      </c>
      <c r="L185" s="379">
        <v>0</v>
      </c>
      <c r="M185" s="191">
        <v>0</v>
      </c>
      <c r="N185" s="191">
        <v>0</v>
      </c>
      <c r="O185" s="191">
        <v>0</v>
      </c>
      <c r="P185" s="191">
        <v>0</v>
      </c>
      <c r="Q185" s="380"/>
      <c r="R185" s="287">
        <v>0</v>
      </c>
      <c r="S185" s="176">
        <v>0</v>
      </c>
      <c r="T185" s="381">
        <v>0</v>
      </c>
      <c r="U185" s="120" t="str">
        <f t="shared" si="13"/>
        <v>Normal</v>
      </c>
      <c r="V185" s="120" t="str">
        <f t="shared" si="14"/>
        <v>Normal</v>
      </c>
      <c r="W185" s="81">
        <f t="shared" si="15"/>
        <v>0</v>
      </c>
      <c r="X185" s="81">
        <f t="shared" si="16"/>
        <v>0</v>
      </c>
      <c r="Y185" s="280"/>
    </row>
    <row r="186" spans="1:25">
      <c r="A186" s="378">
        <v>45201</v>
      </c>
      <c r="B186" s="386">
        <f>IF(YEAR(Table7[[#This Row],[Date]]) = 2023, WEEKNUM(Table7[[#This Row],[Date]])-13, WEEKNUM(Table7[[#This Row],[Date]])+40)</f>
        <v>27</v>
      </c>
      <c r="C186" s="203" t="s">
        <v>49</v>
      </c>
      <c r="D186" s="203" t="s">
        <v>94</v>
      </c>
      <c r="E186" s="379">
        <v>210</v>
      </c>
      <c r="F186" s="379">
        <v>103</v>
      </c>
      <c r="G186" s="350">
        <f t="shared" ref="G186:G191" si="98">IFERROR((E186-E179)/E179,0%)</f>
        <v>-7.4889867841409691E-2</v>
      </c>
      <c r="H186" s="350">
        <f t="shared" ref="H186:H191" si="99">IFERROR((F186-F179)/F179,0%)</f>
        <v>0.18390804597701149</v>
      </c>
      <c r="I186" s="379">
        <f>E186</f>
        <v>210</v>
      </c>
      <c r="J186" s="379">
        <f>F186</f>
        <v>103</v>
      </c>
      <c r="K186" s="379">
        <f>K184+E186</f>
        <v>7892</v>
      </c>
      <c r="L186" s="379">
        <f>L184+F186</f>
        <v>3323</v>
      </c>
      <c r="M186" s="191">
        <v>0</v>
      </c>
      <c r="N186" s="191">
        <v>0.51</v>
      </c>
      <c r="O186" s="191">
        <v>0.49</v>
      </c>
      <c r="P186" s="191">
        <v>0.2</v>
      </c>
      <c r="Q186" s="380"/>
      <c r="R186" s="383">
        <v>51</v>
      </c>
      <c r="S186" s="384">
        <v>4.5833333333333337E-2</v>
      </c>
      <c r="T186" s="385">
        <v>1</v>
      </c>
      <c r="U186" s="120" t="str">
        <f t="shared" si="13"/>
        <v>Outlier</v>
      </c>
      <c r="V186" s="120" t="str">
        <f t="shared" si="14"/>
        <v>Outlier</v>
      </c>
      <c r="W186" s="81">
        <f t="shared" si="15"/>
        <v>-7.4889867841409691E-2</v>
      </c>
      <c r="X186" s="81">
        <f t="shared" si="16"/>
        <v>0.18390804597701149</v>
      </c>
      <c r="Y186" s="280"/>
    </row>
    <row r="187" spans="1:25">
      <c r="A187" s="378">
        <v>45202</v>
      </c>
      <c r="B187" s="386">
        <f>IF(YEAR(Table7[[#This Row],[Date]]) = 2023, WEEKNUM(Table7[[#This Row],[Date]])-13, WEEKNUM(Table7[[#This Row],[Date]])+40)</f>
        <v>27</v>
      </c>
      <c r="C187" s="203" t="s">
        <v>50</v>
      </c>
      <c r="D187" s="203" t="s">
        <v>94</v>
      </c>
      <c r="E187" s="379">
        <v>202</v>
      </c>
      <c r="F187" s="379">
        <v>119</v>
      </c>
      <c r="G187" s="350">
        <f t="shared" si="98"/>
        <v>-0.15126050420168066</v>
      </c>
      <c r="H187" s="350">
        <f t="shared" si="99"/>
        <v>0.36781609195402298</v>
      </c>
      <c r="I187" s="379">
        <f>I186+E187</f>
        <v>412</v>
      </c>
      <c r="J187" s="379">
        <f>J186+F187</f>
        <v>222</v>
      </c>
      <c r="K187" s="379">
        <f>K186+E187</f>
        <v>8094</v>
      </c>
      <c r="L187" s="379">
        <f>L186+F187</f>
        <v>3442</v>
      </c>
      <c r="M187" s="191">
        <v>0.49009999999999998</v>
      </c>
      <c r="N187" s="191">
        <v>0.56000000000000005</v>
      </c>
      <c r="O187" s="191">
        <v>0.44</v>
      </c>
      <c r="P187" s="191">
        <v>0.16</v>
      </c>
      <c r="Q187" s="380"/>
      <c r="R187" s="287">
        <v>43</v>
      </c>
      <c r="S187" s="176">
        <v>2.1527777777777781E-2</v>
      </c>
      <c r="T187" s="381">
        <v>1</v>
      </c>
      <c r="U187" s="120" t="str">
        <f t="shared" si="13"/>
        <v>Outlier</v>
      </c>
      <c r="V187" s="120" t="str">
        <f t="shared" si="14"/>
        <v>Outlier</v>
      </c>
      <c r="W187" s="81">
        <f t="shared" si="15"/>
        <v>-0.15126050420168066</v>
      </c>
      <c r="X187" s="81">
        <f t="shared" si="16"/>
        <v>0.36781609195402298</v>
      </c>
      <c r="Y187" s="280"/>
    </row>
    <row r="188" spans="1:25">
      <c r="A188" s="378">
        <v>45203</v>
      </c>
      <c r="B188" s="386">
        <f>IF(YEAR(Table7[[#This Row],[Date]]) = 2023, WEEKNUM(Table7[[#This Row],[Date]])-13, WEEKNUM(Table7[[#This Row],[Date]])+40)</f>
        <v>27</v>
      </c>
      <c r="C188" s="203" t="s">
        <v>51</v>
      </c>
      <c r="D188" s="203" t="s">
        <v>94</v>
      </c>
      <c r="E188" s="379">
        <v>79</v>
      </c>
      <c r="F188" s="379">
        <v>55</v>
      </c>
      <c r="G188" s="350">
        <f t="shared" si="98"/>
        <v>-0.58638743455497377</v>
      </c>
      <c r="H188" s="350">
        <f t="shared" si="99"/>
        <v>-0.40860215053763443</v>
      </c>
      <c r="I188" s="379">
        <f t="shared" ref="I188:I189" si="100">I186+E188</f>
        <v>289</v>
      </c>
      <c r="J188" s="379">
        <f t="shared" ref="J188:J189" si="101">J186+F188</f>
        <v>158</v>
      </c>
      <c r="K188" s="379">
        <f t="shared" ref="K188:K191" si="102">K186+E188</f>
        <v>7971</v>
      </c>
      <c r="L188" s="379">
        <f t="shared" ref="L188:L191" si="103">L186+F188</f>
        <v>3378</v>
      </c>
      <c r="M188" s="191">
        <v>0.54430000000000001</v>
      </c>
      <c r="N188" s="191">
        <v>0.59</v>
      </c>
      <c r="O188" s="191">
        <v>0.41</v>
      </c>
      <c r="P188" s="191">
        <v>0.08</v>
      </c>
      <c r="Q188" s="380"/>
      <c r="R188" s="287">
        <v>25</v>
      </c>
      <c r="S188" s="176">
        <v>1.1805555555555555E-2</v>
      </c>
      <c r="T188" s="381">
        <v>1</v>
      </c>
      <c r="U188" s="120" t="str">
        <f t="shared" si="13"/>
        <v>Outlier</v>
      </c>
      <c r="V188" s="120" t="str">
        <f t="shared" si="14"/>
        <v>Outlier</v>
      </c>
      <c r="W188" s="81">
        <f t="shared" si="15"/>
        <v>-0.58638743455497377</v>
      </c>
      <c r="X188" s="81">
        <f t="shared" si="16"/>
        <v>-0.40860215053763443</v>
      </c>
      <c r="Y188" s="280"/>
    </row>
    <row r="189" spans="1:25">
      <c r="A189" s="378">
        <v>45204</v>
      </c>
      <c r="B189" s="386">
        <f>IF(YEAR(Table7[[#This Row],[Date]]) = 2023, WEEKNUM(Table7[[#This Row],[Date]])-13, WEEKNUM(Table7[[#This Row],[Date]])+40)</f>
        <v>27</v>
      </c>
      <c r="C189" s="203" t="s">
        <v>52</v>
      </c>
      <c r="D189" s="203" t="s">
        <v>94</v>
      </c>
      <c r="E189" s="379">
        <v>199</v>
      </c>
      <c r="F189" s="379">
        <v>81</v>
      </c>
      <c r="G189" s="350">
        <f t="shared" si="98"/>
        <v>-0.11946902654867257</v>
      </c>
      <c r="H189" s="350">
        <f t="shared" si="99"/>
        <v>-0.19</v>
      </c>
      <c r="I189" s="379">
        <f t="shared" si="100"/>
        <v>611</v>
      </c>
      <c r="J189" s="379">
        <f t="shared" si="101"/>
        <v>303</v>
      </c>
      <c r="K189" s="379">
        <f t="shared" si="102"/>
        <v>8293</v>
      </c>
      <c r="L189" s="379">
        <f t="shared" si="103"/>
        <v>3523</v>
      </c>
      <c r="M189" s="191">
        <v>0.25</v>
      </c>
      <c r="N189" s="191">
        <v>0.52</v>
      </c>
      <c r="O189" s="191">
        <v>0.48</v>
      </c>
      <c r="P189" s="191">
        <v>0.09</v>
      </c>
      <c r="Q189" s="380"/>
      <c r="R189" s="287">
        <v>25</v>
      </c>
      <c r="S189" s="176">
        <v>6.9444444444444434E-2</v>
      </c>
      <c r="T189" s="381">
        <v>1</v>
      </c>
      <c r="U189" s="120" t="str">
        <f t="shared" si="13"/>
        <v>Outlier</v>
      </c>
      <c r="V189" s="120" t="str">
        <f t="shared" si="14"/>
        <v>Outlier</v>
      </c>
      <c r="W189" s="81">
        <f t="shared" si="15"/>
        <v>-0.11946902654867257</v>
      </c>
      <c r="X189" s="81">
        <f t="shared" si="16"/>
        <v>-0.19</v>
      </c>
      <c r="Y189" s="280"/>
    </row>
    <row r="190" spans="1:25">
      <c r="A190" s="378">
        <v>45205</v>
      </c>
      <c r="B190" s="386">
        <f>IF(YEAR(Table7[[#This Row],[Date]]) = 2023, WEEKNUM(Table7[[#This Row],[Date]])-13, WEEKNUM(Table7[[#This Row],[Date]])+40)</f>
        <v>27</v>
      </c>
      <c r="C190" s="203" t="s">
        <v>53</v>
      </c>
      <c r="D190" s="203" t="s">
        <v>94</v>
      </c>
      <c r="E190" s="379">
        <v>199</v>
      </c>
      <c r="F190" s="379">
        <v>96</v>
      </c>
      <c r="G190" s="350">
        <f t="shared" si="98"/>
        <v>0.17058823529411765</v>
      </c>
      <c r="H190" s="350">
        <f t="shared" si="99"/>
        <v>-1.0309278350515464E-2</v>
      </c>
      <c r="I190" s="379">
        <f>E190+I189</f>
        <v>810</v>
      </c>
      <c r="J190" s="379">
        <f>F190+J189</f>
        <v>399</v>
      </c>
      <c r="K190" s="379">
        <f t="shared" si="102"/>
        <v>8170</v>
      </c>
      <c r="L190" s="379">
        <f t="shared" si="103"/>
        <v>3474</v>
      </c>
      <c r="M190" s="191">
        <v>0.24</v>
      </c>
      <c r="N190" s="191">
        <v>0.52</v>
      </c>
      <c r="O190" s="191">
        <v>0.48</v>
      </c>
      <c r="P190" s="191">
        <v>0.61</v>
      </c>
      <c r="Q190" s="380"/>
      <c r="R190" s="287">
        <v>199</v>
      </c>
      <c r="S190" s="176">
        <v>3.4722222222222224E-2</v>
      </c>
      <c r="T190" s="381">
        <v>1</v>
      </c>
      <c r="U190" s="120" t="str">
        <f t="shared" si="13"/>
        <v>Outlier</v>
      </c>
      <c r="V190" s="120" t="str">
        <f t="shared" si="14"/>
        <v>Outlier</v>
      </c>
      <c r="W190" s="81">
        <f t="shared" si="15"/>
        <v>0.17058823529411765</v>
      </c>
      <c r="X190" s="81">
        <f t="shared" si="16"/>
        <v>-1.0309278350515464E-2</v>
      </c>
      <c r="Y190" s="280"/>
    </row>
    <row r="191" spans="1:25">
      <c r="A191" s="378">
        <v>45206</v>
      </c>
      <c r="B191" s="386">
        <f>IF(YEAR(Table7[[#This Row],[Date]]) = 2023, WEEKNUM(Table7[[#This Row],[Date]])-13, WEEKNUM(Table7[[#This Row],[Date]])+40)</f>
        <v>27</v>
      </c>
      <c r="C191" s="203" t="s">
        <v>54</v>
      </c>
      <c r="D191" s="203" t="s">
        <v>94</v>
      </c>
      <c r="E191" s="379">
        <v>110</v>
      </c>
      <c r="F191" s="379">
        <v>80</v>
      </c>
      <c r="G191" s="350">
        <f t="shared" si="98"/>
        <v>-1.7857142857142856E-2</v>
      </c>
      <c r="H191" s="350">
        <f t="shared" si="99"/>
        <v>0.48148148148148145</v>
      </c>
      <c r="I191" s="379">
        <f>I190+E191</f>
        <v>920</v>
      </c>
      <c r="J191" s="379">
        <f>J190+F191</f>
        <v>479</v>
      </c>
      <c r="K191" s="379">
        <f t="shared" si="102"/>
        <v>8403</v>
      </c>
      <c r="L191" s="379">
        <f t="shared" si="103"/>
        <v>3603</v>
      </c>
      <c r="M191" s="191">
        <v>0.54</v>
      </c>
      <c r="N191" s="191">
        <v>0.27</v>
      </c>
      <c r="O191" s="191">
        <v>0.73</v>
      </c>
      <c r="P191" s="191">
        <v>0.25</v>
      </c>
      <c r="Q191" s="380"/>
      <c r="R191" s="287">
        <v>82</v>
      </c>
      <c r="S191" s="176">
        <v>2.361111111111111E-2</v>
      </c>
      <c r="T191" s="381">
        <v>1</v>
      </c>
      <c r="U191" s="120" t="str">
        <f t="shared" si="13"/>
        <v>Outlier</v>
      </c>
      <c r="V191" s="120" t="str">
        <f t="shared" si="14"/>
        <v>Outlier</v>
      </c>
      <c r="W191" s="81">
        <f t="shared" si="15"/>
        <v>-1.7857142857142856E-2</v>
      </c>
      <c r="X191" s="81">
        <f t="shared" si="16"/>
        <v>0.48148148148148145</v>
      </c>
      <c r="Y191" s="280"/>
    </row>
    <row r="192" spans="1:25">
      <c r="A192" s="378">
        <v>45207</v>
      </c>
      <c r="B192" s="386">
        <f>IF(YEAR(Table7[[#This Row],[Date]]) = 2023, WEEKNUM(Table7[[#This Row],[Date]])-13, WEEKNUM(Table7[[#This Row],[Date]])+40)</f>
        <v>28</v>
      </c>
      <c r="C192" s="203" t="s">
        <v>48</v>
      </c>
      <c r="D192" s="203" t="s">
        <v>94</v>
      </c>
      <c r="E192" s="379">
        <v>0</v>
      </c>
      <c r="F192" s="379">
        <v>0</v>
      </c>
      <c r="G192" s="350">
        <v>0</v>
      </c>
      <c r="H192" s="350">
        <v>0</v>
      </c>
      <c r="I192" s="379">
        <v>0</v>
      </c>
      <c r="J192" s="379">
        <v>0</v>
      </c>
      <c r="K192" s="379">
        <v>0</v>
      </c>
      <c r="L192" s="379">
        <v>0</v>
      </c>
      <c r="M192" s="191">
        <v>0</v>
      </c>
      <c r="N192" s="191">
        <v>0</v>
      </c>
      <c r="O192" s="191">
        <v>0</v>
      </c>
      <c r="P192" s="191">
        <v>0</v>
      </c>
      <c r="Q192" s="380"/>
      <c r="R192" s="287">
        <v>0</v>
      </c>
      <c r="S192" s="176">
        <v>0</v>
      </c>
      <c r="T192" s="381">
        <v>0</v>
      </c>
      <c r="U192" s="120" t="str">
        <f t="shared" si="13"/>
        <v>Normal</v>
      </c>
      <c r="V192" s="120" t="str">
        <f t="shared" si="14"/>
        <v>Normal</v>
      </c>
      <c r="W192" s="81">
        <f t="shared" si="15"/>
        <v>0</v>
      </c>
      <c r="X192" s="81">
        <f t="shared" si="16"/>
        <v>0</v>
      </c>
      <c r="Y192" s="280"/>
    </row>
    <row r="193" spans="1:25">
      <c r="A193" s="378">
        <v>45208</v>
      </c>
      <c r="B193" s="386">
        <f>IF(YEAR(Table7[[#This Row],[Date]]) = 2023, WEEKNUM(Table7[[#This Row],[Date]])-13, WEEKNUM(Table7[[#This Row],[Date]])+40)</f>
        <v>28</v>
      </c>
      <c r="C193" s="203" t="s">
        <v>64</v>
      </c>
      <c r="D193" s="203" t="s">
        <v>94</v>
      </c>
      <c r="E193" s="379">
        <v>0</v>
      </c>
      <c r="F193" s="379">
        <v>0</v>
      </c>
      <c r="G193" s="350">
        <v>0</v>
      </c>
      <c r="H193" s="350">
        <v>0</v>
      </c>
      <c r="I193" s="379">
        <v>0</v>
      </c>
      <c r="J193" s="379">
        <v>0</v>
      </c>
      <c r="K193" s="379">
        <v>0</v>
      </c>
      <c r="L193" s="379">
        <v>0</v>
      </c>
      <c r="M193" s="191">
        <v>0</v>
      </c>
      <c r="N193" s="191">
        <v>0</v>
      </c>
      <c r="O193" s="191">
        <v>0</v>
      </c>
      <c r="P193" s="191">
        <v>0</v>
      </c>
      <c r="Q193" s="380"/>
      <c r="R193" s="383">
        <v>0</v>
      </c>
      <c r="S193" s="384">
        <v>0</v>
      </c>
      <c r="T193" s="385">
        <v>0</v>
      </c>
      <c r="U193" s="120" t="str">
        <f t="shared" si="13"/>
        <v>Normal</v>
      </c>
      <c r="V193" s="120" t="str">
        <f t="shared" si="14"/>
        <v>Normal</v>
      </c>
      <c r="W193" s="81">
        <f t="shared" si="15"/>
        <v>0</v>
      </c>
      <c r="X193" s="81">
        <f t="shared" si="16"/>
        <v>0</v>
      </c>
      <c r="Y193" s="280"/>
    </row>
    <row r="194" spans="1:25">
      <c r="A194" s="378">
        <v>45209</v>
      </c>
      <c r="B194" s="386">
        <f>IF(YEAR(Table7[[#This Row],[Date]]) = 2023, WEEKNUM(Table7[[#This Row],[Date]])-13, WEEKNUM(Table7[[#This Row],[Date]])+40)</f>
        <v>28</v>
      </c>
      <c r="C194" s="203" t="s">
        <v>50</v>
      </c>
      <c r="D194" s="203" t="s">
        <v>94</v>
      </c>
      <c r="E194" s="379">
        <v>227</v>
      </c>
      <c r="F194" s="379">
        <v>107</v>
      </c>
      <c r="G194" s="350">
        <f t="shared" ref="G194:G217" si="104">IFERROR((E194-E187)/E187,0%)</f>
        <v>0.12376237623762376</v>
      </c>
      <c r="H194" s="350">
        <f t="shared" ref="H194:H217" si="105">IFERROR((F194-F187)/F187,0%)</f>
        <v>-0.10084033613445378</v>
      </c>
      <c r="I194" s="379">
        <f>E194+I191</f>
        <v>1147</v>
      </c>
      <c r="J194" s="379">
        <f>F194+J191</f>
        <v>586</v>
      </c>
      <c r="K194" s="379">
        <f>K191+E194</f>
        <v>8630</v>
      </c>
      <c r="L194" s="379">
        <f>L191+F194</f>
        <v>3710</v>
      </c>
      <c r="M194" s="191">
        <v>0.27</v>
      </c>
      <c r="N194" s="191">
        <v>0.53</v>
      </c>
      <c r="O194" s="191">
        <v>0.47</v>
      </c>
      <c r="P194" s="191">
        <v>1.08</v>
      </c>
      <c r="Q194" s="380"/>
      <c r="R194" s="287">
        <v>262</v>
      </c>
      <c r="S194" s="176">
        <v>0.10347222222222223</v>
      </c>
      <c r="T194" s="381">
        <v>1</v>
      </c>
      <c r="U194" s="120" t="str">
        <f t="shared" si="13"/>
        <v>Outlier</v>
      </c>
      <c r="V194" s="120" t="str">
        <f t="shared" si="14"/>
        <v>Outlier</v>
      </c>
      <c r="W194" s="81">
        <f t="shared" si="15"/>
        <v>0.12376237623762376</v>
      </c>
      <c r="X194" s="81">
        <f t="shared" si="16"/>
        <v>-0.10084033613445378</v>
      </c>
      <c r="Y194" s="280"/>
    </row>
    <row r="195" spans="1:25">
      <c r="A195" s="378">
        <v>45210</v>
      </c>
      <c r="B195" s="386">
        <f>IF(YEAR(Table7[[#This Row],[Date]]) = 2023, WEEKNUM(Table7[[#This Row],[Date]])-13, WEEKNUM(Table7[[#This Row],[Date]])+40)</f>
        <v>28</v>
      </c>
      <c r="C195" s="203" t="s">
        <v>51</v>
      </c>
      <c r="D195" s="203" t="s">
        <v>94</v>
      </c>
      <c r="E195" s="379">
        <v>181</v>
      </c>
      <c r="F195" s="379">
        <v>117</v>
      </c>
      <c r="G195" s="350">
        <f t="shared" si="104"/>
        <v>1.2911392405063291</v>
      </c>
      <c r="H195" s="350">
        <f t="shared" si="105"/>
        <v>1.1272727272727272</v>
      </c>
      <c r="I195" s="379">
        <f>I194+E195</f>
        <v>1328</v>
      </c>
      <c r="J195" s="379">
        <f>J194+F195</f>
        <v>703</v>
      </c>
      <c r="K195" s="379">
        <f>K194+E195</f>
        <v>8811</v>
      </c>
      <c r="L195" s="379">
        <f>L194+F195</f>
        <v>3827</v>
      </c>
      <c r="M195" s="191">
        <v>0.39</v>
      </c>
      <c r="N195" s="191">
        <v>0.35</v>
      </c>
      <c r="O195" s="191">
        <v>0.65</v>
      </c>
      <c r="P195" s="191">
        <v>0.93</v>
      </c>
      <c r="Q195" s="380"/>
      <c r="R195" s="287">
        <v>205</v>
      </c>
      <c r="S195" s="176">
        <v>4.7916666666666663E-2</v>
      </c>
      <c r="T195" s="381">
        <v>1</v>
      </c>
      <c r="U195" s="120" t="str">
        <f t="shared" ref="U195:U258" si="106">IF(OR(H195&lt;$AJ$5,H195&gt;$AK$5), "Outlier", "Normal")</f>
        <v>Outlier</v>
      </c>
      <c r="V195" s="120" t="str">
        <f t="shared" ref="V195:V258" si="107">IF(OR(I195&lt;$AJ$6,I195&gt;$AK$6), "Outlier", "Normal")</f>
        <v>Outlier</v>
      </c>
      <c r="W195" s="81">
        <f t="shared" ref="W195:W258" si="108">IF(U195="Normal",$G195,IF($G195&lt;150%, $G195, $AA$9))</f>
        <v>1.2911392405063291</v>
      </c>
      <c r="X195" s="81">
        <f t="shared" ref="X195:X258" si="109">IF(V195="Normal",$H195,IF($H195&lt;150%, $H195, $AE$9))</f>
        <v>1.1272727272727272</v>
      </c>
      <c r="Y195" s="280"/>
    </row>
    <row r="196" spans="1:25">
      <c r="A196" s="378">
        <v>45211</v>
      </c>
      <c r="B196" s="386">
        <f>IF(YEAR(Table7[[#This Row],[Date]]) = 2023, WEEKNUM(Table7[[#This Row],[Date]])-13, WEEKNUM(Table7[[#This Row],[Date]])+40)</f>
        <v>28</v>
      </c>
      <c r="C196" s="203" t="s">
        <v>52</v>
      </c>
      <c r="D196" s="203" t="s">
        <v>94</v>
      </c>
      <c r="E196" s="379">
        <v>209</v>
      </c>
      <c r="F196" s="379">
        <v>113</v>
      </c>
      <c r="G196" s="350">
        <f t="shared" si="104"/>
        <v>5.0251256281407038E-2</v>
      </c>
      <c r="H196" s="350">
        <f t="shared" si="105"/>
        <v>0.39506172839506171</v>
      </c>
      <c r="I196" s="379">
        <f t="shared" ref="I196:I197" si="110">I194+E196</f>
        <v>1356</v>
      </c>
      <c r="J196" s="379">
        <f t="shared" ref="J196:J197" si="111">J194+F196</f>
        <v>699</v>
      </c>
      <c r="K196" s="379">
        <f t="shared" ref="K196:K197" si="112">K194+E196</f>
        <v>8839</v>
      </c>
      <c r="L196" s="379">
        <f t="shared" ref="L196:L197" si="113">L194+F196</f>
        <v>3823</v>
      </c>
      <c r="M196" s="191">
        <v>0.31</v>
      </c>
      <c r="N196" s="191">
        <v>0.46</v>
      </c>
      <c r="O196" s="191">
        <v>0.54</v>
      </c>
      <c r="P196" s="191">
        <v>0.33</v>
      </c>
      <c r="Q196" s="380"/>
      <c r="R196" s="287">
        <v>75</v>
      </c>
      <c r="S196" s="176">
        <v>2.6388888888888889E-2</v>
      </c>
      <c r="T196" s="381">
        <v>1</v>
      </c>
      <c r="U196" s="120" t="str">
        <f t="shared" si="106"/>
        <v>Outlier</v>
      </c>
      <c r="V196" s="120" t="str">
        <f t="shared" si="107"/>
        <v>Outlier</v>
      </c>
      <c r="W196" s="81">
        <f t="shared" si="108"/>
        <v>5.0251256281407038E-2</v>
      </c>
      <c r="X196" s="81">
        <f t="shared" si="109"/>
        <v>0.39506172839506171</v>
      </c>
      <c r="Y196" s="280"/>
    </row>
    <row r="197" spans="1:25">
      <c r="A197" s="378">
        <v>45212</v>
      </c>
      <c r="B197" s="386">
        <f>IF(YEAR(Table7[[#This Row],[Date]]) = 2023, WEEKNUM(Table7[[#This Row],[Date]])-13, WEEKNUM(Table7[[#This Row],[Date]])+40)</f>
        <v>28</v>
      </c>
      <c r="C197" s="203" t="s">
        <v>53</v>
      </c>
      <c r="D197" s="203" t="s">
        <v>94</v>
      </c>
      <c r="E197" s="379">
        <v>214</v>
      </c>
      <c r="F197" s="379">
        <v>100</v>
      </c>
      <c r="G197" s="350">
        <f t="shared" si="104"/>
        <v>7.5376884422110546E-2</v>
      </c>
      <c r="H197" s="350">
        <f t="shared" si="105"/>
        <v>4.1666666666666664E-2</v>
      </c>
      <c r="I197" s="379">
        <f t="shared" si="110"/>
        <v>1542</v>
      </c>
      <c r="J197" s="379">
        <f t="shared" si="111"/>
        <v>803</v>
      </c>
      <c r="K197" s="379">
        <f t="shared" si="112"/>
        <v>9025</v>
      </c>
      <c r="L197" s="379">
        <f t="shared" si="113"/>
        <v>3927</v>
      </c>
      <c r="M197" s="191">
        <v>0.21</v>
      </c>
      <c r="N197" s="191">
        <v>0.53</v>
      </c>
      <c r="O197" s="191">
        <v>0.47</v>
      </c>
      <c r="P197" s="191">
        <v>0.22</v>
      </c>
      <c r="Q197" s="380"/>
      <c r="R197" s="287">
        <v>58</v>
      </c>
      <c r="S197" s="176">
        <v>5.0694444444444452E-2</v>
      </c>
      <c r="T197" s="381">
        <v>1</v>
      </c>
      <c r="U197" s="120" t="str">
        <f t="shared" si="106"/>
        <v>Outlier</v>
      </c>
      <c r="V197" s="120" t="str">
        <f t="shared" si="107"/>
        <v>Outlier</v>
      </c>
      <c r="W197" s="81">
        <f t="shared" si="108"/>
        <v>7.5376884422110546E-2</v>
      </c>
      <c r="X197" s="81">
        <f t="shared" si="109"/>
        <v>4.1666666666666664E-2</v>
      </c>
      <c r="Y197" s="280"/>
    </row>
    <row r="198" spans="1:25">
      <c r="A198" s="378">
        <v>45213</v>
      </c>
      <c r="B198" s="386">
        <f>IF(YEAR(Table7[[#This Row],[Date]]) = 2023, WEEKNUM(Table7[[#This Row],[Date]])-13, WEEKNUM(Table7[[#This Row],[Date]])+40)</f>
        <v>28</v>
      </c>
      <c r="C198" s="203" t="s">
        <v>54</v>
      </c>
      <c r="D198" s="203" t="s">
        <v>94</v>
      </c>
      <c r="E198" s="379">
        <v>102</v>
      </c>
      <c r="F198" s="379">
        <v>53</v>
      </c>
      <c r="G198" s="350">
        <f t="shared" si="104"/>
        <v>-7.2727272727272724E-2</v>
      </c>
      <c r="H198" s="350">
        <f t="shared" si="105"/>
        <v>-0.33750000000000002</v>
      </c>
      <c r="I198" s="379">
        <f>E198+I197</f>
        <v>1644</v>
      </c>
      <c r="J198" s="379">
        <f>F198+J197</f>
        <v>856</v>
      </c>
      <c r="K198" s="379">
        <f>K197+E198</f>
        <v>9127</v>
      </c>
      <c r="L198" s="379">
        <f>L197+F198</f>
        <v>3980</v>
      </c>
      <c r="M198" s="191">
        <v>0.31</v>
      </c>
      <c r="N198" s="191">
        <v>0.48</v>
      </c>
      <c r="O198" s="191">
        <v>0.52</v>
      </c>
      <c r="P198" s="191">
        <v>0.12</v>
      </c>
      <c r="Q198" s="380"/>
      <c r="R198" s="287">
        <v>102</v>
      </c>
      <c r="S198" s="176">
        <v>5.2777777777777778E-2</v>
      </c>
      <c r="T198" s="381">
        <v>1</v>
      </c>
      <c r="U198" s="120" t="str">
        <f t="shared" si="106"/>
        <v>Outlier</v>
      </c>
      <c r="V198" s="120" t="str">
        <f t="shared" si="107"/>
        <v>Outlier</v>
      </c>
      <c r="W198" s="81">
        <f t="shared" si="108"/>
        <v>-7.2727272727272724E-2</v>
      </c>
      <c r="X198" s="81">
        <f t="shared" si="109"/>
        <v>-0.33750000000000002</v>
      </c>
      <c r="Y198" s="280"/>
    </row>
    <row r="199" spans="1:25">
      <c r="A199" s="378">
        <v>45214</v>
      </c>
      <c r="B199" s="386">
        <f>IF(YEAR(Table7[[#This Row],[Date]]) = 2023, WEEKNUM(Table7[[#This Row],[Date]])-13, WEEKNUM(Table7[[#This Row],[Date]])+40)</f>
        <v>29</v>
      </c>
      <c r="C199" s="203" t="s">
        <v>48</v>
      </c>
      <c r="D199" s="203" t="s">
        <v>94</v>
      </c>
      <c r="E199" s="379">
        <v>0</v>
      </c>
      <c r="F199" s="379">
        <v>0</v>
      </c>
      <c r="G199" s="350">
        <f t="shared" si="104"/>
        <v>0</v>
      </c>
      <c r="H199" s="350">
        <f t="shared" si="105"/>
        <v>0</v>
      </c>
      <c r="I199" s="379">
        <v>0</v>
      </c>
      <c r="J199" s="379">
        <v>0</v>
      </c>
      <c r="K199" s="379">
        <v>0</v>
      </c>
      <c r="L199" s="379">
        <v>0</v>
      </c>
      <c r="M199" s="191">
        <v>0</v>
      </c>
      <c r="N199" s="191">
        <v>0</v>
      </c>
      <c r="O199" s="191">
        <v>0</v>
      </c>
      <c r="P199" s="191">
        <v>0</v>
      </c>
      <c r="Q199" s="380"/>
      <c r="R199" s="287">
        <v>0</v>
      </c>
      <c r="S199" s="176">
        <v>0</v>
      </c>
      <c r="T199" s="381">
        <v>0</v>
      </c>
      <c r="U199" s="120" t="str">
        <f t="shared" si="106"/>
        <v>Normal</v>
      </c>
      <c r="V199" s="120" t="str">
        <f t="shared" si="107"/>
        <v>Normal</v>
      </c>
      <c r="W199" s="81">
        <f t="shared" si="108"/>
        <v>0</v>
      </c>
      <c r="X199" s="81">
        <f t="shared" si="109"/>
        <v>0</v>
      </c>
      <c r="Y199" s="280"/>
    </row>
    <row r="200" spans="1:25">
      <c r="A200" s="378">
        <v>45215</v>
      </c>
      <c r="B200" s="386">
        <f>IF(YEAR(Table7[[#This Row],[Date]]) = 2023, WEEKNUM(Table7[[#This Row],[Date]])-13, WEEKNUM(Table7[[#This Row],[Date]])+40)</f>
        <v>29</v>
      </c>
      <c r="C200" s="203" t="s">
        <v>49</v>
      </c>
      <c r="D200" s="203" t="s">
        <v>94</v>
      </c>
      <c r="E200" s="379">
        <v>133</v>
      </c>
      <c r="F200" s="379">
        <v>132</v>
      </c>
      <c r="G200" s="350">
        <f t="shared" si="104"/>
        <v>0</v>
      </c>
      <c r="H200" s="350">
        <f t="shared" si="105"/>
        <v>0</v>
      </c>
      <c r="I200" s="379">
        <f>I198+E200</f>
        <v>1777</v>
      </c>
      <c r="J200" s="379">
        <f>J198+F200</f>
        <v>988</v>
      </c>
      <c r="K200" s="379">
        <f>K198+E200</f>
        <v>9260</v>
      </c>
      <c r="L200" s="379">
        <f>L198+F200</f>
        <v>4112</v>
      </c>
      <c r="M200" s="191">
        <v>0.44</v>
      </c>
      <c r="N200" s="191">
        <v>0.01</v>
      </c>
      <c r="O200" s="191">
        <v>0.99</v>
      </c>
      <c r="P200" s="191">
        <v>0</v>
      </c>
      <c r="Q200" s="380"/>
      <c r="R200" s="383">
        <v>1680</v>
      </c>
      <c r="S200" s="384">
        <v>3.125E-2</v>
      </c>
      <c r="T200" s="385">
        <v>2</v>
      </c>
      <c r="U200" s="120" t="str">
        <f t="shared" si="106"/>
        <v>Normal</v>
      </c>
      <c r="V200" s="120" t="str">
        <f t="shared" si="107"/>
        <v>Outlier</v>
      </c>
      <c r="W200" s="81">
        <f t="shared" si="108"/>
        <v>0</v>
      </c>
      <c r="X200" s="81">
        <f t="shared" si="109"/>
        <v>0</v>
      </c>
      <c r="Y200" s="280"/>
    </row>
    <row r="201" spans="1:25">
      <c r="A201" s="378">
        <v>45216</v>
      </c>
      <c r="B201" s="386">
        <f>IF(YEAR(Table7[[#This Row],[Date]]) = 2023, WEEKNUM(Table7[[#This Row],[Date]])-13, WEEKNUM(Table7[[#This Row],[Date]])+40)</f>
        <v>29</v>
      </c>
      <c r="C201" s="203" t="s">
        <v>50</v>
      </c>
      <c r="D201" s="203" t="s">
        <v>94</v>
      </c>
      <c r="E201" s="379">
        <v>111</v>
      </c>
      <c r="F201" s="379">
        <v>109</v>
      </c>
      <c r="G201" s="350">
        <f t="shared" si="104"/>
        <v>-0.51101321585903081</v>
      </c>
      <c r="H201" s="350">
        <f t="shared" si="105"/>
        <v>1.8691588785046728E-2</v>
      </c>
      <c r="I201" s="379">
        <f>I200+E201</f>
        <v>1888</v>
      </c>
      <c r="J201" s="379">
        <f>J200+F201</f>
        <v>1097</v>
      </c>
      <c r="K201" s="379">
        <f>K200+E201</f>
        <v>9371</v>
      </c>
      <c r="L201" s="379">
        <f>L200+F201</f>
        <v>4221</v>
      </c>
      <c r="M201" s="191">
        <v>0.76</v>
      </c>
      <c r="N201" s="191">
        <v>0.13</v>
      </c>
      <c r="O201" s="191">
        <v>0.87</v>
      </c>
      <c r="P201" s="191">
        <v>0.28999999999999998</v>
      </c>
      <c r="Q201" s="380"/>
      <c r="R201" s="287">
        <v>138</v>
      </c>
      <c r="S201" s="176">
        <v>1.8055555555555557E-2</v>
      </c>
      <c r="T201" s="381">
        <v>2</v>
      </c>
      <c r="U201" s="120" t="str">
        <f t="shared" si="106"/>
        <v>Outlier</v>
      </c>
      <c r="V201" s="120" t="str">
        <f t="shared" si="107"/>
        <v>Outlier</v>
      </c>
      <c r="W201" s="81">
        <f t="shared" si="108"/>
        <v>-0.51101321585903081</v>
      </c>
      <c r="X201" s="81">
        <f t="shared" si="109"/>
        <v>1.8691588785046728E-2</v>
      </c>
      <c r="Y201" s="280"/>
    </row>
    <row r="202" spans="1:25">
      <c r="A202" s="378">
        <v>45217</v>
      </c>
      <c r="B202" s="386">
        <f>IF(YEAR(Table7[[#This Row],[Date]]) = 2023, WEEKNUM(Table7[[#This Row],[Date]])-13, WEEKNUM(Table7[[#This Row],[Date]])+40)</f>
        <v>29</v>
      </c>
      <c r="C202" s="203" t="s">
        <v>51</v>
      </c>
      <c r="D202" s="203" t="s">
        <v>94</v>
      </c>
      <c r="E202" s="379">
        <v>126</v>
      </c>
      <c r="F202" s="379">
        <v>124</v>
      </c>
      <c r="G202" s="350">
        <f t="shared" si="104"/>
        <v>-0.30386740331491713</v>
      </c>
      <c r="H202" s="350">
        <f t="shared" si="105"/>
        <v>5.9829059829059832E-2</v>
      </c>
      <c r="I202" s="379">
        <f t="shared" ref="I202:I203" si="114">I200+E202</f>
        <v>1903</v>
      </c>
      <c r="J202" s="379">
        <f t="shared" ref="J202:J203" si="115">J200+F202</f>
        <v>1112</v>
      </c>
      <c r="K202" s="379">
        <f t="shared" ref="K202:K205" si="116">K200+E202</f>
        <v>9386</v>
      </c>
      <c r="L202" s="379">
        <f t="shared" ref="L202:L205" si="117">L200+F202</f>
        <v>4236</v>
      </c>
      <c r="M202" s="191">
        <v>0.82</v>
      </c>
      <c r="N202" s="191">
        <v>7.0000000000000007E-2</v>
      </c>
      <c r="O202" s="191">
        <v>0.93</v>
      </c>
      <c r="P202" s="191">
        <v>0.47</v>
      </c>
      <c r="Q202" s="380"/>
      <c r="R202" s="287">
        <v>196</v>
      </c>
      <c r="S202" s="176">
        <v>1.8055555555555557E-2</v>
      </c>
      <c r="T202" s="381">
        <v>2</v>
      </c>
      <c r="U202" s="120" t="str">
        <f t="shared" si="106"/>
        <v>Outlier</v>
      </c>
      <c r="V202" s="120" t="str">
        <f t="shared" si="107"/>
        <v>Outlier</v>
      </c>
      <c r="W202" s="81">
        <f t="shared" si="108"/>
        <v>-0.30386740331491713</v>
      </c>
      <c r="X202" s="81">
        <f t="shared" si="109"/>
        <v>5.9829059829059832E-2</v>
      </c>
      <c r="Y202" s="280"/>
    </row>
    <row r="203" spans="1:25">
      <c r="A203" s="378">
        <v>45218</v>
      </c>
      <c r="B203" s="386">
        <f>IF(YEAR(Table7[[#This Row],[Date]]) = 2023, WEEKNUM(Table7[[#This Row],[Date]])-13, WEEKNUM(Table7[[#This Row],[Date]])+40)</f>
        <v>29</v>
      </c>
      <c r="C203" s="203" t="s">
        <v>52</v>
      </c>
      <c r="D203" s="203" t="s">
        <v>94</v>
      </c>
      <c r="E203" s="379">
        <v>133</v>
      </c>
      <c r="F203" s="379">
        <v>131</v>
      </c>
      <c r="G203" s="350">
        <f t="shared" si="104"/>
        <v>-0.36363636363636365</v>
      </c>
      <c r="H203" s="350">
        <f t="shared" si="105"/>
        <v>0.15929203539823009</v>
      </c>
      <c r="I203" s="379">
        <f t="shared" si="114"/>
        <v>2021</v>
      </c>
      <c r="J203" s="379">
        <f t="shared" si="115"/>
        <v>1228</v>
      </c>
      <c r="K203" s="379">
        <f t="shared" si="116"/>
        <v>9504</v>
      </c>
      <c r="L203" s="379">
        <f t="shared" si="117"/>
        <v>4352</v>
      </c>
      <c r="M203" s="191">
        <v>0.8</v>
      </c>
      <c r="N203" s="191">
        <v>0.02</v>
      </c>
      <c r="O203" s="191">
        <v>0.25</v>
      </c>
      <c r="P203" s="191">
        <v>0.75</v>
      </c>
      <c r="Q203" s="380"/>
      <c r="R203" s="287">
        <v>99</v>
      </c>
      <c r="S203" s="176">
        <v>2.2222222222222223E-2</v>
      </c>
      <c r="T203" s="381">
        <v>2</v>
      </c>
      <c r="U203" s="120" t="str">
        <f t="shared" si="106"/>
        <v>Outlier</v>
      </c>
      <c r="V203" s="120" t="str">
        <f t="shared" si="107"/>
        <v>Outlier</v>
      </c>
      <c r="W203" s="81">
        <f t="shared" si="108"/>
        <v>-0.36363636363636365</v>
      </c>
      <c r="X203" s="81">
        <f t="shared" si="109"/>
        <v>0.15929203539823009</v>
      </c>
      <c r="Y203" s="280"/>
    </row>
    <row r="204" spans="1:25">
      <c r="A204" s="378">
        <v>45219</v>
      </c>
      <c r="B204" s="386">
        <f>IF(YEAR(Table7[[#This Row],[Date]]) = 2023, WEEKNUM(Table7[[#This Row],[Date]])-13, WEEKNUM(Table7[[#This Row],[Date]])+40)</f>
        <v>29</v>
      </c>
      <c r="C204" s="203" t="s">
        <v>53</v>
      </c>
      <c r="D204" s="203" t="s">
        <v>94</v>
      </c>
      <c r="E204" s="379">
        <v>86</v>
      </c>
      <c r="F204" s="379">
        <v>83</v>
      </c>
      <c r="G204" s="350">
        <f t="shared" si="104"/>
        <v>-0.59813084112149528</v>
      </c>
      <c r="H204" s="350">
        <f t="shared" si="105"/>
        <v>-0.17</v>
      </c>
      <c r="I204" s="379">
        <f>E204+I203</f>
        <v>2107</v>
      </c>
      <c r="J204" s="379">
        <f>F204+J203</f>
        <v>1311</v>
      </c>
      <c r="K204" s="379">
        <f t="shared" si="116"/>
        <v>9472</v>
      </c>
      <c r="L204" s="379">
        <f t="shared" si="117"/>
        <v>4319</v>
      </c>
      <c r="M204" s="191">
        <v>0.84</v>
      </c>
      <c r="N204" s="191">
        <v>0.03</v>
      </c>
      <c r="O204" s="191">
        <v>0.97</v>
      </c>
      <c r="P204" s="191">
        <v>0.24</v>
      </c>
      <c r="Q204" s="380"/>
      <c r="R204" s="287">
        <v>151</v>
      </c>
      <c r="S204" s="176">
        <v>2.7083333333333334E-2</v>
      </c>
      <c r="T204" s="381">
        <v>2</v>
      </c>
      <c r="U204" s="120" t="str">
        <f t="shared" si="106"/>
        <v>Outlier</v>
      </c>
      <c r="V204" s="120" t="str">
        <f t="shared" si="107"/>
        <v>Outlier</v>
      </c>
      <c r="W204" s="81">
        <f t="shared" si="108"/>
        <v>-0.59813084112149528</v>
      </c>
      <c r="X204" s="81">
        <f t="shared" si="109"/>
        <v>-0.17</v>
      </c>
      <c r="Y204" s="280"/>
    </row>
    <row r="205" spans="1:25">
      <c r="A205" s="378">
        <v>45220</v>
      </c>
      <c r="B205" s="386">
        <f>IF(YEAR(Table7[[#This Row],[Date]]) = 2023, WEEKNUM(Table7[[#This Row],[Date]])-13, WEEKNUM(Table7[[#This Row],[Date]])+40)</f>
        <v>29</v>
      </c>
      <c r="C205" s="203" t="s">
        <v>54</v>
      </c>
      <c r="D205" s="203" t="s">
        <v>94</v>
      </c>
      <c r="E205" s="379">
        <v>58</v>
      </c>
      <c r="F205" s="379">
        <v>57</v>
      </c>
      <c r="G205" s="350">
        <f t="shared" si="104"/>
        <v>-0.43137254901960786</v>
      </c>
      <c r="H205" s="350">
        <f t="shared" si="105"/>
        <v>7.5471698113207544E-2</v>
      </c>
      <c r="I205" s="379">
        <f>I204+E205</f>
        <v>2165</v>
      </c>
      <c r="J205" s="379">
        <f>J204+F205</f>
        <v>1368</v>
      </c>
      <c r="K205" s="379">
        <f t="shared" si="116"/>
        <v>9562</v>
      </c>
      <c r="L205" s="379">
        <f t="shared" si="117"/>
        <v>4409</v>
      </c>
      <c r="M205" s="191">
        <v>0.71</v>
      </c>
      <c r="N205" s="191">
        <v>0.02</v>
      </c>
      <c r="O205" s="191">
        <v>0.98</v>
      </c>
      <c r="P205" s="191">
        <v>0.28000000000000003</v>
      </c>
      <c r="Q205" s="380"/>
      <c r="R205" s="287">
        <v>253</v>
      </c>
      <c r="S205" s="176">
        <v>1.5277777777777777E-2</v>
      </c>
      <c r="T205" s="381">
        <v>2</v>
      </c>
      <c r="U205" s="120" t="str">
        <f t="shared" si="106"/>
        <v>Outlier</v>
      </c>
      <c r="V205" s="120" t="str">
        <f t="shared" si="107"/>
        <v>Outlier</v>
      </c>
      <c r="W205" s="81">
        <f t="shared" si="108"/>
        <v>-0.43137254901960786</v>
      </c>
      <c r="X205" s="81">
        <f t="shared" si="109"/>
        <v>7.5471698113207544E-2</v>
      </c>
      <c r="Y205" s="280"/>
    </row>
    <row r="206" spans="1:25">
      <c r="A206" s="378">
        <v>45221</v>
      </c>
      <c r="B206" s="386">
        <f>IF(YEAR(Table7[[#This Row],[Date]]) = 2023, WEEKNUM(Table7[[#This Row],[Date]])-13, WEEKNUM(Table7[[#This Row],[Date]])+40)</f>
        <v>30</v>
      </c>
      <c r="C206" s="203" t="s">
        <v>48</v>
      </c>
      <c r="D206" s="203" t="s">
        <v>94</v>
      </c>
      <c r="E206" s="379">
        <v>132</v>
      </c>
      <c r="F206" s="379">
        <v>130</v>
      </c>
      <c r="G206" s="350">
        <f t="shared" si="104"/>
        <v>0</v>
      </c>
      <c r="H206" s="350">
        <f t="shared" si="105"/>
        <v>0</v>
      </c>
      <c r="I206" s="379">
        <v>0</v>
      </c>
      <c r="J206" s="379">
        <v>0</v>
      </c>
      <c r="K206" s="379">
        <v>0</v>
      </c>
      <c r="L206" s="379">
        <v>0</v>
      </c>
      <c r="M206" s="191">
        <v>0.83</v>
      </c>
      <c r="N206" s="191">
        <v>0.02</v>
      </c>
      <c r="O206" s="191">
        <v>0.98</v>
      </c>
      <c r="P206" s="191">
        <v>0.23</v>
      </c>
      <c r="Q206" s="380"/>
      <c r="R206" s="287">
        <v>91</v>
      </c>
      <c r="S206" s="176">
        <v>1.4583333333333332E-2</v>
      </c>
      <c r="T206" s="381">
        <v>2</v>
      </c>
      <c r="U206" s="120" t="str">
        <f t="shared" si="106"/>
        <v>Normal</v>
      </c>
      <c r="V206" s="120" t="str">
        <f t="shared" si="107"/>
        <v>Normal</v>
      </c>
      <c r="W206" s="81">
        <f t="shared" si="108"/>
        <v>0</v>
      </c>
      <c r="X206" s="81">
        <f t="shared" si="109"/>
        <v>0</v>
      </c>
      <c r="Y206" s="280"/>
    </row>
    <row r="207" spans="1:25">
      <c r="A207" s="378">
        <v>45222</v>
      </c>
      <c r="B207" s="386">
        <f>IF(YEAR(Table7[[#This Row],[Date]]) = 2023, WEEKNUM(Table7[[#This Row],[Date]])-13, WEEKNUM(Table7[[#This Row],[Date]])+40)</f>
        <v>30</v>
      </c>
      <c r="C207" s="203" t="s">
        <v>49</v>
      </c>
      <c r="D207" s="203" t="s">
        <v>94</v>
      </c>
      <c r="E207" s="379">
        <v>137</v>
      </c>
      <c r="F207" s="379">
        <v>135</v>
      </c>
      <c r="G207" s="350">
        <f t="shared" si="104"/>
        <v>3.007518796992481E-2</v>
      </c>
      <c r="H207" s="350">
        <f t="shared" si="105"/>
        <v>2.2727272727272728E-2</v>
      </c>
      <c r="I207" s="379">
        <f>I205+E207</f>
        <v>2302</v>
      </c>
      <c r="J207" s="379">
        <f>J205+F207</f>
        <v>1503</v>
      </c>
      <c r="K207" s="379">
        <f>K205+E207</f>
        <v>9699</v>
      </c>
      <c r="L207" s="379">
        <f>L205+F207</f>
        <v>4544</v>
      </c>
      <c r="M207" s="191">
        <v>0.79</v>
      </c>
      <c r="N207" s="191">
        <v>0.01</v>
      </c>
      <c r="O207" s="191">
        <v>0.99</v>
      </c>
      <c r="P207" s="191">
        <v>0.22</v>
      </c>
      <c r="Q207" s="380"/>
      <c r="R207" s="287">
        <v>85</v>
      </c>
      <c r="S207" s="176">
        <v>0.16666666666666666</v>
      </c>
      <c r="T207" s="381">
        <v>2</v>
      </c>
      <c r="U207" s="120" t="str">
        <f t="shared" si="106"/>
        <v>Outlier</v>
      </c>
      <c r="V207" s="120" t="str">
        <f t="shared" si="107"/>
        <v>Outlier</v>
      </c>
      <c r="W207" s="81">
        <f t="shared" si="108"/>
        <v>3.007518796992481E-2</v>
      </c>
      <c r="X207" s="81">
        <f t="shared" si="109"/>
        <v>2.2727272727272728E-2</v>
      </c>
      <c r="Y207" s="280"/>
    </row>
    <row r="208" spans="1:25">
      <c r="A208" s="378">
        <v>45223</v>
      </c>
      <c r="B208" s="386">
        <f>IF(YEAR(Table7[[#This Row],[Date]]) = 2023, WEEKNUM(Table7[[#This Row],[Date]])-13, WEEKNUM(Table7[[#This Row],[Date]])+40)</f>
        <v>30</v>
      </c>
      <c r="C208" s="203" t="s">
        <v>50</v>
      </c>
      <c r="D208" s="203" t="s">
        <v>94</v>
      </c>
      <c r="E208" s="379">
        <v>139</v>
      </c>
      <c r="F208" s="379">
        <v>133</v>
      </c>
      <c r="G208" s="350">
        <f t="shared" si="104"/>
        <v>0.25225225225225223</v>
      </c>
      <c r="H208" s="350">
        <f t="shared" si="105"/>
        <v>0.22018348623853212</v>
      </c>
      <c r="I208" s="379">
        <f>I207+E208</f>
        <v>2441</v>
      </c>
      <c r="J208" s="379">
        <f>J207+F208</f>
        <v>1636</v>
      </c>
      <c r="K208" s="379">
        <f>K207+E208</f>
        <v>9838</v>
      </c>
      <c r="L208" s="379">
        <f>L207+F208</f>
        <v>4677</v>
      </c>
      <c r="M208" s="191">
        <v>0.77</v>
      </c>
      <c r="N208" s="191">
        <v>0.04</v>
      </c>
      <c r="O208" s="191">
        <v>0.96</v>
      </c>
      <c r="P208" s="191">
        <v>0.16</v>
      </c>
      <c r="Q208" s="380"/>
      <c r="R208" s="287">
        <v>63</v>
      </c>
      <c r="S208" s="176">
        <v>3.9583333333333331E-2</v>
      </c>
      <c r="T208" s="381">
        <v>2</v>
      </c>
      <c r="U208" s="120" t="str">
        <f t="shared" si="106"/>
        <v>Outlier</v>
      </c>
      <c r="V208" s="120" t="str">
        <f t="shared" si="107"/>
        <v>Outlier</v>
      </c>
      <c r="W208" s="81">
        <f t="shared" si="108"/>
        <v>0.25225225225225223</v>
      </c>
      <c r="X208" s="81">
        <f t="shared" si="109"/>
        <v>0.22018348623853212</v>
      </c>
      <c r="Y208" s="280"/>
    </row>
    <row r="209" spans="1:25">
      <c r="A209" s="378">
        <v>45224</v>
      </c>
      <c r="B209" s="386">
        <f>IF(YEAR(Table7[[#This Row],[Date]]) = 2023, WEEKNUM(Table7[[#This Row],[Date]])-13, WEEKNUM(Table7[[#This Row],[Date]])+40)</f>
        <v>30</v>
      </c>
      <c r="C209" s="203" t="s">
        <v>51</v>
      </c>
      <c r="D209" s="203" t="s">
        <v>94</v>
      </c>
      <c r="E209" s="379">
        <v>137</v>
      </c>
      <c r="F209" s="379">
        <v>134</v>
      </c>
      <c r="G209" s="350">
        <f t="shared" si="104"/>
        <v>8.7301587301587297E-2</v>
      </c>
      <c r="H209" s="350">
        <f t="shared" si="105"/>
        <v>8.0645161290322578E-2</v>
      </c>
      <c r="I209" s="379">
        <f t="shared" ref="I209:I210" si="118">I207+E209</f>
        <v>2439</v>
      </c>
      <c r="J209" s="379">
        <f t="shared" ref="J209:J210" si="119">J207+F209</f>
        <v>1637</v>
      </c>
      <c r="K209" s="379">
        <f t="shared" ref="K209:K212" si="120">K207+E209</f>
        <v>9836</v>
      </c>
      <c r="L209" s="379">
        <f t="shared" ref="L209:L212" si="121">L207+F209</f>
        <v>4678</v>
      </c>
      <c r="M209" s="191">
        <v>0.89</v>
      </c>
      <c r="N209" s="191">
        <v>0.02</v>
      </c>
      <c r="O209" s="191">
        <v>0.98</v>
      </c>
      <c r="P209" s="191">
        <v>0.31</v>
      </c>
      <c r="Q209" s="380"/>
      <c r="R209" s="287">
        <v>118</v>
      </c>
      <c r="S209" s="176">
        <v>8.8888888888888892E-2</v>
      </c>
      <c r="T209" s="381">
        <v>2</v>
      </c>
      <c r="U209" s="120" t="str">
        <f t="shared" si="106"/>
        <v>Outlier</v>
      </c>
      <c r="V209" s="120" t="str">
        <f t="shared" si="107"/>
        <v>Outlier</v>
      </c>
      <c r="W209" s="81">
        <f t="shared" si="108"/>
        <v>8.7301587301587297E-2</v>
      </c>
      <c r="X209" s="81">
        <f t="shared" si="109"/>
        <v>8.0645161290322578E-2</v>
      </c>
      <c r="Y209" s="280"/>
    </row>
    <row r="210" spans="1:25">
      <c r="A210" s="378">
        <v>45225</v>
      </c>
      <c r="B210" s="386">
        <f>IF(YEAR(Table7[[#This Row],[Date]]) = 2023, WEEKNUM(Table7[[#This Row],[Date]])-13, WEEKNUM(Table7[[#This Row],[Date]])+40)</f>
        <v>30</v>
      </c>
      <c r="C210" s="203" t="s">
        <v>52</v>
      </c>
      <c r="D210" s="203" t="s">
        <v>94</v>
      </c>
      <c r="E210" s="379">
        <v>133</v>
      </c>
      <c r="F210" s="379">
        <v>130</v>
      </c>
      <c r="G210" s="350">
        <f t="shared" si="104"/>
        <v>0</v>
      </c>
      <c r="H210" s="350">
        <f t="shared" si="105"/>
        <v>-7.6335877862595417E-3</v>
      </c>
      <c r="I210" s="379">
        <f t="shared" si="118"/>
        <v>2574</v>
      </c>
      <c r="J210" s="379">
        <f t="shared" si="119"/>
        <v>1766</v>
      </c>
      <c r="K210" s="379">
        <f t="shared" si="120"/>
        <v>9971</v>
      </c>
      <c r="L210" s="379">
        <f t="shared" si="121"/>
        <v>4807</v>
      </c>
      <c r="M210" s="191">
        <v>0.65</v>
      </c>
      <c r="N210" s="191">
        <v>0.02</v>
      </c>
      <c r="O210" s="191">
        <v>0.98</v>
      </c>
      <c r="P210" s="191">
        <v>0.28000000000000003</v>
      </c>
      <c r="Q210" s="380"/>
      <c r="R210" s="287">
        <v>112</v>
      </c>
      <c r="S210" s="176">
        <v>1.9444444444444445E-2</v>
      </c>
      <c r="T210" s="381">
        <v>2</v>
      </c>
      <c r="U210" s="120" t="str">
        <f t="shared" si="106"/>
        <v>Outlier</v>
      </c>
      <c r="V210" s="120" t="str">
        <f t="shared" si="107"/>
        <v>Outlier</v>
      </c>
      <c r="W210" s="81">
        <f t="shared" si="108"/>
        <v>0</v>
      </c>
      <c r="X210" s="81">
        <f t="shared" si="109"/>
        <v>-7.6335877862595417E-3</v>
      </c>
      <c r="Y210" s="280"/>
    </row>
    <row r="211" spans="1:25">
      <c r="A211" s="378">
        <v>45226</v>
      </c>
      <c r="B211" s="386">
        <f>IF(YEAR(Table7[[#This Row],[Date]]) = 2023, WEEKNUM(Table7[[#This Row],[Date]])-13, WEEKNUM(Table7[[#This Row],[Date]])+40)</f>
        <v>30</v>
      </c>
      <c r="C211" s="203" t="s">
        <v>53</v>
      </c>
      <c r="D211" s="203" t="s">
        <v>94</v>
      </c>
      <c r="E211" s="379">
        <v>149</v>
      </c>
      <c r="F211" s="379">
        <v>146</v>
      </c>
      <c r="G211" s="350">
        <f t="shared" si="104"/>
        <v>0.73255813953488369</v>
      </c>
      <c r="H211" s="350">
        <f t="shared" si="105"/>
        <v>0.75903614457831325</v>
      </c>
      <c r="I211" s="379">
        <f>E211+I210</f>
        <v>2723</v>
      </c>
      <c r="J211" s="379">
        <f>F211+J210</f>
        <v>1912</v>
      </c>
      <c r="K211" s="379">
        <f t="shared" si="120"/>
        <v>9985</v>
      </c>
      <c r="L211" s="379">
        <f t="shared" si="121"/>
        <v>4824</v>
      </c>
      <c r="M211" s="191">
        <v>0.77</v>
      </c>
      <c r="N211" s="191">
        <v>0.02</v>
      </c>
      <c r="O211" s="191">
        <v>0.98</v>
      </c>
      <c r="P211" s="191">
        <v>0.36</v>
      </c>
      <c r="Q211" s="380"/>
      <c r="R211" s="287">
        <v>128</v>
      </c>
      <c r="S211" s="176">
        <v>4.1666666666666664E-2</v>
      </c>
      <c r="T211" s="381">
        <v>2</v>
      </c>
      <c r="U211" s="120" t="str">
        <f t="shared" si="106"/>
        <v>Outlier</v>
      </c>
      <c r="V211" s="120" t="str">
        <f t="shared" si="107"/>
        <v>Outlier</v>
      </c>
      <c r="W211" s="81">
        <f t="shared" si="108"/>
        <v>0.73255813953488369</v>
      </c>
      <c r="X211" s="81">
        <f t="shared" si="109"/>
        <v>0.75903614457831325</v>
      </c>
      <c r="Y211" s="280"/>
    </row>
    <row r="212" spans="1:25">
      <c r="A212" s="378">
        <v>45227</v>
      </c>
      <c r="B212" s="386">
        <f>IF(YEAR(Table7[[#This Row],[Date]]) = 2023, WEEKNUM(Table7[[#This Row],[Date]])-13, WEEKNUM(Table7[[#This Row],[Date]])+40)</f>
        <v>30</v>
      </c>
      <c r="C212" s="203" t="s">
        <v>54</v>
      </c>
      <c r="D212" s="203" t="s">
        <v>94</v>
      </c>
      <c r="E212" s="379">
        <v>104</v>
      </c>
      <c r="F212" s="379">
        <v>100</v>
      </c>
      <c r="G212" s="350">
        <f t="shared" si="104"/>
        <v>0.7931034482758621</v>
      </c>
      <c r="H212" s="350">
        <f t="shared" si="105"/>
        <v>0.75438596491228072</v>
      </c>
      <c r="I212" s="379">
        <f>I211+E212</f>
        <v>2827</v>
      </c>
      <c r="J212" s="379">
        <f>J211+F212</f>
        <v>2012</v>
      </c>
      <c r="K212" s="379">
        <f t="shared" si="120"/>
        <v>10075</v>
      </c>
      <c r="L212" s="379">
        <f t="shared" si="121"/>
        <v>4907</v>
      </c>
      <c r="M212" s="191">
        <v>0.81</v>
      </c>
      <c r="N212" s="191">
        <v>0.04</v>
      </c>
      <c r="O212" s="191">
        <v>0.96</v>
      </c>
      <c r="P212" s="191">
        <v>0.56000000000000005</v>
      </c>
      <c r="Q212" s="380"/>
      <c r="R212" s="287">
        <v>145</v>
      </c>
      <c r="S212" s="176">
        <v>2.013888888888889E-2</v>
      </c>
      <c r="T212" s="381">
        <v>1</v>
      </c>
      <c r="U212" s="120" t="str">
        <f t="shared" si="106"/>
        <v>Outlier</v>
      </c>
      <c r="V212" s="120" t="str">
        <f t="shared" si="107"/>
        <v>Outlier</v>
      </c>
      <c r="W212" s="81">
        <f t="shared" si="108"/>
        <v>0.7931034482758621</v>
      </c>
      <c r="X212" s="81">
        <f t="shared" si="109"/>
        <v>0.75438596491228072</v>
      </c>
      <c r="Y212" s="280"/>
    </row>
    <row r="213" spans="1:25">
      <c r="A213" s="378">
        <v>45228</v>
      </c>
      <c r="B213" s="386">
        <f>IF(YEAR(Table7[[#This Row],[Date]]) = 2023, WEEKNUM(Table7[[#This Row],[Date]])-13, WEEKNUM(Table7[[#This Row],[Date]])+40)</f>
        <v>31</v>
      </c>
      <c r="C213" s="203" t="s">
        <v>48</v>
      </c>
      <c r="D213" s="203" t="s">
        <v>94</v>
      </c>
      <c r="E213" s="379">
        <v>0</v>
      </c>
      <c r="F213" s="379">
        <v>0</v>
      </c>
      <c r="G213" s="350">
        <v>0</v>
      </c>
      <c r="H213" s="350">
        <v>0</v>
      </c>
      <c r="I213" s="379">
        <v>0</v>
      </c>
      <c r="J213" s="379">
        <v>0</v>
      </c>
      <c r="K213" s="379">
        <v>0</v>
      </c>
      <c r="L213" s="379">
        <v>0</v>
      </c>
      <c r="M213" s="191">
        <v>0</v>
      </c>
      <c r="N213" s="191">
        <v>0</v>
      </c>
      <c r="O213" s="191">
        <v>0</v>
      </c>
      <c r="P213" s="191">
        <v>0</v>
      </c>
      <c r="Q213" s="380"/>
      <c r="R213" s="287">
        <v>0</v>
      </c>
      <c r="S213" s="176">
        <v>0</v>
      </c>
      <c r="T213" s="381">
        <v>0</v>
      </c>
      <c r="U213" s="120" t="str">
        <f t="shared" si="106"/>
        <v>Normal</v>
      </c>
      <c r="V213" s="120" t="str">
        <f t="shared" si="107"/>
        <v>Normal</v>
      </c>
      <c r="W213" s="81">
        <f t="shared" si="108"/>
        <v>0</v>
      </c>
      <c r="X213" s="81">
        <f t="shared" si="109"/>
        <v>0</v>
      </c>
      <c r="Y213" s="280"/>
    </row>
    <row r="214" spans="1:25">
      <c r="A214" s="378">
        <v>45229</v>
      </c>
      <c r="B214" s="386">
        <f>IF(YEAR(Table7[[#This Row],[Date]]) = 2023, WEEKNUM(Table7[[#This Row],[Date]])-13, WEEKNUM(Table7[[#This Row],[Date]])+40)</f>
        <v>31</v>
      </c>
      <c r="C214" s="203" t="s">
        <v>49</v>
      </c>
      <c r="D214" s="203" t="s">
        <v>94</v>
      </c>
      <c r="E214" s="379">
        <v>128</v>
      </c>
      <c r="F214" s="379">
        <v>124</v>
      </c>
      <c r="G214" s="350">
        <f t="shared" si="104"/>
        <v>-6.569343065693431E-2</v>
      </c>
      <c r="H214" s="350">
        <f t="shared" si="105"/>
        <v>-8.1481481481481488E-2</v>
      </c>
      <c r="I214" s="379">
        <f>I212+E214</f>
        <v>2955</v>
      </c>
      <c r="J214" s="379">
        <f>J212+F214</f>
        <v>2136</v>
      </c>
      <c r="K214" s="379">
        <f>K212+E214</f>
        <v>10203</v>
      </c>
      <c r="L214" s="379">
        <f>L212+F214</f>
        <v>5031</v>
      </c>
      <c r="M214" s="191">
        <v>0.88</v>
      </c>
      <c r="N214" s="191">
        <v>0.03</v>
      </c>
      <c r="O214" s="191">
        <v>0.97</v>
      </c>
      <c r="P214" s="191">
        <v>0.34</v>
      </c>
      <c r="Q214" s="380"/>
      <c r="R214" s="287">
        <v>143</v>
      </c>
      <c r="S214" s="176">
        <v>7.5694444444444439E-2</v>
      </c>
      <c r="T214" s="381">
        <v>2</v>
      </c>
      <c r="U214" s="120" t="str">
        <f t="shared" si="106"/>
        <v>Outlier</v>
      </c>
      <c r="V214" s="120" t="str">
        <f t="shared" si="107"/>
        <v>Outlier</v>
      </c>
      <c r="W214" s="81">
        <f t="shared" si="108"/>
        <v>-6.569343065693431E-2</v>
      </c>
      <c r="X214" s="81">
        <f t="shared" si="109"/>
        <v>-8.1481481481481488E-2</v>
      </c>
      <c r="Y214" s="280"/>
    </row>
    <row r="215" spans="1:25" s="47" customFormat="1">
      <c r="A215" s="378">
        <v>45230</v>
      </c>
      <c r="B215" s="386">
        <f>IF(YEAR(Table7[[#This Row],[Date]]) = 2023, WEEKNUM(Table7[[#This Row],[Date]])-13, WEEKNUM(Table7[[#This Row],[Date]])+40)</f>
        <v>31</v>
      </c>
      <c r="C215" s="203" t="s">
        <v>50</v>
      </c>
      <c r="D215" s="203" t="s">
        <v>94</v>
      </c>
      <c r="E215" s="379">
        <v>131</v>
      </c>
      <c r="F215" s="379">
        <v>128</v>
      </c>
      <c r="G215" s="350">
        <f t="shared" si="104"/>
        <v>-5.7553956834532377E-2</v>
      </c>
      <c r="H215" s="350">
        <f t="shared" si="105"/>
        <v>-3.7593984962406013E-2</v>
      </c>
      <c r="I215" s="379">
        <f>I214+E215</f>
        <v>3086</v>
      </c>
      <c r="J215" s="379">
        <f>J214+F215</f>
        <v>2264</v>
      </c>
      <c r="K215" s="379">
        <f t="shared" ref="K215:L218" si="122">K214+E215</f>
        <v>10334</v>
      </c>
      <c r="L215" s="379">
        <f t="shared" si="122"/>
        <v>5159</v>
      </c>
      <c r="M215" s="191">
        <v>0.89</v>
      </c>
      <c r="N215" s="191">
        <v>0.02</v>
      </c>
      <c r="O215" s="191">
        <v>0.98</v>
      </c>
      <c r="P215" s="191">
        <v>0.36</v>
      </c>
      <c r="Q215" s="380"/>
      <c r="R215" s="287">
        <v>146</v>
      </c>
      <c r="S215" s="176">
        <v>1.2499999999999999E-2</v>
      </c>
      <c r="T215" s="381">
        <v>2</v>
      </c>
      <c r="U215" s="120" t="str">
        <f t="shared" si="106"/>
        <v>Outlier</v>
      </c>
      <c r="V215" s="120" t="str">
        <f t="shared" si="107"/>
        <v>Outlier</v>
      </c>
      <c r="W215" s="81">
        <f t="shared" si="108"/>
        <v>-5.7553956834532377E-2</v>
      </c>
      <c r="X215" s="81">
        <f t="shared" si="109"/>
        <v>-3.7593984962406013E-2</v>
      </c>
      <c r="Y215" s="280"/>
    </row>
    <row r="216" spans="1:25">
      <c r="A216" s="378">
        <v>45231</v>
      </c>
      <c r="B216" s="412">
        <f>IF(YEAR(Table7[[#This Row],[Date]]) = 2023, WEEKNUM(Table7[[#This Row],[Date]])-13, WEEKNUM(Table7[[#This Row],[Date]])+40)</f>
        <v>31</v>
      </c>
      <c r="C216" s="387" t="s">
        <v>51</v>
      </c>
      <c r="D216" s="203" t="s">
        <v>94</v>
      </c>
      <c r="E216" s="388">
        <v>123</v>
      </c>
      <c r="F216" s="388">
        <v>121</v>
      </c>
      <c r="G216" s="350">
        <f t="shared" si="104"/>
        <v>-0.10218978102189781</v>
      </c>
      <c r="H216" s="350">
        <f t="shared" si="105"/>
        <v>-9.7014925373134331E-2</v>
      </c>
      <c r="I216" s="379">
        <f>E216</f>
        <v>123</v>
      </c>
      <c r="J216" s="379">
        <f>F216</f>
        <v>121</v>
      </c>
      <c r="K216" s="379">
        <f t="shared" si="122"/>
        <v>10457</v>
      </c>
      <c r="L216" s="379">
        <f t="shared" si="122"/>
        <v>5280</v>
      </c>
      <c r="M216" s="389">
        <v>0.98</v>
      </c>
      <c r="N216" s="389">
        <v>0.02</v>
      </c>
      <c r="O216" s="389">
        <v>0.98</v>
      </c>
      <c r="P216" s="389">
        <v>0.32</v>
      </c>
      <c r="Q216" s="390"/>
      <c r="R216" s="287">
        <v>138</v>
      </c>
      <c r="S216" s="384">
        <v>9.0277777777777787E-3</v>
      </c>
      <c r="T216" s="381">
        <v>2</v>
      </c>
      <c r="U216" s="120" t="str">
        <f t="shared" si="106"/>
        <v>Outlier</v>
      </c>
      <c r="V216" s="120" t="str">
        <f t="shared" si="107"/>
        <v>Outlier</v>
      </c>
      <c r="W216" s="81">
        <f t="shared" si="108"/>
        <v>-0.10218978102189781</v>
      </c>
      <c r="X216" s="81">
        <f t="shared" si="109"/>
        <v>-9.7014925373134331E-2</v>
      </c>
      <c r="Y216" s="280"/>
    </row>
    <row r="217" spans="1:25">
      <c r="A217" s="378">
        <v>45232</v>
      </c>
      <c r="B217" s="386">
        <f>IF(YEAR(Table7[[#This Row],[Date]]) = 2023, WEEKNUM(Table7[[#This Row],[Date]])-13, WEEKNUM(Table7[[#This Row],[Date]])+40)</f>
        <v>31</v>
      </c>
      <c r="C217" s="203" t="s">
        <v>52</v>
      </c>
      <c r="D217" s="203" t="s">
        <v>94</v>
      </c>
      <c r="E217" s="379">
        <v>129</v>
      </c>
      <c r="F217" s="379">
        <v>128</v>
      </c>
      <c r="G217" s="350">
        <f t="shared" si="104"/>
        <v>-3.007518796992481E-2</v>
      </c>
      <c r="H217" s="350">
        <f t="shared" si="105"/>
        <v>-1.5384615384615385E-2</v>
      </c>
      <c r="I217" s="379">
        <f>I216+E217</f>
        <v>252</v>
      </c>
      <c r="J217" s="379">
        <f>J216+F217</f>
        <v>249</v>
      </c>
      <c r="K217" s="379">
        <f t="shared" si="122"/>
        <v>10586</v>
      </c>
      <c r="L217" s="379">
        <f t="shared" si="122"/>
        <v>5408</v>
      </c>
      <c r="M217" s="191">
        <v>0.98</v>
      </c>
      <c r="N217" s="191">
        <v>0.01</v>
      </c>
      <c r="O217" s="191">
        <v>0.99</v>
      </c>
      <c r="P217" s="191">
        <v>0.3</v>
      </c>
      <c r="Q217" s="380"/>
      <c r="R217" s="287">
        <v>122</v>
      </c>
      <c r="S217" s="176">
        <v>9.7222222222222224E-3</v>
      </c>
      <c r="T217" s="381">
        <v>2</v>
      </c>
      <c r="U217" s="120" t="str">
        <f t="shared" si="106"/>
        <v>Outlier</v>
      </c>
      <c r="V217" s="120" t="str">
        <f t="shared" si="107"/>
        <v>Outlier</v>
      </c>
      <c r="W217" s="81">
        <f t="shared" si="108"/>
        <v>-3.007518796992481E-2</v>
      </c>
      <c r="X217" s="81">
        <f t="shared" si="109"/>
        <v>-1.5384615384615385E-2</v>
      </c>
      <c r="Y217" s="280"/>
    </row>
    <row r="218" spans="1:25">
      <c r="A218" s="378">
        <v>45233</v>
      </c>
      <c r="B218" s="386">
        <f>IF(YEAR(Table7[[#This Row],[Date]]) = 2023, WEEKNUM(Table7[[#This Row],[Date]])-13, WEEKNUM(Table7[[#This Row],[Date]])+40)</f>
        <v>31</v>
      </c>
      <c r="C218" s="203" t="s">
        <v>53</v>
      </c>
      <c r="D218" s="203" t="s">
        <v>94</v>
      </c>
      <c r="E218" s="379">
        <v>144</v>
      </c>
      <c r="F218" s="379">
        <v>140</v>
      </c>
      <c r="G218" s="350">
        <f t="shared" ref="G218:G219" si="123">IFERROR((E218-E211)/E211,0%)</f>
        <v>-3.3557046979865772E-2</v>
      </c>
      <c r="H218" s="350">
        <f t="shared" ref="H218:H219" si="124">IFERROR((F218-F211)/F211,0%)</f>
        <v>-4.1095890410958902E-2</v>
      </c>
      <c r="I218" s="379">
        <f>I217+E218</f>
        <v>396</v>
      </c>
      <c r="J218" s="379">
        <f>J217+F218</f>
        <v>389</v>
      </c>
      <c r="K218" s="379">
        <f t="shared" si="122"/>
        <v>10730</v>
      </c>
      <c r="L218" s="379">
        <f t="shared" si="122"/>
        <v>5548</v>
      </c>
      <c r="M218" s="191">
        <v>0.89</v>
      </c>
      <c r="N218" s="191">
        <v>0.03</v>
      </c>
      <c r="O218" s="191">
        <v>0.97</v>
      </c>
      <c r="P218" s="191">
        <v>0.36</v>
      </c>
      <c r="Q218" s="380"/>
      <c r="R218" s="287">
        <v>134</v>
      </c>
      <c r="S218" s="176">
        <v>1.3194444444444444E-2</v>
      </c>
      <c r="T218" s="381">
        <v>2</v>
      </c>
      <c r="U218" s="120" t="str">
        <f t="shared" si="106"/>
        <v>Outlier</v>
      </c>
      <c r="V218" s="120" t="str">
        <f t="shared" si="107"/>
        <v>Outlier</v>
      </c>
      <c r="W218" s="81">
        <f t="shared" si="108"/>
        <v>-3.3557046979865772E-2</v>
      </c>
      <c r="X218" s="81">
        <f t="shared" si="109"/>
        <v>-4.1095890410958902E-2</v>
      </c>
      <c r="Y218" s="280"/>
    </row>
    <row r="219" spans="1:25">
      <c r="A219" s="378">
        <v>45234</v>
      </c>
      <c r="B219" s="386">
        <f>IF(YEAR(Table7[[#This Row],[Date]]) = 2023, WEEKNUM(Table7[[#This Row],[Date]])-13, WEEKNUM(Table7[[#This Row],[Date]])+40)</f>
        <v>31</v>
      </c>
      <c r="C219" s="203" t="s">
        <v>54</v>
      </c>
      <c r="D219" s="203" t="s">
        <v>94</v>
      </c>
      <c r="E219" s="379">
        <v>59</v>
      </c>
      <c r="F219" s="379">
        <v>56</v>
      </c>
      <c r="G219" s="350">
        <f t="shared" si="123"/>
        <v>-0.43269230769230771</v>
      </c>
      <c r="H219" s="350">
        <f t="shared" si="124"/>
        <v>-0.44</v>
      </c>
      <c r="I219" s="379">
        <f t="shared" ref="I219" si="125">I217+E219</f>
        <v>311</v>
      </c>
      <c r="J219" s="379">
        <f t="shared" ref="J219" si="126">J217+F219</f>
        <v>305</v>
      </c>
      <c r="K219" s="379">
        <f t="shared" ref="K219" si="127">K217+E219</f>
        <v>10645</v>
      </c>
      <c r="L219" s="379">
        <f t="shared" ref="L219" si="128">L217+F219</f>
        <v>5464</v>
      </c>
      <c r="M219" s="191">
        <v>0.93</v>
      </c>
      <c r="N219" s="191">
        <v>0.05</v>
      </c>
      <c r="O219" s="191">
        <v>0.95</v>
      </c>
      <c r="P219" s="191">
        <v>0.48</v>
      </c>
      <c r="Q219" s="380"/>
      <c r="R219" s="287">
        <v>222</v>
      </c>
      <c r="S219" s="176">
        <v>1.5972222222222224E-2</v>
      </c>
      <c r="T219" s="381">
        <v>1</v>
      </c>
      <c r="U219" s="120" t="str">
        <f t="shared" si="106"/>
        <v>Outlier</v>
      </c>
      <c r="V219" s="120" t="str">
        <f t="shared" si="107"/>
        <v>Outlier</v>
      </c>
      <c r="W219" s="81">
        <f t="shared" si="108"/>
        <v>-0.43269230769230771</v>
      </c>
      <c r="X219" s="81">
        <f t="shared" si="109"/>
        <v>-0.44</v>
      </c>
      <c r="Y219" s="280"/>
    </row>
    <row r="220" spans="1:25">
      <c r="A220" s="378">
        <v>45235</v>
      </c>
      <c r="B220" s="386">
        <f>IF(YEAR(Table7[[#This Row],[Date]]) = 2023, WEEKNUM(Table7[[#This Row],[Date]])-13, WEEKNUM(Table7[[#This Row],[Date]])+40)</f>
        <v>32</v>
      </c>
      <c r="C220" s="203" t="s">
        <v>48</v>
      </c>
      <c r="D220" s="203" t="s">
        <v>94</v>
      </c>
      <c r="E220" s="379">
        <v>0</v>
      </c>
      <c r="F220" s="379">
        <v>0</v>
      </c>
      <c r="G220" s="350">
        <v>0</v>
      </c>
      <c r="H220" s="350">
        <v>0</v>
      </c>
      <c r="I220" s="379">
        <v>0</v>
      </c>
      <c r="J220" s="379">
        <v>0</v>
      </c>
      <c r="K220" s="379">
        <v>0</v>
      </c>
      <c r="L220" s="379">
        <v>0</v>
      </c>
      <c r="M220" s="191">
        <v>0</v>
      </c>
      <c r="N220" s="380">
        <v>0</v>
      </c>
      <c r="O220" s="191">
        <v>0</v>
      </c>
      <c r="P220" s="191">
        <v>0</v>
      </c>
      <c r="Q220" s="380"/>
      <c r="R220" s="287">
        <v>0</v>
      </c>
      <c r="S220" s="176">
        <v>0</v>
      </c>
      <c r="T220" s="381">
        <v>0</v>
      </c>
      <c r="U220" s="120" t="str">
        <f t="shared" si="106"/>
        <v>Normal</v>
      </c>
      <c r="V220" s="120" t="str">
        <f t="shared" si="107"/>
        <v>Normal</v>
      </c>
      <c r="W220" s="81">
        <f t="shared" si="108"/>
        <v>0</v>
      </c>
      <c r="X220" s="81">
        <f t="shared" si="109"/>
        <v>0</v>
      </c>
      <c r="Y220" s="280"/>
    </row>
    <row r="221" spans="1:25">
      <c r="A221" s="378">
        <v>45236</v>
      </c>
      <c r="B221" s="386">
        <f>IF(YEAR(Table7[[#This Row],[Date]]) = 2023, WEEKNUM(Table7[[#This Row],[Date]])-13, WEEKNUM(Table7[[#This Row],[Date]])+40)</f>
        <v>32</v>
      </c>
      <c r="C221" s="203" t="s">
        <v>49</v>
      </c>
      <c r="D221" s="203" t="s">
        <v>94</v>
      </c>
      <c r="E221" s="379">
        <v>144</v>
      </c>
      <c r="F221" s="379">
        <v>144</v>
      </c>
      <c r="G221" s="350">
        <f t="shared" ref="G221:G226" si="129">IFERROR((E221-E214)/E214,0%)</f>
        <v>0.125</v>
      </c>
      <c r="H221" s="350">
        <f t="shared" ref="H221:H226" si="130">IFERROR((F221-F214)/F214,0%)</f>
        <v>0.16129032258064516</v>
      </c>
      <c r="I221" s="379">
        <f>I219+E221</f>
        <v>455</v>
      </c>
      <c r="J221" s="379">
        <f>J219+F221</f>
        <v>449</v>
      </c>
      <c r="K221" s="379">
        <f>K219+E221</f>
        <v>10789</v>
      </c>
      <c r="L221" s="379">
        <f>L219+F221</f>
        <v>5608</v>
      </c>
      <c r="M221" s="191">
        <v>1</v>
      </c>
      <c r="N221" s="191">
        <v>0</v>
      </c>
      <c r="O221" s="191">
        <v>1</v>
      </c>
      <c r="P221" s="191">
        <v>0.42</v>
      </c>
      <c r="Q221" s="380"/>
      <c r="R221" s="287">
        <v>150</v>
      </c>
      <c r="S221" s="176">
        <v>1.2499999999999999E-2</v>
      </c>
      <c r="T221" s="381">
        <v>2</v>
      </c>
      <c r="U221" s="120" t="str">
        <f t="shared" si="106"/>
        <v>Outlier</v>
      </c>
      <c r="V221" s="120" t="str">
        <f t="shared" si="107"/>
        <v>Outlier</v>
      </c>
      <c r="W221" s="81">
        <f t="shared" si="108"/>
        <v>0.125</v>
      </c>
      <c r="X221" s="81">
        <f t="shared" si="109"/>
        <v>0.16129032258064516</v>
      </c>
      <c r="Y221" s="280"/>
    </row>
    <row r="222" spans="1:25">
      <c r="A222" s="378">
        <v>45237</v>
      </c>
      <c r="B222" s="386">
        <f>IF(YEAR(Table7[[#This Row],[Date]]) = 2023, WEEKNUM(Table7[[#This Row],[Date]])-13, WEEKNUM(Table7[[#This Row],[Date]])+40)</f>
        <v>32</v>
      </c>
      <c r="C222" s="203" t="s">
        <v>50</v>
      </c>
      <c r="D222" s="203" t="s">
        <v>94</v>
      </c>
      <c r="E222" s="379">
        <v>113</v>
      </c>
      <c r="F222" s="379">
        <v>130</v>
      </c>
      <c r="G222" s="350">
        <f t="shared" si="129"/>
        <v>-0.13740458015267176</v>
      </c>
      <c r="H222" s="350">
        <f t="shared" si="130"/>
        <v>1.5625E-2</v>
      </c>
      <c r="I222" s="379">
        <f>I221+E222</f>
        <v>568</v>
      </c>
      <c r="J222" s="379">
        <f>J221+F222</f>
        <v>579</v>
      </c>
      <c r="K222" s="379">
        <f>K221+E222</f>
        <v>10902</v>
      </c>
      <c r="L222" s="379">
        <f>L221+F222</f>
        <v>5738</v>
      </c>
      <c r="M222" s="191">
        <v>0.94</v>
      </c>
      <c r="N222" s="191">
        <v>0.03</v>
      </c>
      <c r="O222" s="191">
        <v>0.97</v>
      </c>
      <c r="P222" s="191">
        <v>0.28999999999999998</v>
      </c>
      <c r="Q222" s="380"/>
      <c r="R222" s="287">
        <v>138</v>
      </c>
      <c r="S222" s="176">
        <v>2.4305555555555556E-2</v>
      </c>
      <c r="T222" s="381">
        <v>2</v>
      </c>
      <c r="U222" s="120" t="str">
        <f t="shared" si="106"/>
        <v>Outlier</v>
      </c>
      <c r="V222" s="120" t="str">
        <f t="shared" si="107"/>
        <v>Outlier</v>
      </c>
      <c r="W222" s="81">
        <f t="shared" si="108"/>
        <v>-0.13740458015267176</v>
      </c>
      <c r="X222" s="81">
        <f t="shared" si="109"/>
        <v>1.5625E-2</v>
      </c>
      <c r="Y222" s="280"/>
    </row>
    <row r="223" spans="1:25">
      <c r="A223" s="378">
        <v>45238</v>
      </c>
      <c r="B223" s="386">
        <f>IF(YEAR(Table7[[#This Row],[Date]]) = 2023, WEEKNUM(Table7[[#This Row],[Date]])-13, WEEKNUM(Table7[[#This Row],[Date]])+40)</f>
        <v>32</v>
      </c>
      <c r="C223" s="203" t="s">
        <v>51</v>
      </c>
      <c r="D223" s="203" t="s">
        <v>94</v>
      </c>
      <c r="E223" s="379">
        <v>105</v>
      </c>
      <c r="F223" s="379">
        <v>97</v>
      </c>
      <c r="G223" s="350">
        <f t="shared" si="129"/>
        <v>-0.14634146341463414</v>
      </c>
      <c r="H223" s="350">
        <f t="shared" si="130"/>
        <v>-0.19834710743801653</v>
      </c>
      <c r="I223" s="379">
        <f t="shared" ref="I223:I224" si="131">I221+E223</f>
        <v>560</v>
      </c>
      <c r="J223" s="379">
        <f t="shared" ref="J223:J224" si="132">J221+F223</f>
        <v>546</v>
      </c>
      <c r="K223" s="379">
        <f t="shared" ref="K223:K226" si="133">K221+E223</f>
        <v>10894</v>
      </c>
      <c r="L223" s="379">
        <f t="shared" ref="L223:L226" si="134">L221+F223</f>
        <v>5705</v>
      </c>
      <c r="M223" s="191">
        <v>0.83</v>
      </c>
      <c r="N223" s="191">
        <v>0.08</v>
      </c>
      <c r="O223" s="191">
        <v>0.92</v>
      </c>
      <c r="P223" s="191">
        <v>0.06</v>
      </c>
      <c r="Q223" s="380"/>
      <c r="R223" s="287">
        <v>30</v>
      </c>
      <c r="S223" s="176">
        <v>3.6805555555555557E-2</v>
      </c>
      <c r="T223" s="381">
        <v>2</v>
      </c>
      <c r="U223" s="120" t="str">
        <f t="shared" si="106"/>
        <v>Outlier</v>
      </c>
      <c r="V223" s="120" t="str">
        <f t="shared" si="107"/>
        <v>Outlier</v>
      </c>
      <c r="W223" s="81">
        <f t="shared" si="108"/>
        <v>-0.14634146341463414</v>
      </c>
      <c r="X223" s="81">
        <f t="shared" si="109"/>
        <v>-0.19834710743801653</v>
      </c>
      <c r="Y223" s="280"/>
    </row>
    <row r="224" spans="1:25">
      <c r="A224" s="378">
        <v>45239</v>
      </c>
      <c r="B224" s="386">
        <f>IF(YEAR(Table7[[#This Row],[Date]]) = 2023, WEEKNUM(Table7[[#This Row],[Date]])-13, WEEKNUM(Table7[[#This Row],[Date]])+40)</f>
        <v>32</v>
      </c>
      <c r="C224" s="203" t="s">
        <v>52</v>
      </c>
      <c r="D224" s="203" t="s">
        <v>94</v>
      </c>
      <c r="E224" s="379">
        <v>144</v>
      </c>
      <c r="F224" s="379">
        <v>138</v>
      </c>
      <c r="G224" s="350">
        <f t="shared" si="129"/>
        <v>0.11627906976744186</v>
      </c>
      <c r="H224" s="350">
        <f t="shared" si="130"/>
        <v>7.8125E-2</v>
      </c>
      <c r="I224" s="379">
        <f t="shared" si="131"/>
        <v>712</v>
      </c>
      <c r="J224" s="379">
        <f t="shared" si="132"/>
        <v>717</v>
      </c>
      <c r="K224" s="379">
        <f t="shared" si="133"/>
        <v>11046</v>
      </c>
      <c r="L224" s="379">
        <f t="shared" si="134"/>
        <v>5876</v>
      </c>
      <c r="M224" s="191">
        <v>0.86</v>
      </c>
      <c r="N224" s="191">
        <v>0.04</v>
      </c>
      <c r="O224" s="191">
        <v>0.96</v>
      </c>
      <c r="P224" s="191">
        <v>0.42</v>
      </c>
      <c r="Q224" s="380"/>
      <c r="R224" s="287">
        <v>158</v>
      </c>
      <c r="S224" s="176">
        <v>3.6805555555555557E-2</v>
      </c>
      <c r="T224" s="381">
        <v>2</v>
      </c>
      <c r="U224" s="120" t="str">
        <f t="shared" si="106"/>
        <v>Outlier</v>
      </c>
      <c r="V224" s="120" t="str">
        <f t="shared" si="107"/>
        <v>Outlier</v>
      </c>
      <c r="W224" s="81">
        <f t="shared" si="108"/>
        <v>0.11627906976744186</v>
      </c>
      <c r="X224" s="81">
        <f t="shared" si="109"/>
        <v>7.8125E-2</v>
      </c>
      <c r="Y224" s="280"/>
    </row>
    <row r="225" spans="1:25">
      <c r="A225" s="378">
        <v>45240</v>
      </c>
      <c r="B225" s="386">
        <f>IF(YEAR(Table7[[#This Row],[Date]]) = 2023, WEEKNUM(Table7[[#This Row],[Date]])-13, WEEKNUM(Table7[[#This Row],[Date]])+40)</f>
        <v>32</v>
      </c>
      <c r="C225" s="203" t="s">
        <v>53</v>
      </c>
      <c r="D225" s="203" t="s">
        <v>94</v>
      </c>
      <c r="E225" s="379">
        <v>127</v>
      </c>
      <c r="F225" s="379">
        <v>122</v>
      </c>
      <c r="G225" s="350">
        <f t="shared" si="129"/>
        <v>-0.11805555555555555</v>
      </c>
      <c r="H225" s="350">
        <f t="shared" si="130"/>
        <v>-0.12857142857142856</v>
      </c>
      <c r="I225" s="379">
        <f>E225+I224</f>
        <v>839</v>
      </c>
      <c r="J225" s="379">
        <f>F225+J224</f>
        <v>839</v>
      </c>
      <c r="K225" s="379">
        <f t="shared" si="133"/>
        <v>11021</v>
      </c>
      <c r="L225" s="379">
        <f t="shared" si="134"/>
        <v>5827</v>
      </c>
      <c r="M225" s="191">
        <v>0.87</v>
      </c>
      <c r="N225" s="191">
        <v>0.04</v>
      </c>
      <c r="O225" s="191">
        <v>0.96</v>
      </c>
      <c r="P225" s="191">
        <v>0.38</v>
      </c>
      <c r="Q225" s="380"/>
      <c r="R225" s="287">
        <v>160</v>
      </c>
      <c r="S225" s="176">
        <v>2.1527777777777781E-2</v>
      </c>
      <c r="T225" s="381">
        <v>2</v>
      </c>
      <c r="U225" s="120" t="str">
        <f t="shared" si="106"/>
        <v>Outlier</v>
      </c>
      <c r="V225" s="120" t="str">
        <f t="shared" si="107"/>
        <v>Outlier</v>
      </c>
      <c r="W225" s="81">
        <f t="shared" si="108"/>
        <v>-0.11805555555555555</v>
      </c>
      <c r="X225" s="81">
        <f t="shared" si="109"/>
        <v>-0.12857142857142856</v>
      </c>
      <c r="Y225" s="280"/>
    </row>
    <row r="226" spans="1:25">
      <c r="A226" s="378">
        <v>45241</v>
      </c>
      <c r="B226" s="386">
        <f>IF(YEAR(Table7[[#This Row],[Date]]) = 2023, WEEKNUM(Table7[[#This Row],[Date]])-13, WEEKNUM(Table7[[#This Row],[Date]])+40)</f>
        <v>32</v>
      </c>
      <c r="C226" s="203" t="s">
        <v>54</v>
      </c>
      <c r="D226" s="203" t="s">
        <v>94</v>
      </c>
      <c r="E226" s="379">
        <v>68</v>
      </c>
      <c r="F226" s="379">
        <v>64</v>
      </c>
      <c r="G226" s="350">
        <f t="shared" si="129"/>
        <v>0.15254237288135594</v>
      </c>
      <c r="H226" s="350">
        <f t="shared" si="130"/>
        <v>0.14285714285714285</v>
      </c>
      <c r="I226" s="379">
        <f>I225+E226</f>
        <v>907</v>
      </c>
      <c r="J226" s="379">
        <f>J225+F226</f>
        <v>903</v>
      </c>
      <c r="K226" s="379">
        <f t="shared" si="133"/>
        <v>11114</v>
      </c>
      <c r="L226" s="379">
        <f t="shared" si="134"/>
        <v>5940</v>
      </c>
      <c r="M226" s="191">
        <v>0.9</v>
      </c>
      <c r="N226" s="191">
        <v>0.06</v>
      </c>
      <c r="O226" s="191">
        <v>0.94</v>
      </c>
      <c r="P226" s="191">
        <v>0.27</v>
      </c>
      <c r="Q226" s="380"/>
      <c r="R226" s="287">
        <v>111</v>
      </c>
      <c r="S226" s="176">
        <v>3.0555555555555555E-2</v>
      </c>
      <c r="T226" s="381">
        <v>1</v>
      </c>
      <c r="U226" s="120" t="str">
        <f t="shared" si="106"/>
        <v>Outlier</v>
      </c>
      <c r="V226" s="120" t="str">
        <f t="shared" si="107"/>
        <v>Outlier</v>
      </c>
      <c r="W226" s="81">
        <f t="shared" si="108"/>
        <v>0.15254237288135594</v>
      </c>
      <c r="X226" s="81">
        <f t="shared" si="109"/>
        <v>0.14285714285714285</v>
      </c>
      <c r="Y226" s="280"/>
    </row>
    <row r="227" spans="1:25">
      <c r="A227" s="378">
        <v>45242</v>
      </c>
      <c r="B227" s="386">
        <f>IF(YEAR(Table7[[#This Row],[Date]]) = 2023, WEEKNUM(Table7[[#This Row],[Date]])-13, WEEKNUM(Table7[[#This Row],[Date]])+40)</f>
        <v>33</v>
      </c>
      <c r="C227" s="203" t="s">
        <v>48</v>
      </c>
      <c r="D227" s="203" t="s">
        <v>94</v>
      </c>
      <c r="E227" s="379">
        <v>0</v>
      </c>
      <c r="F227" s="379">
        <v>0</v>
      </c>
      <c r="G227" s="350">
        <v>0</v>
      </c>
      <c r="H227" s="350">
        <v>0</v>
      </c>
      <c r="I227" s="379">
        <v>0</v>
      </c>
      <c r="J227" s="379">
        <v>0</v>
      </c>
      <c r="K227" s="379">
        <v>0</v>
      </c>
      <c r="L227" s="379">
        <v>0</v>
      </c>
      <c r="M227" s="191">
        <v>0</v>
      </c>
      <c r="N227" s="191">
        <v>0</v>
      </c>
      <c r="O227" s="191">
        <v>0</v>
      </c>
      <c r="P227" s="191">
        <v>0</v>
      </c>
      <c r="Q227" s="380"/>
      <c r="R227" s="287">
        <v>0</v>
      </c>
      <c r="S227" s="176">
        <v>0</v>
      </c>
      <c r="T227" s="381">
        <v>0</v>
      </c>
      <c r="U227" s="120" t="str">
        <f t="shared" si="106"/>
        <v>Normal</v>
      </c>
      <c r="V227" s="120" t="str">
        <f t="shared" si="107"/>
        <v>Normal</v>
      </c>
      <c r="W227" s="81">
        <f t="shared" si="108"/>
        <v>0</v>
      </c>
      <c r="X227" s="81">
        <f t="shared" si="109"/>
        <v>0</v>
      </c>
      <c r="Y227" s="280"/>
    </row>
    <row r="228" spans="1:25">
      <c r="A228" s="378">
        <v>45243</v>
      </c>
      <c r="B228" s="386">
        <f>IF(YEAR(Table7[[#This Row],[Date]]) = 2023, WEEKNUM(Table7[[#This Row],[Date]])-13, WEEKNUM(Table7[[#This Row],[Date]])+40)</f>
        <v>33</v>
      </c>
      <c r="C228" s="203" t="s">
        <v>49</v>
      </c>
      <c r="D228" s="203" t="s">
        <v>94</v>
      </c>
      <c r="E228" s="379">
        <v>172</v>
      </c>
      <c r="F228" s="379">
        <v>168</v>
      </c>
      <c r="G228" s="350">
        <f t="shared" ref="G228:G233" si="135">IFERROR((E228-E221)/E221,0%)</f>
        <v>0.19444444444444445</v>
      </c>
      <c r="H228" s="350">
        <f t="shared" ref="H228:H233" si="136">IFERROR((F228-F221)/F221,0%)</f>
        <v>0.16666666666666666</v>
      </c>
      <c r="I228" s="379">
        <f>I226+E228</f>
        <v>1079</v>
      </c>
      <c r="J228" s="379">
        <f>J226+F228</f>
        <v>1071</v>
      </c>
      <c r="K228" s="379">
        <f>K226+E228</f>
        <v>11286</v>
      </c>
      <c r="L228" s="379">
        <f>L226+F228</f>
        <v>6108</v>
      </c>
      <c r="M228" s="191">
        <v>0.98</v>
      </c>
      <c r="N228" s="191">
        <v>0.02</v>
      </c>
      <c r="O228" s="191">
        <v>0.98</v>
      </c>
      <c r="P228" s="191">
        <v>0.47</v>
      </c>
      <c r="Q228" s="380"/>
      <c r="R228" s="287">
        <v>145</v>
      </c>
      <c r="S228" s="176">
        <v>4.9305555555555554E-2</v>
      </c>
      <c r="T228" s="381">
        <v>2</v>
      </c>
      <c r="U228" s="120" t="str">
        <f t="shared" si="106"/>
        <v>Outlier</v>
      </c>
      <c r="V228" s="120" t="str">
        <f t="shared" si="107"/>
        <v>Outlier</v>
      </c>
      <c r="W228" s="81">
        <f t="shared" si="108"/>
        <v>0.19444444444444445</v>
      </c>
      <c r="X228" s="81">
        <f t="shared" si="109"/>
        <v>0.16666666666666666</v>
      </c>
      <c r="Y228" s="280"/>
    </row>
    <row r="229" spans="1:25">
      <c r="A229" s="378">
        <v>45244</v>
      </c>
      <c r="B229" s="386">
        <f>IF(YEAR(Table7[[#This Row],[Date]]) = 2023, WEEKNUM(Table7[[#This Row],[Date]])-13, WEEKNUM(Table7[[#This Row],[Date]])+40)</f>
        <v>33</v>
      </c>
      <c r="C229" s="203" t="s">
        <v>50</v>
      </c>
      <c r="D229" s="203" t="s">
        <v>94</v>
      </c>
      <c r="E229" s="379">
        <v>113</v>
      </c>
      <c r="F229" s="379">
        <v>110</v>
      </c>
      <c r="G229" s="350">
        <f t="shared" si="135"/>
        <v>0</v>
      </c>
      <c r="H229" s="350">
        <f t="shared" si="136"/>
        <v>-0.15384615384615385</v>
      </c>
      <c r="I229" s="379">
        <f>I228+E229</f>
        <v>1192</v>
      </c>
      <c r="J229" s="379">
        <f>J228+F229</f>
        <v>1181</v>
      </c>
      <c r="K229" s="379">
        <f>K228+E229</f>
        <v>11399</v>
      </c>
      <c r="L229" s="379">
        <f>L228+F229</f>
        <v>6218</v>
      </c>
      <c r="M229" s="191">
        <v>0.99</v>
      </c>
      <c r="N229" s="191">
        <v>0.01</v>
      </c>
      <c r="O229" s="191">
        <v>0.99</v>
      </c>
      <c r="P229" s="191">
        <v>0.35</v>
      </c>
      <c r="Q229" s="380"/>
      <c r="R229" s="287">
        <v>127</v>
      </c>
      <c r="S229" s="176">
        <v>1.3194444444444444E-2</v>
      </c>
      <c r="T229" s="381">
        <v>2</v>
      </c>
      <c r="U229" s="120" t="str">
        <f t="shared" si="106"/>
        <v>Outlier</v>
      </c>
      <c r="V229" s="120" t="str">
        <f t="shared" si="107"/>
        <v>Outlier</v>
      </c>
      <c r="W229" s="81">
        <f t="shared" si="108"/>
        <v>0</v>
      </c>
      <c r="X229" s="81">
        <f t="shared" si="109"/>
        <v>-0.15384615384615385</v>
      </c>
      <c r="Y229" s="280"/>
    </row>
    <row r="230" spans="1:25">
      <c r="A230" s="378">
        <v>45245</v>
      </c>
      <c r="B230" s="386">
        <f>IF(YEAR(Table7[[#This Row],[Date]]) = 2023, WEEKNUM(Table7[[#This Row],[Date]])-13, WEEKNUM(Table7[[#This Row],[Date]])+40)</f>
        <v>33</v>
      </c>
      <c r="C230" s="203" t="s">
        <v>51</v>
      </c>
      <c r="D230" s="203" t="s">
        <v>94</v>
      </c>
      <c r="E230" s="379">
        <v>137</v>
      </c>
      <c r="F230" s="379">
        <v>133</v>
      </c>
      <c r="G230" s="350">
        <f t="shared" si="135"/>
        <v>0.30476190476190479</v>
      </c>
      <c r="H230" s="350">
        <f t="shared" si="136"/>
        <v>0.37113402061855671</v>
      </c>
      <c r="I230" s="379">
        <f t="shared" ref="I230:I231" si="137">I228+E230</f>
        <v>1216</v>
      </c>
      <c r="J230" s="379">
        <f t="shared" ref="J230:J231" si="138">J228+F230</f>
        <v>1204</v>
      </c>
      <c r="K230" s="379">
        <f t="shared" ref="K230:K233" si="139">K228+E230</f>
        <v>11423</v>
      </c>
      <c r="L230" s="379">
        <f t="shared" ref="L230:L233" si="140">L228+F230</f>
        <v>6241</v>
      </c>
      <c r="M230" s="191">
        <v>0.96</v>
      </c>
      <c r="N230" s="191">
        <v>0.03</v>
      </c>
      <c r="O230" s="191">
        <v>0.97</v>
      </c>
      <c r="P230" s="191">
        <v>0.34</v>
      </c>
      <c r="Q230" s="191"/>
      <c r="R230" s="391">
        <v>134</v>
      </c>
      <c r="S230" s="392">
        <v>1.9444444444444445E-2</v>
      </c>
      <c r="T230" s="381">
        <v>2</v>
      </c>
      <c r="U230" s="120" t="str">
        <f t="shared" si="106"/>
        <v>Outlier</v>
      </c>
      <c r="V230" s="120" t="str">
        <f t="shared" si="107"/>
        <v>Outlier</v>
      </c>
      <c r="W230" s="81">
        <f t="shared" si="108"/>
        <v>0.30476190476190479</v>
      </c>
      <c r="X230" s="81">
        <f t="shared" si="109"/>
        <v>0.37113402061855671</v>
      </c>
      <c r="Y230" s="280"/>
    </row>
    <row r="231" spans="1:25">
      <c r="A231" s="378">
        <v>45246</v>
      </c>
      <c r="B231" s="386">
        <f>IF(YEAR(Table7[[#This Row],[Date]]) = 2023, WEEKNUM(Table7[[#This Row],[Date]])-13, WEEKNUM(Table7[[#This Row],[Date]])+40)</f>
        <v>33</v>
      </c>
      <c r="C231" s="203" t="s">
        <v>52</v>
      </c>
      <c r="D231" s="203" t="s">
        <v>94</v>
      </c>
      <c r="E231" s="379">
        <v>162</v>
      </c>
      <c r="F231" s="379">
        <v>159</v>
      </c>
      <c r="G231" s="350">
        <f t="shared" si="135"/>
        <v>0.125</v>
      </c>
      <c r="H231" s="350">
        <f t="shared" si="136"/>
        <v>0.15217391304347827</v>
      </c>
      <c r="I231" s="379">
        <f t="shared" si="137"/>
        <v>1354</v>
      </c>
      <c r="J231" s="379">
        <f t="shared" si="138"/>
        <v>1340</v>
      </c>
      <c r="K231" s="379">
        <f t="shared" si="139"/>
        <v>11561</v>
      </c>
      <c r="L231" s="379">
        <f t="shared" si="140"/>
        <v>6377</v>
      </c>
      <c r="M231" s="191">
        <v>0.98</v>
      </c>
      <c r="N231" s="191">
        <v>0.02</v>
      </c>
      <c r="O231" s="191">
        <v>0.98</v>
      </c>
      <c r="P231" s="191">
        <v>0.47</v>
      </c>
      <c r="Q231" s="380"/>
      <c r="R231" s="287">
        <v>152</v>
      </c>
      <c r="S231" s="176">
        <v>1.3194444444444444E-2</v>
      </c>
      <c r="T231" s="381">
        <v>2</v>
      </c>
      <c r="U231" s="120" t="str">
        <f t="shared" si="106"/>
        <v>Outlier</v>
      </c>
      <c r="V231" s="120" t="str">
        <f t="shared" si="107"/>
        <v>Outlier</v>
      </c>
      <c r="W231" s="81">
        <f t="shared" si="108"/>
        <v>0.125</v>
      </c>
      <c r="X231" s="81">
        <f t="shared" si="109"/>
        <v>0.15217391304347827</v>
      </c>
      <c r="Y231" s="280"/>
    </row>
    <row r="232" spans="1:25">
      <c r="A232" s="378">
        <v>45247</v>
      </c>
      <c r="B232" s="386">
        <f>IF(YEAR(Table7[[#This Row],[Date]]) = 2023, WEEKNUM(Table7[[#This Row],[Date]])-13, WEEKNUM(Table7[[#This Row],[Date]])+40)</f>
        <v>33</v>
      </c>
      <c r="C232" s="203" t="s">
        <v>53</v>
      </c>
      <c r="D232" s="203" t="s">
        <v>94</v>
      </c>
      <c r="E232" s="379">
        <v>158</v>
      </c>
      <c r="F232" s="379">
        <v>148</v>
      </c>
      <c r="G232" s="350">
        <f t="shared" si="135"/>
        <v>0.24409448818897639</v>
      </c>
      <c r="H232" s="350">
        <f t="shared" si="136"/>
        <v>0.21311475409836064</v>
      </c>
      <c r="I232" s="379">
        <f>E232+I231</f>
        <v>1512</v>
      </c>
      <c r="J232" s="379">
        <f>F232+J231</f>
        <v>1488</v>
      </c>
      <c r="K232" s="379">
        <f t="shared" si="139"/>
        <v>11581</v>
      </c>
      <c r="L232" s="379">
        <f t="shared" si="140"/>
        <v>6389</v>
      </c>
      <c r="M232" s="191">
        <v>0.94</v>
      </c>
      <c r="N232" s="191">
        <v>0.06</v>
      </c>
      <c r="O232" s="191">
        <v>0.94</v>
      </c>
      <c r="P232" s="191">
        <v>0.45</v>
      </c>
      <c r="Q232" s="191"/>
      <c r="R232" s="391">
        <v>158</v>
      </c>
      <c r="S232" s="392">
        <v>2.013888888888889E-2</v>
      </c>
      <c r="T232" s="381">
        <v>2</v>
      </c>
      <c r="U232" s="120" t="str">
        <f t="shared" si="106"/>
        <v>Outlier</v>
      </c>
      <c r="V232" s="120" t="str">
        <f t="shared" si="107"/>
        <v>Outlier</v>
      </c>
      <c r="W232" s="81">
        <f t="shared" si="108"/>
        <v>0.24409448818897639</v>
      </c>
      <c r="X232" s="81">
        <f t="shared" si="109"/>
        <v>0.21311475409836064</v>
      </c>
      <c r="Y232" s="280"/>
    </row>
    <row r="233" spans="1:25">
      <c r="A233" s="378">
        <v>45248</v>
      </c>
      <c r="B233" s="386">
        <f>IF(YEAR(Table7[[#This Row],[Date]]) = 2023, WEEKNUM(Table7[[#This Row],[Date]])-13, WEEKNUM(Table7[[#This Row],[Date]])+40)</f>
        <v>33</v>
      </c>
      <c r="C233" s="203" t="s">
        <v>54</v>
      </c>
      <c r="D233" s="203" t="s">
        <v>94</v>
      </c>
      <c r="E233" s="379">
        <v>53</v>
      </c>
      <c r="F233" s="379">
        <v>51</v>
      </c>
      <c r="G233" s="350">
        <f t="shared" si="135"/>
        <v>-0.22058823529411764</v>
      </c>
      <c r="H233" s="350">
        <f t="shared" si="136"/>
        <v>-0.203125</v>
      </c>
      <c r="I233" s="379">
        <f>I232+E233</f>
        <v>1565</v>
      </c>
      <c r="J233" s="379">
        <f>J232+F233</f>
        <v>1539</v>
      </c>
      <c r="K233" s="379">
        <f t="shared" si="139"/>
        <v>11614</v>
      </c>
      <c r="L233" s="379">
        <f t="shared" si="140"/>
        <v>6428</v>
      </c>
      <c r="M233" s="191">
        <v>0.96</v>
      </c>
      <c r="N233" s="191">
        <v>0.04</v>
      </c>
      <c r="O233" s="191">
        <v>0.96</v>
      </c>
      <c r="P233" s="191">
        <v>0.18</v>
      </c>
      <c r="Q233" s="380"/>
      <c r="R233" s="287">
        <v>91</v>
      </c>
      <c r="S233" s="176">
        <v>4.5138888888888888E-2</v>
      </c>
      <c r="T233" s="381">
        <v>1</v>
      </c>
      <c r="U233" s="120" t="str">
        <f t="shared" si="106"/>
        <v>Outlier</v>
      </c>
      <c r="V233" s="120" t="str">
        <f t="shared" si="107"/>
        <v>Outlier</v>
      </c>
      <c r="W233" s="81">
        <f t="shared" si="108"/>
        <v>-0.22058823529411764</v>
      </c>
      <c r="X233" s="81">
        <f t="shared" si="109"/>
        <v>-0.203125</v>
      </c>
      <c r="Y233" s="280"/>
    </row>
    <row r="234" spans="1:25">
      <c r="A234" s="378">
        <v>45249</v>
      </c>
      <c r="B234" s="386">
        <f>IF(YEAR(Table7[[#This Row],[Date]]) = 2023, WEEKNUM(Table7[[#This Row],[Date]])-13, WEEKNUM(Table7[[#This Row],[Date]])+40)</f>
        <v>34</v>
      </c>
      <c r="C234" s="203" t="s">
        <v>48</v>
      </c>
      <c r="D234" s="203" t="s">
        <v>94</v>
      </c>
      <c r="E234" s="379">
        <v>0</v>
      </c>
      <c r="F234" s="379">
        <v>0</v>
      </c>
      <c r="G234" s="350">
        <v>0</v>
      </c>
      <c r="H234" s="350">
        <v>0</v>
      </c>
      <c r="I234" s="379">
        <v>0</v>
      </c>
      <c r="J234" s="379">
        <v>0</v>
      </c>
      <c r="K234" s="379">
        <v>0</v>
      </c>
      <c r="L234" s="379">
        <v>0</v>
      </c>
      <c r="M234" s="191">
        <v>0</v>
      </c>
      <c r="N234" s="191">
        <v>0</v>
      </c>
      <c r="O234" s="191">
        <v>0</v>
      </c>
      <c r="P234" s="191">
        <v>0</v>
      </c>
      <c r="Q234" s="191"/>
      <c r="R234" s="391">
        <v>0</v>
      </c>
      <c r="S234" s="392">
        <v>0</v>
      </c>
      <c r="T234" s="381">
        <v>0</v>
      </c>
      <c r="U234" s="120" t="str">
        <f t="shared" si="106"/>
        <v>Normal</v>
      </c>
      <c r="V234" s="120" t="str">
        <f t="shared" si="107"/>
        <v>Normal</v>
      </c>
      <c r="W234" s="81">
        <f t="shared" si="108"/>
        <v>0</v>
      </c>
      <c r="X234" s="81">
        <f t="shared" si="109"/>
        <v>0</v>
      </c>
      <c r="Y234" s="280"/>
    </row>
    <row r="235" spans="1:25">
      <c r="A235" s="378">
        <v>45250</v>
      </c>
      <c r="B235" s="386">
        <f>IF(YEAR(Table7[[#This Row],[Date]]) = 2023, WEEKNUM(Table7[[#This Row],[Date]])-13, WEEKNUM(Table7[[#This Row],[Date]])+40)</f>
        <v>34</v>
      </c>
      <c r="C235" s="203" t="s">
        <v>64</v>
      </c>
      <c r="D235" s="203" t="s">
        <v>94</v>
      </c>
      <c r="E235" s="379">
        <v>0</v>
      </c>
      <c r="F235" s="379">
        <v>0</v>
      </c>
      <c r="G235" s="350">
        <v>0</v>
      </c>
      <c r="H235" s="350">
        <v>0</v>
      </c>
      <c r="I235" s="379">
        <v>0</v>
      </c>
      <c r="J235" s="379">
        <v>0</v>
      </c>
      <c r="K235" s="379">
        <v>0</v>
      </c>
      <c r="L235" s="379">
        <v>0</v>
      </c>
      <c r="M235" s="191">
        <v>0</v>
      </c>
      <c r="N235" s="191">
        <v>0</v>
      </c>
      <c r="O235" s="191">
        <v>0</v>
      </c>
      <c r="P235" s="191">
        <v>0</v>
      </c>
      <c r="Q235" s="380"/>
      <c r="R235" s="287">
        <v>0</v>
      </c>
      <c r="S235" s="176">
        <v>0</v>
      </c>
      <c r="T235" s="381">
        <v>0</v>
      </c>
      <c r="U235" s="120" t="str">
        <f t="shared" si="106"/>
        <v>Normal</v>
      </c>
      <c r="V235" s="120" t="str">
        <f t="shared" si="107"/>
        <v>Normal</v>
      </c>
      <c r="W235" s="81">
        <f t="shared" si="108"/>
        <v>0</v>
      </c>
      <c r="X235" s="81">
        <f t="shared" si="109"/>
        <v>0</v>
      </c>
      <c r="Y235" s="280"/>
    </row>
    <row r="236" spans="1:25">
      <c r="A236" s="378">
        <v>45251</v>
      </c>
      <c r="B236" s="386">
        <f>IF(YEAR(Table7[[#This Row],[Date]]) = 2023, WEEKNUM(Table7[[#This Row],[Date]])-13, WEEKNUM(Table7[[#This Row],[Date]])+40)</f>
        <v>34</v>
      </c>
      <c r="C236" s="203" t="s">
        <v>50</v>
      </c>
      <c r="D236" s="203" t="s">
        <v>94</v>
      </c>
      <c r="E236" s="379">
        <v>174</v>
      </c>
      <c r="F236" s="379">
        <v>173</v>
      </c>
      <c r="G236" s="350">
        <f t="shared" ref="G236:G268" si="141">IFERROR((E236-E229)/E229,0%)</f>
        <v>0.53982300884955747</v>
      </c>
      <c r="H236" s="350">
        <f t="shared" ref="H236:H268" si="142">IFERROR((F236-F229)/F229,0%)</f>
        <v>0.57272727272727275</v>
      </c>
      <c r="I236" s="379">
        <f>I233+E236</f>
        <v>1739</v>
      </c>
      <c r="J236" s="379">
        <f>J233+F236</f>
        <v>1712</v>
      </c>
      <c r="K236" s="379">
        <f>K233+E236</f>
        <v>11788</v>
      </c>
      <c r="L236" s="379">
        <f>L233+F236</f>
        <v>6601</v>
      </c>
      <c r="M236" s="191">
        <v>0.98</v>
      </c>
      <c r="N236" s="191">
        <v>0.01</v>
      </c>
      <c r="O236" s="191">
        <v>0.99</v>
      </c>
      <c r="P236" s="191">
        <v>0.51</v>
      </c>
      <c r="Q236" s="191"/>
      <c r="R236" s="391">
        <v>154</v>
      </c>
      <c r="S236" s="392">
        <v>6.8749999999999992E-2</v>
      </c>
      <c r="T236" s="381">
        <v>2</v>
      </c>
      <c r="U236" s="120" t="str">
        <f t="shared" si="106"/>
        <v>Outlier</v>
      </c>
      <c r="V236" s="120" t="str">
        <f t="shared" si="107"/>
        <v>Outlier</v>
      </c>
      <c r="W236" s="81">
        <f t="shared" si="108"/>
        <v>0.53982300884955747</v>
      </c>
      <c r="X236" s="81">
        <f t="shared" si="109"/>
        <v>0.57272727272727275</v>
      </c>
      <c r="Y236" s="280"/>
    </row>
    <row r="237" spans="1:25">
      <c r="A237" s="378">
        <v>45252</v>
      </c>
      <c r="B237" s="386">
        <f>IF(YEAR(Table7[[#This Row],[Date]]) = 2023, WEEKNUM(Table7[[#This Row],[Date]])-13, WEEKNUM(Table7[[#This Row],[Date]])+40)</f>
        <v>34</v>
      </c>
      <c r="C237" s="203" t="s">
        <v>51</v>
      </c>
      <c r="D237" s="203" t="s">
        <v>94</v>
      </c>
      <c r="E237" s="379">
        <v>174</v>
      </c>
      <c r="F237" s="379">
        <v>169</v>
      </c>
      <c r="G237" s="350">
        <f t="shared" si="141"/>
        <v>0.27007299270072993</v>
      </c>
      <c r="H237" s="350">
        <f t="shared" si="142"/>
        <v>0.27067669172932329</v>
      </c>
      <c r="I237" s="379">
        <f>I236+E237</f>
        <v>1913</v>
      </c>
      <c r="J237" s="379">
        <f>J236+F237</f>
        <v>1881</v>
      </c>
      <c r="K237" s="379">
        <f>K236+E237</f>
        <v>11962</v>
      </c>
      <c r="L237" s="379">
        <f>L236+F237</f>
        <v>6770</v>
      </c>
      <c r="M237" s="191">
        <v>0.95</v>
      </c>
      <c r="N237" s="191">
        <v>0.03</v>
      </c>
      <c r="O237" s="191">
        <v>0.97</v>
      </c>
      <c r="P237" s="191">
        <v>0.48</v>
      </c>
      <c r="Q237" s="380"/>
      <c r="R237" s="287">
        <v>146</v>
      </c>
      <c r="S237" s="176">
        <v>8.8888888888888892E-2</v>
      </c>
      <c r="T237" s="381">
        <v>2</v>
      </c>
      <c r="U237" s="120" t="str">
        <f t="shared" si="106"/>
        <v>Outlier</v>
      </c>
      <c r="V237" s="120" t="str">
        <f t="shared" si="107"/>
        <v>Outlier</v>
      </c>
      <c r="W237" s="81">
        <f t="shared" si="108"/>
        <v>0.27007299270072993</v>
      </c>
      <c r="X237" s="81">
        <f t="shared" si="109"/>
        <v>0.27067669172932329</v>
      </c>
      <c r="Y237" s="280"/>
    </row>
    <row r="238" spans="1:25">
      <c r="A238" s="378">
        <v>45253</v>
      </c>
      <c r="B238" s="386">
        <f>IF(YEAR(Table7[[#This Row],[Date]]) = 2023, WEEKNUM(Table7[[#This Row],[Date]])-13, WEEKNUM(Table7[[#This Row],[Date]])+40)</f>
        <v>34</v>
      </c>
      <c r="C238" s="203" t="s">
        <v>52</v>
      </c>
      <c r="D238" s="203" t="s">
        <v>94</v>
      </c>
      <c r="E238" s="379">
        <v>170</v>
      </c>
      <c r="F238" s="379">
        <v>166</v>
      </c>
      <c r="G238" s="350">
        <f t="shared" si="141"/>
        <v>4.9382716049382713E-2</v>
      </c>
      <c r="H238" s="350">
        <f t="shared" si="142"/>
        <v>4.40251572327044E-2</v>
      </c>
      <c r="I238" s="379">
        <f t="shared" ref="I238:I239" si="143">I236+E238</f>
        <v>1909</v>
      </c>
      <c r="J238" s="379">
        <f t="shared" ref="J238:J239" si="144">J236+F238</f>
        <v>1878</v>
      </c>
      <c r="K238" s="379">
        <f t="shared" ref="K238:K241" si="145">K236+E238</f>
        <v>11958</v>
      </c>
      <c r="L238" s="379">
        <f t="shared" ref="L238:L241" si="146">L236+F238</f>
        <v>6767</v>
      </c>
      <c r="M238" s="191">
        <v>0.93</v>
      </c>
      <c r="N238" s="191">
        <v>0.02</v>
      </c>
      <c r="O238" s="191">
        <v>0.98</v>
      </c>
      <c r="P238" s="191">
        <v>0.45</v>
      </c>
      <c r="Q238" s="191"/>
      <c r="R238" s="391">
        <v>141</v>
      </c>
      <c r="S238" s="392">
        <v>4.2361111111111106E-2</v>
      </c>
      <c r="T238" s="381">
        <v>2</v>
      </c>
      <c r="U238" s="120" t="str">
        <f t="shared" si="106"/>
        <v>Outlier</v>
      </c>
      <c r="V238" s="120" t="str">
        <f t="shared" si="107"/>
        <v>Outlier</v>
      </c>
      <c r="W238" s="81">
        <f t="shared" si="108"/>
        <v>4.9382716049382713E-2</v>
      </c>
      <c r="X238" s="81">
        <f t="shared" si="109"/>
        <v>4.40251572327044E-2</v>
      </c>
      <c r="Y238" s="280"/>
    </row>
    <row r="239" spans="1:25">
      <c r="A239" s="378">
        <v>45254</v>
      </c>
      <c r="B239" s="386">
        <f>IF(YEAR(Table7[[#This Row],[Date]]) = 2023, WEEKNUM(Table7[[#This Row],[Date]])-13, WEEKNUM(Table7[[#This Row],[Date]])+40)</f>
        <v>34</v>
      </c>
      <c r="C239" s="203" t="s">
        <v>53</v>
      </c>
      <c r="D239" s="203" t="s">
        <v>94</v>
      </c>
      <c r="E239" s="379">
        <v>161</v>
      </c>
      <c r="F239" s="379">
        <v>154</v>
      </c>
      <c r="G239" s="350">
        <f t="shared" si="141"/>
        <v>1.8987341772151899E-2</v>
      </c>
      <c r="H239" s="350">
        <f t="shared" si="142"/>
        <v>4.0540540540540543E-2</v>
      </c>
      <c r="I239" s="379">
        <f t="shared" si="143"/>
        <v>2074</v>
      </c>
      <c r="J239" s="379">
        <f t="shared" si="144"/>
        <v>2035</v>
      </c>
      <c r="K239" s="379">
        <f t="shared" si="145"/>
        <v>12123</v>
      </c>
      <c r="L239" s="379">
        <f t="shared" si="146"/>
        <v>6924</v>
      </c>
      <c r="M239" s="191">
        <v>0.88</v>
      </c>
      <c r="N239" s="191">
        <v>0.04</v>
      </c>
      <c r="O239" s="191">
        <v>0.96</v>
      </c>
      <c r="P239" s="191">
        <v>0.48</v>
      </c>
      <c r="Q239" s="380"/>
      <c r="R239" s="287">
        <v>163</v>
      </c>
      <c r="S239" s="176">
        <v>1.4583333333333332E-2</v>
      </c>
      <c r="T239" s="381">
        <v>2</v>
      </c>
      <c r="U239" s="120" t="str">
        <f t="shared" si="106"/>
        <v>Outlier</v>
      </c>
      <c r="V239" s="120" t="str">
        <f t="shared" si="107"/>
        <v>Outlier</v>
      </c>
      <c r="W239" s="81">
        <f t="shared" si="108"/>
        <v>1.8987341772151899E-2</v>
      </c>
      <c r="X239" s="81">
        <f t="shared" si="109"/>
        <v>4.0540540540540543E-2</v>
      </c>
      <c r="Y239" s="280"/>
    </row>
    <row r="240" spans="1:25">
      <c r="A240" s="378">
        <v>45255</v>
      </c>
      <c r="B240" s="386">
        <f>IF(YEAR(Table7[[#This Row],[Date]]) = 2023, WEEKNUM(Table7[[#This Row],[Date]])-13, WEEKNUM(Table7[[#This Row],[Date]])+40)</f>
        <v>34</v>
      </c>
      <c r="C240" s="203" t="s">
        <v>54</v>
      </c>
      <c r="D240" s="203" t="s">
        <v>94</v>
      </c>
      <c r="E240" s="379">
        <v>94</v>
      </c>
      <c r="F240" s="379">
        <v>91</v>
      </c>
      <c r="G240" s="350">
        <f t="shared" si="141"/>
        <v>0.77358490566037741</v>
      </c>
      <c r="H240" s="350">
        <f t="shared" si="142"/>
        <v>0.78431372549019607</v>
      </c>
      <c r="I240" s="379">
        <f>E240+I239</f>
        <v>2168</v>
      </c>
      <c r="J240" s="379">
        <f>F240+J239</f>
        <v>2126</v>
      </c>
      <c r="K240" s="379">
        <f t="shared" si="145"/>
        <v>12052</v>
      </c>
      <c r="L240" s="379">
        <f t="shared" si="146"/>
        <v>6858</v>
      </c>
      <c r="M240" s="191">
        <v>0.93</v>
      </c>
      <c r="N240" s="191">
        <v>0.03</v>
      </c>
      <c r="O240" s="191">
        <v>0.97</v>
      </c>
      <c r="P240" s="191">
        <v>0.2</v>
      </c>
      <c r="Q240" s="191"/>
      <c r="R240" s="391">
        <v>115</v>
      </c>
      <c r="S240" s="392">
        <v>2.0833333333333332E-2</v>
      </c>
      <c r="T240" s="381">
        <v>2</v>
      </c>
      <c r="U240" s="120" t="str">
        <f t="shared" si="106"/>
        <v>Outlier</v>
      </c>
      <c r="V240" s="120" t="str">
        <f t="shared" si="107"/>
        <v>Outlier</v>
      </c>
      <c r="W240" s="81">
        <f t="shared" si="108"/>
        <v>0.77358490566037741</v>
      </c>
      <c r="X240" s="81">
        <f t="shared" si="109"/>
        <v>0.78431372549019607</v>
      </c>
      <c r="Y240" s="280"/>
    </row>
    <row r="241" spans="1:25">
      <c r="A241" s="378">
        <v>45256</v>
      </c>
      <c r="B241" s="386">
        <f>IF(YEAR(Table7[[#This Row],[Date]]) = 2023, WEEKNUM(Table7[[#This Row],[Date]])-13, WEEKNUM(Table7[[#This Row],[Date]])+40)</f>
        <v>35</v>
      </c>
      <c r="C241" s="203" t="s">
        <v>48</v>
      </c>
      <c r="D241" s="203" t="s">
        <v>94</v>
      </c>
      <c r="E241" s="379">
        <v>17</v>
      </c>
      <c r="F241" s="379">
        <v>16</v>
      </c>
      <c r="G241" s="350">
        <f t="shared" si="141"/>
        <v>0</v>
      </c>
      <c r="H241" s="350">
        <f t="shared" si="142"/>
        <v>0</v>
      </c>
      <c r="I241" s="379">
        <f>I240+E241</f>
        <v>2185</v>
      </c>
      <c r="J241" s="379">
        <f>J240+F241</f>
        <v>2142</v>
      </c>
      <c r="K241" s="379">
        <f t="shared" si="145"/>
        <v>12140</v>
      </c>
      <c r="L241" s="379">
        <f t="shared" si="146"/>
        <v>6940</v>
      </c>
      <c r="M241" s="191">
        <v>0.96</v>
      </c>
      <c r="N241" s="191">
        <v>0.06</v>
      </c>
      <c r="O241" s="191">
        <v>0.94</v>
      </c>
      <c r="P241" s="191">
        <v>0.05</v>
      </c>
      <c r="Q241" s="380"/>
      <c r="R241" s="287">
        <v>149</v>
      </c>
      <c r="S241" s="176">
        <v>1.3194444444444444E-2</v>
      </c>
      <c r="T241" s="381">
        <v>2</v>
      </c>
      <c r="U241" s="120" t="str">
        <f t="shared" si="106"/>
        <v>Normal</v>
      </c>
      <c r="V241" s="120" t="str">
        <f t="shared" si="107"/>
        <v>Outlier</v>
      </c>
      <c r="W241" s="81">
        <f t="shared" si="108"/>
        <v>0</v>
      </c>
      <c r="X241" s="81">
        <f t="shared" si="109"/>
        <v>0</v>
      </c>
      <c r="Y241" s="280"/>
    </row>
    <row r="242" spans="1:25">
      <c r="A242" s="378">
        <v>45257</v>
      </c>
      <c r="B242" s="386">
        <f>IF(YEAR(Table7[[#This Row],[Date]]) = 2023, WEEKNUM(Table7[[#This Row],[Date]])-13, WEEKNUM(Table7[[#This Row],[Date]])+40)</f>
        <v>35</v>
      </c>
      <c r="C242" s="203" t="s">
        <v>49</v>
      </c>
      <c r="D242" s="203" t="s">
        <v>94</v>
      </c>
      <c r="E242" s="379">
        <v>181</v>
      </c>
      <c r="F242" s="379">
        <v>176</v>
      </c>
      <c r="G242" s="350">
        <f t="shared" si="141"/>
        <v>0</v>
      </c>
      <c r="H242" s="350">
        <f t="shared" si="142"/>
        <v>0</v>
      </c>
      <c r="I242" s="379">
        <f>I241+E242</f>
        <v>2366</v>
      </c>
      <c r="J242" s="379">
        <f>J241+F242</f>
        <v>2318</v>
      </c>
      <c r="K242" s="379">
        <f>K241+E242</f>
        <v>12321</v>
      </c>
      <c r="L242" s="379">
        <f>L241+F242</f>
        <v>7116</v>
      </c>
      <c r="M242" s="191">
        <v>0.96</v>
      </c>
      <c r="N242" s="191">
        <v>0.03</v>
      </c>
      <c r="O242" s="191">
        <v>0.97</v>
      </c>
      <c r="P242" s="191">
        <v>0.56999999999999995</v>
      </c>
      <c r="Q242" s="191"/>
      <c r="R242" s="391">
        <v>168</v>
      </c>
      <c r="S242" s="392">
        <v>4.3750000000000004E-2</v>
      </c>
      <c r="T242" s="381">
        <v>2</v>
      </c>
      <c r="U242" s="120" t="str">
        <f t="shared" si="106"/>
        <v>Normal</v>
      </c>
      <c r="V242" s="120" t="str">
        <f t="shared" si="107"/>
        <v>Outlier</v>
      </c>
      <c r="W242" s="81">
        <f t="shared" si="108"/>
        <v>0</v>
      </c>
      <c r="X242" s="81">
        <f t="shared" si="109"/>
        <v>0</v>
      </c>
      <c r="Y242" s="280"/>
    </row>
    <row r="243" spans="1:25">
      <c r="A243" s="378">
        <v>45258</v>
      </c>
      <c r="B243" s="386">
        <f>IF(YEAR(Table7[[#This Row],[Date]]) = 2023, WEEKNUM(Table7[[#This Row],[Date]])-13, WEEKNUM(Table7[[#This Row],[Date]])+40)</f>
        <v>35</v>
      </c>
      <c r="C243" s="203" t="s">
        <v>50</v>
      </c>
      <c r="D243" s="203" t="s">
        <v>94</v>
      </c>
      <c r="E243" s="379">
        <v>162</v>
      </c>
      <c r="F243" s="379">
        <v>159</v>
      </c>
      <c r="G243" s="350">
        <f t="shared" si="141"/>
        <v>-6.8965517241379309E-2</v>
      </c>
      <c r="H243" s="350">
        <f t="shared" si="142"/>
        <v>-8.0924855491329481E-2</v>
      </c>
      <c r="I243" s="379">
        <f t="shared" ref="I243:I244" si="147">I241+E243</f>
        <v>2347</v>
      </c>
      <c r="J243" s="379">
        <f t="shared" ref="J243:J244" si="148">J241+F243</f>
        <v>2301</v>
      </c>
      <c r="K243" s="379">
        <f t="shared" ref="K243:K245" si="149">K241+E243</f>
        <v>12302</v>
      </c>
      <c r="L243" s="379">
        <f t="shared" ref="L243:L245" si="150">L241+F243</f>
        <v>7099</v>
      </c>
      <c r="M243" s="191">
        <v>0.94</v>
      </c>
      <c r="N243" s="191">
        <v>0.02</v>
      </c>
      <c r="O243" s="191">
        <v>0.98</v>
      </c>
      <c r="P243" s="191">
        <v>0.51</v>
      </c>
      <c r="Q243" s="380"/>
      <c r="R243" s="287">
        <v>165</v>
      </c>
      <c r="S243" s="176">
        <v>8.4027777777777771E-2</v>
      </c>
      <c r="T243" s="381">
        <v>2</v>
      </c>
      <c r="U243" s="120" t="str">
        <f t="shared" si="106"/>
        <v>Outlier</v>
      </c>
      <c r="V243" s="120" t="str">
        <f t="shared" si="107"/>
        <v>Outlier</v>
      </c>
      <c r="W243" s="81">
        <f t="shared" si="108"/>
        <v>-6.8965517241379309E-2</v>
      </c>
      <c r="X243" s="81">
        <f t="shared" si="109"/>
        <v>-8.0924855491329481E-2</v>
      </c>
      <c r="Y243" s="280"/>
    </row>
    <row r="244" spans="1:25">
      <c r="A244" s="378">
        <v>45259</v>
      </c>
      <c r="B244" s="386">
        <f>IF(YEAR(Table7[[#This Row],[Date]]) = 2023, WEEKNUM(Table7[[#This Row],[Date]])-13, WEEKNUM(Table7[[#This Row],[Date]])+40)</f>
        <v>35</v>
      </c>
      <c r="C244" s="203" t="s">
        <v>51</v>
      </c>
      <c r="D244" s="203" t="s">
        <v>94</v>
      </c>
      <c r="E244" s="379">
        <v>145</v>
      </c>
      <c r="F244" s="379">
        <v>141</v>
      </c>
      <c r="G244" s="350">
        <f t="shared" si="141"/>
        <v>-0.16666666666666666</v>
      </c>
      <c r="H244" s="350">
        <f t="shared" si="142"/>
        <v>-0.16568047337278108</v>
      </c>
      <c r="I244" s="379">
        <f t="shared" si="147"/>
        <v>2511</v>
      </c>
      <c r="J244" s="379">
        <f t="shared" si="148"/>
        <v>2459</v>
      </c>
      <c r="K244" s="379">
        <f t="shared" si="149"/>
        <v>12466</v>
      </c>
      <c r="L244" s="379">
        <f t="shared" si="150"/>
        <v>7257</v>
      </c>
      <c r="M244" s="191">
        <v>0.95</v>
      </c>
      <c r="N244" s="191">
        <v>0.03</v>
      </c>
      <c r="O244" s="191">
        <v>0.97</v>
      </c>
      <c r="P244" s="191">
        <v>0.43</v>
      </c>
      <c r="Q244" s="191"/>
      <c r="R244" s="391">
        <v>159</v>
      </c>
      <c r="S244" s="392">
        <v>7.2916666666666671E-2</v>
      </c>
      <c r="T244" s="381">
        <v>2</v>
      </c>
      <c r="U244" s="120" t="str">
        <f t="shared" si="106"/>
        <v>Outlier</v>
      </c>
      <c r="V244" s="120" t="str">
        <f t="shared" si="107"/>
        <v>Outlier</v>
      </c>
      <c r="W244" s="81">
        <f t="shared" si="108"/>
        <v>-0.16666666666666666</v>
      </c>
      <c r="X244" s="81">
        <f t="shared" si="109"/>
        <v>-0.16568047337278108</v>
      </c>
      <c r="Y244" s="280"/>
    </row>
    <row r="245" spans="1:25">
      <c r="A245" s="378">
        <v>45260</v>
      </c>
      <c r="B245" s="386">
        <f>IF(YEAR(Table7[[#This Row],[Date]]) = 2023, WEEKNUM(Table7[[#This Row],[Date]])-13, WEEKNUM(Table7[[#This Row],[Date]])+40)</f>
        <v>35</v>
      </c>
      <c r="C245" s="203" t="s">
        <v>52</v>
      </c>
      <c r="D245" s="203" t="s">
        <v>94</v>
      </c>
      <c r="E245" s="379">
        <v>146</v>
      </c>
      <c r="F245" s="379">
        <v>146</v>
      </c>
      <c r="G245" s="350">
        <f t="shared" si="141"/>
        <v>-0.14117647058823529</v>
      </c>
      <c r="H245" s="350">
        <f t="shared" si="142"/>
        <v>-0.12048192771084337</v>
      </c>
      <c r="I245" s="379">
        <f>E245+I244</f>
        <v>2657</v>
      </c>
      <c r="J245" s="379">
        <f>F245+J244</f>
        <v>2605</v>
      </c>
      <c r="K245" s="379">
        <f t="shared" si="149"/>
        <v>12448</v>
      </c>
      <c r="L245" s="379">
        <f t="shared" si="150"/>
        <v>7245</v>
      </c>
      <c r="M245" s="191">
        <v>1</v>
      </c>
      <c r="N245" s="191">
        <v>0</v>
      </c>
      <c r="O245" s="191">
        <v>1</v>
      </c>
      <c r="P245" s="191">
        <v>0.41</v>
      </c>
      <c r="Q245" s="380"/>
      <c r="R245" s="287">
        <v>144</v>
      </c>
      <c r="S245" s="176">
        <v>0.12569444444444444</v>
      </c>
      <c r="T245" s="381">
        <v>2</v>
      </c>
      <c r="U245" s="120" t="str">
        <f t="shared" si="106"/>
        <v>Outlier</v>
      </c>
      <c r="V245" s="120" t="str">
        <f t="shared" si="107"/>
        <v>Outlier</v>
      </c>
      <c r="W245" s="81">
        <f t="shared" si="108"/>
        <v>-0.14117647058823529</v>
      </c>
      <c r="X245" s="81">
        <f t="shared" si="109"/>
        <v>-0.12048192771084337</v>
      </c>
      <c r="Y245" s="280"/>
    </row>
    <row r="246" spans="1:25">
      <c r="A246" s="378">
        <v>45261</v>
      </c>
      <c r="B246" s="386">
        <f>IF(YEAR(Table7[[#This Row],[Date]]) = 2023, WEEKNUM(Table7[[#This Row],[Date]])-13, WEEKNUM(Table7[[#This Row],[Date]])+40)</f>
        <v>35</v>
      </c>
      <c r="C246" s="203" t="s">
        <v>53</v>
      </c>
      <c r="D246" s="203" t="s">
        <v>94</v>
      </c>
      <c r="E246" s="379">
        <v>138</v>
      </c>
      <c r="F246" s="379">
        <v>135</v>
      </c>
      <c r="G246" s="350">
        <f t="shared" si="141"/>
        <v>-0.14285714285714285</v>
      </c>
      <c r="H246" s="350">
        <f t="shared" si="142"/>
        <v>-0.12337662337662338</v>
      </c>
      <c r="I246" s="379">
        <f>E246</f>
        <v>138</v>
      </c>
      <c r="J246" s="379">
        <f>F246</f>
        <v>135</v>
      </c>
      <c r="K246" s="379">
        <f t="shared" ref="K246:L248" si="151">K245+E246</f>
        <v>12586</v>
      </c>
      <c r="L246" s="379">
        <f t="shared" si="151"/>
        <v>7380</v>
      </c>
      <c r="M246" s="191">
        <v>0.94</v>
      </c>
      <c r="N246" s="191">
        <v>2.1739130434782608E-2</v>
      </c>
      <c r="O246" s="191">
        <v>0.98</v>
      </c>
      <c r="P246" s="191">
        <v>0.3984375</v>
      </c>
      <c r="Q246" s="191"/>
      <c r="R246" s="391">
        <v>153</v>
      </c>
      <c r="S246" s="392">
        <v>8.8888888888888892E-2</v>
      </c>
      <c r="T246" s="381">
        <v>2</v>
      </c>
      <c r="U246" s="120" t="str">
        <f t="shared" si="106"/>
        <v>Outlier</v>
      </c>
      <c r="V246" s="120" t="str">
        <f t="shared" si="107"/>
        <v>Outlier</v>
      </c>
      <c r="W246" s="81">
        <f t="shared" si="108"/>
        <v>-0.14285714285714285</v>
      </c>
      <c r="X246" s="81">
        <f t="shared" si="109"/>
        <v>-0.12337662337662338</v>
      </c>
      <c r="Y246" s="280"/>
    </row>
    <row r="247" spans="1:25">
      <c r="A247" s="378">
        <v>45262</v>
      </c>
      <c r="B247" s="386">
        <f>IF(YEAR(Table7[[#This Row],[Date]]) = 2023, WEEKNUM(Table7[[#This Row],[Date]])-13, WEEKNUM(Table7[[#This Row],[Date]])+40)</f>
        <v>35</v>
      </c>
      <c r="C247" s="203" t="s">
        <v>54</v>
      </c>
      <c r="D247" s="203" t="s">
        <v>94</v>
      </c>
      <c r="E247" s="379">
        <v>65</v>
      </c>
      <c r="F247" s="379">
        <v>64</v>
      </c>
      <c r="G247" s="350">
        <f t="shared" si="141"/>
        <v>-0.30851063829787234</v>
      </c>
      <c r="H247" s="350">
        <f t="shared" si="142"/>
        <v>-0.2967032967032967</v>
      </c>
      <c r="I247" s="379">
        <f>I246+E247</f>
        <v>203</v>
      </c>
      <c r="J247" s="379">
        <f>J246+F247</f>
        <v>199</v>
      </c>
      <c r="K247" s="379">
        <f t="shared" si="151"/>
        <v>12651</v>
      </c>
      <c r="L247" s="379">
        <f t="shared" si="151"/>
        <v>7444</v>
      </c>
      <c r="M247" s="191">
        <v>0.96</v>
      </c>
      <c r="N247" s="191">
        <v>1.5384615384615385E-2</v>
      </c>
      <c r="O247" s="191">
        <v>0.98</v>
      </c>
      <c r="P247" s="191">
        <v>0.19753086419753085</v>
      </c>
      <c r="Q247" s="380"/>
      <c r="R247" s="287">
        <v>160</v>
      </c>
      <c r="S247" s="393" t="s">
        <v>122</v>
      </c>
      <c r="T247" s="381">
        <v>2</v>
      </c>
      <c r="U247" s="120" t="str">
        <f t="shared" si="106"/>
        <v>Outlier</v>
      </c>
      <c r="V247" s="120" t="str">
        <f t="shared" si="107"/>
        <v>Outlier</v>
      </c>
      <c r="W247" s="81">
        <f t="shared" si="108"/>
        <v>-0.30851063829787234</v>
      </c>
      <c r="X247" s="81">
        <f t="shared" si="109"/>
        <v>-0.2967032967032967</v>
      </c>
      <c r="Y247" s="280"/>
    </row>
    <row r="248" spans="1:25">
      <c r="A248" s="378">
        <v>45263</v>
      </c>
      <c r="B248" s="386">
        <f>IF(YEAR(Table7[[#This Row],[Date]]) = 2023, WEEKNUM(Table7[[#This Row],[Date]])-13, WEEKNUM(Table7[[#This Row],[Date]])+40)</f>
        <v>36</v>
      </c>
      <c r="C248" s="203" t="s">
        <v>48</v>
      </c>
      <c r="D248" s="203" t="s">
        <v>94</v>
      </c>
      <c r="E248" s="379">
        <v>20</v>
      </c>
      <c r="F248" s="379">
        <v>17</v>
      </c>
      <c r="G248" s="350">
        <f t="shared" si="141"/>
        <v>0.17647058823529413</v>
      </c>
      <c r="H248" s="350">
        <f t="shared" si="142"/>
        <v>6.25E-2</v>
      </c>
      <c r="I248" s="379">
        <f>I247+E248</f>
        <v>223</v>
      </c>
      <c r="J248" s="379">
        <f>J247+F248</f>
        <v>216</v>
      </c>
      <c r="K248" s="379">
        <f t="shared" si="151"/>
        <v>12671</v>
      </c>
      <c r="L248" s="379">
        <f t="shared" si="151"/>
        <v>7461</v>
      </c>
      <c r="M248" s="191">
        <v>0.88</v>
      </c>
      <c r="N248" s="191">
        <v>0.15</v>
      </c>
      <c r="O248" s="191">
        <v>0.85</v>
      </c>
      <c r="P248" s="191">
        <v>8.0671296296296283E-2</v>
      </c>
      <c r="Q248" s="191"/>
      <c r="R248" s="391">
        <v>123</v>
      </c>
      <c r="S248" s="394" t="s">
        <v>123</v>
      </c>
      <c r="T248" s="381">
        <v>1</v>
      </c>
      <c r="U248" s="120" t="str">
        <f t="shared" si="106"/>
        <v>Outlier</v>
      </c>
      <c r="V248" s="120" t="str">
        <f t="shared" si="107"/>
        <v>Outlier</v>
      </c>
      <c r="W248" s="81">
        <f t="shared" si="108"/>
        <v>0.17647058823529413</v>
      </c>
      <c r="X248" s="81">
        <f t="shared" si="109"/>
        <v>6.25E-2</v>
      </c>
      <c r="Y248" s="280"/>
    </row>
    <row r="249" spans="1:25">
      <c r="A249" s="378">
        <v>45264</v>
      </c>
      <c r="B249" s="386">
        <f>IF(YEAR(Table7[[#This Row],[Date]]) = 2023, WEEKNUM(Table7[[#This Row],[Date]])-13, WEEKNUM(Table7[[#This Row],[Date]])+40)</f>
        <v>36</v>
      </c>
      <c r="C249" s="203" t="s">
        <v>49</v>
      </c>
      <c r="D249" s="203" t="s">
        <v>94</v>
      </c>
      <c r="E249" s="379">
        <v>164</v>
      </c>
      <c r="F249" s="379">
        <v>157</v>
      </c>
      <c r="G249" s="350">
        <f t="shared" si="141"/>
        <v>-9.3922651933701654E-2</v>
      </c>
      <c r="H249" s="350">
        <f t="shared" si="142"/>
        <v>-0.10795454545454546</v>
      </c>
      <c r="I249" s="379">
        <f t="shared" ref="I249:I250" si="152">I247+E249</f>
        <v>367</v>
      </c>
      <c r="J249" s="379">
        <f t="shared" ref="J249:J250" si="153">J247+F249</f>
        <v>356</v>
      </c>
      <c r="K249" s="379">
        <f t="shared" ref="K249:K252" si="154">K247+E249</f>
        <v>12815</v>
      </c>
      <c r="L249" s="379">
        <f t="shared" ref="L249:L252" si="155">L247+F249</f>
        <v>7601</v>
      </c>
      <c r="M249" s="191">
        <v>0.92</v>
      </c>
      <c r="N249" s="191">
        <v>4.2682926829268296E-2</v>
      </c>
      <c r="O249" s="191">
        <v>0.96</v>
      </c>
      <c r="P249" s="191">
        <v>0.45428240740740738</v>
      </c>
      <c r="Q249" s="380"/>
      <c r="R249" s="287">
        <v>150</v>
      </c>
      <c r="S249" s="393" t="s">
        <v>124</v>
      </c>
      <c r="T249" s="381">
        <v>2</v>
      </c>
      <c r="U249" s="120" t="str">
        <f t="shared" si="106"/>
        <v>Outlier</v>
      </c>
      <c r="V249" s="120" t="str">
        <f t="shared" si="107"/>
        <v>Outlier</v>
      </c>
      <c r="W249" s="81">
        <f t="shared" si="108"/>
        <v>-9.3922651933701654E-2</v>
      </c>
      <c r="X249" s="81">
        <f t="shared" si="109"/>
        <v>-0.10795454545454546</v>
      </c>
      <c r="Y249" s="280"/>
    </row>
    <row r="250" spans="1:25">
      <c r="A250" s="378">
        <v>45265</v>
      </c>
      <c r="B250" s="386">
        <f>IF(YEAR(Table7[[#This Row],[Date]]) = 2023, WEEKNUM(Table7[[#This Row],[Date]])-13, WEEKNUM(Table7[[#This Row],[Date]])+40)</f>
        <v>36</v>
      </c>
      <c r="C250" s="203" t="s">
        <v>50</v>
      </c>
      <c r="D250" s="203" t="s">
        <v>94</v>
      </c>
      <c r="E250" s="379">
        <v>121</v>
      </c>
      <c r="F250" s="379">
        <v>115</v>
      </c>
      <c r="G250" s="350">
        <f t="shared" si="141"/>
        <v>-0.25308641975308643</v>
      </c>
      <c r="H250" s="350">
        <f t="shared" si="142"/>
        <v>-0.27672955974842767</v>
      </c>
      <c r="I250" s="379">
        <f t="shared" si="152"/>
        <v>344</v>
      </c>
      <c r="J250" s="379">
        <f t="shared" si="153"/>
        <v>331</v>
      </c>
      <c r="K250" s="379">
        <f t="shared" si="154"/>
        <v>12792</v>
      </c>
      <c r="L250" s="379">
        <f t="shared" si="155"/>
        <v>7576</v>
      </c>
      <c r="M250" s="191">
        <v>0.9</v>
      </c>
      <c r="N250" s="191">
        <v>4.9586776859504134E-2</v>
      </c>
      <c r="O250" s="191">
        <v>0.95</v>
      </c>
      <c r="P250" s="191">
        <v>0.47694830246913583</v>
      </c>
      <c r="Q250" s="191"/>
      <c r="R250" s="391">
        <v>215</v>
      </c>
      <c r="S250" s="394" t="s">
        <v>125</v>
      </c>
      <c r="T250" s="381">
        <v>2</v>
      </c>
      <c r="U250" s="120" t="str">
        <f t="shared" si="106"/>
        <v>Outlier</v>
      </c>
      <c r="V250" s="120" t="str">
        <f t="shared" si="107"/>
        <v>Outlier</v>
      </c>
      <c r="W250" s="81">
        <f t="shared" si="108"/>
        <v>-0.25308641975308643</v>
      </c>
      <c r="X250" s="81">
        <f t="shared" si="109"/>
        <v>-0.27672955974842767</v>
      </c>
      <c r="Y250" s="280"/>
    </row>
    <row r="251" spans="1:25">
      <c r="A251" s="378">
        <v>45266</v>
      </c>
      <c r="B251" s="386">
        <f>IF(YEAR(Table7[[#This Row],[Date]]) = 2023, WEEKNUM(Table7[[#This Row],[Date]])-13, WEEKNUM(Table7[[#This Row],[Date]])+40)</f>
        <v>36</v>
      </c>
      <c r="C251" s="203" t="s">
        <v>51</v>
      </c>
      <c r="D251" s="203" t="s">
        <v>94</v>
      </c>
      <c r="E251" s="379">
        <v>119</v>
      </c>
      <c r="F251" s="379">
        <v>112</v>
      </c>
      <c r="G251" s="350">
        <f t="shared" si="141"/>
        <v>-0.1793103448275862</v>
      </c>
      <c r="H251" s="350">
        <f t="shared" si="142"/>
        <v>-0.20567375886524822</v>
      </c>
      <c r="I251" s="379">
        <f>E251+I250</f>
        <v>463</v>
      </c>
      <c r="J251" s="379">
        <f>F251+J250</f>
        <v>443</v>
      </c>
      <c r="K251" s="379">
        <f t="shared" si="154"/>
        <v>12934</v>
      </c>
      <c r="L251" s="379">
        <f t="shared" si="155"/>
        <v>7713</v>
      </c>
      <c r="M251" s="191">
        <v>0.94</v>
      </c>
      <c r="N251" s="191">
        <v>5.8823529411764705E-2</v>
      </c>
      <c r="O251" s="191">
        <v>0.94</v>
      </c>
      <c r="P251" s="191">
        <v>0.32623456790123456</v>
      </c>
      <c r="Q251" s="380"/>
      <c r="R251" s="287">
        <v>151</v>
      </c>
      <c r="S251" s="393" t="s">
        <v>126</v>
      </c>
      <c r="T251" s="381">
        <v>2</v>
      </c>
      <c r="U251" s="120" t="str">
        <f t="shared" si="106"/>
        <v>Outlier</v>
      </c>
      <c r="V251" s="120" t="str">
        <f t="shared" si="107"/>
        <v>Outlier</v>
      </c>
      <c r="W251" s="81">
        <f t="shared" si="108"/>
        <v>-0.1793103448275862</v>
      </c>
      <c r="X251" s="81">
        <f t="shared" si="109"/>
        <v>-0.20567375886524822</v>
      </c>
      <c r="Y251" s="280"/>
    </row>
    <row r="252" spans="1:25">
      <c r="A252" s="378">
        <v>45267</v>
      </c>
      <c r="B252" s="386">
        <f>IF(YEAR(Table7[[#This Row],[Date]]) = 2023, WEEKNUM(Table7[[#This Row],[Date]])-13, WEEKNUM(Table7[[#This Row],[Date]])+40)</f>
        <v>36</v>
      </c>
      <c r="C252" s="203" t="s">
        <v>52</v>
      </c>
      <c r="D252" s="203" t="s">
        <v>94</v>
      </c>
      <c r="E252" s="379">
        <v>148</v>
      </c>
      <c r="F252" s="379">
        <v>141</v>
      </c>
      <c r="G252" s="350">
        <f t="shared" si="141"/>
        <v>1.3698630136986301E-2</v>
      </c>
      <c r="H252" s="350">
        <f t="shared" si="142"/>
        <v>-3.4246575342465752E-2</v>
      </c>
      <c r="I252" s="379">
        <f t="shared" ref="I252:J255" si="156">I251+E252</f>
        <v>611</v>
      </c>
      <c r="J252" s="379">
        <f t="shared" si="156"/>
        <v>584</v>
      </c>
      <c r="K252" s="379">
        <f t="shared" si="154"/>
        <v>12940</v>
      </c>
      <c r="L252" s="379">
        <f t="shared" si="155"/>
        <v>7717</v>
      </c>
      <c r="M252" s="191">
        <v>0.93</v>
      </c>
      <c r="N252" s="191">
        <v>4.72972972972973E-2</v>
      </c>
      <c r="O252" s="191">
        <v>0.95</v>
      </c>
      <c r="P252" s="191">
        <v>0.33454861111111106</v>
      </c>
      <c r="Q252" s="191"/>
      <c r="R252" s="391">
        <v>123</v>
      </c>
      <c r="S252" s="394" t="s">
        <v>127</v>
      </c>
      <c r="T252" s="381">
        <v>2</v>
      </c>
      <c r="U252" s="120" t="str">
        <f t="shared" si="106"/>
        <v>Outlier</v>
      </c>
      <c r="V252" s="120" t="str">
        <f t="shared" si="107"/>
        <v>Outlier</v>
      </c>
      <c r="W252" s="81">
        <f t="shared" si="108"/>
        <v>1.3698630136986301E-2</v>
      </c>
      <c r="X252" s="81">
        <f t="shared" si="109"/>
        <v>-3.4246575342465752E-2</v>
      </c>
      <c r="Y252" s="280"/>
    </row>
    <row r="253" spans="1:25">
      <c r="A253" s="378">
        <v>45268</v>
      </c>
      <c r="B253" s="386">
        <f>IF(YEAR(Table7[[#This Row],[Date]]) = 2023, WEEKNUM(Table7[[#This Row],[Date]])-13, WEEKNUM(Table7[[#This Row],[Date]])+40)</f>
        <v>36</v>
      </c>
      <c r="C253" s="203" t="s">
        <v>53</v>
      </c>
      <c r="D253" s="203" t="s">
        <v>94</v>
      </c>
      <c r="E253" s="379">
        <v>144</v>
      </c>
      <c r="F253" s="379">
        <v>138</v>
      </c>
      <c r="G253" s="350">
        <f t="shared" si="141"/>
        <v>4.3478260869565216E-2</v>
      </c>
      <c r="H253" s="350">
        <f t="shared" si="142"/>
        <v>2.2222222222222223E-2</v>
      </c>
      <c r="I253" s="379">
        <f t="shared" si="156"/>
        <v>755</v>
      </c>
      <c r="J253" s="379">
        <f t="shared" si="156"/>
        <v>722</v>
      </c>
      <c r="K253" s="379">
        <f t="shared" ref="K253:L255" si="157">K252+E253</f>
        <v>13084</v>
      </c>
      <c r="L253" s="379">
        <f t="shared" si="157"/>
        <v>7855</v>
      </c>
      <c r="M253" s="191">
        <v>0.94</v>
      </c>
      <c r="N253" s="191">
        <v>4.1666666666666664E-2</v>
      </c>
      <c r="O253" s="191">
        <v>0.96</v>
      </c>
      <c r="P253" s="191">
        <v>0.35405092592592596</v>
      </c>
      <c r="Q253" s="380"/>
      <c r="R253" s="287">
        <v>133</v>
      </c>
      <c r="S253" s="393" t="s">
        <v>128</v>
      </c>
      <c r="T253" s="381">
        <v>2</v>
      </c>
      <c r="U253" s="120" t="str">
        <f t="shared" si="106"/>
        <v>Outlier</v>
      </c>
      <c r="V253" s="120" t="str">
        <f t="shared" si="107"/>
        <v>Outlier</v>
      </c>
      <c r="W253" s="81">
        <f t="shared" si="108"/>
        <v>4.3478260869565216E-2</v>
      </c>
      <c r="X253" s="81">
        <f t="shared" si="109"/>
        <v>2.2222222222222223E-2</v>
      </c>
      <c r="Y253" s="280"/>
    </row>
    <row r="254" spans="1:25">
      <c r="A254" s="378">
        <v>45269</v>
      </c>
      <c r="B254" s="386">
        <f>IF(YEAR(Table7[[#This Row],[Date]]) = 2023, WEEKNUM(Table7[[#This Row],[Date]])-13, WEEKNUM(Table7[[#This Row],[Date]])+40)</f>
        <v>36</v>
      </c>
      <c r="C254" s="203" t="s">
        <v>54</v>
      </c>
      <c r="D254" s="203" t="s">
        <v>94</v>
      </c>
      <c r="E254" s="379">
        <v>70</v>
      </c>
      <c r="F254" s="379">
        <v>64</v>
      </c>
      <c r="G254" s="350">
        <f t="shared" si="141"/>
        <v>7.6923076923076927E-2</v>
      </c>
      <c r="H254" s="350">
        <f t="shared" si="142"/>
        <v>0</v>
      </c>
      <c r="I254" s="379">
        <f t="shared" si="156"/>
        <v>825</v>
      </c>
      <c r="J254" s="379">
        <f t="shared" si="156"/>
        <v>786</v>
      </c>
      <c r="K254" s="379">
        <f t="shared" si="157"/>
        <v>13154</v>
      </c>
      <c r="L254" s="379">
        <f t="shared" si="157"/>
        <v>7919</v>
      </c>
      <c r="M254" s="191">
        <v>0.91</v>
      </c>
      <c r="N254" s="191">
        <v>8.5714285714285715E-2</v>
      </c>
      <c r="O254" s="191">
        <v>0.91</v>
      </c>
      <c r="P254" s="191">
        <v>0.23209876543209876</v>
      </c>
      <c r="Q254" s="191"/>
      <c r="R254" s="391">
        <v>94</v>
      </c>
      <c r="S254" s="394" t="s">
        <v>129</v>
      </c>
      <c r="T254" s="381">
        <v>1</v>
      </c>
      <c r="U254" s="120" t="str">
        <f t="shared" si="106"/>
        <v>Normal</v>
      </c>
      <c r="V254" s="120" t="str">
        <f t="shared" si="107"/>
        <v>Outlier</v>
      </c>
      <c r="W254" s="81">
        <f t="shared" si="108"/>
        <v>7.6923076923076927E-2</v>
      </c>
      <c r="X254" s="81">
        <f t="shared" si="109"/>
        <v>0</v>
      </c>
      <c r="Y254" s="280"/>
    </row>
    <row r="255" spans="1:25">
      <c r="A255" s="378">
        <v>45270</v>
      </c>
      <c r="B255" s="386">
        <f>IF(YEAR(Table7[[#This Row],[Date]]) = 2023, WEEKNUM(Table7[[#This Row],[Date]])-13, WEEKNUM(Table7[[#This Row],[Date]])+40)</f>
        <v>37</v>
      </c>
      <c r="C255" s="203" t="s">
        <v>48</v>
      </c>
      <c r="D255" s="203" t="s">
        <v>94</v>
      </c>
      <c r="E255" s="379">
        <v>20</v>
      </c>
      <c r="F255" s="379">
        <v>17</v>
      </c>
      <c r="G255" s="350">
        <f t="shared" si="141"/>
        <v>0</v>
      </c>
      <c r="H255" s="350">
        <f t="shared" si="142"/>
        <v>0</v>
      </c>
      <c r="I255" s="379">
        <f t="shared" si="156"/>
        <v>845</v>
      </c>
      <c r="J255" s="379">
        <f t="shared" si="156"/>
        <v>803</v>
      </c>
      <c r="K255" s="379">
        <f t="shared" si="157"/>
        <v>13174</v>
      </c>
      <c r="L255" s="379">
        <f t="shared" si="157"/>
        <v>7936</v>
      </c>
      <c r="M255" s="191">
        <v>0.94</v>
      </c>
      <c r="N255" s="191">
        <v>0.15</v>
      </c>
      <c r="O255" s="191">
        <v>0.85</v>
      </c>
      <c r="P255" s="191">
        <v>4.0663580246913585E-2</v>
      </c>
      <c r="Q255" s="380"/>
      <c r="R255" s="287">
        <v>62</v>
      </c>
      <c r="S255" s="393" t="s">
        <v>130</v>
      </c>
      <c r="T255" s="381">
        <v>1</v>
      </c>
      <c r="U255" s="120" t="str">
        <f t="shared" si="106"/>
        <v>Normal</v>
      </c>
      <c r="V255" s="120" t="str">
        <f t="shared" si="107"/>
        <v>Outlier</v>
      </c>
      <c r="W255" s="81">
        <f t="shared" si="108"/>
        <v>0</v>
      </c>
      <c r="X255" s="81">
        <f t="shared" si="109"/>
        <v>0</v>
      </c>
      <c r="Y255" s="280"/>
    </row>
    <row r="256" spans="1:25">
      <c r="A256" s="378">
        <v>45271</v>
      </c>
      <c r="B256" s="386">
        <f>IF(YEAR(Table7[[#This Row],[Date]]) = 2023, WEEKNUM(Table7[[#This Row],[Date]])-13, WEEKNUM(Table7[[#This Row],[Date]])+40)</f>
        <v>37</v>
      </c>
      <c r="C256" s="203" t="s">
        <v>49</v>
      </c>
      <c r="D256" s="203" t="s">
        <v>94</v>
      </c>
      <c r="E256" s="379">
        <v>143</v>
      </c>
      <c r="F256" s="379">
        <v>134</v>
      </c>
      <c r="G256" s="350">
        <f t="shared" si="141"/>
        <v>-0.12804878048780488</v>
      </c>
      <c r="H256" s="350">
        <f t="shared" si="142"/>
        <v>-0.1464968152866242</v>
      </c>
      <c r="I256" s="379">
        <f t="shared" ref="I256" si="158">I254+E256</f>
        <v>968</v>
      </c>
      <c r="J256" s="379">
        <f t="shared" ref="J256" si="159">J254+F256</f>
        <v>920</v>
      </c>
      <c r="K256" s="379">
        <f t="shared" ref="K256:K258" si="160">K254+E256</f>
        <v>13297</v>
      </c>
      <c r="L256" s="379">
        <f t="shared" ref="L256:L258" si="161">L254+F256</f>
        <v>8053</v>
      </c>
      <c r="M256" s="191">
        <v>0.92700000000000005</v>
      </c>
      <c r="N256" s="191">
        <v>6.2937062937062943E-2</v>
      </c>
      <c r="O256" s="191">
        <v>0.94</v>
      </c>
      <c r="P256" s="191">
        <v>0.16543209876543211</v>
      </c>
      <c r="Q256" s="191"/>
      <c r="R256" s="391">
        <v>64</v>
      </c>
      <c r="S256" s="394" t="s">
        <v>131</v>
      </c>
      <c r="T256" s="381">
        <v>2</v>
      </c>
      <c r="U256" s="120" t="str">
        <f t="shared" si="106"/>
        <v>Outlier</v>
      </c>
      <c r="V256" s="120" t="str">
        <f t="shared" si="107"/>
        <v>Outlier</v>
      </c>
      <c r="W256" s="81">
        <f t="shared" si="108"/>
        <v>-0.12804878048780488</v>
      </c>
      <c r="X256" s="81">
        <f t="shared" si="109"/>
        <v>-0.1464968152866242</v>
      </c>
      <c r="Y256" s="280"/>
    </row>
    <row r="257" spans="1:25">
      <c r="A257" s="378">
        <v>45272</v>
      </c>
      <c r="B257" s="386">
        <f>IF(YEAR(Table7[[#This Row],[Date]]) = 2023, WEEKNUM(Table7[[#This Row],[Date]])-13, WEEKNUM(Table7[[#This Row],[Date]])+40)</f>
        <v>37</v>
      </c>
      <c r="C257" s="203" t="s">
        <v>50</v>
      </c>
      <c r="D257" s="203" t="s">
        <v>94</v>
      </c>
      <c r="E257" s="379">
        <v>143</v>
      </c>
      <c r="F257" s="379">
        <v>134</v>
      </c>
      <c r="G257" s="350">
        <f t="shared" si="141"/>
        <v>0.18181818181818182</v>
      </c>
      <c r="H257" s="350">
        <f t="shared" si="142"/>
        <v>0.16521739130434782</v>
      </c>
      <c r="I257" s="379">
        <f>E257+I256</f>
        <v>1111</v>
      </c>
      <c r="J257" s="379">
        <f>F257+J256</f>
        <v>1054</v>
      </c>
      <c r="K257" s="379">
        <f t="shared" si="160"/>
        <v>13317</v>
      </c>
      <c r="L257" s="379">
        <f t="shared" si="161"/>
        <v>8070</v>
      </c>
      <c r="M257" s="191">
        <v>0.92700000000000005</v>
      </c>
      <c r="N257" s="191">
        <v>6.2937062937062943E-2</v>
      </c>
      <c r="O257" s="191">
        <v>0.94</v>
      </c>
      <c r="P257" s="191">
        <v>7.7546296296296295E-3</v>
      </c>
      <c r="Q257" s="380"/>
      <c r="R257" s="287">
        <v>3</v>
      </c>
      <c r="S257" s="393" t="s">
        <v>132</v>
      </c>
      <c r="T257" s="381">
        <v>2</v>
      </c>
      <c r="U257" s="120" t="str">
        <f t="shared" si="106"/>
        <v>Outlier</v>
      </c>
      <c r="V257" s="120" t="str">
        <f t="shared" si="107"/>
        <v>Outlier</v>
      </c>
      <c r="W257" s="81">
        <f t="shared" si="108"/>
        <v>0.18181818181818182</v>
      </c>
      <c r="X257" s="81">
        <f t="shared" si="109"/>
        <v>0.16521739130434782</v>
      </c>
      <c r="Y257" s="280"/>
    </row>
    <row r="258" spans="1:25">
      <c r="A258" s="378">
        <v>45273</v>
      </c>
      <c r="B258" s="386">
        <f>IF(YEAR(Table7[[#This Row],[Date]]) = 2023, WEEKNUM(Table7[[#This Row],[Date]])-13, WEEKNUM(Table7[[#This Row],[Date]])+40)</f>
        <v>37</v>
      </c>
      <c r="C258" s="203" t="s">
        <v>51</v>
      </c>
      <c r="D258" s="203" t="s">
        <v>94</v>
      </c>
      <c r="E258" s="379">
        <v>145</v>
      </c>
      <c r="F258" s="379">
        <v>137</v>
      </c>
      <c r="G258" s="350">
        <f t="shared" si="141"/>
        <v>0.21848739495798319</v>
      </c>
      <c r="H258" s="350">
        <f t="shared" si="142"/>
        <v>0.22321428571428573</v>
      </c>
      <c r="I258" s="379">
        <f t="shared" ref="I258:J261" si="162">I257+E258</f>
        <v>1256</v>
      </c>
      <c r="J258" s="379">
        <f t="shared" si="162"/>
        <v>1191</v>
      </c>
      <c r="K258" s="379">
        <f t="shared" si="160"/>
        <v>13442</v>
      </c>
      <c r="L258" s="379">
        <f t="shared" si="161"/>
        <v>8190</v>
      </c>
      <c r="M258" s="191">
        <v>0.89900000000000002</v>
      </c>
      <c r="N258" s="191">
        <v>5.5172413793103448E-2</v>
      </c>
      <c r="O258" s="191">
        <v>0.94</v>
      </c>
      <c r="P258" s="191">
        <v>0.31712962962962965</v>
      </c>
      <c r="Q258" s="191"/>
      <c r="R258" s="391">
        <v>120</v>
      </c>
      <c r="S258" s="394" t="s">
        <v>133</v>
      </c>
      <c r="T258" s="381">
        <v>2</v>
      </c>
      <c r="U258" s="120" t="str">
        <f t="shared" si="106"/>
        <v>Outlier</v>
      </c>
      <c r="V258" s="120" t="str">
        <f t="shared" si="107"/>
        <v>Outlier</v>
      </c>
      <c r="W258" s="81">
        <f t="shared" si="108"/>
        <v>0.21848739495798319</v>
      </c>
      <c r="X258" s="81">
        <f t="shared" si="109"/>
        <v>0.22321428571428573</v>
      </c>
      <c r="Y258" s="280"/>
    </row>
    <row r="259" spans="1:25">
      <c r="A259" s="378">
        <v>45274</v>
      </c>
      <c r="B259" s="386">
        <f>IF(YEAR(Table7[[#This Row],[Date]]) = 2023, WEEKNUM(Table7[[#This Row],[Date]])-13, WEEKNUM(Table7[[#This Row],[Date]])+40)</f>
        <v>37</v>
      </c>
      <c r="C259" s="203" t="s">
        <v>52</v>
      </c>
      <c r="D259" s="203" t="s">
        <v>94</v>
      </c>
      <c r="E259" s="379">
        <v>163</v>
      </c>
      <c r="F259" s="379">
        <v>159</v>
      </c>
      <c r="G259" s="350">
        <f t="shared" si="141"/>
        <v>0.10135135135135136</v>
      </c>
      <c r="H259" s="350">
        <f t="shared" si="142"/>
        <v>0.1276595744680851</v>
      </c>
      <c r="I259" s="379">
        <f t="shared" si="162"/>
        <v>1419</v>
      </c>
      <c r="J259" s="379">
        <f t="shared" si="162"/>
        <v>1350</v>
      </c>
      <c r="K259" s="379">
        <f t="shared" ref="K259:L262" si="163">K258+E259</f>
        <v>13605</v>
      </c>
      <c r="L259" s="379">
        <f t="shared" si="163"/>
        <v>8349</v>
      </c>
      <c r="M259" s="191">
        <v>0.93140000000000001</v>
      </c>
      <c r="N259" s="191">
        <v>2.4539877300613498E-2</v>
      </c>
      <c r="O259" s="191">
        <v>0.98</v>
      </c>
      <c r="P259" s="191">
        <v>0.24843750000000001</v>
      </c>
      <c r="Q259" s="380"/>
      <c r="R259" s="287">
        <v>81</v>
      </c>
      <c r="S259" s="393" t="s">
        <v>134</v>
      </c>
      <c r="T259" s="381">
        <v>2</v>
      </c>
      <c r="U259" s="120" t="str">
        <f t="shared" ref="U259:U322" si="164">IF(OR(H259&lt;$AJ$5,H259&gt;$AK$5), "Outlier", "Normal")</f>
        <v>Outlier</v>
      </c>
      <c r="V259" s="120" t="str">
        <f t="shared" ref="V259:V322" si="165">IF(OR(I259&lt;$AJ$6,I259&gt;$AK$6), "Outlier", "Normal")</f>
        <v>Outlier</v>
      </c>
      <c r="W259" s="81">
        <f t="shared" ref="W259:W322" si="166">IF(U259="Normal",$G259,IF($G259&lt;150%, $G259, $AA$9))</f>
        <v>0.10135135135135136</v>
      </c>
      <c r="X259" s="81">
        <f t="shared" ref="X259:X322" si="167">IF(V259="Normal",$H259,IF($H259&lt;150%, $H259, $AE$9))</f>
        <v>0.1276595744680851</v>
      </c>
      <c r="Y259" s="280"/>
    </row>
    <row r="260" spans="1:25">
      <c r="A260" s="378">
        <v>45275</v>
      </c>
      <c r="B260" s="386">
        <f>IF(YEAR(Table7[[#This Row],[Date]]) = 2023, WEEKNUM(Table7[[#This Row],[Date]])-13, WEEKNUM(Table7[[#This Row],[Date]])+40)</f>
        <v>37</v>
      </c>
      <c r="C260" s="203" t="s">
        <v>53</v>
      </c>
      <c r="D260" s="203" t="s">
        <v>94</v>
      </c>
      <c r="E260" s="379">
        <v>50</v>
      </c>
      <c r="F260" s="379">
        <v>44</v>
      </c>
      <c r="G260" s="350">
        <f t="shared" si="141"/>
        <v>-0.65277777777777779</v>
      </c>
      <c r="H260" s="350">
        <f t="shared" si="142"/>
        <v>-0.6811594202898551</v>
      </c>
      <c r="I260" s="379">
        <f t="shared" si="162"/>
        <v>1469</v>
      </c>
      <c r="J260" s="379">
        <f t="shared" si="162"/>
        <v>1394</v>
      </c>
      <c r="K260" s="379">
        <f t="shared" si="163"/>
        <v>13655</v>
      </c>
      <c r="L260" s="379">
        <f t="shared" si="163"/>
        <v>8393</v>
      </c>
      <c r="M260" s="191">
        <v>0.93600000000000005</v>
      </c>
      <c r="N260" s="191">
        <v>0.12</v>
      </c>
      <c r="O260" s="191">
        <v>0.88</v>
      </c>
      <c r="P260" s="191">
        <v>0.10185185185185185</v>
      </c>
      <c r="Q260" s="191"/>
      <c r="R260" s="391">
        <v>60</v>
      </c>
      <c r="S260" s="394" t="s">
        <v>133</v>
      </c>
      <c r="T260" s="381">
        <v>1</v>
      </c>
      <c r="U260" s="120" t="str">
        <f t="shared" si="164"/>
        <v>Outlier</v>
      </c>
      <c r="V260" s="120" t="str">
        <f t="shared" si="165"/>
        <v>Outlier</v>
      </c>
      <c r="W260" s="81">
        <f t="shared" si="166"/>
        <v>-0.65277777777777779</v>
      </c>
      <c r="X260" s="81">
        <f t="shared" si="167"/>
        <v>-0.6811594202898551</v>
      </c>
      <c r="Y260" s="280"/>
    </row>
    <row r="261" spans="1:25">
      <c r="A261" s="378">
        <v>45276</v>
      </c>
      <c r="B261" s="386">
        <f>IF(YEAR(Table7[[#This Row],[Date]]) = 2023, WEEKNUM(Table7[[#This Row],[Date]])-13, WEEKNUM(Table7[[#This Row],[Date]])+40)</f>
        <v>37</v>
      </c>
      <c r="C261" s="203" t="s">
        <v>54</v>
      </c>
      <c r="D261" s="203" t="s">
        <v>94</v>
      </c>
      <c r="E261" s="379">
        <v>105</v>
      </c>
      <c r="F261" s="379">
        <v>98</v>
      </c>
      <c r="G261" s="350">
        <f t="shared" si="141"/>
        <v>0.5</v>
      </c>
      <c r="H261" s="350">
        <f t="shared" si="142"/>
        <v>0.53125</v>
      </c>
      <c r="I261" s="379">
        <f t="shared" si="162"/>
        <v>1574</v>
      </c>
      <c r="J261" s="379">
        <f t="shared" si="162"/>
        <v>1492</v>
      </c>
      <c r="K261" s="379">
        <f t="shared" si="163"/>
        <v>13760</v>
      </c>
      <c r="L261" s="379">
        <f t="shared" si="163"/>
        <v>8491</v>
      </c>
      <c r="M261" s="191">
        <v>0.94</v>
      </c>
      <c r="N261" s="191">
        <v>6.6666666666666666E-2</v>
      </c>
      <c r="O261" s="191">
        <v>0.93</v>
      </c>
      <c r="P261" s="191">
        <v>0.22685185185185186</v>
      </c>
      <c r="Q261" s="380"/>
      <c r="R261" s="287">
        <v>120</v>
      </c>
      <c r="S261" s="393" t="s">
        <v>122</v>
      </c>
      <c r="T261" s="381">
        <v>2</v>
      </c>
      <c r="U261" s="120" t="str">
        <f t="shared" si="164"/>
        <v>Outlier</v>
      </c>
      <c r="V261" s="120" t="str">
        <f t="shared" si="165"/>
        <v>Outlier</v>
      </c>
      <c r="W261" s="81">
        <f t="shared" si="166"/>
        <v>0.5</v>
      </c>
      <c r="X261" s="81">
        <f t="shared" si="167"/>
        <v>0.53125</v>
      </c>
      <c r="Y261" s="280"/>
    </row>
    <row r="262" spans="1:25">
      <c r="A262" s="378">
        <v>45277</v>
      </c>
      <c r="B262" s="386">
        <f>IF(YEAR(Table7[[#This Row],[Date]]) = 2023, WEEKNUM(Table7[[#This Row],[Date]])-13, WEEKNUM(Table7[[#This Row],[Date]])+40)</f>
        <v>38</v>
      </c>
      <c r="C262" s="203" t="s">
        <v>48</v>
      </c>
      <c r="D262" s="203" t="s">
        <v>94</v>
      </c>
      <c r="E262" s="379">
        <v>22</v>
      </c>
      <c r="F262" s="379">
        <v>22</v>
      </c>
      <c r="G262" s="350">
        <f t="shared" si="141"/>
        <v>0.1</v>
      </c>
      <c r="H262" s="350">
        <f t="shared" si="142"/>
        <v>0.29411764705882354</v>
      </c>
      <c r="I262" s="379">
        <f>E262+I261</f>
        <v>1596</v>
      </c>
      <c r="J262" s="379">
        <f>F262+J261</f>
        <v>1514</v>
      </c>
      <c r="K262" s="379">
        <f t="shared" si="163"/>
        <v>13782</v>
      </c>
      <c r="L262" s="379">
        <f t="shared" si="163"/>
        <v>8513</v>
      </c>
      <c r="M262" s="191">
        <v>1</v>
      </c>
      <c r="N262" s="191">
        <v>0</v>
      </c>
      <c r="O262" s="191">
        <v>1</v>
      </c>
      <c r="P262" s="191">
        <v>0.15277777777777779</v>
      </c>
      <c r="Q262" s="191"/>
      <c r="R262" s="391">
        <v>180</v>
      </c>
      <c r="S262" s="394" t="s">
        <v>135</v>
      </c>
      <c r="T262" s="381">
        <v>1</v>
      </c>
      <c r="U262" s="120" t="str">
        <f t="shared" si="164"/>
        <v>Outlier</v>
      </c>
      <c r="V262" s="120" t="str">
        <f t="shared" si="165"/>
        <v>Outlier</v>
      </c>
      <c r="W262" s="81">
        <f t="shared" si="166"/>
        <v>0.1</v>
      </c>
      <c r="X262" s="81">
        <f t="shared" si="167"/>
        <v>0.29411764705882354</v>
      </c>
      <c r="Y262" s="280"/>
    </row>
    <row r="263" spans="1:25">
      <c r="A263" s="378">
        <v>45278</v>
      </c>
      <c r="B263" s="386">
        <f>IF(YEAR(Table7[[#This Row],[Date]]) = 2023, WEEKNUM(Table7[[#This Row],[Date]])-13, WEEKNUM(Table7[[#This Row],[Date]])+40)</f>
        <v>38</v>
      </c>
      <c r="C263" s="203" t="s">
        <v>49</v>
      </c>
      <c r="D263" s="203" t="s">
        <v>94</v>
      </c>
      <c r="E263" s="379">
        <v>164</v>
      </c>
      <c r="F263" s="379">
        <v>157</v>
      </c>
      <c r="G263" s="350">
        <f t="shared" si="141"/>
        <v>0.14685314685314685</v>
      </c>
      <c r="H263" s="350">
        <f t="shared" si="142"/>
        <v>0.17164179104477612</v>
      </c>
      <c r="I263" s="379"/>
      <c r="J263" s="379"/>
      <c r="K263" s="379"/>
      <c r="L263" s="379"/>
      <c r="M263" s="191">
        <v>0.95731707317073167</v>
      </c>
      <c r="N263" s="191">
        <v>4.2682926829268296E-2</v>
      </c>
      <c r="O263" s="191">
        <v>0.96</v>
      </c>
      <c r="P263" s="191">
        <v>0.45428240740740738</v>
      </c>
      <c r="Q263" s="380"/>
      <c r="R263" s="287">
        <v>150</v>
      </c>
      <c r="S263" s="393" t="s">
        <v>130</v>
      </c>
      <c r="T263" s="381">
        <v>2</v>
      </c>
      <c r="U263" s="120" t="str">
        <f t="shared" si="164"/>
        <v>Outlier</v>
      </c>
      <c r="V263" s="120" t="str">
        <f t="shared" si="165"/>
        <v>Normal</v>
      </c>
      <c r="W263" s="81">
        <f t="shared" si="166"/>
        <v>0.14685314685314685</v>
      </c>
      <c r="X263" s="81">
        <f t="shared" si="167"/>
        <v>0.17164179104477612</v>
      </c>
      <c r="Y263" s="280"/>
    </row>
    <row r="264" spans="1:25">
      <c r="A264" s="378">
        <v>45279</v>
      </c>
      <c r="B264" s="386">
        <f>IF(YEAR(Table7[[#This Row],[Date]]) = 2023, WEEKNUM(Table7[[#This Row],[Date]])-13, WEEKNUM(Table7[[#This Row],[Date]])+40)</f>
        <v>38</v>
      </c>
      <c r="C264" s="203" t="s">
        <v>50</v>
      </c>
      <c r="D264" s="203" t="s">
        <v>94</v>
      </c>
      <c r="E264" s="379">
        <v>140</v>
      </c>
      <c r="F264" s="379">
        <v>138</v>
      </c>
      <c r="G264" s="350">
        <f t="shared" si="141"/>
        <v>-2.097902097902098E-2</v>
      </c>
      <c r="H264" s="350">
        <f t="shared" si="142"/>
        <v>2.9850746268656716E-2</v>
      </c>
      <c r="I264" s="379"/>
      <c r="J264" s="379"/>
      <c r="K264" s="379"/>
      <c r="L264" s="379"/>
      <c r="M264" s="191">
        <v>0.98571428571428577</v>
      </c>
      <c r="N264" s="191">
        <v>1.4285714285714285E-2</v>
      </c>
      <c r="O264" s="191">
        <v>0.99</v>
      </c>
      <c r="P264" s="191">
        <v>0.37800925925925927</v>
      </c>
      <c r="Q264" s="191"/>
      <c r="R264" s="391">
        <v>142</v>
      </c>
      <c r="S264" s="394" t="s">
        <v>126</v>
      </c>
      <c r="T264" s="381">
        <v>2</v>
      </c>
      <c r="U264" s="120" t="str">
        <f t="shared" si="164"/>
        <v>Outlier</v>
      </c>
      <c r="V264" s="120" t="str">
        <f t="shared" si="165"/>
        <v>Normal</v>
      </c>
      <c r="W264" s="81">
        <f t="shared" si="166"/>
        <v>-2.097902097902098E-2</v>
      </c>
      <c r="X264" s="81">
        <f t="shared" si="167"/>
        <v>2.9850746268656716E-2</v>
      </c>
      <c r="Y264" s="280"/>
    </row>
    <row r="265" spans="1:25">
      <c r="A265" s="378">
        <v>45280</v>
      </c>
      <c r="B265" s="386">
        <f>IF(YEAR(Table7[[#This Row],[Date]]) = 2023, WEEKNUM(Table7[[#This Row],[Date]])-13, WEEKNUM(Table7[[#This Row],[Date]])+40)</f>
        <v>38</v>
      </c>
      <c r="C265" s="203" t="s">
        <v>51</v>
      </c>
      <c r="D265" s="203" t="s">
        <v>94</v>
      </c>
      <c r="E265" s="379">
        <v>114</v>
      </c>
      <c r="F265" s="379">
        <v>110</v>
      </c>
      <c r="G265" s="350">
        <f t="shared" si="141"/>
        <v>-0.21379310344827587</v>
      </c>
      <c r="H265" s="350">
        <f t="shared" si="142"/>
        <v>-0.19708029197080293</v>
      </c>
      <c r="I265" s="379"/>
      <c r="J265" s="379"/>
      <c r="K265" s="379"/>
      <c r="L265" s="379"/>
      <c r="M265" s="191">
        <v>0.96491228070175439</v>
      </c>
      <c r="N265" s="191">
        <v>3.5087719298245612E-2</v>
      </c>
      <c r="O265" s="191">
        <v>0.96</v>
      </c>
      <c r="P265" s="191">
        <v>0.16692386831275721</v>
      </c>
      <c r="Q265" s="380"/>
      <c r="R265" s="287">
        <v>118</v>
      </c>
      <c r="S265" s="393" t="s">
        <v>122</v>
      </c>
      <c r="T265" s="381">
        <v>3</v>
      </c>
      <c r="U265" s="120" t="str">
        <f t="shared" si="164"/>
        <v>Outlier</v>
      </c>
      <c r="V265" s="120" t="str">
        <f t="shared" si="165"/>
        <v>Normal</v>
      </c>
      <c r="W265" s="81">
        <f t="shared" si="166"/>
        <v>-0.21379310344827587</v>
      </c>
      <c r="X265" s="81">
        <f t="shared" si="167"/>
        <v>-0.19708029197080293</v>
      </c>
      <c r="Y265" s="280"/>
    </row>
    <row r="266" spans="1:25">
      <c r="A266" s="378">
        <v>45281</v>
      </c>
      <c r="B266" s="386">
        <f>IF(YEAR(Table7[[#This Row],[Date]]) = 2023, WEEKNUM(Table7[[#This Row],[Date]])-13, WEEKNUM(Table7[[#This Row],[Date]])+40)</f>
        <v>38</v>
      </c>
      <c r="C266" s="203" t="s">
        <v>52</v>
      </c>
      <c r="D266" s="203" t="s">
        <v>94</v>
      </c>
      <c r="E266" s="379">
        <v>98</v>
      </c>
      <c r="F266" s="379">
        <v>98</v>
      </c>
      <c r="G266" s="350">
        <f t="shared" si="141"/>
        <v>-0.3987730061349693</v>
      </c>
      <c r="H266" s="350">
        <f t="shared" si="142"/>
        <v>-0.38364779874213839</v>
      </c>
      <c r="I266" s="379"/>
      <c r="J266" s="379"/>
      <c r="K266" s="379"/>
      <c r="L266" s="379"/>
      <c r="M266" s="191">
        <v>1</v>
      </c>
      <c r="N266" s="191">
        <v>0</v>
      </c>
      <c r="O266" s="191">
        <v>1</v>
      </c>
      <c r="P266" s="191">
        <v>0.44614197530864202</v>
      </c>
      <c r="Q266" s="191"/>
      <c r="R266" s="391">
        <v>118</v>
      </c>
      <c r="S266" s="394" t="s">
        <v>136</v>
      </c>
      <c r="T266" s="381">
        <v>1</v>
      </c>
      <c r="U266" s="120" t="str">
        <f t="shared" si="164"/>
        <v>Outlier</v>
      </c>
      <c r="V266" s="120" t="str">
        <f t="shared" si="165"/>
        <v>Normal</v>
      </c>
      <c r="W266" s="81">
        <f t="shared" si="166"/>
        <v>-0.3987730061349693</v>
      </c>
      <c r="X266" s="81">
        <f t="shared" si="167"/>
        <v>-0.38364779874213839</v>
      </c>
      <c r="Y266" s="280"/>
    </row>
    <row r="267" spans="1:25">
      <c r="A267" s="378">
        <v>45282</v>
      </c>
      <c r="B267" s="386">
        <f>IF(YEAR(Table7[[#This Row],[Date]]) = 2023, WEEKNUM(Table7[[#This Row],[Date]])-13, WEEKNUM(Table7[[#This Row],[Date]])+40)</f>
        <v>38</v>
      </c>
      <c r="C267" s="203" t="s">
        <v>53</v>
      </c>
      <c r="D267" s="203" t="s">
        <v>94</v>
      </c>
      <c r="E267" s="379">
        <v>81</v>
      </c>
      <c r="F267" s="379">
        <v>78</v>
      </c>
      <c r="G267" s="350">
        <f t="shared" si="141"/>
        <v>0.62</v>
      </c>
      <c r="H267" s="350">
        <f t="shared" si="142"/>
        <v>0.77272727272727271</v>
      </c>
      <c r="I267" s="379"/>
      <c r="J267" s="379"/>
      <c r="K267" s="379"/>
      <c r="L267" s="379"/>
      <c r="M267" s="191">
        <v>0.96296296296296291</v>
      </c>
      <c r="N267" s="191">
        <v>3.7037037037037035E-2</v>
      </c>
      <c r="O267" s="191">
        <v>0.96</v>
      </c>
      <c r="P267" s="191">
        <v>0.3039351851851852</v>
      </c>
      <c r="Q267" s="380"/>
      <c r="R267" s="287">
        <v>101</v>
      </c>
      <c r="S267" s="393" t="s">
        <v>137</v>
      </c>
      <c r="T267" s="381">
        <v>1</v>
      </c>
      <c r="U267" s="120" t="str">
        <f t="shared" si="164"/>
        <v>Outlier</v>
      </c>
      <c r="V267" s="120" t="str">
        <f t="shared" si="165"/>
        <v>Normal</v>
      </c>
      <c r="W267" s="81">
        <f t="shared" si="166"/>
        <v>0.62</v>
      </c>
      <c r="X267" s="81">
        <f t="shared" si="167"/>
        <v>0.77272727272727271</v>
      </c>
      <c r="Y267" s="280"/>
    </row>
    <row r="268" spans="1:25">
      <c r="A268" s="378">
        <v>45283</v>
      </c>
      <c r="B268" s="386">
        <f>IF(YEAR(Table7[[#This Row],[Date]]) = 2023, WEEKNUM(Table7[[#This Row],[Date]])-13, WEEKNUM(Table7[[#This Row],[Date]])+40)</f>
        <v>38</v>
      </c>
      <c r="C268" s="203" t="s">
        <v>54</v>
      </c>
      <c r="D268" s="203" t="s">
        <v>94</v>
      </c>
      <c r="E268" s="379">
        <v>83</v>
      </c>
      <c r="F268" s="379">
        <v>82</v>
      </c>
      <c r="G268" s="350">
        <f t="shared" si="141"/>
        <v>-0.20952380952380953</v>
      </c>
      <c r="H268" s="350">
        <f t="shared" si="142"/>
        <v>-0.16326530612244897</v>
      </c>
      <c r="I268" s="379"/>
      <c r="J268" s="379"/>
      <c r="K268" s="379"/>
      <c r="L268" s="379"/>
      <c r="M268" s="191">
        <v>0.98795180722891562</v>
      </c>
      <c r="N268" s="191">
        <v>1.2048192771084338E-2</v>
      </c>
      <c r="O268" s="191">
        <v>0.99</v>
      </c>
      <c r="P268" s="191">
        <v>0.35115740740740747</v>
      </c>
      <c r="Q268" s="191"/>
      <c r="R268" s="391">
        <v>111</v>
      </c>
      <c r="S268" s="394" t="s">
        <v>122</v>
      </c>
      <c r="T268" s="381">
        <v>1</v>
      </c>
      <c r="U268" s="120" t="str">
        <f t="shared" si="164"/>
        <v>Outlier</v>
      </c>
      <c r="V268" s="120" t="str">
        <f t="shared" si="165"/>
        <v>Normal</v>
      </c>
      <c r="W268" s="81">
        <f t="shared" si="166"/>
        <v>-0.20952380952380953</v>
      </c>
      <c r="X268" s="81">
        <f t="shared" si="167"/>
        <v>-0.16326530612244897</v>
      </c>
      <c r="Y268" s="280"/>
    </row>
    <row r="269" spans="1:25">
      <c r="A269" s="378">
        <v>45284</v>
      </c>
      <c r="B269" s="386">
        <f>IF(YEAR(Table7[[#This Row],[Date]]) = 2023, WEEKNUM(Table7[[#This Row],[Date]])-13, WEEKNUM(Table7[[#This Row],[Date]])+40)</f>
        <v>39</v>
      </c>
      <c r="C269" s="203" t="s">
        <v>48</v>
      </c>
      <c r="D269" s="203" t="s">
        <v>94</v>
      </c>
      <c r="E269" s="379">
        <v>0</v>
      </c>
      <c r="F269" s="379">
        <v>0</v>
      </c>
      <c r="G269" s="350">
        <v>0</v>
      </c>
      <c r="H269" s="350">
        <v>0</v>
      </c>
      <c r="I269" s="379">
        <v>0</v>
      </c>
      <c r="J269" s="379">
        <v>0</v>
      </c>
      <c r="K269" s="379">
        <v>0</v>
      </c>
      <c r="L269" s="379">
        <v>0</v>
      </c>
      <c r="M269" s="191">
        <v>0</v>
      </c>
      <c r="N269" s="191">
        <v>0</v>
      </c>
      <c r="O269" s="191">
        <v>0</v>
      </c>
      <c r="P269" s="191">
        <v>0</v>
      </c>
      <c r="Q269" s="380"/>
      <c r="R269" s="287">
        <v>0</v>
      </c>
      <c r="S269" s="176">
        <v>0</v>
      </c>
      <c r="T269" s="381">
        <v>0</v>
      </c>
      <c r="U269" s="120" t="str">
        <f t="shared" si="164"/>
        <v>Normal</v>
      </c>
      <c r="V269" s="120" t="str">
        <f t="shared" si="165"/>
        <v>Normal</v>
      </c>
      <c r="W269" s="81">
        <f t="shared" si="166"/>
        <v>0</v>
      </c>
      <c r="X269" s="81">
        <f t="shared" si="167"/>
        <v>0</v>
      </c>
      <c r="Y269" s="280"/>
    </row>
    <row r="270" spans="1:25">
      <c r="A270" s="378">
        <v>45285</v>
      </c>
      <c r="B270" s="386">
        <f>IF(YEAR(Table7[[#This Row],[Date]]) = 2023, WEEKNUM(Table7[[#This Row],[Date]])-13, WEEKNUM(Table7[[#This Row],[Date]])+40)</f>
        <v>39</v>
      </c>
      <c r="C270" s="203" t="s">
        <v>64</v>
      </c>
      <c r="D270" s="203" t="s">
        <v>94</v>
      </c>
      <c r="E270" s="379">
        <v>0</v>
      </c>
      <c r="F270" s="379">
        <v>0</v>
      </c>
      <c r="G270" s="350">
        <v>0</v>
      </c>
      <c r="H270" s="350">
        <v>0</v>
      </c>
      <c r="I270" s="379">
        <v>0</v>
      </c>
      <c r="J270" s="379">
        <v>0</v>
      </c>
      <c r="K270" s="379">
        <v>0</v>
      </c>
      <c r="L270" s="379">
        <v>0</v>
      </c>
      <c r="M270" s="191">
        <v>0</v>
      </c>
      <c r="N270" s="191">
        <v>0</v>
      </c>
      <c r="O270" s="191">
        <v>0</v>
      </c>
      <c r="P270" s="191">
        <v>0</v>
      </c>
      <c r="Q270" s="191"/>
      <c r="R270" s="391">
        <v>0</v>
      </c>
      <c r="S270" s="392">
        <v>0</v>
      </c>
      <c r="T270" s="381">
        <v>0</v>
      </c>
      <c r="U270" s="120" t="str">
        <f t="shared" si="164"/>
        <v>Normal</v>
      </c>
      <c r="V270" s="120" t="str">
        <f t="shared" si="165"/>
        <v>Normal</v>
      </c>
      <c r="W270" s="81">
        <f t="shared" si="166"/>
        <v>0</v>
      </c>
      <c r="X270" s="81">
        <f t="shared" si="167"/>
        <v>0</v>
      </c>
      <c r="Y270" s="280"/>
    </row>
    <row r="271" spans="1:25">
      <c r="A271" s="378">
        <v>45286</v>
      </c>
      <c r="B271" s="386">
        <f>IF(YEAR(Table7[[#This Row],[Date]]) = 2023, WEEKNUM(Table7[[#This Row],[Date]])-13, WEEKNUM(Table7[[#This Row],[Date]])+40)</f>
        <v>39</v>
      </c>
      <c r="C271" s="203" t="s">
        <v>64</v>
      </c>
      <c r="D271" s="203" t="s">
        <v>94</v>
      </c>
      <c r="E271" s="379">
        <v>0</v>
      </c>
      <c r="F271" s="379">
        <v>0</v>
      </c>
      <c r="G271" s="350">
        <v>0</v>
      </c>
      <c r="H271" s="350">
        <v>0</v>
      </c>
      <c r="I271" s="379">
        <v>0</v>
      </c>
      <c r="J271" s="379">
        <v>0</v>
      </c>
      <c r="K271" s="379">
        <v>0</v>
      </c>
      <c r="L271" s="379">
        <v>0</v>
      </c>
      <c r="M271" s="191">
        <v>0</v>
      </c>
      <c r="N271" s="191">
        <v>0</v>
      </c>
      <c r="O271" s="191">
        <v>0</v>
      </c>
      <c r="P271" s="191">
        <v>0</v>
      </c>
      <c r="Q271" s="380"/>
      <c r="R271" s="287">
        <v>0</v>
      </c>
      <c r="S271" s="176">
        <v>0</v>
      </c>
      <c r="T271" s="381">
        <v>0</v>
      </c>
      <c r="U271" s="120" t="str">
        <f t="shared" si="164"/>
        <v>Normal</v>
      </c>
      <c r="V271" s="120" t="str">
        <f t="shared" si="165"/>
        <v>Normal</v>
      </c>
      <c r="W271" s="81">
        <f t="shared" si="166"/>
        <v>0</v>
      </c>
      <c r="X271" s="81">
        <f t="shared" si="167"/>
        <v>0</v>
      </c>
      <c r="Y271" s="280"/>
    </row>
    <row r="272" spans="1:25">
      <c r="A272" s="378">
        <v>45287</v>
      </c>
      <c r="B272" s="386">
        <f>IF(YEAR(Table7[[#This Row],[Date]]) = 2023, WEEKNUM(Table7[[#This Row],[Date]])-13, WEEKNUM(Table7[[#This Row],[Date]])+40)</f>
        <v>39</v>
      </c>
      <c r="C272" s="203" t="s">
        <v>51</v>
      </c>
      <c r="D272" s="203" t="s">
        <v>94</v>
      </c>
      <c r="E272" s="379">
        <v>108</v>
      </c>
      <c r="F272" s="379">
        <v>103</v>
      </c>
      <c r="G272" s="350">
        <f t="shared" ref="G272:G289" si="168">IFERROR((E272-E265)/E265,0%)</f>
        <v>-5.2631578947368418E-2</v>
      </c>
      <c r="H272" s="350">
        <f t="shared" ref="H272:H289" si="169">IFERROR((F272-F265)/F265,0%)</f>
        <v>-6.363636363636363E-2</v>
      </c>
      <c r="I272" s="379"/>
      <c r="J272" s="379"/>
      <c r="K272" s="379"/>
      <c r="L272" s="379"/>
      <c r="M272" s="191">
        <v>0.95</v>
      </c>
      <c r="N272" s="191">
        <v>0.05</v>
      </c>
      <c r="O272" s="191">
        <v>0.95</v>
      </c>
      <c r="P272" s="191">
        <v>0.25</v>
      </c>
      <c r="Q272" s="191"/>
      <c r="R272" s="391">
        <v>64</v>
      </c>
      <c r="S272" s="392">
        <v>8.3333333333333329E-2</v>
      </c>
      <c r="T272" s="381">
        <v>1</v>
      </c>
      <c r="U272" s="120" t="str">
        <f t="shared" si="164"/>
        <v>Outlier</v>
      </c>
      <c r="V272" s="120" t="str">
        <f t="shared" si="165"/>
        <v>Normal</v>
      </c>
      <c r="W272" s="81">
        <f t="shared" si="166"/>
        <v>-5.2631578947368418E-2</v>
      </c>
      <c r="X272" s="81">
        <f t="shared" si="167"/>
        <v>-6.363636363636363E-2</v>
      </c>
      <c r="Y272" s="280"/>
    </row>
    <row r="273" spans="1:25">
      <c r="A273" s="378">
        <v>45288</v>
      </c>
      <c r="B273" s="386">
        <f>IF(YEAR(Table7[[#This Row],[Date]]) = 2023, WEEKNUM(Table7[[#This Row],[Date]])-13, WEEKNUM(Table7[[#This Row],[Date]])+40)</f>
        <v>39</v>
      </c>
      <c r="C273" s="203" t="s">
        <v>52</v>
      </c>
      <c r="D273" s="203" t="s">
        <v>94</v>
      </c>
      <c r="E273" s="379">
        <v>104</v>
      </c>
      <c r="F273" s="379">
        <v>102</v>
      </c>
      <c r="G273" s="350">
        <f t="shared" si="168"/>
        <v>6.1224489795918366E-2</v>
      </c>
      <c r="H273" s="350">
        <f t="shared" si="169"/>
        <v>4.0816326530612242E-2</v>
      </c>
      <c r="I273" s="379"/>
      <c r="J273" s="379"/>
      <c r="K273" s="379"/>
      <c r="L273" s="379"/>
      <c r="M273" s="191">
        <v>0.98</v>
      </c>
      <c r="N273" s="191">
        <v>0.02</v>
      </c>
      <c r="O273" s="191">
        <v>0.98</v>
      </c>
      <c r="P273" s="191">
        <v>0.39</v>
      </c>
      <c r="Q273" s="380"/>
      <c r="R273" s="287">
        <v>98</v>
      </c>
      <c r="S273" s="176">
        <v>4.4444444444444446E-2</v>
      </c>
      <c r="T273" s="381">
        <v>1</v>
      </c>
      <c r="U273" s="120" t="str">
        <f t="shared" si="164"/>
        <v>Outlier</v>
      </c>
      <c r="V273" s="120" t="str">
        <f t="shared" si="165"/>
        <v>Normal</v>
      </c>
      <c r="W273" s="81">
        <f t="shared" si="166"/>
        <v>6.1224489795918366E-2</v>
      </c>
      <c r="X273" s="81">
        <f t="shared" si="167"/>
        <v>4.0816326530612242E-2</v>
      </c>
      <c r="Y273" s="280"/>
    </row>
    <row r="274" spans="1:25">
      <c r="A274" s="378">
        <v>45289</v>
      </c>
      <c r="B274" s="386">
        <f>IF(YEAR(Table7[[#This Row],[Date]]) = 2023, WEEKNUM(Table7[[#This Row],[Date]])-13, WEEKNUM(Table7[[#This Row],[Date]])+40)</f>
        <v>39</v>
      </c>
      <c r="C274" s="203" t="s">
        <v>53</v>
      </c>
      <c r="D274" s="203" t="s">
        <v>94</v>
      </c>
      <c r="E274" s="379">
        <v>95</v>
      </c>
      <c r="F274" s="379">
        <v>92</v>
      </c>
      <c r="G274" s="350">
        <f t="shared" si="168"/>
        <v>0.1728395061728395</v>
      </c>
      <c r="H274" s="350">
        <f t="shared" si="169"/>
        <v>0.17948717948717949</v>
      </c>
      <c r="I274" s="379"/>
      <c r="J274" s="379"/>
      <c r="K274" s="379"/>
      <c r="L274" s="379"/>
      <c r="M274" s="191">
        <v>0.97</v>
      </c>
      <c r="N274" s="191">
        <v>0.03</v>
      </c>
      <c r="O274" s="191">
        <v>0.97</v>
      </c>
      <c r="P274" s="191">
        <v>0.4</v>
      </c>
      <c r="Q274" s="191"/>
      <c r="R274" s="391">
        <v>112</v>
      </c>
      <c r="S274" s="392">
        <v>4.2361111111111106E-2</v>
      </c>
      <c r="T274" s="381">
        <v>1</v>
      </c>
      <c r="U274" s="120" t="str">
        <f t="shared" si="164"/>
        <v>Outlier</v>
      </c>
      <c r="V274" s="120" t="str">
        <f t="shared" si="165"/>
        <v>Normal</v>
      </c>
      <c r="W274" s="81">
        <f t="shared" si="166"/>
        <v>0.1728395061728395</v>
      </c>
      <c r="X274" s="81">
        <f t="shared" si="167"/>
        <v>0.17948717948717949</v>
      </c>
      <c r="Y274" s="280"/>
    </row>
    <row r="275" spans="1:25">
      <c r="A275" s="378">
        <v>45290</v>
      </c>
      <c r="B275" s="386">
        <f>IF(YEAR(Table7[[#This Row],[Date]]) = 2023, WEEKNUM(Table7[[#This Row],[Date]])-13, WEEKNUM(Table7[[#This Row],[Date]])+40)</f>
        <v>39</v>
      </c>
      <c r="C275" s="203" t="s">
        <v>54</v>
      </c>
      <c r="D275" s="203" t="s">
        <v>94</v>
      </c>
      <c r="E275" s="379">
        <v>82</v>
      </c>
      <c r="F275" s="379">
        <v>73</v>
      </c>
      <c r="G275" s="350">
        <f t="shared" si="168"/>
        <v>-1.2048192771084338E-2</v>
      </c>
      <c r="H275" s="350">
        <f t="shared" si="169"/>
        <v>-0.10975609756097561</v>
      </c>
      <c r="I275" s="379"/>
      <c r="J275" s="379"/>
      <c r="K275" s="379"/>
      <c r="L275" s="379"/>
      <c r="M275" s="191">
        <v>0.89</v>
      </c>
      <c r="N275" s="191">
        <v>0.11</v>
      </c>
      <c r="O275" s="191">
        <v>0.89</v>
      </c>
      <c r="P275" s="191">
        <v>0.17</v>
      </c>
      <c r="Q275" s="380"/>
      <c r="R275" s="287">
        <v>119</v>
      </c>
      <c r="S275" s="176">
        <v>1.4583333333333332E-2</v>
      </c>
      <c r="T275" s="381">
        <v>2</v>
      </c>
      <c r="U275" s="120" t="str">
        <f t="shared" si="164"/>
        <v>Outlier</v>
      </c>
      <c r="V275" s="120" t="str">
        <f t="shared" si="165"/>
        <v>Normal</v>
      </c>
      <c r="W275" s="81">
        <f t="shared" si="166"/>
        <v>-1.2048192771084338E-2</v>
      </c>
      <c r="X275" s="81">
        <f t="shared" si="167"/>
        <v>-0.10975609756097561</v>
      </c>
      <c r="Y275" s="280"/>
    </row>
    <row r="276" spans="1:25">
      <c r="A276" s="378">
        <v>45291</v>
      </c>
      <c r="B276" s="386">
        <f>IF(YEAR(Table7[[#This Row],[Date]]) = 2023, WEEKNUM(Table7[[#This Row],[Date]])-13, WEEKNUM(Table7[[#This Row],[Date]])+40)</f>
        <v>40</v>
      </c>
      <c r="C276" s="203" t="s">
        <v>48</v>
      </c>
      <c r="D276" s="203" t="s">
        <v>94</v>
      </c>
      <c r="E276" s="379">
        <v>1</v>
      </c>
      <c r="F276" s="379">
        <v>1</v>
      </c>
      <c r="G276" s="350">
        <f t="shared" si="168"/>
        <v>0</v>
      </c>
      <c r="H276" s="350">
        <f t="shared" si="169"/>
        <v>0</v>
      </c>
      <c r="I276" s="379"/>
      <c r="J276" s="379"/>
      <c r="K276" s="379"/>
      <c r="L276" s="379"/>
      <c r="M276" s="191">
        <v>0</v>
      </c>
      <c r="N276" s="191">
        <v>0</v>
      </c>
      <c r="O276" s="191">
        <v>1</v>
      </c>
      <c r="P276" s="191">
        <v>0</v>
      </c>
      <c r="Q276" s="191"/>
      <c r="R276" s="391">
        <v>0</v>
      </c>
      <c r="S276" s="392">
        <v>0</v>
      </c>
      <c r="T276" s="381">
        <v>1</v>
      </c>
      <c r="U276" s="120" t="str">
        <f t="shared" si="164"/>
        <v>Normal</v>
      </c>
      <c r="V276" s="120" t="str">
        <f t="shared" si="165"/>
        <v>Normal</v>
      </c>
      <c r="W276" s="81">
        <f t="shared" si="166"/>
        <v>0</v>
      </c>
      <c r="X276" s="81">
        <f t="shared" si="167"/>
        <v>0</v>
      </c>
      <c r="Y276" s="280"/>
    </row>
    <row r="277" spans="1:25">
      <c r="A277" s="378">
        <v>45292</v>
      </c>
      <c r="B277" s="386">
        <f>IF(YEAR(Table7[[#This Row],[Date]]) = 2023, WEEKNUM(Table7[[#This Row],[Date]])-13, WEEKNUM(Table7[[#This Row],[Date]])+40)</f>
        <v>41</v>
      </c>
      <c r="C277" s="203" t="s">
        <v>49</v>
      </c>
      <c r="D277" s="203" t="s">
        <v>94</v>
      </c>
      <c r="E277" s="379">
        <v>0</v>
      </c>
      <c r="F277" s="379">
        <v>0</v>
      </c>
      <c r="G277" s="350">
        <f t="shared" si="168"/>
        <v>0</v>
      </c>
      <c r="H277" s="350">
        <f t="shared" si="169"/>
        <v>0</v>
      </c>
      <c r="I277" s="379">
        <v>0</v>
      </c>
      <c r="J277" s="379">
        <v>0</v>
      </c>
      <c r="K277" s="379">
        <v>0</v>
      </c>
      <c r="L277" s="379">
        <v>0</v>
      </c>
      <c r="M277" s="191">
        <v>0</v>
      </c>
      <c r="N277" s="191">
        <v>0</v>
      </c>
      <c r="O277" s="191">
        <v>0</v>
      </c>
      <c r="P277" s="191">
        <v>0</v>
      </c>
      <c r="Q277" s="380"/>
      <c r="R277" s="287">
        <v>0</v>
      </c>
      <c r="S277" s="176">
        <v>0</v>
      </c>
      <c r="T277" s="381">
        <v>0</v>
      </c>
      <c r="U277" s="120" t="str">
        <f t="shared" si="164"/>
        <v>Normal</v>
      </c>
      <c r="V277" s="120" t="str">
        <f t="shared" si="165"/>
        <v>Normal</v>
      </c>
      <c r="W277" s="81">
        <f t="shared" si="166"/>
        <v>0</v>
      </c>
      <c r="X277" s="81">
        <f t="shared" si="167"/>
        <v>0</v>
      </c>
      <c r="Y277" s="280"/>
    </row>
    <row r="278" spans="1:25">
      <c r="A278" s="378">
        <v>45293</v>
      </c>
      <c r="B278" s="386">
        <f>IF(YEAR(Table7[[#This Row],[Date]]) = 2023, WEEKNUM(Table7[[#This Row],[Date]])-13, WEEKNUM(Table7[[#This Row],[Date]])+40)</f>
        <v>41</v>
      </c>
      <c r="C278" s="203" t="s">
        <v>50</v>
      </c>
      <c r="D278" s="203" t="s">
        <v>94</v>
      </c>
      <c r="E278" s="379">
        <v>71</v>
      </c>
      <c r="F278" s="379">
        <v>69</v>
      </c>
      <c r="G278" s="350">
        <f t="shared" si="168"/>
        <v>0</v>
      </c>
      <c r="H278" s="350">
        <f t="shared" si="169"/>
        <v>0</v>
      </c>
      <c r="I278" s="379"/>
      <c r="J278" s="379"/>
      <c r="K278" s="379"/>
      <c r="L278" s="379"/>
      <c r="M278" s="191">
        <v>0.97</v>
      </c>
      <c r="N278" s="191">
        <v>0.03</v>
      </c>
      <c r="O278" s="191">
        <v>0.97</v>
      </c>
      <c r="P278" s="191">
        <v>0.3</v>
      </c>
      <c r="Q278" s="191"/>
      <c r="R278" s="391">
        <v>113</v>
      </c>
      <c r="S278" s="392">
        <v>4.7222222222222221E-2</v>
      </c>
      <c r="T278" s="381">
        <v>1</v>
      </c>
      <c r="U278" s="120" t="str">
        <f t="shared" si="164"/>
        <v>Normal</v>
      </c>
      <c r="V278" s="120" t="str">
        <f t="shared" si="165"/>
        <v>Normal</v>
      </c>
      <c r="W278" s="81">
        <f t="shared" si="166"/>
        <v>0</v>
      </c>
      <c r="X278" s="81">
        <f t="shared" si="167"/>
        <v>0</v>
      </c>
      <c r="Y278" s="280"/>
    </row>
    <row r="279" spans="1:25">
      <c r="A279" s="378">
        <v>45294</v>
      </c>
      <c r="B279" s="386">
        <f>IF(YEAR(Table7[[#This Row],[Date]]) = 2023, WEEKNUM(Table7[[#This Row],[Date]])-13, WEEKNUM(Table7[[#This Row],[Date]])+40)</f>
        <v>41</v>
      </c>
      <c r="C279" s="203" t="s">
        <v>51</v>
      </c>
      <c r="D279" s="203" t="s">
        <v>94</v>
      </c>
      <c r="E279" s="379">
        <v>86</v>
      </c>
      <c r="F279" s="379">
        <v>85</v>
      </c>
      <c r="G279" s="350">
        <f t="shared" si="168"/>
        <v>-0.20370370370370369</v>
      </c>
      <c r="H279" s="350">
        <f t="shared" si="169"/>
        <v>-0.17475728155339806</v>
      </c>
      <c r="I279" s="379"/>
      <c r="J279" s="379"/>
      <c r="K279" s="379"/>
      <c r="L279" s="379"/>
      <c r="M279" s="191">
        <v>0.99</v>
      </c>
      <c r="N279" s="191">
        <v>0.01</v>
      </c>
      <c r="O279" s="191">
        <v>0.99</v>
      </c>
      <c r="P279" s="191">
        <v>0.34</v>
      </c>
      <c r="Q279" s="380"/>
      <c r="R279" s="287">
        <v>104</v>
      </c>
      <c r="S279" s="176">
        <v>3.125E-2</v>
      </c>
      <c r="T279" s="381">
        <v>1</v>
      </c>
      <c r="U279" s="120" t="str">
        <f t="shared" si="164"/>
        <v>Outlier</v>
      </c>
      <c r="V279" s="120" t="str">
        <f t="shared" si="165"/>
        <v>Normal</v>
      </c>
      <c r="W279" s="81">
        <f t="shared" si="166"/>
        <v>-0.20370370370370369</v>
      </c>
      <c r="X279" s="81">
        <f t="shared" si="167"/>
        <v>-0.17475728155339806</v>
      </c>
      <c r="Y279" s="280"/>
    </row>
    <row r="280" spans="1:25">
      <c r="A280" s="378">
        <v>45295</v>
      </c>
      <c r="B280" s="386">
        <f>IF(YEAR(Table7[[#This Row],[Date]]) = 2023, WEEKNUM(Table7[[#This Row],[Date]])-13, WEEKNUM(Table7[[#This Row],[Date]])+40)</f>
        <v>41</v>
      </c>
      <c r="C280" s="203" t="s">
        <v>52</v>
      </c>
      <c r="D280" s="203" t="s">
        <v>94</v>
      </c>
      <c r="E280" s="379">
        <v>91</v>
      </c>
      <c r="F280" s="379">
        <v>86</v>
      </c>
      <c r="G280" s="350">
        <f t="shared" si="168"/>
        <v>-0.125</v>
      </c>
      <c r="H280" s="350">
        <f t="shared" si="169"/>
        <v>-0.15686274509803921</v>
      </c>
      <c r="I280" s="379"/>
      <c r="J280" s="379"/>
      <c r="K280" s="379"/>
      <c r="L280" s="379"/>
      <c r="M280" s="191">
        <v>0.95</v>
      </c>
      <c r="N280" s="191">
        <v>0.04</v>
      </c>
      <c r="O280" s="191">
        <v>0.96</v>
      </c>
      <c r="P280" s="191">
        <v>0.35</v>
      </c>
      <c r="Q280" s="191"/>
      <c r="R280" s="391">
        <v>106</v>
      </c>
      <c r="S280" s="392">
        <v>4.2361111111111106E-2</v>
      </c>
      <c r="T280" s="381">
        <v>1</v>
      </c>
      <c r="U280" s="120" t="str">
        <f t="shared" si="164"/>
        <v>Outlier</v>
      </c>
      <c r="V280" s="120" t="str">
        <f t="shared" si="165"/>
        <v>Normal</v>
      </c>
      <c r="W280" s="81">
        <f t="shared" si="166"/>
        <v>-0.125</v>
      </c>
      <c r="X280" s="81">
        <f t="shared" si="167"/>
        <v>-0.15686274509803921</v>
      </c>
      <c r="Y280" s="280"/>
    </row>
    <row r="281" spans="1:25">
      <c r="A281" s="378">
        <v>45296</v>
      </c>
      <c r="B281" s="386">
        <f>IF(YEAR(Table7[[#This Row],[Date]]) = 2023, WEEKNUM(Table7[[#This Row],[Date]])-13, WEEKNUM(Table7[[#This Row],[Date]])+40)</f>
        <v>41</v>
      </c>
      <c r="C281" s="203" t="s">
        <v>53</v>
      </c>
      <c r="D281" s="203" t="s">
        <v>94</v>
      </c>
      <c r="E281" s="379">
        <v>97</v>
      </c>
      <c r="F281" s="379">
        <v>93</v>
      </c>
      <c r="G281" s="350">
        <f t="shared" si="168"/>
        <v>2.1052631578947368E-2</v>
      </c>
      <c r="H281" s="350">
        <f t="shared" si="169"/>
        <v>1.0869565217391304E-2</v>
      </c>
      <c r="I281" s="379"/>
      <c r="J281" s="379"/>
      <c r="K281" s="379"/>
      <c r="L281" s="379"/>
      <c r="M281" s="191">
        <v>0.96</v>
      </c>
      <c r="N281" s="191">
        <v>0.04</v>
      </c>
      <c r="O281" s="191">
        <v>0.96</v>
      </c>
      <c r="P281" s="191">
        <v>0.4</v>
      </c>
      <c r="Q281" s="380"/>
      <c r="R281" s="287">
        <v>111</v>
      </c>
      <c r="S281" s="176">
        <v>4.2361111111111106E-2</v>
      </c>
      <c r="T281" s="381">
        <v>1</v>
      </c>
      <c r="U281" s="120" t="str">
        <f t="shared" si="164"/>
        <v>Outlier</v>
      </c>
      <c r="V281" s="120" t="str">
        <f t="shared" si="165"/>
        <v>Normal</v>
      </c>
      <c r="W281" s="81">
        <f t="shared" si="166"/>
        <v>2.1052631578947368E-2</v>
      </c>
      <c r="X281" s="81">
        <f t="shared" si="167"/>
        <v>1.0869565217391304E-2</v>
      </c>
      <c r="Y281" s="280"/>
    </row>
    <row r="282" spans="1:25">
      <c r="A282" s="378">
        <v>45297</v>
      </c>
      <c r="B282" s="386">
        <f>IF(YEAR(Table7[[#This Row],[Date]]) = 2023, WEEKNUM(Table7[[#This Row],[Date]])-13, WEEKNUM(Table7[[#This Row],[Date]])+40)</f>
        <v>41</v>
      </c>
      <c r="C282" s="203" t="s">
        <v>54</v>
      </c>
      <c r="D282" s="203" t="s">
        <v>94</v>
      </c>
      <c r="E282" s="379">
        <v>43</v>
      </c>
      <c r="F282" s="379">
        <v>40</v>
      </c>
      <c r="G282" s="350">
        <f t="shared" si="168"/>
        <v>-0.47560975609756095</v>
      </c>
      <c r="H282" s="350">
        <f t="shared" si="169"/>
        <v>-0.45205479452054792</v>
      </c>
      <c r="I282" s="379"/>
      <c r="J282" s="379"/>
      <c r="K282" s="379"/>
      <c r="L282" s="379"/>
      <c r="M282" s="191">
        <v>0.93</v>
      </c>
      <c r="N282" s="191">
        <v>7.0000000000000007E-2</v>
      </c>
      <c r="O282" s="191">
        <v>0.93</v>
      </c>
      <c r="P282" s="191">
        <v>0.17</v>
      </c>
      <c r="Q282" s="191"/>
      <c r="R282" s="391">
        <v>107</v>
      </c>
      <c r="S282" s="392">
        <v>3.888888888888889E-2</v>
      </c>
      <c r="T282" s="381">
        <v>1</v>
      </c>
      <c r="U282" s="120" t="str">
        <f t="shared" si="164"/>
        <v>Outlier</v>
      </c>
      <c r="V282" s="120" t="str">
        <f t="shared" si="165"/>
        <v>Normal</v>
      </c>
      <c r="W282" s="81">
        <f t="shared" si="166"/>
        <v>-0.47560975609756095</v>
      </c>
      <c r="X282" s="81">
        <f t="shared" si="167"/>
        <v>-0.45205479452054792</v>
      </c>
      <c r="Y282" s="280"/>
    </row>
    <row r="283" spans="1:25">
      <c r="A283" s="378">
        <v>45298</v>
      </c>
      <c r="B283" s="386">
        <f>IF(YEAR(Table7[[#This Row],[Date]]) = 2023, WEEKNUM(Table7[[#This Row],[Date]])-13, WEEKNUM(Table7[[#This Row],[Date]])+40)</f>
        <v>42</v>
      </c>
      <c r="C283" s="203" t="s">
        <v>48</v>
      </c>
      <c r="D283" s="203" t="s">
        <v>94</v>
      </c>
      <c r="E283" s="379">
        <v>0</v>
      </c>
      <c r="F283" s="379">
        <v>0</v>
      </c>
      <c r="G283" s="350">
        <f t="shared" si="168"/>
        <v>-1</v>
      </c>
      <c r="H283" s="350">
        <f t="shared" si="169"/>
        <v>-1</v>
      </c>
      <c r="I283" s="379">
        <v>0</v>
      </c>
      <c r="J283" s="379">
        <v>0</v>
      </c>
      <c r="K283" s="379">
        <v>0</v>
      </c>
      <c r="L283" s="379">
        <v>0</v>
      </c>
      <c r="M283" s="191">
        <v>0</v>
      </c>
      <c r="N283" s="191">
        <v>0</v>
      </c>
      <c r="O283" s="191">
        <v>0</v>
      </c>
      <c r="P283" s="191">
        <v>0</v>
      </c>
      <c r="Q283" s="380"/>
      <c r="R283" s="287">
        <v>0</v>
      </c>
      <c r="S283" s="176">
        <v>0</v>
      </c>
      <c r="T283" s="381">
        <v>0</v>
      </c>
      <c r="U283" s="120" t="str">
        <f t="shared" si="164"/>
        <v>Outlier</v>
      </c>
      <c r="V283" s="120" t="str">
        <f t="shared" si="165"/>
        <v>Normal</v>
      </c>
      <c r="W283" s="81">
        <f t="shared" si="166"/>
        <v>-1</v>
      </c>
      <c r="X283" s="81">
        <f t="shared" si="167"/>
        <v>-1</v>
      </c>
      <c r="Y283" s="280"/>
    </row>
    <row r="284" spans="1:25">
      <c r="A284" s="378">
        <v>45299</v>
      </c>
      <c r="B284" s="386">
        <f>IF(YEAR(Table7[[#This Row],[Date]]) = 2023, WEEKNUM(Table7[[#This Row],[Date]])-13, WEEKNUM(Table7[[#This Row],[Date]])+40)</f>
        <v>42</v>
      </c>
      <c r="C284" s="203" t="s">
        <v>49</v>
      </c>
      <c r="D284" s="203" t="s">
        <v>94</v>
      </c>
      <c r="E284" s="379">
        <v>127</v>
      </c>
      <c r="F284" s="379">
        <v>124</v>
      </c>
      <c r="G284" s="350">
        <f t="shared" si="168"/>
        <v>0</v>
      </c>
      <c r="H284" s="350">
        <f t="shared" si="169"/>
        <v>0</v>
      </c>
      <c r="I284" s="379"/>
      <c r="J284" s="379"/>
      <c r="K284" s="379"/>
      <c r="L284" s="379"/>
      <c r="M284" s="191">
        <v>0.98</v>
      </c>
      <c r="N284" s="191">
        <v>0.02</v>
      </c>
      <c r="O284" s="191">
        <v>0.98</v>
      </c>
      <c r="P284" s="191">
        <v>0.57999999999999996</v>
      </c>
      <c r="Q284" s="191"/>
      <c r="R284" s="391">
        <v>122</v>
      </c>
      <c r="S284" s="392">
        <v>0.1388888888888889</v>
      </c>
      <c r="T284" s="381">
        <v>1</v>
      </c>
      <c r="U284" s="120" t="str">
        <f t="shared" si="164"/>
        <v>Normal</v>
      </c>
      <c r="V284" s="120" t="str">
        <f t="shared" si="165"/>
        <v>Normal</v>
      </c>
      <c r="W284" s="81">
        <f t="shared" si="166"/>
        <v>0</v>
      </c>
      <c r="X284" s="81">
        <f t="shared" si="167"/>
        <v>0</v>
      </c>
      <c r="Y284" s="280"/>
    </row>
    <row r="285" spans="1:25">
      <c r="A285" s="378">
        <v>45300</v>
      </c>
      <c r="B285" s="386">
        <f>IF(YEAR(Table7[[#This Row],[Date]]) = 2023, WEEKNUM(Table7[[#This Row],[Date]])-13, WEEKNUM(Table7[[#This Row],[Date]])+40)</f>
        <v>42</v>
      </c>
      <c r="C285" s="203" t="s">
        <v>50</v>
      </c>
      <c r="D285" s="203" t="s">
        <v>94</v>
      </c>
      <c r="E285" s="379">
        <v>104</v>
      </c>
      <c r="F285" s="379">
        <v>99</v>
      </c>
      <c r="G285" s="350">
        <f t="shared" si="168"/>
        <v>0.46478873239436619</v>
      </c>
      <c r="H285" s="350">
        <f t="shared" si="169"/>
        <v>0.43478260869565216</v>
      </c>
      <c r="I285" s="379"/>
      <c r="J285" s="379"/>
      <c r="K285" s="379"/>
      <c r="L285" s="379"/>
      <c r="M285" s="191">
        <v>0.95</v>
      </c>
      <c r="N285" s="191">
        <v>0.05</v>
      </c>
      <c r="O285" s="191">
        <v>0.95</v>
      </c>
      <c r="P285" s="191">
        <v>0.45</v>
      </c>
      <c r="Q285" s="380"/>
      <c r="R285" s="287">
        <v>119</v>
      </c>
      <c r="S285" s="176">
        <v>3.5416666666666666E-2</v>
      </c>
      <c r="T285" s="381">
        <v>1</v>
      </c>
      <c r="U285" s="120" t="str">
        <f t="shared" si="164"/>
        <v>Outlier</v>
      </c>
      <c r="V285" s="120" t="str">
        <f t="shared" si="165"/>
        <v>Normal</v>
      </c>
      <c r="W285" s="81">
        <f t="shared" si="166"/>
        <v>0.46478873239436619</v>
      </c>
      <c r="X285" s="81">
        <f t="shared" si="167"/>
        <v>0.43478260869565216</v>
      </c>
      <c r="Y285" s="280"/>
    </row>
    <row r="286" spans="1:25">
      <c r="A286" s="378">
        <v>45301</v>
      </c>
      <c r="B286" s="386">
        <f>IF(YEAR(Table7[[#This Row],[Date]]) = 2023, WEEKNUM(Table7[[#This Row],[Date]])-13, WEEKNUM(Table7[[#This Row],[Date]])+40)</f>
        <v>42</v>
      </c>
      <c r="C286" s="203" t="s">
        <v>51</v>
      </c>
      <c r="D286" s="203" t="s">
        <v>94</v>
      </c>
      <c r="E286" s="379">
        <v>76</v>
      </c>
      <c r="F286" s="379">
        <v>72</v>
      </c>
      <c r="G286" s="350">
        <f t="shared" si="168"/>
        <v>-0.11627906976744186</v>
      </c>
      <c r="H286" s="350">
        <f t="shared" si="169"/>
        <v>-0.15294117647058825</v>
      </c>
      <c r="I286" s="379"/>
      <c r="J286" s="379"/>
      <c r="K286" s="379"/>
      <c r="L286" s="379"/>
      <c r="M286" s="191">
        <v>0.95</v>
      </c>
      <c r="N286" s="191">
        <v>0.05</v>
      </c>
      <c r="O286" s="191">
        <v>0.95</v>
      </c>
      <c r="P286" s="191">
        <v>0.38</v>
      </c>
      <c r="Q286" s="191"/>
      <c r="R286" s="391">
        <v>135</v>
      </c>
      <c r="S286" s="392">
        <v>3.5416666666666666E-2</v>
      </c>
      <c r="T286" s="381">
        <v>1</v>
      </c>
      <c r="U286" s="120" t="str">
        <f t="shared" si="164"/>
        <v>Outlier</v>
      </c>
      <c r="V286" s="120" t="str">
        <f t="shared" si="165"/>
        <v>Normal</v>
      </c>
      <c r="W286" s="81">
        <f t="shared" si="166"/>
        <v>-0.11627906976744186</v>
      </c>
      <c r="X286" s="81">
        <f t="shared" si="167"/>
        <v>-0.15294117647058825</v>
      </c>
      <c r="Y286" s="280"/>
    </row>
    <row r="287" spans="1:25">
      <c r="A287" s="378">
        <v>45302</v>
      </c>
      <c r="B287" s="386">
        <f>IF(YEAR(Table7[[#This Row],[Date]]) = 2023, WEEKNUM(Table7[[#This Row],[Date]])-13, WEEKNUM(Table7[[#This Row],[Date]])+40)</f>
        <v>42</v>
      </c>
      <c r="C287" s="203" t="s">
        <v>52</v>
      </c>
      <c r="D287" s="203" t="s">
        <v>94</v>
      </c>
      <c r="E287" s="379">
        <v>81</v>
      </c>
      <c r="F287" s="379">
        <v>80</v>
      </c>
      <c r="G287" s="350">
        <f t="shared" si="168"/>
        <v>-0.10989010989010989</v>
      </c>
      <c r="H287" s="350">
        <f t="shared" si="169"/>
        <v>-6.9767441860465115E-2</v>
      </c>
      <c r="I287" s="379"/>
      <c r="J287" s="379"/>
      <c r="K287" s="379"/>
      <c r="L287" s="379"/>
      <c r="M287" s="191">
        <v>0.99</v>
      </c>
      <c r="N287" s="191">
        <v>0.01</v>
      </c>
      <c r="O287" s="191">
        <v>0.99</v>
      </c>
      <c r="P287" s="191">
        <v>0.35</v>
      </c>
      <c r="Q287" s="380"/>
      <c r="R287" s="287">
        <v>114</v>
      </c>
      <c r="S287" s="176">
        <v>2.9861111111111113E-2</v>
      </c>
      <c r="T287" s="381">
        <v>1</v>
      </c>
      <c r="U287" s="120" t="str">
        <f t="shared" si="164"/>
        <v>Outlier</v>
      </c>
      <c r="V287" s="120" t="str">
        <f t="shared" si="165"/>
        <v>Normal</v>
      </c>
      <c r="W287" s="81">
        <f t="shared" si="166"/>
        <v>-0.10989010989010989</v>
      </c>
      <c r="X287" s="81">
        <f t="shared" si="167"/>
        <v>-6.9767441860465115E-2</v>
      </c>
      <c r="Y287" s="280"/>
    </row>
    <row r="288" spans="1:25">
      <c r="A288" s="378">
        <v>45303</v>
      </c>
      <c r="B288" s="386">
        <f>IF(YEAR(Table7[[#This Row],[Date]]) = 2023, WEEKNUM(Table7[[#This Row],[Date]])-13, WEEKNUM(Table7[[#This Row],[Date]])+40)</f>
        <v>42</v>
      </c>
      <c r="C288" s="203" t="s">
        <v>53</v>
      </c>
      <c r="D288" s="203" t="s">
        <v>94</v>
      </c>
      <c r="E288" s="379">
        <v>72</v>
      </c>
      <c r="F288" s="379">
        <v>70</v>
      </c>
      <c r="G288" s="350">
        <f t="shared" si="168"/>
        <v>-0.25773195876288657</v>
      </c>
      <c r="H288" s="350">
        <f t="shared" si="169"/>
        <v>-0.24731182795698925</v>
      </c>
      <c r="I288" s="379"/>
      <c r="J288" s="379"/>
      <c r="K288" s="379"/>
      <c r="L288" s="379"/>
      <c r="M288" s="191">
        <v>0.97</v>
      </c>
      <c r="N288" s="191">
        <v>0.03</v>
      </c>
      <c r="O288" s="191">
        <v>0.97</v>
      </c>
      <c r="P288" s="191">
        <v>0.3</v>
      </c>
      <c r="Q288" s="191"/>
      <c r="R288" s="391">
        <v>112</v>
      </c>
      <c r="S288" s="392">
        <v>3.2638888888888891E-2</v>
      </c>
      <c r="T288" s="381">
        <v>1</v>
      </c>
      <c r="U288" s="120" t="str">
        <f t="shared" si="164"/>
        <v>Outlier</v>
      </c>
      <c r="V288" s="120" t="str">
        <f t="shared" si="165"/>
        <v>Normal</v>
      </c>
      <c r="W288" s="81">
        <f t="shared" si="166"/>
        <v>-0.25773195876288657</v>
      </c>
      <c r="X288" s="81">
        <f t="shared" si="167"/>
        <v>-0.24731182795698925</v>
      </c>
      <c r="Y288" s="280"/>
    </row>
    <row r="289" spans="1:25">
      <c r="A289" s="378">
        <v>45304</v>
      </c>
      <c r="B289" s="386">
        <f>IF(YEAR(Table7[[#This Row],[Date]]) = 2023, WEEKNUM(Table7[[#This Row],[Date]])-13, WEEKNUM(Table7[[#This Row],[Date]])+40)</f>
        <v>42</v>
      </c>
      <c r="C289" s="203" t="s">
        <v>54</v>
      </c>
      <c r="D289" s="203" t="s">
        <v>94</v>
      </c>
      <c r="E289" s="379">
        <v>42</v>
      </c>
      <c r="F289" s="379">
        <v>39</v>
      </c>
      <c r="G289" s="350">
        <f t="shared" si="168"/>
        <v>-2.3255813953488372E-2</v>
      </c>
      <c r="H289" s="350">
        <f t="shared" si="169"/>
        <v>-2.5000000000000001E-2</v>
      </c>
      <c r="I289" s="379"/>
      <c r="J289" s="379"/>
      <c r="K289" s="379"/>
      <c r="L289" s="379"/>
      <c r="M289" s="191">
        <v>0.93</v>
      </c>
      <c r="N289" s="191">
        <v>7.0000000000000007E-2</v>
      </c>
      <c r="O289" s="191">
        <v>0.93</v>
      </c>
      <c r="P289" s="191">
        <v>0.19</v>
      </c>
      <c r="Q289" s="380"/>
      <c r="R289" s="287">
        <v>128</v>
      </c>
      <c r="S289" s="176">
        <v>4.2361111111111106E-2</v>
      </c>
      <c r="T289" s="381">
        <v>1</v>
      </c>
      <c r="U289" s="120" t="str">
        <f t="shared" si="164"/>
        <v>Outlier</v>
      </c>
      <c r="V289" s="120" t="str">
        <f t="shared" si="165"/>
        <v>Normal</v>
      </c>
      <c r="W289" s="81">
        <f t="shared" si="166"/>
        <v>-2.3255813953488372E-2</v>
      </c>
      <c r="X289" s="81">
        <f t="shared" si="167"/>
        <v>-2.5000000000000001E-2</v>
      </c>
      <c r="Y289" s="280"/>
    </row>
    <row r="290" spans="1:25">
      <c r="A290" s="378">
        <v>45305</v>
      </c>
      <c r="B290" s="386">
        <f>IF(YEAR(Table7[[#This Row],[Date]]) = 2023, WEEKNUM(Table7[[#This Row],[Date]])-13, WEEKNUM(Table7[[#This Row],[Date]])+40)</f>
        <v>43</v>
      </c>
      <c r="C290" s="203" t="s">
        <v>48</v>
      </c>
      <c r="D290" s="203" t="s">
        <v>94</v>
      </c>
      <c r="E290" s="379">
        <v>0</v>
      </c>
      <c r="F290" s="379">
        <v>0</v>
      </c>
      <c r="G290" s="350">
        <v>0</v>
      </c>
      <c r="H290" s="350">
        <v>0</v>
      </c>
      <c r="I290" s="379">
        <v>0</v>
      </c>
      <c r="J290" s="379">
        <v>0</v>
      </c>
      <c r="K290" s="379">
        <v>0</v>
      </c>
      <c r="L290" s="379">
        <v>0</v>
      </c>
      <c r="M290" s="191">
        <v>0</v>
      </c>
      <c r="N290" s="191">
        <v>0</v>
      </c>
      <c r="O290" s="191">
        <v>0</v>
      </c>
      <c r="P290" s="191">
        <v>0</v>
      </c>
      <c r="Q290" s="191"/>
      <c r="R290" s="391">
        <v>0</v>
      </c>
      <c r="S290" s="392">
        <v>0</v>
      </c>
      <c r="T290" s="381">
        <v>0</v>
      </c>
      <c r="U290" s="120" t="str">
        <f t="shared" si="164"/>
        <v>Normal</v>
      </c>
      <c r="V290" s="120" t="str">
        <f t="shared" si="165"/>
        <v>Normal</v>
      </c>
      <c r="W290" s="81">
        <f t="shared" si="166"/>
        <v>0</v>
      </c>
      <c r="X290" s="81">
        <f t="shared" si="167"/>
        <v>0</v>
      </c>
      <c r="Y290" s="280"/>
    </row>
    <row r="291" spans="1:25">
      <c r="A291" s="378">
        <v>45306</v>
      </c>
      <c r="B291" s="386">
        <f>IF(YEAR(Table7[[#This Row],[Date]]) = 2023, WEEKNUM(Table7[[#This Row],[Date]])-13, WEEKNUM(Table7[[#This Row],[Date]])+40)</f>
        <v>43</v>
      </c>
      <c r="C291" s="203" t="s">
        <v>49</v>
      </c>
      <c r="D291" s="203" t="s">
        <v>94</v>
      </c>
      <c r="E291" s="379">
        <v>0</v>
      </c>
      <c r="F291" s="379">
        <v>0</v>
      </c>
      <c r="G291" s="350">
        <v>0</v>
      </c>
      <c r="H291" s="350">
        <v>0</v>
      </c>
      <c r="I291" s="379">
        <v>0</v>
      </c>
      <c r="J291" s="379">
        <v>0</v>
      </c>
      <c r="K291" s="379">
        <v>0</v>
      </c>
      <c r="L291" s="379">
        <v>0</v>
      </c>
      <c r="M291" s="191">
        <v>0</v>
      </c>
      <c r="N291" s="191">
        <v>0</v>
      </c>
      <c r="O291" s="191">
        <v>0</v>
      </c>
      <c r="P291" s="191">
        <v>0</v>
      </c>
      <c r="Q291" s="380"/>
      <c r="R291" s="287">
        <v>0</v>
      </c>
      <c r="S291" s="176">
        <v>0</v>
      </c>
      <c r="T291" s="381">
        <v>0</v>
      </c>
      <c r="U291" s="120" t="str">
        <f t="shared" si="164"/>
        <v>Normal</v>
      </c>
      <c r="V291" s="120" t="str">
        <f t="shared" si="165"/>
        <v>Normal</v>
      </c>
      <c r="W291" s="81">
        <f t="shared" si="166"/>
        <v>0</v>
      </c>
      <c r="X291" s="81">
        <f t="shared" si="167"/>
        <v>0</v>
      </c>
      <c r="Y291" s="280"/>
    </row>
    <row r="292" spans="1:25">
      <c r="A292" s="378">
        <v>45307</v>
      </c>
      <c r="B292" s="386">
        <f>IF(YEAR(Table7[[#This Row],[Date]]) = 2023, WEEKNUM(Table7[[#This Row],[Date]])-13, WEEKNUM(Table7[[#This Row],[Date]])+40)</f>
        <v>43</v>
      </c>
      <c r="C292" s="203" t="s">
        <v>50</v>
      </c>
      <c r="D292" s="203" t="s">
        <v>94</v>
      </c>
      <c r="E292" s="379">
        <v>104</v>
      </c>
      <c r="F292" s="379">
        <v>102</v>
      </c>
      <c r="G292" s="350">
        <f t="shared" ref="G292:G303" si="170">IFERROR((E292-E285)/E285,0%)</f>
        <v>0</v>
      </c>
      <c r="H292" s="350">
        <f t="shared" ref="H292:H303" si="171">IFERROR((F292-F285)/F285,0%)</f>
        <v>3.0303030303030304E-2</v>
      </c>
      <c r="I292" s="379"/>
      <c r="J292" s="379"/>
      <c r="K292" s="379"/>
      <c r="L292" s="379"/>
      <c r="M292" s="191">
        <v>0.98</v>
      </c>
      <c r="N292" s="191">
        <v>0.02</v>
      </c>
      <c r="O292" s="191">
        <v>0.98</v>
      </c>
      <c r="P292" s="191">
        <v>0.41</v>
      </c>
      <c r="Q292" s="191"/>
      <c r="R292" s="391">
        <v>104</v>
      </c>
      <c r="S292" s="392">
        <v>4.3055555555555562E-2</v>
      </c>
      <c r="T292" s="381">
        <v>1</v>
      </c>
      <c r="U292" s="120" t="str">
        <f t="shared" si="164"/>
        <v>Outlier</v>
      </c>
      <c r="V292" s="120" t="str">
        <f t="shared" si="165"/>
        <v>Normal</v>
      </c>
      <c r="W292" s="81">
        <f t="shared" si="166"/>
        <v>0</v>
      </c>
      <c r="X292" s="81">
        <f t="shared" si="167"/>
        <v>3.0303030303030304E-2</v>
      </c>
      <c r="Y292" s="280"/>
    </row>
    <row r="293" spans="1:25">
      <c r="A293" s="378">
        <v>45308</v>
      </c>
      <c r="B293" s="386">
        <f>IF(YEAR(Table7[[#This Row],[Date]]) = 2023, WEEKNUM(Table7[[#This Row],[Date]])-13, WEEKNUM(Table7[[#This Row],[Date]])+40)</f>
        <v>43</v>
      </c>
      <c r="C293" s="203" t="s">
        <v>51</v>
      </c>
      <c r="D293" s="203" t="s">
        <v>94</v>
      </c>
      <c r="E293" s="379">
        <v>70</v>
      </c>
      <c r="F293" s="379">
        <v>65</v>
      </c>
      <c r="G293" s="350">
        <f t="shared" si="170"/>
        <v>-7.8947368421052627E-2</v>
      </c>
      <c r="H293" s="350">
        <f t="shared" si="171"/>
        <v>-9.7222222222222224E-2</v>
      </c>
      <c r="I293" s="379"/>
      <c r="J293" s="379"/>
      <c r="K293" s="379"/>
      <c r="L293" s="379"/>
      <c r="M293" s="191">
        <v>0.93</v>
      </c>
      <c r="N293" s="191">
        <v>7.0000000000000007E-2</v>
      </c>
      <c r="O293" s="191">
        <v>0.93</v>
      </c>
      <c r="P293" s="191">
        <v>0.35</v>
      </c>
      <c r="Q293" s="380"/>
      <c r="R293" s="287">
        <v>139</v>
      </c>
      <c r="S293" s="176">
        <v>0.125</v>
      </c>
      <c r="T293" s="381">
        <v>1</v>
      </c>
      <c r="U293" s="120" t="str">
        <f t="shared" si="164"/>
        <v>Outlier</v>
      </c>
      <c r="V293" s="120" t="str">
        <f t="shared" si="165"/>
        <v>Normal</v>
      </c>
      <c r="W293" s="81">
        <f t="shared" si="166"/>
        <v>-7.8947368421052627E-2</v>
      </c>
      <c r="X293" s="81">
        <f t="shared" si="167"/>
        <v>-9.7222222222222224E-2</v>
      </c>
      <c r="Y293" s="280"/>
    </row>
    <row r="294" spans="1:25">
      <c r="A294" s="378">
        <v>45309</v>
      </c>
      <c r="B294" s="386">
        <f>IF(YEAR(Table7[[#This Row],[Date]]) = 2023, WEEKNUM(Table7[[#This Row],[Date]])-13, WEEKNUM(Table7[[#This Row],[Date]])+40)</f>
        <v>43</v>
      </c>
      <c r="C294" s="203" t="s">
        <v>52</v>
      </c>
      <c r="D294" s="203" t="s">
        <v>94</v>
      </c>
      <c r="E294" s="379">
        <v>103</v>
      </c>
      <c r="F294" s="379">
        <v>101</v>
      </c>
      <c r="G294" s="350">
        <f t="shared" si="170"/>
        <v>0.27160493827160492</v>
      </c>
      <c r="H294" s="350">
        <f t="shared" si="171"/>
        <v>0.26250000000000001</v>
      </c>
      <c r="I294" s="379"/>
      <c r="J294" s="379"/>
      <c r="K294" s="379"/>
      <c r="L294" s="379"/>
      <c r="M294" s="191">
        <v>0.98</v>
      </c>
      <c r="N294" s="191">
        <v>0.02</v>
      </c>
      <c r="O294" s="191">
        <v>0.98</v>
      </c>
      <c r="P294" s="191">
        <v>0.42</v>
      </c>
      <c r="Q294" s="191"/>
      <c r="R294" s="391">
        <v>108</v>
      </c>
      <c r="S294" s="392">
        <v>4.2361111111111106E-2</v>
      </c>
      <c r="T294" s="381">
        <v>1</v>
      </c>
      <c r="U294" s="120" t="str">
        <f t="shared" si="164"/>
        <v>Outlier</v>
      </c>
      <c r="V294" s="120" t="str">
        <f t="shared" si="165"/>
        <v>Normal</v>
      </c>
      <c r="W294" s="81">
        <f t="shared" si="166"/>
        <v>0.27160493827160492</v>
      </c>
      <c r="X294" s="81">
        <f t="shared" si="167"/>
        <v>0.26250000000000001</v>
      </c>
      <c r="Y294" s="280"/>
    </row>
    <row r="295" spans="1:25">
      <c r="A295" s="378">
        <v>45310</v>
      </c>
      <c r="B295" s="386">
        <f>IF(YEAR(Table7[[#This Row],[Date]]) = 2023, WEEKNUM(Table7[[#This Row],[Date]])-13, WEEKNUM(Table7[[#This Row],[Date]])+40)</f>
        <v>43</v>
      </c>
      <c r="C295" s="203" t="s">
        <v>53</v>
      </c>
      <c r="D295" s="203" t="s">
        <v>94</v>
      </c>
      <c r="E295" s="379">
        <v>76</v>
      </c>
      <c r="F295" s="379">
        <v>71</v>
      </c>
      <c r="G295" s="350">
        <f t="shared" si="170"/>
        <v>5.5555555555555552E-2</v>
      </c>
      <c r="H295" s="350">
        <f t="shared" si="171"/>
        <v>1.4285714285714285E-2</v>
      </c>
      <c r="I295" s="379"/>
      <c r="J295" s="379"/>
      <c r="K295" s="379"/>
      <c r="L295" s="379"/>
      <c r="M295" s="191">
        <v>0.93</v>
      </c>
      <c r="N295" s="191">
        <v>7.0000000000000007E-2</v>
      </c>
      <c r="O295" s="191">
        <v>0.93</v>
      </c>
      <c r="P295" s="191">
        <v>0.38</v>
      </c>
      <c r="Q295" s="380"/>
      <c r="R295" s="287">
        <v>139</v>
      </c>
      <c r="S295" s="176">
        <v>8.5416666666666655E-2</v>
      </c>
      <c r="T295" s="381">
        <v>1</v>
      </c>
      <c r="U295" s="120" t="str">
        <f t="shared" si="164"/>
        <v>Outlier</v>
      </c>
      <c r="V295" s="120" t="str">
        <f t="shared" si="165"/>
        <v>Normal</v>
      </c>
      <c r="W295" s="81">
        <f t="shared" si="166"/>
        <v>5.5555555555555552E-2</v>
      </c>
      <c r="X295" s="81">
        <f t="shared" si="167"/>
        <v>1.4285714285714285E-2</v>
      </c>
      <c r="Y295" s="280"/>
    </row>
    <row r="296" spans="1:25">
      <c r="A296" s="378">
        <v>45311</v>
      </c>
      <c r="B296" s="386">
        <f>IF(YEAR(Table7[[#This Row],[Date]]) = 2023, WEEKNUM(Table7[[#This Row],[Date]])-13, WEEKNUM(Table7[[#This Row],[Date]])+40)</f>
        <v>43</v>
      </c>
      <c r="C296" s="203" t="s">
        <v>54</v>
      </c>
      <c r="D296" s="203" t="s">
        <v>94</v>
      </c>
      <c r="E296" s="379">
        <v>44</v>
      </c>
      <c r="F296" s="379">
        <v>40</v>
      </c>
      <c r="G296" s="350">
        <f t="shared" si="170"/>
        <v>4.7619047619047616E-2</v>
      </c>
      <c r="H296" s="350">
        <f t="shared" si="171"/>
        <v>2.564102564102564E-2</v>
      </c>
      <c r="I296" s="379"/>
      <c r="J296" s="379"/>
      <c r="K296" s="379"/>
      <c r="L296" s="379"/>
      <c r="M296" s="191">
        <v>0.91</v>
      </c>
      <c r="N296" s="191">
        <v>0.09</v>
      </c>
      <c r="O296" s="191">
        <v>0.91</v>
      </c>
      <c r="P296" s="191">
        <v>0.18</v>
      </c>
      <c r="Q296" s="191"/>
      <c r="R296" s="391">
        <v>115</v>
      </c>
      <c r="S296" s="392">
        <v>4.3055555555555562E-2</v>
      </c>
      <c r="T296" s="381">
        <v>1</v>
      </c>
      <c r="U296" s="120" t="str">
        <f t="shared" si="164"/>
        <v>Outlier</v>
      </c>
      <c r="V296" s="120" t="str">
        <f t="shared" si="165"/>
        <v>Normal</v>
      </c>
      <c r="W296" s="81">
        <f t="shared" si="166"/>
        <v>4.7619047619047616E-2</v>
      </c>
      <c r="X296" s="81">
        <f t="shared" si="167"/>
        <v>2.564102564102564E-2</v>
      </c>
      <c r="Y296" s="280"/>
    </row>
    <row r="297" spans="1:25">
      <c r="A297" s="378">
        <v>45312</v>
      </c>
      <c r="B297" s="386">
        <f>IF(YEAR(Table7[[#This Row],[Date]]) = 2023, WEEKNUM(Table7[[#This Row],[Date]])-13, WEEKNUM(Table7[[#This Row],[Date]])+40)</f>
        <v>44</v>
      </c>
      <c r="C297" s="203" t="s">
        <v>48</v>
      </c>
      <c r="D297" s="203" t="s">
        <v>94</v>
      </c>
      <c r="E297" s="379">
        <v>0</v>
      </c>
      <c r="F297" s="379">
        <v>0</v>
      </c>
      <c r="G297" s="350">
        <f t="shared" si="170"/>
        <v>0</v>
      </c>
      <c r="H297" s="350">
        <f t="shared" si="171"/>
        <v>0</v>
      </c>
      <c r="I297" s="379">
        <v>0</v>
      </c>
      <c r="J297" s="379">
        <v>0</v>
      </c>
      <c r="K297" s="379">
        <v>0</v>
      </c>
      <c r="L297" s="379">
        <v>0</v>
      </c>
      <c r="M297" s="191">
        <v>0</v>
      </c>
      <c r="N297" s="191">
        <v>0</v>
      </c>
      <c r="O297" s="191">
        <v>0</v>
      </c>
      <c r="P297" s="191">
        <v>0</v>
      </c>
      <c r="Q297" s="380"/>
      <c r="R297" s="287">
        <v>0</v>
      </c>
      <c r="S297" s="176">
        <v>0</v>
      </c>
      <c r="T297" s="381">
        <v>0</v>
      </c>
      <c r="U297" s="120" t="str">
        <f t="shared" si="164"/>
        <v>Normal</v>
      </c>
      <c r="V297" s="120" t="str">
        <f t="shared" si="165"/>
        <v>Normal</v>
      </c>
      <c r="W297" s="81">
        <f t="shared" si="166"/>
        <v>0</v>
      </c>
      <c r="X297" s="81">
        <f t="shared" si="167"/>
        <v>0</v>
      </c>
      <c r="Y297" s="280"/>
    </row>
    <row r="298" spans="1:25">
      <c r="A298" s="378">
        <v>45313</v>
      </c>
      <c r="B298" s="386">
        <f>IF(YEAR(Table7[[#This Row],[Date]]) = 2023, WEEKNUM(Table7[[#This Row],[Date]])-13, WEEKNUM(Table7[[#This Row],[Date]])+40)</f>
        <v>44</v>
      </c>
      <c r="C298" s="203" t="s">
        <v>49</v>
      </c>
      <c r="D298" s="203" t="s">
        <v>94</v>
      </c>
      <c r="E298" s="379">
        <v>82</v>
      </c>
      <c r="F298" s="379">
        <v>75</v>
      </c>
      <c r="G298" s="350">
        <f t="shared" si="170"/>
        <v>0</v>
      </c>
      <c r="H298" s="350">
        <f t="shared" si="171"/>
        <v>0</v>
      </c>
      <c r="I298" s="379"/>
      <c r="J298" s="379"/>
      <c r="K298" s="379"/>
      <c r="L298" s="379"/>
      <c r="M298" s="191">
        <v>0.92</v>
      </c>
      <c r="N298" s="191">
        <v>0.09</v>
      </c>
      <c r="O298" s="191">
        <v>0.91</v>
      </c>
      <c r="P298" s="191">
        <v>0.35</v>
      </c>
      <c r="Q298" s="191"/>
      <c r="R298" s="391">
        <v>122</v>
      </c>
      <c r="S298" s="392">
        <v>3.5416666666666666E-2</v>
      </c>
      <c r="T298" s="381">
        <v>1</v>
      </c>
      <c r="U298" s="120" t="str">
        <f t="shared" si="164"/>
        <v>Normal</v>
      </c>
      <c r="V298" s="120" t="str">
        <f t="shared" si="165"/>
        <v>Normal</v>
      </c>
      <c r="W298" s="81">
        <f t="shared" si="166"/>
        <v>0</v>
      </c>
      <c r="X298" s="81">
        <f t="shared" si="167"/>
        <v>0</v>
      </c>
      <c r="Y298" s="280"/>
    </row>
    <row r="299" spans="1:25">
      <c r="A299" s="378">
        <v>45314</v>
      </c>
      <c r="B299" s="386">
        <f>IF(YEAR(Table7[[#This Row],[Date]]) = 2023, WEEKNUM(Table7[[#This Row],[Date]])-13, WEEKNUM(Table7[[#This Row],[Date]])+40)</f>
        <v>44</v>
      </c>
      <c r="C299" s="203" t="s">
        <v>50</v>
      </c>
      <c r="D299" s="203" t="s">
        <v>94</v>
      </c>
      <c r="E299" s="379">
        <v>89</v>
      </c>
      <c r="F299" s="379">
        <v>86</v>
      </c>
      <c r="G299" s="350">
        <f t="shared" si="170"/>
        <v>-0.14423076923076922</v>
      </c>
      <c r="H299" s="350">
        <f t="shared" si="171"/>
        <v>-0.15686274509803921</v>
      </c>
      <c r="I299" s="379"/>
      <c r="J299" s="379"/>
      <c r="K299" s="379"/>
      <c r="L299" s="379"/>
      <c r="M299" s="191">
        <v>0.97</v>
      </c>
      <c r="N299" s="191">
        <v>7.0000000000000007E-2</v>
      </c>
      <c r="O299" s="191">
        <v>0.93</v>
      </c>
      <c r="P299" s="191">
        <v>0.35</v>
      </c>
      <c r="Q299" s="380"/>
      <c r="R299" s="287">
        <v>105</v>
      </c>
      <c r="S299" s="176">
        <v>2.361111111111111E-2</v>
      </c>
      <c r="T299" s="381">
        <v>1</v>
      </c>
      <c r="U299" s="120" t="str">
        <f t="shared" si="164"/>
        <v>Outlier</v>
      </c>
      <c r="V299" s="120" t="str">
        <f t="shared" si="165"/>
        <v>Normal</v>
      </c>
      <c r="W299" s="81">
        <f t="shared" si="166"/>
        <v>-0.14423076923076922</v>
      </c>
      <c r="X299" s="81">
        <f t="shared" si="167"/>
        <v>-0.15686274509803921</v>
      </c>
      <c r="Y299" s="280"/>
    </row>
    <row r="300" spans="1:25">
      <c r="A300" s="378">
        <v>45315</v>
      </c>
      <c r="B300" s="386">
        <f>IF(YEAR(Table7[[#This Row],[Date]]) = 2023, WEEKNUM(Table7[[#This Row],[Date]])-13, WEEKNUM(Table7[[#This Row],[Date]])+40)</f>
        <v>44</v>
      </c>
      <c r="C300" s="203" t="s">
        <v>51</v>
      </c>
      <c r="D300" s="203" t="s">
        <v>94</v>
      </c>
      <c r="E300" s="379">
        <v>57</v>
      </c>
      <c r="F300" s="379">
        <v>53</v>
      </c>
      <c r="G300" s="350">
        <f t="shared" si="170"/>
        <v>-0.18571428571428572</v>
      </c>
      <c r="H300" s="350">
        <f t="shared" si="171"/>
        <v>-0.18461538461538463</v>
      </c>
      <c r="I300" s="379"/>
      <c r="J300" s="379"/>
      <c r="K300" s="379"/>
      <c r="L300" s="379"/>
      <c r="M300" s="191">
        <v>0.93</v>
      </c>
      <c r="N300" s="191">
        <v>7.0000000000000007E-2</v>
      </c>
      <c r="O300" s="191">
        <v>0.93</v>
      </c>
      <c r="P300" s="191">
        <v>0.11</v>
      </c>
      <c r="Q300" s="191"/>
      <c r="R300" s="391">
        <v>110</v>
      </c>
      <c r="S300" s="392">
        <v>1.4583333333333332E-2</v>
      </c>
      <c r="T300" s="381">
        <v>2</v>
      </c>
      <c r="U300" s="120" t="str">
        <f t="shared" si="164"/>
        <v>Outlier</v>
      </c>
      <c r="V300" s="120" t="str">
        <f t="shared" si="165"/>
        <v>Normal</v>
      </c>
      <c r="W300" s="81">
        <f t="shared" si="166"/>
        <v>-0.18571428571428572</v>
      </c>
      <c r="X300" s="81">
        <f t="shared" si="167"/>
        <v>-0.18461538461538463</v>
      </c>
      <c r="Y300" s="280"/>
    </row>
    <row r="301" spans="1:25">
      <c r="A301" s="378">
        <v>45316</v>
      </c>
      <c r="B301" s="386">
        <f>IF(YEAR(Table7[[#This Row],[Date]]) = 2023, WEEKNUM(Table7[[#This Row],[Date]])-13, WEEKNUM(Table7[[#This Row],[Date]])+40)</f>
        <v>44</v>
      </c>
      <c r="C301" s="203" t="s">
        <v>52</v>
      </c>
      <c r="D301" s="203" t="s">
        <v>94</v>
      </c>
      <c r="E301" s="379">
        <v>83</v>
      </c>
      <c r="F301" s="379">
        <v>83</v>
      </c>
      <c r="G301" s="350">
        <f t="shared" si="170"/>
        <v>-0.1941747572815534</v>
      </c>
      <c r="H301" s="350">
        <f t="shared" si="171"/>
        <v>-0.17821782178217821</v>
      </c>
      <c r="I301" s="379"/>
      <c r="J301" s="379"/>
      <c r="K301" s="379"/>
      <c r="L301" s="379"/>
      <c r="M301" s="191">
        <v>1</v>
      </c>
      <c r="N301" s="191">
        <v>0</v>
      </c>
      <c r="O301" s="191">
        <v>1</v>
      </c>
      <c r="P301" s="191">
        <v>0.16</v>
      </c>
      <c r="Q301" s="380"/>
      <c r="R301" s="287">
        <v>102</v>
      </c>
      <c r="S301" s="176">
        <v>3.888888888888889E-2</v>
      </c>
      <c r="T301" s="381">
        <v>2</v>
      </c>
      <c r="U301" s="120" t="str">
        <f t="shared" si="164"/>
        <v>Outlier</v>
      </c>
      <c r="V301" s="120" t="str">
        <f t="shared" si="165"/>
        <v>Normal</v>
      </c>
      <c r="W301" s="81">
        <f t="shared" si="166"/>
        <v>-0.1941747572815534</v>
      </c>
      <c r="X301" s="81">
        <f t="shared" si="167"/>
        <v>-0.17821782178217821</v>
      </c>
      <c r="Y301" s="280"/>
    </row>
    <row r="302" spans="1:25">
      <c r="A302" s="378">
        <v>45317</v>
      </c>
      <c r="B302" s="386">
        <f>IF(YEAR(Table7[[#This Row],[Date]]) = 2023, WEEKNUM(Table7[[#This Row],[Date]])-13, WEEKNUM(Table7[[#This Row],[Date]])+40)</f>
        <v>44</v>
      </c>
      <c r="C302" s="203" t="s">
        <v>53</v>
      </c>
      <c r="D302" s="203" t="s">
        <v>94</v>
      </c>
      <c r="E302" s="379">
        <v>39</v>
      </c>
      <c r="F302" s="379">
        <v>38</v>
      </c>
      <c r="G302" s="350">
        <f t="shared" si="170"/>
        <v>-0.48684210526315791</v>
      </c>
      <c r="H302" s="350">
        <f t="shared" si="171"/>
        <v>-0.46478873239436619</v>
      </c>
      <c r="I302" s="379"/>
      <c r="J302" s="379"/>
      <c r="K302" s="379"/>
      <c r="L302" s="379"/>
      <c r="M302" s="191">
        <v>0.97</v>
      </c>
      <c r="N302" s="191">
        <v>0.03</v>
      </c>
      <c r="O302" s="191">
        <v>0.97</v>
      </c>
      <c r="P302" s="191">
        <v>0.2</v>
      </c>
      <c r="Q302" s="191"/>
      <c r="R302" s="391">
        <v>136</v>
      </c>
      <c r="S302" s="392">
        <v>8.3333333333333332E-3</v>
      </c>
      <c r="T302" s="381">
        <v>1</v>
      </c>
      <c r="U302" s="120" t="str">
        <f t="shared" si="164"/>
        <v>Outlier</v>
      </c>
      <c r="V302" s="120" t="str">
        <f t="shared" si="165"/>
        <v>Normal</v>
      </c>
      <c r="W302" s="81">
        <f t="shared" si="166"/>
        <v>-0.48684210526315791</v>
      </c>
      <c r="X302" s="81">
        <f t="shared" si="167"/>
        <v>-0.46478873239436619</v>
      </c>
      <c r="Y302" s="280"/>
    </row>
    <row r="303" spans="1:25">
      <c r="A303" s="378">
        <v>45318</v>
      </c>
      <c r="B303" s="386">
        <f>IF(YEAR(Table7[[#This Row],[Date]]) = 2023, WEEKNUM(Table7[[#This Row],[Date]])-13, WEEKNUM(Table7[[#This Row],[Date]])+40)</f>
        <v>44</v>
      </c>
      <c r="C303" s="203" t="s">
        <v>54</v>
      </c>
      <c r="D303" s="203" t="s">
        <v>94</v>
      </c>
      <c r="E303" s="379">
        <v>40</v>
      </c>
      <c r="F303" s="379">
        <v>36</v>
      </c>
      <c r="G303" s="350">
        <f t="shared" si="170"/>
        <v>-9.0909090909090912E-2</v>
      </c>
      <c r="H303" s="350">
        <f t="shared" si="171"/>
        <v>-0.1</v>
      </c>
      <c r="I303" s="379"/>
      <c r="J303" s="379"/>
      <c r="K303" s="379"/>
      <c r="L303" s="379"/>
      <c r="M303" s="191">
        <v>0.9</v>
      </c>
      <c r="N303" s="191">
        <v>0.1</v>
      </c>
      <c r="O303" s="191">
        <v>0.9</v>
      </c>
      <c r="P303" s="191">
        <v>0.05</v>
      </c>
      <c r="Q303" s="380"/>
      <c r="R303" s="287">
        <v>39</v>
      </c>
      <c r="S303" s="176">
        <v>4.2361111111111106E-2</v>
      </c>
      <c r="T303" s="381">
        <v>1</v>
      </c>
      <c r="U303" s="120" t="str">
        <f t="shared" si="164"/>
        <v>Outlier</v>
      </c>
      <c r="V303" s="120" t="str">
        <f t="shared" si="165"/>
        <v>Normal</v>
      </c>
      <c r="W303" s="81">
        <f t="shared" si="166"/>
        <v>-9.0909090909090912E-2</v>
      </c>
      <c r="X303" s="81">
        <f t="shared" si="167"/>
        <v>-0.1</v>
      </c>
      <c r="Y303" s="280"/>
    </row>
    <row r="304" spans="1:25">
      <c r="A304" s="378">
        <v>45319</v>
      </c>
      <c r="B304" s="386">
        <f>IF(YEAR(Table7[[#This Row],[Date]]) = 2023, WEEKNUM(Table7[[#This Row],[Date]])-13, WEEKNUM(Table7[[#This Row],[Date]])+40)</f>
        <v>45</v>
      </c>
      <c r="C304" s="203" t="s">
        <v>48</v>
      </c>
      <c r="D304" s="203" t="s">
        <v>94</v>
      </c>
      <c r="E304" s="379">
        <v>0</v>
      </c>
      <c r="F304" s="379">
        <v>0</v>
      </c>
      <c r="G304" s="350">
        <v>0</v>
      </c>
      <c r="H304" s="350">
        <v>0</v>
      </c>
      <c r="I304" s="379">
        <v>0</v>
      </c>
      <c r="J304" s="379">
        <v>0</v>
      </c>
      <c r="K304" s="379">
        <v>0</v>
      </c>
      <c r="L304" s="379">
        <v>0</v>
      </c>
      <c r="M304" s="191">
        <v>0</v>
      </c>
      <c r="N304" s="191">
        <v>0</v>
      </c>
      <c r="O304" s="191">
        <v>0</v>
      </c>
      <c r="P304" s="191">
        <v>0</v>
      </c>
      <c r="Q304" s="191"/>
      <c r="R304" s="391">
        <v>0</v>
      </c>
      <c r="S304" s="392">
        <v>0</v>
      </c>
      <c r="T304" s="381">
        <v>0</v>
      </c>
      <c r="U304" s="120" t="str">
        <f t="shared" si="164"/>
        <v>Normal</v>
      </c>
      <c r="V304" s="120" t="str">
        <f t="shared" si="165"/>
        <v>Normal</v>
      </c>
      <c r="W304" s="81">
        <f t="shared" si="166"/>
        <v>0</v>
      </c>
      <c r="X304" s="81">
        <f t="shared" si="167"/>
        <v>0</v>
      </c>
      <c r="Y304" s="280"/>
    </row>
    <row r="305" spans="1:25">
      <c r="A305" s="378">
        <v>45320</v>
      </c>
      <c r="B305" s="386">
        <f>IF(YEAR(Table7[[#This Row],[Date]]) = 2023, WEEKNUM(Table7[[#This Row],[Date]])-13, WEEKNUM(Table7[[#This Row],[Date]])+40)</f>
        <v>45</v>
      </c>
      <c r="C305" s="203" t="s">
        <v>49</v>
      </c>
      <c r="D305" s="203" t="s">
        <v>94</v>
      </c>
      <c r="E305" s="379">
        <v>130</v>
      </c>
      <c r="F305" s="379">
        <v>126</v>
      </c>
      <c r="G305" s="350">
        <f t="shared" ref="G305:G310" si="172">IFERROR((E305-E298)/E298,0%)</f>
        <v>0.58536585365853655</v>
      </c>
      <c r="H305" s="350">
        <f t="shared" ref="H305:H310" si="173">IFERROR((F305-F298)/F298,0%)</f>
        <v>0.68</v>
      </c>
      <c r="I305" s="379"/>
      <c r="J305" s="379"/>
      <c r="K305" s="379"/>
      <c r="L305" s="379"/>
      <c r="M305" s="191">
        <v>1</v>
      </c>
      <c r="N305" s="191">
        <v>0</v>
      </c>
      <c r="O305" s="191">
        <v>1</v>
      </c>
      <c r="P305" s="191">
        <v>0.28999999999999998</v>
      </c>
      <c r="Q305" s="380"/>
      <c r="R305" s="287">
        <v>94</v>
      </c>
      <c r="S305" s="176">
        <v>4.2361111111111106E-2</v>
      </c>
      <c r="T305" s="381">
        <v>1</v>
      </c>
      <c r="U305" s="120" t="str">
        <f t="shared" si="164"/>
        <v>Outlier</v>
      </c>
      <c r="V305" s="120" t="str">
        <f t="shared" si="165"/>
        <v>Normal</v>
      </c>
      <c r="W305" s="81">
        <f t="shared" si="166"/>
        <v>0.58536585365853655</v>
      </c>
      <c r="X305" s="81">
        <f t="shared" si="167"/>
        <v>0.68</v>
      </c>
      <c r="Y305" s="280"/>
    </row>
    <row r="306" spans="1:25">
      <c r="A306" s="378">
        <v>45321</v>
      </c>
      <c r="B306" s="386">
        <f>IF(YEAR(Table7[[#This Row],[Date]]) = 2023, WEEKNUM(Table7[[#This Row],[Date]])-13, WEEKNUM(Table7[[#This Row],[Date]])+40)</f>
        <v>45</v>
      </c>
      <c r="C306" s="203" t="s">
        <v>50</v>
      </c>
      <c r="D306" s="203" t="s">
        <v>94</v>
      </c>
      <c r="E306" s="379">
        <v>81</v>
      </c>
      <c r="F306" s="379">
        <v>81</v>
      </c>
      <c r="G306" s="350">
        <f t="shared" si="172"/>
        <v>-8.98876404494382E-2</v>
      </c>
      <c r="H306" s="350">
        <f t="shared" si="173"/>
        <v>-5.8139534883720929E-2</v>
      </c>
      <c r="I306" s="379"/>
      <c r="J306" s="379"/>
      <c r="K306" s="379"/>
      <c r="L306" s="379"/>
      <c r="M306" s="191">
        <v>0.97</v>
      </c>
      <c r="N306" s="191">
        <v>0.03</v>
      </c>
      <c r="O306" s="191">
        <v>0.97</v>
      </c>
      <c r="P306" s="191">
        <v>0.24</v>
      </c>
      <c r="Q306" s="191"/>
      <c r="R306" s="391">
        <v>92</v>
      </c>
      <c r="S306" s="392">
        <v>6.3888888888888884E-2</v>
      </c>
      <c r="T306" s="381">
        <v>1</v>
      </c>
      <c r="U306" s="120" t="str">
        <f t="shared" si="164"/>
        <v>Outlier</v>
      </c>
      <c r="V306" s="120" t="str">
        <f t="shared" si="165"/>
        <v>Normal</v>
      </c>
      <c r="W306" s="81">
        <f t="shared" si="166"/>
        <v>-8.98876404494382E-2</v>
      </c>
      <c r="X306" s="81">
        <f t="shared" si="167"/>
        <v>-5.8139534883720929E-2</v>
      </c>
      <c r="Y306" s="280"/>
    </row>
    <row r="307" spans="1:25">
      <c r="A307" s="378">
        <v>45322</v>
      </c>
      <c r="B307" s="386">
        <f>IF(YEAR(Table7[[#This Row],[Date]]) = 2023, WEEKNUM(Table7[[#This Row],[Date]])-13, WEEKNUM(Table7[[#This Row],[Date]])+40)</f>
        <v>45</v>
      </c>
      <c r="C307" s="203" t="s">
        <v>51</v>
      </c>
      <c r="D307" s="203" t="s">
        <v>94</v>
      </c>
      <c r="E307" s="379">
        <v>70</v>
      </c>
      <c r="F307" s="379">
        <v>68</v>
      </c>
      <c r="G307" s="350">
        <f t="shared" si="172"/>
        <v>0.22807017543859648</v>
      </c>
      <c r="H307" s="350">
        <f t="shared" si="173"/>
        <v>0.28301886792452829</v>
      </c>
      <c r="I307" s="379"/>
      <c r="J307" s="379"/>
      <c r="K307" s="379"/>
      <c r="L307" s="379"/>
      <c r="M307" s="191">
        <v>0.96</v>
      </c>
      <c r="N307" s="191">
        <v>0.04</v>
      </c>
      <c r="O307" s="191">
        <v>0.96</v>
      </c>
      <c r="P307" s="191">
        <v>0</v>
      </c>
      <c r="Q307" s="380"/>
      <c r="R307" s="287">
        <v>0</v>
      </c>
      <c r="S307" s="176">
        <v>8.3333333333333329E-2</v>
      </c>
      <c r="T307" s="381">
        <v>1</v>
      </c>
      <c r="U307" s="120" t="str">
        <f t="shared" si="164"/>
        <v>Outlier</v>
      </c>
      <c r="V307" s="120" t="str">
        <f t="shared" si="165"/>
        <v>Normal</v>
      </c>
      <c r="W307" s="81">
        <f t="shared" si="166"/>
        <v>0.22807017543859648</v>
      </c>
      <c r="X307" s="81">
        <f t="shared" si="167"/>
        <v>0.28301886792452829</v>
      </c>
      <c r="Y307" s="280"/>
    </row>
    <row r="308" spans="1:25" s="47" customFormat="1">
      <c r="A308" s="378">
        <v>45323</v>
      </c>
      <c r="B308" s="386">
        <f>IF(YEAR(Table7[[#This Row],[Date]]) = 2023, WEEKNUM(Table7[[#This Row],[Date]])-13, WEEKNUM(Table7[[#This Row],[Date]])+40)</f>
        <v>45</v>
      </c>
      <c r="C308" s="203" t="s">
        <v>52</v>
      </c>
      <c r="D308" s="203" t="s">
        <v>94</v>
      </c>
      <c r="E308" s="379">
        <v>79</v>
      </c>
      <c r="F308" s="379">
        <v>74</v>
      </c>
      <c r="G308" s="350">
        <f t="shared" si="172"/>
        <v>-4.8192771084337352E-2</v>
      </c>
      <c r="H308" s="350">
        <f t="shared" si="173"/>
        <v>-0.10843373493975904</v>
      </c>
      <c r="I308" s="379"/>
      <c r="J308" s="379"/>
      <c r="K308" s="379"/>
      <c r="L308" s="379"/>
      <c r="M308" s="191">
        <v>0.94</v>
      </c>
      <c r="N308" s="191">
        <v>0.06</v>
      </c>
      <c r="O308" s="191">
        <v>0.94</v>
      </c>
      <c r="P308" s="191">
        <v>0.34</v>
      </c>
      <c r="Q308" s="191"/>
      <c r="R308" s="391">
        <v>118</v>
      </c>
      <c r="S308" s="392">
        <v>9.9999999999999992E-2</v>
      </c>
      <c r="T308" s="381">
        <v>1</v>
      </c>
      <c r="U308" s="120" t="str">
        <f t="shared" si="164"/>
        <v>Outlier</v>
      </c>
      <c r="V308" s="120" t="str">
        <f t="shared" si="165"/>
        <v>Normal</v>
      </c>
      <c r="W308" s="81">
        <f t="shared" si="166"/>
        <v>-4.8192771084337352E-2</v>
      </c>
      <c r="X308" s="81">
        <f t="shared" si="167"/>
        <v>-0.10843373493975904</v>
      </c>
      <c r="Y308" s="280"/>
    </row>
    <row r="309" spans="1:25">
      <c r="A309" s="378">
        <v>45324</v>
      </c>
      <c r="B309" s="386">
        <f>IF(YEAR(Table7[[#This Row],[Date]]) = 2023, WEEKNUM(Table7[[#This Row],[Date]])-13, WEEKNUM(Table7[[#This Row],[Date]])+40)</f>
        <v>45</v>
      </c>
      <c r="C309" s="203" t="s">
        <v>53</v>
      </c>
      <c r="D309" s="203" t="s">
        <v>94</v>
      </c>
      <c r="E309" s="379">
        <v>82</v>
      </c>
      <c r="F309" s="379">
        <v>76</v>
      </c>
      <c r="G309" s="350">
        <f t="shared" si="172"/>
        <v>1.1025641025641026</v>
      </c>
      <c r="H309" s="350">
        <f t="shared" si="173"/>
        <v>1</v>
      </c>
      <c r="I309" s="379"/>
      <c r="J309" s="379"/>
      <c r="K309" s="379"/>
      <c r="L309" s="379"/>
      <c r="M309" s="191">
        <v>0.93</v>
      </c>
      <c r="N309" s="191">
        <v>7.0000000000000007E-2</v>
      </c>
      <c r="O309" s="191">
        <v>0.94</v>
      </c>
      <c r="P309" s="191">
        <v>0.37</v>
      </c>
      <c r="Q309" s="380"/>
      <c r="R309" s="287">
        <v>125</v>
      </c>
      <c r="S309" s="176">
        <v>8.2638888888888887E-2</v>
      </c>
      <c r="T309" s="381">
        <v>1</v>
      </c>
      <c r="U309" s="120" t="str">
        <f t="shared" si="164"/>
        <v>Outlier</v>
      </c>
      <c r="V309" s="120" t="str">
        <f t="shared" si="165"/>
        <v>Normal</v>
      </c>
      <c r="W309" s="81">
        <f t="shared" si="166"/>
        <v>1.1025641025641026</v>
      </c>
      <c r="X309" s="81">
        <f t="shared" si="167"/>
        <v>1</v>
      </c>
      <c r="Y309" s="280"/>
    </row>
    <row r="310" spans="1:25">
      <c r="A310" s="378">
        <v>45325</v>
      </c>
      <c r="B310" s="386">
        <f>IF(YEAR(Table7[[#This Row],[Date]]) = 2023, WEEKNUM(Table7[[#This Row],[Date]])-13, WEEKNUM(Table7[[#This Row],[Date]])+40)</f>
        <v>45</v>
      </c>
      <c r="C310" s="203" t="s">
        <v>54</v>
      </c>
      <c r="D310" s="203" t="s">
        <v>94</v>
      </c>
      <c r="E310" s="379">
        <v>31</v>
      </c>
      <c r="F310" s="379">
        <v>30</v>
      </c>
      <c r="G310" s="350">
        <f t="shared" si="172"/>
        <v>-0.22500000000000001</v>
      </c>
      <c r="H310" s="350">
        <f t="shared" si="173"/>
        <v>-0.16666666666666666</v>
      </c>
      <c r="I310" s="379"/>
      <c r="J310" s="379"/>
      <c r="K310" s="379"/>
      <c r="L310" s="379"/>
      <c r="M310" s="191">
        <v>0.97</v>
      </c>
      <c r="N310" s="191">
        <v>0.03</v>
      </c>
      <c r="O310" s="191">
        <v>0.97</v>
      </c>
      <c r="P310" s="191">
        <v>0.14000000000000001</v>
      </c>
      <c r="Q310" s="191"/>
      <c r="R310" s="391">
        <v>118</v>
      </c>
      <c r="S310" s="392">
        <v>9.9999999999999992E-2</v>
      </c>
      <c r="T310" s="381">
        <v>1</v>
      </c>
      <c r="U310" s="120" t="str">
        <f t="shared" si="164"/>
        <v>Outlier</v>
      </c>
      <c r="V310" s="120" t="str">
        <f t="shared" si="165"/>
        <v>Normal</v>
      </c>
      <c r="W310" s="81">
        <f t="shared" si="166"/>
        <v>-0.22500000000000001</v>
      </c>
      <c r="X310" s="81">
        <f t="shared" si="167"/>
        <v>-0.16666666666666666</v>
      </c>
      <c r="Y310" s="280"/>
    </row>
    <row r="311" spans="1:25">
      <c r="A311" s="378">
        <v>45326</v>
      </c>
      <c r="B311" s="386">
        <f>IF(YEAR(Table7[[#This Row],[Date]]) = 2023, WEEKNUM(Table7[[#This Row],[Date]])-13, WEEKNUM(Table7[[#This Row],[Date]])+40)</f>
        <v>46</v>
      </c>
      <c r="C311" s="203" t="s">
        <v>48</v>
      </c>
      <c r="D311" s="203" t="s">
        <v>94</v>
      </c>
      <c r="E311" s="379">
        <v>0</v>
      </c>
      <c r="F311" s="379">
        <v>0</v>
      </c>
      <c r="G311" s="350">
        <v>0</v>
      </c>
      <c r="H311" s="350">
        <v>0</v>
      </c>
      <c r="I311" s="379">
        <v>0</v>
      </c>
      <c r="J311" s="379">
        <v>0</v>
      </c>
      <c r="K311" s="379">
        <v>0</v>
      </c>
      <c r="L311" s="379">
        <v>0</v>
      </c>
      <c r="M311" s="191">
        <v>0</v>
      </c>
      <c r="N311" s="191">
        <v>0</v>
      </c>
      <c r="O311" s="191">
        <v>0</v>
      </c>
      <c r="P311" s="191">
        <v>0</v>
      </c>
      <c r="Q311" s="380"/>
      <c r="R311" s="287">
        <v>0</v>
      </c>
      <c r="S311" s="176">
        <v>0</v>
      </c>
      <c r="T311" s="381">
        <v>0</v>
      </c>
      <c r="U311" s="120" t="str">
        <f t="shared" si="164"/>
        <v>Normal</v>
      </c>
      <c r="V311" s="120" t="str">
        <f t="shared" si="165"/>
        <v>Normal</v>
      </c>
      <c r="W311" s="81">
        <f t="shared" si="166"/>
        <v>0</v>
      </c>
      <c r="X311" s="81">
        <f t="shared" si="167"/>
        <v>0</v>
      </c>
      <c r="Y311" s="280"/>
    </row>
    <row r="312" spans="1:25">
      <c r="A312" s="378">
        <v>45327</v>
      </c>
      <c r="B312" s="386">
        <f>IF(YEAR(Table7[[#This Row],[Date]]) = 2023, WEEKNUM(Table7[[#This Row],[Date]])-13, WEEKNUM(Table7[[#This Row],[Date]])+40)</f>
        <v>46</v>
      </c>
      <c r="C312" s="203" t="s">
        <v>49</v>
      </c>
      <c r="D312" s="203" t="s">
        <v>94</v>
      </c>
      <c r="E312" s="379">
        <v>83</v>
      </c>
      <c r="F312" s="379">
        <v>77</v>
      </c>
      <c r="G312" s="350">
        <f t="shared" ref="G312:G317" si="174">IFERROR((E312-E305)/E305,0%)</f>
        <v>-0.36153846153846153</v>
      </c>
      <c r="H312" s="350">
        <f t="shared" ref="H312:H317" si="175">IFERROR((F312-F305)/F305,0%)</f>
        <v>-0.3888888888888889</v>
      </c>
      <c r="I312" s="379"/>
      <c r="J312" s="379"/>
      <c r="K312" s="379"/>
      <c r="L312" s="379"/>
      <c r="M312" s="191">
        <v>0.93</v>
      </c>
      <c r="N312" s="191">
        <v>7.0000000000000007E-2</v>
      </c>
      <c r="O312" s="191">
        <v>0.93</v>
      </c>
      <c r="P312" s="191">
        <v>0.26</v>
      </c>
      <c r="Q312" s="191"/>
      <c r="R312" s="391">
        <v>89</v>
      </c>
      <c r="S312" s="392">
        <v>4.7916666666666663E-2</v>
      </c>
      <c r="T312" s="381">
        <v>1</v>
      </c>
      <c r="U312" s="120" t="str">
        <f t="shared" si="164"/>
        <v>Outlier</v>
      </c>
      <c r="V312" s="120" t="str">
        <f t="shared" si="165"/>
        <v>Normal</v>
      </c>
      <c r="W312" s="81">
        <f t="shared" si="166"/>
        <v>-0.36153846153846153</v>
      </c>
      <c r="X312" s="81">
        <f t="shared" si="167"/>
        <v>-0.3888888888888889</v>
      </c>
      <c r="Y312" s="280"/>
    </row>
    <row r="313" spans="1:25">
      <c r="A313" s="378">
        <v>45328</v>
      </c>
      <c r="B313" s="386">
        <f>IF(YEAR(Table7[[#This Row],[Date]]) = 2023, WEEKNUM(Table7[[#This Row],[Date]])-13, WEEKNUM(Table7[[#This Row],[Date]])+40)</f>
        <v>46</v>
      </c>
      <c r="C313" s="203" t="s">
        <v>50</v>
      </c>
      <c r="D313" s="203" t="s">
        <v>94</v>
      </c>
      <c r="E313" s="379">
        <v>82</v>
      </c>
      <c r="F313" s="379">
        <v>79</v>
      </c>
      <c r="G313" s="350">
        <f t="shared" si="174"/>
        <v>1.2345679012345678E-2</v>
      </c>
      <c r="H313" s="350">
        <f t="shared" si="175"/>
        <v>-2.4691358024691357E-2</v>
      </c>
      <c r="I313" s="379"/>
      <c r="J313" s="379"/>
      <c r="K313" s="379"/>
      <c r="L313" s="379"/>
      <c r="M313" s="191">
        <v>0.96</v>
      </c>
      <c r="N313" s="191">
        <v>0.04</v>
      </c>
      <c r="O313" s="191">
        <v>0.96</v>
      </c>
      <c r="P313" s="191">
        <v>0.35</v>
      </c>
      <c r="Q313" s="380"/>
      <c r="R313" s="287">
        <v>116</v>
      </c>
      <c r="S313" s="176">
        <v>2.6388888888888889E-2</v>
      </c>
      <c r="T313" s="381">
        <v>1</v>
      </c>
      <c r="U313" s="120" t="str">
        <f t="shared" si="164"/>
        <v>Outlier</v>
      </c>
      <c r="V313" s="120" t="str">
        <f t="shared" si="165"/>
        <v>Normal</v>
      </c>
      <c r="W313" s="81">
        <f t="shared" si="166"/>
        <v>1.2345679012345678E-2</v>
      </c>
      <c r="X313" s="81">
        <f t="shared" si="167"/>
        <v>-2.4691358024691357E-2</v>
      </c>
      <c r="Y313" s="280"/>
    </row>
    <row r="314" spans="1:25">
      <c r="A314" s="378">
        <v>45329</v>
      </c>
      <c r="B314" s="386">
        <f>IF(YEAR(Table7[[#This Row],[Date]]) = 2023, WEEKNUM(Table7[[#This Row],[Date]])-13, WEEKNUM(Table7[[#This Row],[Date]])+40)</f>
        <v>46</v>
      </c>
      <c r="C314" s="203" t="s">
        <v>51</v>
      </c>
      <c r="D314" s="203" t="s">
        <v>94</v>
      </c>
      <c r="E314" s="379">
        <v>97</v>
      </c>
      <c r="F314" s="379">
        <v>92</v>
      </c>
      <c r="G314" s="350">
        <f t="shared" si="174"/>
        <v>0.38571428571428573</v>
      </c>
      <c r="H314" s="350">
        <f t="shared" si="175"/>
        <v>0.35294117647058826</v>
      </c>
      <c r="I314" s="379"/>
      <c r="J314" s="379"/>
      <c r="K314" s="379"/>
      <c r="L314" s="379"/>
      <c r="M314" s="191">
        <v>0.95</v>
      </c>
      <c r="N314" s="191">
        <v>0.05</v>
      </c>
      <c r="O314" s="191">
        <v>0.95</v>
      </c>
      <c r="P314" s="191">
        <v>0.43</v>
      </c>
      <c r="Q314" s="191"/>
      <c r="R314" s="391">
        <v>121</v>
      </c>
      <c r="S314" s="392">
        <v>5.0694444444444452E-2</v>
      </c>
      <c r="T314" s="381">
        <v>1</v>
      </c>
      <c r="U314" s="120" t="str">
        <f t="shared" si="164"/>
        <v>Outlier</v>
      </c>
      <c r="V314" s="120" t="str">
        <f t="shared" si="165"/>
        <v>Normal</v>
      </c>
      <c r="W314" s="81">
        <f t="shared" si="166"/>
        <v>0.38571428571428573</v>
      </c>
      <c r="X314" s="81">
        <f t="shared" si="167"/>
        <v>0.35294117647058826</v>
      </c>
      <c r="Y314" s="280"/>
    </row>
    <row r="315" spans="1:25">
      <c r="A315" s="378">
        <v>45330</v>
      </c>
      <c r="B315" s="386">
        <f>IF(YEAR(Table7[[#This Row],[Date]]) = 2023, WEEKNUM(Table7[[#This Row],[Date]])-13, WEEKNUM(Table7[[#This Row],[Date]])+40)</f>
        <v>46</v>
      </c>
      <c r="C315" s="203" t="s">
        <v>52</v>
      </c>
      <c r="D315" s="203" t="s">
        <v>94</v>
      </c>
      <c r="E315" s="379">
        <v>64</v>
      </c>
      <c r="F315" s="379">
        <v>61</v>
      </c>
      <c r="G315" s="350">
        <f t="shared" si="174"/>
        <v>-0.189873417721519</v>
      </c>
      <c r="H315" s="350">
        <f t="shared" si="175"/>
        <v>-0.17567567567567569</v>
      </c>
      <c r="I315" s="379"/>
      <c r="J315" s="379"/>
      <c r="K315" s="379"/>
      <c r="L315" s="379"/>
      <c r="M315" s="191">
        <v>0.95</v>
      </c>
      <c r="N315" s="191">
        <v>0.05</v>
      </c>
      <c r="O315" s="191">
        <v>0.95</v>
      </c>
      <c r="P315" s="191">
        <v>0.21</v>
      </c>
      <c r="Q315" s="380"/>
      <c r="R315" s="287">
        <v>89</v>
      </c>
      <c r="S315" s="176">
        <v>4.1666666666666664E-2</v>
      </c>
      <c r="T315" s="381">
        <v>1</v>
      </c>
      <c r="U315" s="120" t="str">
        <f t="shared" si="164"/>
        <v>Outlier</v>
      </c>
      <c r="V315" s="120" t="str">
        <f t="shared" si="165"/>
        <v>Normal</v>
      </c>
      <c r="W315" s="81">
        <f t="shared" si="166"/>
        <v>-0.189873417721519</v>
      </c>
      <c r="X315" s="81">
        <f t="shared" si="167"/>
        <v>-0.17567567567567569</v>
      </c>
      <c r="Y315" s="280"/>
    </row>
    <row r="316" spans="1:25">
      <c r="A316" s="378">
        <v>45331</v>
      </c>
      <c r="B316" s="386">
        <f>IF(YEAR(Table7[[#This Row],[Date]]) = 2023, WEEKNUM(Table7[[#This Row],[Date]])-13, WEEKNUM(Table7[[#This Row],[Date]])+40)</f>
        <v>46</v>
      </c>
      <c r="C316" s="203" t="s">
        <v>53</v>
      </c>
      <c r="D316" s="203" t="s">
        <v>94</v>
      </c>
      <c r="E316" s="379">
        <v>69</v>
      </c>
      <c r="F316" s="379">
        <v>61</v>
      </c>
      <c r="G316" s="350">
        <f t="shared" si="174"/>
        <v>-0.15853658536585366</v>
      </c>
      <c r="H316" s="350">
        <f t="shared" si="175"/>
        <v>-0.19736842105263158</v>
      </c>
      <c r="I316" s="379"/>
      <c r="J316" s="379"/>
      <c r="K316" s="379"/>
      <c r="L316" s="379"/>
      <c r="M316" s="191">
        <v>0.89</v>
      </c>
      <c r="N316" s="191">
        <v>0.12</v>
      </c>
      <c r="O316" s="191">
        <v>0.88</v>
      </c>
      <c r="P316" s="191">
        <v>0.24</v>
      </c>
      <c r="Q316" s="191"/>
      <c r="R316" s="391">
        <v>101</v>
      </c>
      <c r="S316" s="392">
        <v>8.3333333333333329E-2</v>
      </c>
      <c r="T316" s="381">
        <v>1</v>
      </c>
      <c r="U316" s="120" t="str">
        <f t="shared" si="164"/>
        <v>Outlier</v>
      </c>
      <c r="V316" s="120" t="str">
        <f t="shared" si="165"/>
        <v>Normal</v>
      </c>
      <c r="W316" s="81">
        <f t="shared" si="166"/>
        <v>-0.15853658536585366</v>
      </c>
      <c r="X316" s="81">
        <f t="shared" si="167"/>
        <v>-0.19736842105263158</v>
      </c>
      <c r="Y316" s="280"/>
    </row>
    <row r="317" spans="1:25">
      <c r="A317" s="378">
        <v>45332</v>
      </c>
      <c r="B317" s="386">
        <f>IF(YEAR(Table7[[#This Row],[Date]]) = 2023, WEEKNUM(Table7[[#This Row],[Date]])-13, WEEKNUM(Table7[[#This Row],[Date]])+40)</f>
        <v>46</v>
      </c>
      <c r="C317" s="203" t="s">
        <v>54</v>
      </c>
      <c r="D317" s="203" t="s">
        <v>94</v>
      </c>
      <c r="E317" s="379">
        <v>37</v>
      </c>
      <c r="F317" s="379">
        <v>37</v>
      </c>
      <c r="G317" s="350">
        <f t="shared" si="174"/>
        <v>0.19354838709677419</v>
      </c>
      <c r="H317" s="350">
        <f t="shared" si="175"/>
        <v>0.23333333333333334</v>
      </c>
      <c r="I317" s="379"/>
      <c r="J317" s="379"/>
      <c r="K317" s="379"/>
      <c r="L317" s="379"/>
      <c r="M317" s="191">
        <v>1</v>
      </c>
      <c r="N317" s="191">
        <v>0</v>
      </c>
      <c r="O317" s="191">
        <v>1</v>
      </c>
      <c r="P317" s="191">
        <v>0.24</v>
      </c>
      <c r="Q317" s="380"/>
      <c r="R317" s="287">
        <v>124</v>
      </c>
      <c r="S317" s="176">
        <v>4.2361111111111106E-2</v>
      </c>
      <c r="T317" s="381">
        <v>1</v>
      </c>
      <c r="U317" s="120" t="str">
        <f t="shared" si="164"/>
        <v>Outlier</v>
      </c>
      <c r="V317" s="120" t="str">
        <f t="shared" si="165"/>
        <v>Normal</v>
      </c>
      <c r="W317" s="81">
        <f t="shared" si="166"/>
        <v>0.19354838709677419</v>
      </c>
      <c r="X317" s="81">
        <f t="shared" si="167"/>
        <v>0.23333333333333334</v>
      </c>
      <c r="Y317" s="280"/>
    </row>
    <row r="318" spans="1:25">
      <c r="A318" s="378">
        <v>45333</v>
      </c>
      <c r="B318" s="386">
        <f>IF(YEAR(Table7[[#This Row],[Date]]) = 2023, WEEKNUM(Table7[[#This Row],[Date]])-13, WEEKNUM(Table7[[#This Row],[Date]])+40)</f>
        <v>47</v>
      </c>
      <c r="C318" s="203" t="s">
        <v>48</v>
      </c>
      <c r="D318" s="203" t="s">
        <v>94</v>
      </c>
      <c r="E318" s="379">
        <v>0</v>
      </c>
      <c r="F318" s="379">
        <v>0</v>
      </c>
      <c r="G318" s="350">
        <v>0</v>
      </c>
      <c r="H318" s="350">
        <v>0</v>
      </c>
      <c r="I318" s="379">
        <v>0</v>
      </c>
      <c r="J318" s="379">
        <v>0</v>
      </c>
      <c r="K318" s="379">
        <v>0</v>
      </c>
      <c r="L318" s="379">
        <v>0</v>
      </c>
      <c r="M318" s="191">
        <v>0</v>
      </c>
      <c r="N318" s="191">
        <v>0</v>
      </c>
      <c r="O318" s="191">
        <v>0</v>
      </c>
      <c r="P318" s="191">
        <v>0</v>
      </c>
      <c r="Q318" s="191"/>
      <c r="R318" s="391">
        <v>0</v>
      </c>
      <c r="S318" s="392">
        <v>0</v>
      </c>
      <c r="T318" s="381">
        <v>0</v>
      </c>
      <c r="U318" s="120" t="str">
        <f t="shared" si="164"/>
        <v>Normal</v>
      </c>
      <c r="V318" s="120" t="str">
        <f t="shared" si="165"/>
        <v>Normal</v>
      </c>
      <c r="W318" s="81">
        <f t="shared" si="166"/>
        <v>0</v>
      </c>
      <c r="X318" s="81">
        <f t="shared" si="167"/>
        <v>0</v>
      </c>
      <c r="Y318" s="280"/>
    </row>
    <row r="319" spans="1:25">
      <c r="A319" s="378">
        <v>45334</v>
      </c>
      <c r="B319" s="386">
        <f>IF(YEAR(Table7[[#This Row],[Date]]) = 2023, WEEKNUM(Table7[[#This Row],[Date]])-13, WEEKNUM(Table7[[#This Row],[Date]])+40)</f>
        <v>47</v>
      </c>
      <c r="C319" s="203" t="s">
        <v>49</v>
      </c>
      <c r="D319" s="203" t="s">
        <v>94</v>
      </c>
      <c r="E319" s="379">
        <v>55</v>
      </c>
      <c r="F319" s="379">
        <v>54</v>
      </c>
      <c r="G319" s="350">
        <f t="shared" ref="G319:G324" si="176">IFERROR((E319-E312)/E312,0%)</f>
        <v>-0.33734939759036142</v>
      </c>
      <c r="H319" s="350">
        <f t="shared" ref="H319:H324" si="177">IFERROR((F319-F312)/F312,0%)</f>
        <v>-0.29870129870129869</v>
      </c>
      <c r="I319" s="379"/>
      <c r="J319" s="379"/>
      <c r="K319" s="379"/>
      <c r="L319" s="379"/>
      <c r="M319" s="191">
        <v>0.98</v>
      </c>
      <c r="N319" s="191">
        <v>0.02</v>
      </c>
      <c r="O319" s="191">
        <v>0.98</v>
      </c>
      <c r="P319" s="191">
        <v>0.14000000000000001</v>
      </c>
      <c r="Q319" s="380"/>
      <c r="R319" s="287">
        <v>65</v>
      </c>
      <c r="S319" s="176">
        <v>0.12569444444444444</v>
      </c>
      <c r="T319" s="381">
        <v>1</v>
      </c>
      <c r="U319" s="120" t="str">
        <f t="shared" si="164"/>
        <v>Outlier</v>
      </c>
      <c r="V319" s="120" t="str">
        <f t="shared" si="165"/>
        <v>Normal</v>
      </c>
      <c r="W319" s="81">
        <f t="shared" si="166"/>
        <v>-0.33734939759036142</v>
      </c>
      <c r="X319" s="81">
        <f t="shared" si="167"/>
        <v>-0.29870129870129869</v>
      </c>
      <c r="Y319" s="280"/>
    </row>
    <row r="320" spans="1:25">
      <c r="A320" s="378">
        <v>45335</v>
      </c>
      <c r="B320" s="386">
        <f>IF(YEAR(Table7[[#This Row],[Date]]) = 2023, WEEKNUM(Table7[[#This Row],[Date]])-13, WEEKNUM(Table7[[#This Row],[Date]])+40)</f>
        <v>47</v>
      </c>
      <c r="C320" s="203" t="s">
        <v>50</v>
      </c>
      <c r="D320" s="203" t="s">
        <v>94</v>
      </c>
      <c r="E320" s="379">
        <v>66</v>
      </c>
      <c r="F320" s="379">
        <v>59</v>
      </c>
      <c r="G320" s="350">
        <f t="shared" si="176"/>
        <v>-0.1951219512195122</v>
      </c>
      <c r="H320" s="350">
        <f t="shared" si="177"/>
        <v>-0.25316455696202533</v>
      </c>
      <c r="I320" s="379"/>
      <c r="J320" s="379"/>
      <c r="K320" s="379"/>
      <c r="L320" s="379"/>
      <c r="M320" s="191">
        <v>0.89</v>
      </c>
      <c r="N320" s="191">
        <v>0.11</v>
      </c>
      <c r="O320" s="191">
        <v>0.89</v>
      </c>
      <c r="P320" s="191">
        <v>0.24</v>
      </c>
      <c r="Q320" s="191"/>
      <c r="R320" s="391">
        <v>104</v>
      </c>
      <c r="S320" s="392">
        <v>5.6944444444444443E-2</v>
      </c>
      <c r="T320" s="381">
        <v>1</v>
      </c>
      <c r="U320" s="120" t="str">
        <f t="shared" si="164"/>
        <v>Outlier</v>
      </c>
      <c r="V320" s="120" t="str">
        <f t="shared" si="165"/>
        <v>Normal</v>
      </c>
      <c r="W320" s="81">
        <f t="shared" si="166"/>
        <v>-0.1951219512195122</v>
      </c>
      <c r="X320" s="81">
        <f t="shared" si="167"/>
        <v>-0.25316455696202533</v>
      </c>
      <c r="Y320" s="280"/>
    </row>
    <row r="321" spans="1:25">
      <c r="A321" s="378">
        <v>45336</v>
      </c>
      <c r="B321" s="386">
        <f>IF(YEAR(Table7[[#This Row],[Date]]) = 2023, WEEKNUM(Table7[[#This Row],[Date]])-13, WEEKNUM(Table7[[#This Row],[Date]])+40)</f>
        <v>47</v>
      </c>
      <c r="C321" s="203" t="s">
        <v>51</v>
      </c>
      <c r="D321" s="203" t="s">
        <v>94</v>
      </c>
      <c r="E321" s="379">
        <v>47</v>
      </c>
      <c r="F321" s="379">
        <v>44</v>
      </c>
      <c r="G321" s="350">
        <f t="shared" si="176"/>
        <v>-0.51546391752577314</v>
      </c>
      <c r="H321" s="350">
        <f t="shared" si="177"/>
        <v>-0.52173913043478259</v>
      </c>
      <c r="I321" s="379"/>
      <c r="J321" s="379"/>
      <c r="K321" s="379"/>
      <c r="L321" s="379"/>
      <c r="M321" s="191">
        <v>0.94</v>
      </c>
      <c r="N321" s="191">
        <v>0.06</v>
      </c>
      <c r="O321" s="191">
        <v>0.94</v>
      </c>
      <c r="P321" s="191">
        <v>0.17</v>
      </c>
      <c r="Q321" s="380"/>
      <c r="R321" s="287">
        <v>98</v>
      </c>
      <c r="S321" s="176">
        <v>2.7083333333333334E-2</v>
      </c>
      <c r="T321" s="381">
        <v>1</v>
      </c>
      <c r="U321" s="120" t="str">
        <f t="shared" si="164"/>
        <v>Outlier</v>
      </c>
      <c r="V321" s="120" t="str">
        <f t="shared" si="165"/>
        <v>Normal</v>
      </c>
      <c r="W321" s="81">
        <f t="shared" si="166"/>
        <v>-0.51546391752577314</v>
      </c>
      <c r="X321" s="81">
        <f t="shared" si="167"/>
        <v>-0.52173913043478259</v>
      </c>
      <c r="Y321" s="280"/>
    </row>
    <row r="322" spans="1:25">
      <c r="A322" s="378">
        <v>45337</v>
      </c>
      <c r="B322" s="386">
        <f>IF(YEAR(Table7[[#This Row],[Date]]) = 2023, WEEKNUM(Table7[[#This Row],[Date]])-13, WEEKNUM(Table7[[#This Row],[Date]])+40)</f>
        <v>47</v>
      </c>
      <c r="C322" s="203" t="s">
        <v>52</v>
      </c>
      <c r="D322" s="203" t="s">
        <v>94</v>
      </c>
      <c r="E322" s="379">
        <v>80</v>
      </c>
      <c r="F322" s="379">
        <v>74</v>
      </c>
      <c r="G322" s="350">
        <f t="shared" si="176"/>
        <v>0.25</v>
      </c>
      <c r="H322" s="350">
        <f t="shared" si="177"/>
        <v>0.21311475409836064</v>
      </c>
      <c r="I322" s="379"/>
      <c r="J322" s="379"/>
      <c r="K322" s="379"/>
      <c r="L322" s="379"/>
      <c r="M322" s="191">
        <v>0.93</v>
      </c>
      <c r="N322" s="191">
        <v>0.08</v>
      </c>
      <c r="O322" s="191">
        <v>0.92</v>
      </c>
      <c r="P322" s="191">
        <v>0.32</v>
      </c>
      <c r="Q322" s="191"/>
      <c r="R322" s="391">
        <v>111</v>
      </c>
      <c r="S322" s="392">
        <v>8.3333333333333329E-2</v>
      </c>
      <c r="T322" s="381">
        <v>1</v>
      </c>
      <c r="U322" s="120" t="str">
        <f t="shared" si="164"/>
        <v>Outlier</v>
      </c>
      <c r="V322" s="120" t="str">
        <f t="shared" si="165"/>
        <v>Normal</v>
      </c>
      <c r="W322" s="81">
        <f t="shared" si="166"/>
        <v>0.25</v>
      </c>
      <c r="X322" s="81">
        <f t="shared" si="167"/>
        <v>0.21311475409836064</v>
      </c>
      <c r="Y322" s="280"/>
    </row>
    <row r="323" spans="1:25">
      <c r="A323" s="378">
        <v>45338</v>
      </c>
      <c r="B323" s="386">
        <f>IF(YEAR(Table7[[#This Row],[Date]]) = 2023, WEEKNUM(Table7[[#This Row],[Date]])-13, WEEKNUM(Table7[[#This Row],[Date]])+40)</f>
        <v>47</v>
      </c>
      <c r="C323" s="203" t="s">
        <v>53</v>
      </c>
      <c r="D323" s="203" t="s">
        <v>94</v>
      </c>
      <c r="E323" s="379">
        <v>74</v>
      </c>
      <c r="F323" s="379">
        <v>71</v>
      </c>
      <c r="G323" s="350">
        <f t="shared" si="176"/>
        <v>7.2463768115942032E-2</v>
      </c>
      <c r="H323" s="350">
        <f t="shared" si="177"/>
        <v>0.16393442622950818</v>
      </c>
      <c r="I323" s="379"/>
      <c r="J323" s="379"/>
      <c r="K323" s="379"/>
      <c r="L323" s="379"/>
      <c r="M323" s="191">
        <v>0.96</v>
      </c>
      <c r="N323" s="191">
        <v>0.04</v>
      </c>
      <c r="O323" s="191">
        <v>0.96</v>
      </c>
      <c r="P323" s="191">
        <v>0.24</v>
      </c>
      <c r="Q323" s="380"/>
      <c r="R323" s="287">
        <v>89</v>
      </c>
      <c r="S323" s="176">
        <v>2.9166666666666664E-2</v>
      </c>
      <c r="T323" s="381">
        <v>1</v>
      </c>
      <c r="U323" s="120" t="str">
        <f t="shared" ref="U323:U367" si="178">IF(OR(H323&lt;$AJ$5,H323&gt;$AK$5), "Outlier", "Normal")</f>
        <v>Outlier</v>
      </c>
      <c r="V323" s="120" t="str">
        <f t="shared" ref="V323:V367" si="179">IF(OR(I323&lt;$AJ$6,I323&gt;$AK$6), "Outlier", "Normal")</f>
        <v>Normal</v>
      </c>
      <c r="W323" s="81">
        <f t="shared" ref="W323:W367" si="180">IF(U323="Normal",$G323,IF($G323&lt;150%, $G323, $AA$9))</f>
        <v>7.2463768115942032E-2</v>
      </c>
      <c r="X323" s="81">
        <f t="shared" ref="X323:X367" si="181">IF(V323="Normal",$H323,IF($H323&lt;150%, $H323, $AE$9))</f>
        <v>0.16393442622950818</v>
      </c>
      <c r="Y323" s="280"/>
    </row>
    <row r="324" spans="1:25">
      <c r="A324" s="378">
        <v>45339</v>
      </c>
      <c r="B324" s="386">
        <f>IF(YEAR(Table7[[#This Row],[Date]]) = 2023, WEEKNUM(Table7[[#This Row],[Date]])-13, WEEKNUM(Table7[[#This Row],[Date]])+40)</f>
        <v>47</v>
      </c>
      <c r="C324" s="203" t="s">
        <v>54</v>
      </c>
      <c r="D324" s="203" t="s">
        <v>94</v>
      </c>
      <c r="E324" s="379">
        <v>32</v>
      </c>
      <c r="F324" s="379">
        <v>30</v>
      </c>
      <c r="G324" s="350">
        <f t="shared" si="176"/>
        <v>-0.13513513513513514</v>
      </c>
      <c r="H324" s="350">
        <f t="shared" si="177"/>
        <v>-0.1891891891891892</v>
      </c>
      <c r="I324" s="379"/>
      <c r="J324" s="379"/>
      <c r="K324" s="379"/>
      <c r="L324" s="379"/>
      <c r="M324" s="191">
        <v>0.94</v>
      </c>
      <c r="N324" s="191">
        <v>0.06</v>
      </c>
      <c r="O324" s="191">
        <v>0.94</v>
      </c>
      <c r="P324" s="191">
        <v>0.08</v>
      </c>
      <c r="Q324" s="191"/>
      <c r="R324" s="391">
        <v>69</v>
      </c>
      <c r="S324" s="392">
        <v>7.0601851851851847E-4</v>
      </c>
      <c r="T324" s="381">
        <v>1</v>
      </c>
      <c r="U324" s="120" t="str">
        <f t="shared" si="178"/>
        <v>Outlier</v>
      </c>
      <c r="V324" s="120" t="str">
        <f t="shared" si="179"/>
        <v>Normal</v>
      </c>
      <c r="W324" s="81">
        <f t="shared" si="180"/>
        <v>-0.13513513513513514</v>
      </c>
      <c r="X324" s="81">
        <f t="shared" si="181"/>
        <v>-0.1891891891891892</v>
      </c>
      <c r="Y324" s="280"/>
    </row>
    <row r="325" spans="1:25">
      <c r="A325" s="378">
        <v>45340</v>
      </c>
      <c r="B325" s="386">
        <f>IF(YEAR(Table7[[#This Row],[Date]]) = 2023, WEEKNUM(Table7[[#This Row],[Date]])-13, WEEKNUM(Table7[[#This Row],[Date]])+40)</f>
        <v>48</v>
      </c>
      <c r="C325" s="203" t="s">
        <v>48</v>
      </c>
      <c r="D325" s="203" t="s">
        <v>94</v>
      </c>
      <c r="E325" s="379">
        <v>0</v>
      </c>
      <c r="F325" s="379">
        <v>0</v>
      </c>
      <c r="G325" s="350">
        <v>0</v>
      </c>
      <c r="H325" s="350">
        <v>0</v>
      </c>
      <c r="I325" s="379">
        <v>0</v>
      </c>
      <c r="J325" s="379">
        <v>0</v>
      </c>
      <c r="K325" s="379">
        <v>0</v>
      </c>
      <c r="L325" s="379">
        <v>0</v>
      </c>
      <c r="M325" s="191">
        <v>0</v>
      </c>
      <c r="N325" s="191">
        <v>0</v>
      </c>
      <c r="O325" s="191">
        <v>0</v>
      </c>
      <c r="P325" s="191">
        <v>0</v>
      </c>
      <c r="Q325" s="380"/>
      <c r="R325" s="287">
        <v>0</v>
      </c>
      <c r="S325" s="176">
        <v>0</v>
      </c>
      <c r="T325" s="381">
        <v>0</v>
      </c>
      <c r="U325" s="120" t="str">
        <f t="shared" si="178"/>
        <v>Normal</v>
      </c>
      <c r="V325" s="120" t="str">
        <f t="shared" si="179"/>
        <v>Normal</v>
      </c>
      <c r="W325" s="81">
        <f t="shared" si="180"/>
        <v>0</v>
      </c>
      <c r="X325" s="81">
        <f t="shared" si="181"/>
        <v>0</v>
      </c>
      <c r="Y325" s="280"/>
    </row>
    <row r="326" spans="1:25">
      <c r="A326" s="378">
        <v>45341</v>
      </c>
      <c r="B326" s="386">
        <f>IF(YEAR(Table7[[#This Row],[Date]]) = 2023, WEEKNUM(Table7[[#This Row],[Date]])-13, WEEKNUM(Table7[[#This Row],[Date]])+40)</f>
        <v>48</v>
      </c>
      <c r="C326" s="203" t="s">
        <v>49</v>
      </c>
      <c r="D326" s="203" t="s">
        <v>94</v>
      </c>
      <c r="E326" s="379">
        <v>75</v>
      </c>
      <c r="F326" s="379">
        <v>73</v>
      </c>
      <c r="G326" s="350">
        <f t="shared" ref="G326:G331" si="182">IFERROR((E326-E319)/E319,0%)</f>
        <v>0.36363636363636365</v>
      </c>
      <c r="H326" s="350">
        <f t="shared" ref="H326:H331" si="183">IFERROR((F326-F319)/F319,0%)</f>
        <v>0.35185185185185186</v>
      </c>
      <c r="I326" s="379"/>
      <c r="J326" s="379"/>
      <c r="K326" s="379"/>
      <c r="L326" s="379"/>
      <c r="M326" s="191">
        <v>0.97</v>
      </c>
      <c r="N326" s="191">
        <v>0.03</v>
      </c>
      <c r="O326" s="191">
        <v>0.97</v>
      </c>
      <c r="P326" s="191">
        <v>0.34</v>
      </c>
      <c r="Q326" s="191"/>
      <c r="R326" s="391">
        <v>119</v>
      </c>
      <c r="S326" s="392">
        <v>8.3333333333333329E-2</v>
      </c>
      <c r="T326" s="381">
        <v>1</v>
      </c>
      <c r="U326" s="120" t="str">
        <f t="shared" si="178"/>
        <v>Outlier</v>
      </c>
      <c r="V326" s="120" t="str">
        <f t="shared" si="179"/>
        <v>Normal</v>
      </c>
      <c r="W326" s="81">
        <f t="shared" si="180"/>
        <v>0.36363636363636365</v>
      </c>
      <c r="X326" s="81">
        <f t="shared" si="181"/>
        <v>0.35185185185185186</v>
      </c>
      <c r="Y326" s="280"/>
    </row>
    <row r="327" spans="1:25">
      <c r="A327" s="378">
        <v>45342</v>
      </c>
      <c r="B327" s="386">
        <f>IF(YEAR(Table7[[#This Row],[Date]]) = 2023, WEEKNUM(Table7[[#This Row],[Date]])-13, WEEKNUM(Table7[[#This Row],[Date]])+40)</f>
        <v>48</v>
      </c>
      <c r="C327" s="203" t="s">
        <v>50</v>
      </c>
      <c r="D327" s="203" t="s">
        <v>94</v>
      </c>
      <c r="E327" s="379">
        <v>75</v>
      </c>
      <c r="F327" s="379">
        <v>74</v>
      </c>
      <c r="G327" s="350">
        <f t="shared" si="182"/>
        <v>0.13636363636363635</v>
      </c>
      <c r="H327" s="350">
        <f t="shared" si="183"/>
        <v>0.25423728813559321</v>
      </c>
      <c r="I327" s="379"/>
      <c r="J327" s="379"/>
      <c r="K327" s="379"/>
      <c r="L327" s="379"/>
      <c r="M327" s="191">
        <v>0.99</v>
      </c>
      <c r="N327" s="191">
        <v>0.01</v>
      </c>
      <c r="O327" s="191">
        <v>0.99</v>
      </c>
      <c r="P327" s="191">
        <v>0.35</v>
      </c>
      <c r="Q327" s="380"/>
      <c r="R327" s="287">
        <v>122</v>
      </c>
      <c r="S327" s="176">
        <v>0.125</v>
      </c>
      <c r="T327" s="381">
        <v>1</v>
      </c>
      <c r="U327" s="120" t="str">
        <f t="shared" si="178"/>
        <v>Outlier</v>
      </c>
      <c r="V327" s="120" t="str">
        <f t="shared" si="179"/>
        <v>Normal</v>
      </c>
      <c r="W327" s="81">
        <f t="shared" si="180"/>
        <v>0.13636363636363635</v>
      </c>
      <c r="X327" s="81">
        <f t="shared" si="181"/>
        <v>0.25423728813559321</v>
      </c>
      <c r="Y327" s="280"/>
    </row>
    <row r="328" spans="1:25">
      <c r="A328" s="378">
        <v>45343</v>
      </c>
      <c r="B328" s="386">
        <f>IF(YEAR(Table7[[#This Row],[Date]]) = 2023, WEEKNUM(Table7[[#This Row],[Date]])-13, WEEKNUM(Table7[[#This Row],[Date]])+40)</f>
        <v>48</v>
      </c>
      <c r="C328" s="203" t="s">
        <v>51</v>
      </c>
      <c r="D328" s="203" t="s">
        <v>94</v>
      </c>
      <c r="E328" s="379">
        <v>73</v>
      </c>
      <c r="F328" s="379">
        <v>72</v>
      </c>
      <c r="G328" s="350">
        <f t="shared" si="182"/>
        <v>0.55319148936170215</v>
      </c>
      <c r="H328" s="350">
        <f t="shared" si="183"/>
        <v>0.63636363636363635</v>
      </c>
      <c r="I328" s="379"/>
      <c r="J328" s="379"/>
      <c r="K328" s="379"/>
      <c r="L328" s="379"/>
      <c r="M328" s="191">
        <v>0.99</v>
      </c>
      <c r="N328" s="191">
        <v>0.01</v>
      </c>
      <c r="O328" s="191">
        <v>0.99</v>
      </c>
      <c r="P328" s="191">
        <v>0.41</v>
      </c>
      <c r="Q328" s="191"/>
      <c r="R328" s="391">
        <v>147</v>
      </c>
      <c r="S328" s="392">
        <v>4.2361111111111106E-2</v>
      </c>
      <c r="T328" s="381">
        <v>1</v>
      </c>
      <c r="U328" s="120" t="str">
        <f t="shared" si="178"/>
        <v>Outlier</v>
      </c>
      <c r="V328" s="120" t="str">
        <f t="shared" si="179"/>
        <v>Normal</v>
      </c>
      <c r="W328" s="81">
        <f t="shared" si="180"/>
        <v>0.55319148936170215</v>
      </c>
      <c r="X328" s="81">
        <f t="shared" si="181"/>
        <v>0.63636363636363635</v>
      </c>
      <c r="Y328" s="280"/>
    </row>
    <row r="329" spans="1:25">
      <c r="A329" s="378">
        <v>45344</v>
      </c>
      <c r="B329" s="386">
        <f>IF(YEAR(Table7[[#This Row],[Date]]) = 2023, WEEKNUM(Table7[[#This Row],[Date]])-13, WEEKNUM(Table7[[#This Row],[Date]])+40)</f>
        <v>48</v>
      </c>
      <c r="C329" s="203" t="s">
        <v>52</v>
      </c>
      <c r="D329" s="203" t="s">
        <v>94</v>
      </c>
      <c r="E329" s="379">
        <v>73</v>
      </c>
      <c r="F329" s="379">
        <v>72</v>
      </c>
      <c r="G329" s="350">
        <f t="shared" si="182"/>
        <v>-8.7499999999999994E-2</v>
      </c>
      <c r="H329" s="350">
        <f t="shared" si="183"/>
        <v>-2.7027027027027029E-2</v>
      </c>
      <c r="I329" s="379"/>
      <c r="J329" s="379"/>
      <c r="K329" s="379"/>
      <c r="L329" s="379"/>
      <c r="M329" s="191">
        <v>0.99</v>
      </c>
      <c r="N329" s="191">
        <v>0.01</v>
      </c>
      <c r="O329" s="191">
        <v>0.99</v>
      </c>
      <c r="P329" s="191">
        <v>0.17</v>
      </c>
      <c r="Q329" s="380"/>
      <c r="R329" s="287">
        <v>62</v>
      </c>
      <c r="S329" s="176">
        <v>3.2638888888888891E-2</v>
      </c>
      <c r="T329" s="381">
        <v>1</v>
      </c>
      <c r="U329" s="120" t="str">
        <f t="shared" si="178"/>
        <v>Outlier</v>
      </c>
      <c r="V329" s="120" t="str">
        <f t="shared" si="179"/>
        <v>Normal</v>
      </c>
      <c r="W329" s="81">
        <f t="shared" si="180"/>
        <v>-8.7499999999999994E-2</v>
      </c>
      <c r="X329" s="81">
        <f t="shared" si="181"/>
        <v>-2.7027027027027029E-2</v>
      </c>
      <c r="Y329" s="280"/>
    </row>
    <row r="330" spans="1:25">
      <c r="A330" s="378">
        <v>45345</v>
      </c>
      <c r="B330" s="386">
        <f>IF(YEAR(Table7[[#This Row],[Date]]) = 2023, WEEKNUM(Table7[[#This Row],[Date]])-13, WEEKNUM(Table7[[#This Row],[Date]])+40)</f>
        <v>48</v>
      </c>
      <c r="C330" s="203" t="s">
        <v>53</v>
      </c>
      <c r="D330" s="203" t="s">
        <v>94</v>
      </c>
      <c r="E330" s="379">
        <v>83</v>
      </c>
      <c r="F330" s="379">
        <v>78</v>
      </c>
      <c r="G330" s="350">
        <f t="shared" si="182"/>
        <v>0.12162162162162163</v>
      </c>
      <c r="H330" s="350">
        <f t="shared" si="183"/>
        <v>9.8591549295774641E-2</v>
      </c>
      <c r="I330" s="379"/>
      <c r="J330" s="379"/>
      <c r="K330" s="379"/>
      <c r="L330" s="379"/>
      <c r="M330" s="191">
        <v>0.99</v>
      </c>
      <c r="N330" s="191">
        <v>0.06</v>
      </c>
      <c r="O330" s="191">
        <v>0.94</v>
      </c>
      <c r="P330" s="191">
        <v>0.26</v>
      </c>
      <c r="Q330" s="191"/>
      <c r="R330" s="391">
        <v>88</v>
      </c>
      <c r="S330" s="392">
        <v>4.4444444444444446E-2</v>
      </c>
      <c r="T330" s="381">
        <v>1</v>
      </c>
      <c r="U330" s="120" t="str">
        <f t="shared" si="178"/>
        <v>Outlier</v>
      </c>
      <c r="V330" s="120" t="str">
        <f t="shared" si="179"/>
        <v>Normal</v>
      </c>
      <c r="W330" s="81">
        <f t="shared" si="180"/>
        <v>0.12162162162162163</v>
      </c>
      <c r="X330" s="81">
        <f t="shared" si="181"/>
        <v>9.8591549295774641E-2</v>
      </c>
      <c r="Y330" s="280"/>
    </row>
    <row r="331" spans="1:25">
      <c r="A331" s="378">
        <v>45346</v>
      </c>
      <c r="B331" s="386">
        <f>IF(YEAR(Table7[[#This Row],[Date]]) = 2023, WEEKNUM(Table7[[#This Row],[Date]])-13, WEEKNUM(Table7[[#This Row],[Date]])+40)</f>
        <v>48</v>
      </c>
      <c r="C331" s="203" t="s">
        <v>54</v>
      </c>
      <c r="D331" s="203" t="s">
        <v>94</v>
      </c>
      <c r="E331" s="379">
        <v>28</v>
      </c>
      <c r="F331" s="379">
        <v>27</v>
      </c>
      <c r="G331" s="350">
        <f t="shared" si="182"/>
        <v>-0.125</v>
      </c>
      <c r="H331" s="350">
        <f t="shared" si="183"/>
        <v>-0.1</v>
      </c>
      <c r="I331" s="379"/>
      <c r="J331" s="379"/>
      <c r="K331" s="379"/>
      <c r="L331" s="379"/>
      <c r="M331" s="191">
        <v>0.94</v>
      </c>
      <c r="N331" s="191">
        <v>0.04</v>
      </c>
      <c r="O331" s="191">
        <v>0.96</v>
      </c>
      <c r="P331" s="191">
        <v>0.14000000000000001</v>
      </c>
      <c r="Q331" s="380"/>
      <c r="R331" s="287">
        <v>130</v>
      </c>
      <c r="S331" s="176">
        <v>4.1666666666666664E-2</v>
      </c>
      <c r="T331" s="381">
        <v>1</v>
      </c>
      <c r="U331" s="120" t="str">
        <f t="shared" si="178"/>
        <v>Outlier</v>
      </c>
      <c r="V331" s="120" t="str">
        <f t="shared" si="179"/>
        <v>Normal</v>
      </c>
      <c r="W331" s="81">
        <f t="shared" si="180"/>
        <v>-0.125</v>
      </c>
      <c r="X331" s="81">
        <f t="shared" si="181"/>
        <v>-0.1</v>
      </c>
      <c r="Y331" s="280"/>
    </row>
    <row r="332" spans="1:25">
      <c r="A332" s="378">
        <v>45347</v>
      </c>
      <c r="B332" s="386">
        <f>IF(YEAR(Table7[[#This Row],[Date]]) = 2023, WEEKNUM(Table7[[#This Row],[Date]])-13, WEEKNUM(Table7[[#This Row],[Date]])+40)</f>
        <v>49</v>
      </c>
      <c r="C332" s="203" t="s">
        <v>48</v>
      </c>
      <c r="D332" s="203" t="s">
        <v>94</v>
      </c>
      <c r="E332" s="379">
        <v>0</v>
      </c>
      <c r="F332" s="379">
        <v>0</v>
      </c>
      <c r="G332" s="350">
        <v>0</v>
      </c>
      <c r="H332" s="350">
        <v>0</v>
      </c>
      <c r="I332" s="379">
        <v>0</v>
      </c>
      <c r="J332" s="379">
        <v>0</v>
      </c>
      <c r="K332" s="379">
        <v>0</v>
      </c>
      <c r="L332" s="379">
        <v>0</v>
      </c>
      <c r="M332" s="191">
        <v>0</v>
      </c>
      <c r="N332" s="191">
        <v>0</v>
      </c>
      <c r="O332" s="191">
        <v>0</v>
      </c>
      <c r="P332" s="191">
        <v>0</v>
      </c>
      <c r="Q332" s="191"/>
      <c r="R332" s="391">
        <v>0</v>
      </c>
      <c r="S332" s="392">
        <v>0</v>
      </c>
      <c r="T332" s="381">
        <v>0</v>
      </c>
      <c r="U332" s="120" t="str">
        <f t="shared" si="178"/>
        <v>Normal</v>
      </c>
      <c r="V332" s="120" t="str">
        <f t="shared" si="179"/>
        <v>Normal</v>
      </c>
      <c r="W332" s="81">
        <f t="shared" si="180"/>
        <v>0</v>
      </c>
      <c r="X332" s="81">
        <f t="shared" si="181"/>
        <v>0</v>
      </c>
      <c r="Y332" s="280"/>
    </row>
    <row r="333" spans="1:25">
      <c r="A333" s="378">
        <v>45348</v>
      </c>
      <c r="B333" s="386">
        <f>IF(YEAR(Table7[[#This Row],[Date]]) = 2023, WEEKNUM(Table7[[#This Row],[Date]])-13, WEEKNUM(Table7[[#This Row],[Date]])+40)</f>
        <v>49</v>
      </c>
      <c r="C333" s="203" t="s">
        <v>49</v>
      </c>
      <c r="D333" s="203" t="s">
        <v>94</v>
      </c>
      <c r="E333" s="379">
        <v>69</v>
      </c>
      <c r="F333" s="379">
        <v>67</v>
      </c>
      <c r="G333" s="350">
        <f t="shared" ref="G333:G338" si="184">IFERROR((E333-E326)/E326,0%)</f>
        <v>-0.08</v>
      </c>
      <c r="H333" s="350">
        <f t="shared" ref="H333:H338" si="185">IFERROR((F333-F326)/F326,0%)</f>
        <v>-8.2191780821917804E-2</v>
      </c>
      <c r="I333" s="379"/>
      <c r="J333" s="379"/>
      <c r="K333" s="379"/>
      <c r="L333" s="379"/>
      <c r="M333" s="191">
        <v>0.97</v>
      </c>
      <c r="N333" s="191">
        <v>0.03</v>
      </c>
      <c r="O333" s="191">
        <v>0.97</v>
      </c>
      <c r="P333" s="191">
        <v>0.36</v>
      </c>
      <c r="Q333" s="380"/>
      <c r="R333" s="287">
        <v>141</v>
      </c>
      <c r="S333" s="176">
        <v>4.3055555555555562E-2</v>
      </c>
      <c r="T333" s="381">
        <v>1</v>
      </c>
      <c r="U333" s="120" t="str">
        <f t="shared" si="178"/>
        <v>Outlier</v>
      </c>
      <c r="V333" s="120" t="str">
        <f t="shared" si="179"/>
        <v>Normal</v>
      </c>
      <c r="W333" s="81">
        <f t="shared" si="180"/>
        <v>-0.08</v>
      </c>
      <c r="X333" s="81">
        <f t="shared" si="181"/>
        <v>-8.2191780821917804E-2</v>
      </c>
      <c r="Y333" s="280"/>
    </row>
    <row r="334" spans="1:25">
      <c r="A334" s="378">
        <v>45349</v>
      </c>
      <c r="B334" s="386">
        <f>IF(YEAR(Table7[[#This Row],[Date]]) = 2023, WEEKNUM(Table7[[#This Row],[Date]])-13, WEEKNUM(Table7[[#This Row],[Date]])+40)</f>
        <v>49</v>
      </c>
      <c r="C334" s="203" t="s">
        <v>50</v>
      </c>
      <c r="D334" s="203" t="s">
        <v>94</v>
      </c>
      <c r="E334" s="379">
        <v>64</v>
      </c>
      <c r="F334" s="379">
        <v>62</v>
      </c>
      <c r="G334" s="350">
        <f t="shared" si="184"/>
        <v>-0.14666666666666667</v>
      </c>
      <c r="H334" s="350">
        <f t="shared" si="185"/>
        <v>-0.16216216216216217</v>
      </c>
      <c r="I334" s="379"/>
      <c r="J334" s="379"/>
      <c r="K334" s="379"/>
      <c r="L334" s="379"/>
      <c r="M334" s="191">
        <v>0.97</v>
      </c>
      <c r="N334" s="191">
        <v>0.03</v>
      </c>
      <c r="O334" s="191">
        <v>0.97</v>
      </c>
      <c r="P334" s="191">
        <v>0.32</v>
      </c>
      <c r="Q334" s="191"/>
      <c r="R334" s="391">
        <v>135</v>
      </c>
      <c r="S334" s="392">
        <v>4.2361111111111106E-2</v>
      </c>
      <c r="T334" s="381">
        <v>1</v>
      </c>
      <c r="U334" s="120" t="str">
        <f t="shared" si="178"/>
        <v>Outlier</v>
      </c>
      <c r="V334" s="120" t="str">
        <f t="shared" si="179"/>
        <v>Normal</v>
      </c>
      <c r="W334" s="81">
        <f t="shared" si="180"/>
        <v>-0.14666666666666667</v>
      </c>
      <c r="X334" s="81">
        <f t="shared" si="181"/>
        <v>-0.16216216216216217</v>
      </c>
      <c r="Y334" s="280"/>
    </row>
    <row r="335" spans="1:25">
      <c r="A335" s="378">
        <v>45350</v>
      </c>
      <c r="B335" s="386">
        <f>IF(YEAR(Table7[[#This Row],[Date]]) = 2023, WEEKNUM(Table7[[#This Row],[Date]])-13, WEEKNUM(Table7[[#This Row],[Date]])+40)</f>
        <v>49</v>
      </c>
      <c r="C335" s="203" t="s">
        <v>51</v>
      </c>
      <c r="D335" s="203" t="s">
        <v>94</v>
      </c>
      <c r="E335" s="379">
        <v>55</v>
      </c>
      <c r="F335" s="379">
        <v>53</v>
      </c>
      <c r="G335" s="350">
        <f t="shared" si="184"/>
        <v>-0.24657534246575341</v>
      </c>
      <c r="H335" s="350">
        <f t="shared" si="185"/>
        <v>-0.2638888888888889</v>
      </c>
      <c r="I335" s="379"/>
      <c r="J335" s="379"/>
      <c r="K335" s="379"/>
      <c r="L335" s="379"/>
      <c r="M335" s="191">
        <v>0.97</v>
      </c>
      <c r="N335" s="191">
        <v>0.03</v>
      </c>
      <c r="O335" s="191">
        <v>0.97</v>
      </c>
      <c r="P335" s="191">
        <v>0.28000000000000003</v>
      </c>
      <c r="Q335" s="380"/>
      <c r="R335" s="287">
        <v>137</v>
      </c>
      <c r="S335" s="176">
        <v>3.3333333333333333E-2</v>
      </c>
      <c r="T335" s="381">
        <v>1</v>
      </c>
      <c r="U335" s="120" t="str">
        <f t="shared" si="178"/>
        <v>Outlier</v>
      </c>
      <c r="V335" s="120" t="str">
        <f t="shared" si="179"/>
        <v>Normal</v>
      </c>
      <c r="W335" s="81">
        <f t="shared" si="180"/>
        <v>-0.24657534246575341</v>
      </c>
      <c r="X335" s="81">
        <f t="shared" si="181"/>
        <v>-0.2638888888888889</v>
      </c>
      <c r="Y335" s="280"/>
    </row>
    <row r="336" spans="1:25">
      <c r="A336" s="378">
        <v>45351</v>
      </c>
      <c r="B336" s="386">
        <f>IF(YEAR(Table7[[#This Row],[Date]]) = 2023, WEEKNUM(Table7[[#This Row],[Date]])-13, WEEKNUM(Table7[[#This Row],[Date]])+40)</f>
        <v>49</v>
      </c>
      <c r="C336" s="203" t="s">
        <v>52</v>
      </c>
      <c r="D336" s="203" t="s">
        <v>94</v>
      </c>
      <c r="E336" s="379">
        <v>38</v>
      </c>
      <c r="F336" s="379">
        <v>36</v>
      </c>
      <c r="G336" s="350">
        <f t="shared" si="184"/>
        <v>-0.47945205479452052</v>
      </c>
      <c r="H336" s="350">
        <f t="shared" si="185"/>
        <v>-0.5</v>
      </c>
      <c r="I336" s="379"/>
      <c r="J336" s="379"/>
      <c r="K336" s="379"/>
      <c r="L336" s="379"/>
      <c r="M336" s="191">
        <v>0.95</v>
      </c>
      <c r="N336" s="191">
        <v>0.05</v>
      </c>
      <c r="O336" s="191">
        <v>0.95</v>
      </c>
      <c r="P336" s="191">
        <v>0.1</v>
      </c>
      <c r="Q336" s="191"/>
      <c r="R336" s="391">
        <v>75</v>
      </c>
      <c r="S336" s="392">
        <v>7.1527777777777787E-2</v>
      </c>
      <c r="T336" s="381">
        <v>1</v>
      </c>
      <c r="U336" s="120" t="str">
        <f t="shared" si="178"/>
        <v>Outlier</v>
      </c>
      <c r="V336" s="120" t="str">
        <f t="shared" si="179"/>
        <v>Normal</v>
      </c>
      <c r="W336" s="81">
        <f t="shared" si="180"/>
        <v>-0.47945205479452052</v>
      </c>
      <c r="X336" s="81">
        <f t="shared" si="181"/>
        <v>-0.5</v>
      </c>
      <c r="Y336" s="280"/>
    </row>
    <row r="337" spans="1:25" s="47" customFormat="1">
      <c r="A337" s="378">
        <v>45352</v>
      </c>
      <c r="B337" s="386">
        <f>IF(YEAR(Table7[[#This Row],[Date]]) = 2023, WEEKNUM(Table7[[#This Row],[Date]])-13, WEEKNUM(Table7[[#This Row],[Date]])+40)</f>
        <v>49</v>
      </c>
      <c r="C337" s="203" t="s">
        <v>53</v>
      </c>
      <c r="D337" s="203" t="s">
        <v>94</v>
      </c>
      <c r="E337" s="379">
        <v>85</v>
      </c>
      <c r="F337" s="379">
        <v>83</v>
      </c>
      <c r="G337" s="350">
        <f t="shared" si="184"/>
        <v>2.4096385542168676E-2</v>
      </c>
      <c r="H337" s="350">
        <f t="shared" si="185"/>
        <v>6.4102564102564097E-2</v>
      </c>
      <c r="I337" s="379"/>
      <c r="J337" s="379"/>
      <c r="K337" s="379"/>
      <c r="L337" s="379"/>
      <c r="M337" s="191">
        <v>0.98</v>
      </c>
      <c r="N337" s="191">
        <v>0.02</v>
      </c>
      <c r="O337" s="191">
        <v>0.98</v>
      </c>
      <c r="P337" s="191">
        <v>0.34</v>
      </c>
      <c r="Q337" s="380"/>
      <c r="R337" s="287">
        <v>107</v>
      </c>
      <c r="S337" s="176">
        <v>8.1944444444444445E-2</v>
      </c>
      <c r="T337" s="381">
        <v>1</v>
      </c>
      <c r="U337" s="120" t="str">
        <f t="shared" si="178"/>
        <v>Outlier</v>
      </c>
      <c r="V337" s="120" t="str">
        <f t="shared" si="179"/>
        <v>Normal</v>
      </c>
      <c r="W337" s="81">
        <f t="shared" si="180"/>
        <v>2.4096385542168676E-2</v>
      </c>
      <c r="X337" s="81">
        <f t="shared" si="181"/>
        <v>6.4102564102564097E-2</v>
      </c>
      <c r="Y337" s="280"/>
    </row>
    <row r="338" spans="1:25">
      <c r="A338" s="378">
        <v>45353</v>
      </c>
      <c r="B338" s="386">
        <f>IF(YEAR(Table7[[#This Row],[Date]]) = 2023, WEEKNUM(Table7[[#This Row],[Date]])-13, WEEKNUM(Table7[[#This Row],[Date]])+40)</f>
        <v>49</v>
      </c>
      <c r="C338" s="203" t="s">
        <v>54</v>
      </c>
      <c r="D338" s="203" t="s">
        <v>94</v>
      </c>
      <c r="E338" s="379">
        <v>32</v>
      </c>
      <c r="F338" s="379">
        <v>31</v>
      </c>
      <c r="G338" s="350">
        <f t="shared" si="184"/>
        <v>0.14285714285714285</v>
      </c>
      <c r="H338" s="350">
        <f t="shared" si="185"/>
        <v>0.14814814814814814</v>
      </c>
      <c r="I338" s="379"/>
      <c r="J338" s="379"/>
      <c r="K338" s="379"/>
      <c r="L338" s="379"/>
      <c r="M338" s="191">
        <v>0.97</v>
      </c>
      <c r="N338" s="191">
        <v>0.03</v>
      </c>
      <c r="O338" s="191">
        <v>0.97</v>
      </c>
      <c r="P338" s="191">
        <v>0.14000000000000001</v>
      </c>
      <c r="Q338" s="191"/>
      <c r="R338" s="391">
        <v>114</v>
      </c>
      <c r="S338" s="392">
        <v>3.3333333333333333E-2</v>
      </c>
      <c r="T338" s="381">
        <v>1</v>
      </c>
      <c r="U338" s="120" t="str">
        <f t="shared" si="178"/>
        <v>Outlier</v>
      </c>
      <c r="V338" s="120" t="str">
        <f t="shared" si="179"/>
        <v>Normal</v>
      </c>
      <c r="W338" s="81">
        <f t="shared" si="180"/>
        <v>0.14285714285714285</v>
      </c>
      <c r="X338" s="81">
        <f t="shared" si="181"/>
        <v>0.14814814814814814</v>
      </c>
      <c r="Y338" s="280"/>
    </row>
    <row r="339" spans="1:25">
      <c r="A339" s="378">
        <v>45354</v>
      </c>
      <c r="B339" s="386">
        <f>IF(YEAR(Table7[[#This Row],[Date]]) = 2023, WEEKNUM(Table7[[#This Row],[Date]])-13, WEEKNUM(Table7[[#This Row],[Date]])+40)</f>
        <v>50</v>
      </c>
      <c r="C339" s="203" t="s">
        <v>48</v>
      </c>
      <c r="D339" s="203" t="s">
        <v>94</v>
      </c>
      <c r="E339" s="379">
        <v>0</v>
      </c>
      <c r="F339" s="379">
        <v>0</v>
      </c>
      <c r="G339" s="350">
        <v>0</v>
      </c>
      <c r="H339" s="350">
        <v>0</v>
      </c>
      <c r="I339" s="379">
        <v>0</v>
      </c>
      <c r="J339" s="379">
        <v>0</v>
      </c>
      <c r="K339" s="379">
        <v>0</v>
      </c>
      <c r="L339" s="379">
        <v>0</v>
      </c>
      <c r="M339" s="191">
        <v>0</v>
      </c>
      <c r="N339" s="191">
        <v>0</v>
      </c>
      <c r="O339" s="191">
        <v>0</v>
      </c>
      <c r="P339" s="191">
        <v>0</v>
      </c>
      <c r="Q339" s="380"/>
      <c r="R339" s="287">
        <v>0</v>
      </c>
      <c r="S339" s="176">
        <v>0</v>
      </c>
      <c r="T339" s="381">
        <v>0</v>
      </c>
      <c r="U339" s="120" t="str">
        <f t="shared" si="178"/>
        <v>Normal</v>
      </c>
      <c r="V339" s="120" t="str">
        <f t="shared" si="179"/>
        <v>Normal</v>
      </c>
      <c r="W339" s="81">
        <f t="shared" si="180"/>
        <v>0</v>
      </c>
      <c r="X339" s="81">
        <f t="shared" si="181"/>
        <v>0</v>
      </c>
      <c r="Y339" s="280"/>
    </row>
    <row r="340" spans="1:25">
      <c r="A340" s="378">
        <v>45355</v>
      </c>
      <c r="B340" s="386">
        <f>IF(YEAR(Table7[[#This Row],[Date]]) = 2023, WEEKNUM(Table7[[#This Row],[Date]])-13, WEEKNUM(Table7[[#This Row],[Date]])+40)</f>
        <v>50</v>
      </c>
      <c r="C340" s="203" t="s">
        <v>49</v>
      </c>
      <c r="D340" s="203" t="s">
        <v>94</v>
      </c>
      <c r="E340" s="379">
        <v>80</v>
      </c>
      <c r="F340" s="379">
        <v>76</v>
      </c>
      <c r="G340" s="350">
        <f t="shared" ref="G340:G345" si="186">IFERROR((E340-E333)/E333,0%)</f>
        <v>0.15942028985507245</v>
      </c>
      <c r="H340" s="350">
        <f t="shared" ref="H340:H345" si="187">IFERROR((F340-F333)/F333,0%)</f>
        <v>0.13432835820895522</v>
      </c>
      <c r="I340" s="379"/>
      <c r="J340" s="379"/>
      <c r="K340" s="379"/>
      <c r="L340" s="379"/>
      <c r="M340" s="191">
        <v>0.95</v>
      </c>
      <c r="N340" s="191">
        <v>0.05</v>
      </c>
      <c r="O340" s="191">
        <v>0.95</v>
      </c>
      <c r="P340" s="191">
        <v>0.37</v>
      </c>
      <c r="Q340" s="191"/>
      <c r="R340" s="391">
        <v>127</v>
      </c>
      <c r="S340" s="392">
        <v>6.25E-2</v>
      </c>
      <c r="T340" s="381">
        <v>1</v>
      </c>
      <c r="U340" s="120" t="str">
        <f t="shared" si="178"/>
        <v>Outlier</v>
      </c>
      <c r="V340" s="120" t="str">
        <f t="shared" si="179"/>
        <v>Normal</v>
      </c>
      <c r="W340" s="81">
        <f t="shared" si="180"/>
        <v>0.15942028985507245</v>
      </c>
      <c r="X340" s="81">
        <f t="shared" si="181"/>
        <v>0.13432835820895522</v>
      </c>
      <c r="Y340" s="280"/>
    </row>
    <row r="341" spans="1:25">
      <c r="A341" s="378">
        <v>45356</v>
      </c>
      <c r="B341" s="386">
        <f>IF(YEAR(Table7[[#This Row],[Date]]) = 2023, WEEKNUM(Table7[[#This Row],[Date]])-13, WEEKNUM(Table7[[#This Row],[Date]])+40)</f>
        <v>50</v>
      </c>
      <c r="C341" s="203" t="s">
        <v>50</v>
      </c>
      <c r="D341" s="203" t="s">
        <v>94</v>
      </c>
      <c r="E341" s="379">
        <v>64</v>
      </c>
      <c r="F341" s="379">
        <v>61</v>
      </c>
      <c r="G341" s="350">
        <f t="shared" si="186"/>
        <v>0</v>
      </c>
      <c r="H341" s="350">
        <f t="shared" si="187"/>
        <v>-1.6129032258064516E-2</v>
      </c>
      <c r="I341" s="379"/>
      <c r="J341" s="379"/>
      <c r="K341" s="379"/>
      <c r="L341" s="379"/>
      <c r="M341" s="191">
        <v>0.95</v>
      </c>
      <c r="N341" s="191">
        <v>0.05</v>
      </c>
      <c r="O341" s="191">
        <v>0.95</v>
      </c>
      <c r="P341" s="191">
        <v>0.16</v>
      </c>
      <c r="Q341" s="380"/>
      <c r="R341" s="287">
        <v>66</v>
      </c>
      <c r="S341" s="176">
        <v>3.9583333333333331E-2</v>
      </c>
      <c r="T341" s="381">
        <v>1</v>
      </c>
      <c r="U341" s="120" t="str">
        <f t="shared" si="178"/>
        <v>Outlier</v>
      </c>
      <c r="V341" s="120" t="str">
        <f t="shared" si="179"/>
        <v>Normal</v>
      </c>
      <c r="W341" s="81">
        <f t="shared" si="180"/>
        <v>0</v>
      </c>
      <c r="X341" s="81">
        <f t="shared" si="181"/>
        <v>-1.6129032258064516E-2</v>
      </c>
      <c r="Y341" s="280"/>
    </row>
    <row r="342" spans="1:25">
      <c r="A342" s="378">
        <v>45357</v>
      </c>
      <c r="B342" s="386">
        <f>IF(YEAR(Table7[[#This Row],[Date]]) = 2023, WEEKNUM(Table7[[#This Row],[Date]])-13, WEEKNUM(Table7[[#This Row],[Date]])+40)</f>
        <v>50</v>
      </c>
      <c r="C342" s="203" t="s">
        <v>51</v>
      </c>
      <c r="D342" s="203" t="s">
        <v>94</v>
      </c>
      <c r="E342" s="379">
        <v>76</v>
      </c>
      <c r="F342" s="379">
        <v>74</v>
      </c>
      <c r="G342" s="350">
        <f t="shared" si="186"/>
        <v>0.38181818181818183</v>
      </c>
      <c r="H342" s="350">
        <f t="shared" si="187"/>
        <v>0.39622641509433965</v>
      </c>
      <c r="I342" s="379"/>
      <c r="J342" s="379"/>
      <c r="K342" s="379"/>
      <c r="L342" s="379"/>
      <c r="M342" s="191">
        <v>0.97</v>
      </c>
      <c r="N342" s="191">
        <v>0.03</v>
      </c>
      <c r="O342" s="191">
        <v>0.97</v>
      </c>
      <c r="P342" s="191">
        <v>0.27</v>
      </c>
      <c r="Q342" s="191"/>
      <c r="R342" s="391">
        <v>94</v>
      </c>
      <c r="S342" s="392">
        <v>3.8194444444444441E-2</v>
      </c>
      <c r="T342" s="381">
        <v>1</v>
      </c>
      <c r="U342" s="120" t="str">
        <f t="shared" si="178"/>
        <v>Outlier</v>
      </c>
      <c r="V342" s="120" t="str">
        <f t="shared" si="179"/>
        <v>Normal</v>
      </c>
      <c r="W342" s="81">
        <f t="shared" si="180"/>
        <v>0.38181818181818183</v>
      </c>
      <c r="X342" s="81">
        <f t="shared" si="181"/>
        <v>0.39622641509433965</v>
      </c>
      <c r="Y342" s="280"/>
    </row>
    <row r="343" spans="1:25">
      <c r="A343" s="378">
        <v>45358</v>
      </c>
      <c r="B343" s="386">
        <f>IF(YEAR(Table7[[#This Row],[Date]]) = 2023, WEEKNUM(Table7[[#This Row],[Date]])-13, WEEKNUM(Table7[[#This Row],[Date]])+40)</f>
        <v>50</v>
      </c>
      <c r="C343" s="203" t="s">
        <v>52</v>
      </c>
      <c r="D343" s="203" t="s">
        <v>94</v>
      </c>
      <c r="E343" s="379">
        <v>78</v>
      </c>
      <c r="F343" s="379">
        <v>75</v>
      </c>
      <c r="G343" s="350">
        <f t="shared" si="186"/>
        <v>1.0526315789473684</v>
      </c>
      <c r="H343" s="350">
        <f t="shared" si="187"/>
        <v>1.0833333333333333</v>
      </c>
      <c r="I343" s="379"/>
      <c r="J343" s="379"/>
      <c r="K343" s="379"/>
      <c r="L343" s="379"/>
      <c r="M343" s="191">
        <v>0.96</v>
      </c>
      <c r="N343" s="191">
        <v>0.04</v>
      </c>
      <c r="O343" s="191">
        <v>0.96</v>
      </c>
      <c r="P343" s="191">
        <v>0.35</v>
      </c>
      <c r="Q343" s="380"/>
      <c r="R343" s="287">
        <v>121</v>
      </c>
      <c r="S343" s="176">
        <v>8.3333333333333329E-2</v>
      </c>
      <c r="T343" s="381">
        <v>1</v>
      </c>
      <c r="U343" s="120" t="str">
        <f t="shared" si="178"/>
        <v>Outlier</v>
      </c>
      <c r="V343" s="120" t="str">
        <f t="shared" si="179"/>
        <v>Normal</v>
      </c>
      <c r="W343" s="81">
        <f t="shared" si="180"/>
        <v>1.0526315789473684</v>
      </c>
      <c r="X343" s="81">
        <f t="shared" si="181"/>
        <v>1.0833333333333333</v>
      </c>
      <c r="Y343" s="280"/>
    </row>
    <row r="344" spans="1:25">
      <c r="A344" s="378">
        <v>45359</v>
      </c>
      <c r="B344" s="386">
        <f>IF(YEAR(Table7[[#This Row],[Date]]) = 2023, WEEKNUM(Table7[[#This Row],[Date]])-13, WEEKNUM(Table7[[#This Row],[Date]])+40)</f>
        <v>50</v>
      </c>
      <c r="C344" s="203" t="s">
        <v>53</v>
      </c>
      <c r="D344" s="203" t="s">
        <v>94</v>
      </c>
      <c r="E344" s="379">
        <v>65</v>
      </c>
      <c r="F344" s="379">
        <v>63</v>
      </c>
      <c r="G344" s="350">
        <f t="shared" si="186"/>
        <v>-0.23529411764705882</v>
      </c>
      <c r="H344" s="350">
        <f t="shared" si="187"/>
        <v>-0.24096385542168675</v>
      </c>
      <c r="I344" s="379"/>
      <c r="J344" s="379"/>
      <c r="K344" s="379"/>
      <c r="L344" s="379"/>
      <c r="M344" s="191">
        <v>0.97</v>
      </c>
      <c r="N344" s="191">
        <v>0.03</v>
      </c>
      <c r="O344" s="191">
        <v>0.97</v>
      </c>
      <c r="P344" s="191">
        <v>0.88</v>
      </c>
      <c r="Q344" s="191"/>
      <c r="R344" s="391">
        <v>363</v>
      </c>
      <c r="S344" s="392">
        <v>0.17152777777777775</v>
      </c>
      <c r="T344" s="381">
        <v>1</v>
      </c>
      <c r="U344" s="120" t="str">
        <f t="shared" si="178"/>
        <v>Outlier</v>
      </c>
      <c r="V344" s="120" t="str">
        <f t="shared" si="179"/>
        <v>Normal</v>
      </c>
      <c r="W344" s="81">
        <f t="shared" si="180"/>
        <v>-0.23529411764705882</v>
      </c>
      <c r="X344" s="81">
        <f t="shared" si="181"/>
        <v>-0.24096385542168675</v>
      </c>
      <c r="Y344" s="280"/>
    </row>
    <row r="345" spans="1:25">
      <c r="A345" s="378">
        <v>45360</v>
      </c>
      <c r="B345" s="386">
        <f>IF(YEAR(Table7[[#This Row],[Date]]) = 2023, WEEKNUM(Table7[[#This Row],[Date]])-13, WEEKNUM(Table7[[#This Row],[Date]])+40)</f>
        <v>50</v>
      </c>
      <c r="C345" s="203" t="s">
        <v>54</v>
      </c>
      <c r="D345" s="203" t="s">
        <v>94</v>
      </c>
      <c r="E345" s="379">
        <v>43</v>
      </c>
      <c r="F345" s="379">
        <v>41</v>
      </c>
      <c r="G345" s="350">
        <f t="shared" si="186"/>
        <v>0.34375</v>
      </c>
      <c r="H345" s="350">
        <f t="shared" si="187"/>
        <v>0.32258064516129031</v>
      </c>
      <c r="I345" s="379"/>
      <c r="J345" s="379"/>
      <c r="K345" s="379"/>
      <c r="L345" s="379"/>
      <c r="M345" s="191">
        <v>0.95</v>
      </c>
      <c r="N345" s="191">
        <v>0.05</v>
      </c>
      <c r="O345" s="191">
        <v>0.95</v>
      </c>
      <c r="P345" s="191">
        <v>0.19</v>
      </c>
      <c r="Q345" s="380"/>
      <c r="R345" s="287">
        <v>120</v>
      </c>
      <c r="S345" s="176">
        <v>8.0555555555555561E-2</v>
      </c>
      <c r="T345" s="381">
        <v>1</v>
      </c>
      <c r="U345" s="120" t="str">
        <f t="shared" si="178"/>
        <v>Outlier</v>
      </c>
      <c r="V345" s="120" t="str">
        <f t="shared" si="179"/>
        <v>Normal</v>
      </c>
      <c r="W345" s="81">
        <f t="shared" si="180"/>
        <v>0.34375</v>
      </c>
      <c r="X345" s="81">
        <f t="shared" si="181"/>
        <v>0.32258064516129031</v>
      </c>
      <c r="Y345" s="280"/>
    </row>
    <row r="346" spans="1:25">
      <c r="A346" s="378">
        <v>45361</v>
      </c>
      <c r="B346" s="386">
        <f>IF(YEAR(Table7[[#This Row],[Date]]) = 2023, WEEKNUM(Table7[[#This Row],[Date]])-13, WEEKNUM(Table7[[#This Row],[Date]])+40)</f>
        <v>51</v>
      </c>
      <c r="C346" s="203" t="s">
        <v>48</v>
      </c>
      <c r="D346" s="203" t="s">
        <v>94</v>
      </c>
      <c r="E346" s="379">
        <v>0</v>
      </c>
      <c r="F346" s="379">
        <v>0</v>
      </c>
      <c r="G346" s="350">
        <v>0</v>
      </c>
      <c r="H346" s="350">
        <v>0</v>
      </c>
      <c r="I346" s="379">
        <v>0</v>
      </c>
      <c r="J346" s="379">
        <v>0</v>
      </c>
      <c r="K346" s="379">
        <v>0</v>
      </c>
      <c r="L346" s="379">
        <v>0</v>
      </c>
      <c r="M346" s="191">
        <v>0</v>
      </c>
      <c r="N346" s="191">
        <v>0</v>
      </c>
      <c r="O346" s="191">
        <v>0</v>
      </c>
      <c r="P346" s="191">
        <v>0</v>
      </c>
      <c r="Q346" s="191"/>
      <c r="R346" s="391">
        <v>0</v>
      </c>
      <c r="S346" s="392">
        <v>0</v>
      </c>
      <c r="T346" s="381">
        <v>0</v>
      </c>
      <c r="U346" s="120" t="str">
        <f t="shared" si="178"/>
        <v>Normal</v>
      </c>
      <c r="V346" s="120" t="str">
        <f t="shared" si="179"/>
        <v>Normal</v>
      </c>
      <c r="W346" s="81">
        <f t="shared" si="180"/>
        <v>0</v>
      </c>
      <c r="X346" s="81">
        <f t="shared" si="181"/>
        <v>0</v>
      </c>
      <c r="Y346" s="280"/>
    </row>
    <row r="347" spans="1:25">
      <c r="A347" s="378">
        <v>45362</v>
      </c>
      <c r="B347" s="386">
        <f>IF(YEAR(Table7[[#This Row],[Date]]) = 2023, WEEKNUM(Table7[[#This Row],[Date]])-13, WEEKNUM(Table7[[#This Row],[Date]])+40)</f>
        <v>51</v>
      </c>
      <c r="C347" s="203" t="s">
        <v>64</v>
      </c>
      <c r="D347" s="203" t="s">
        <v>94</v>
      </c>
      <c r="E347" s="379">
        <v>0</v>
      </c>
      <c r="F347" s="379">
        <v>0</v>
      </c>
      <c r="G347" s="350">
        <v>0</v>
      </c>
      <c r="H347" s="350">
        <v>0</v>
      </c>
      <c r="I347" s="379">
        <v>0</v>
      </c>
      <c r="J347" s="379">
        <v>0</v>
      </c>
      <c r="K347" s="379">
        <v>0</v>
      </c>
      <c r="L347" s="379">
        <v>0</v>
      </c>
      <c r="M347" s="191">
        <v>0</v>
      </c>
      <c r="N347" s="191">
        <v>0</v>
      </c>
      <c r="O347" s="191">
        <v>0</v>
      </c>
      <c r="P347" s="191">
        <v>0</v>
      </c>
      <c r="Q347" s="380"/>
      <c r="R347" s="287">
        <v>0</v>
      </c>
      <c r="S347" s="176">
        <v>0</v>
      </c>
      <c r="T347" s="381">
        <v>0</v>
      </c>
      <c r="U347" s="120" t="str">
        <f t="shared" si="178"/>
        <v>Normal</v>
      </c>
      <c r="V347" s="120" t="str">
        <f t="shared" si="179"/>
        <v>Normal</v>
      </c>
      <c r="W347" s="81">
        <f t="shared" si="180"/>
        <v>0</v>
      </c>
      <c r="X347" s="81">
        <f t="shared" si="181"/>
        <v>0</v>
      </c>
      <c r="Y347" s="280"/>
    </row>
    <row r="348" spans="1:25">
      <c r="A348" s="378">
        <v>45363</v>
      </c>
      <c r="B348" s="386">
        <f>IF(YEAR(Table7[[#This Row],[Date]]) = 2023, WEEKNUM(Table7[[#This Row],[Date]])-13, WEEKNUM(Table7[[#This Row],[Date]])+40)</f>
        <v>51</v>
      </c>
      <c r="C348" s="203" t="s">
        <v>50</v>
      </c>
      <c r="D348" s="203" t="s">
        <v>94</v>
      </c>
      <c r="E348" s="379">
        <v>88</v>
      </c>
      <c r="F348" s="379">
        <v>85</v>
      </c>
      <c r="G348" s="350">
        <f t="shared" ref="G348:G359" si="188">IFERROR((E348-E341)/E341,0%)</f>
        <v>0.375</v>
      </c>
      <c r="H348" s="350">
        <f t="shared" ref="H348:H359" si="189">IFERROR((F348-F341)/F341,0%)</f>
        <v>0.39344262295081966</v>
      </c>
      <c r="I348" s="379"/>
      <c r="J348" s="379"/>
      <c r="K348" s="379"/>
      <c r="L348" s="379"/>
      <c r="M348" s="191">
        <v>0.97</v>
      </c>
      <c r="N348" s="191">
        <v>0.03</v>
      </c>
      <c r="O348" s="191">
        <v>0.97</v>
      </c>
      <c r="P348" s="191">
        <v>0.41</v>
      </c>
      <c r="Q348" s="191"/>
      <c r="R348" s="391">
        <v>126</v>
      </c>
      <c r="S348" s="392">
        <v>4.2361111111111106E-2</v>
      </c>
      <c r="T348" s="381">
        <v>1</v>
      </c>
      <c r="U348" s="120" t="str">
        <f t="shared" si="178"/>
        <v>Outlier</v>
      </c>
      <c r="V348" s="120" t="str">
        <f t="shared" si="179"/>
        <v>Normal</v>
      </c>
      <c r="W348" s="81">
        <f t="shared" si="180"/>
        <v>0.375</v>
      </c>
      <c r="X348" s="81">
        <f t="shared" si="181"/>
        <v>0.39344262295081966</v>
      </c>
      <c r="Y348" s="280"/>
    </row>
    <row r="349" spans="1:25">
      <c r="A349" s="378">
        <v>45364</v>
      </c>
      <c r="B349" s="386">
        <f>IF(YEAR(Table7[[#This Row],[Date]]) = 2023, WEEKNUM(Table7[[#This Row],[Date]])-13, WEEKNUM(Table7[[#This Row],[Date]])+40)</f>
        <v>51</v>
      </c>
      <c r="C349" s="203" t="s">
        <v>51</v>
      </c>
      <c r="D349" s="203" t="s">
        <v>94</v>
      </c>
      <c r="E349" s="379">
        <v>66</v>
      </c>
      <c r="F349" s="379">
        <v>64</v>
      </c>
      <c r="G349" s="350">
        <f t="shared" si="188"/>
        <v>-0.13157894736842105</v>
      </c>
      <c r="H349" s="350">
        <f t="shared" si="189"/>
        <v>-0.13513513513513514</v>
      </c>
      <c r="I349" s="379"/>
      <c r="J349" s="379"/>
      <c r="K349" s="379"/>
      <c r="L349" s="379"/>
      <c r="M349" s="191">
        <v>0.97</v>
      </c>
      <c r="N349" s="191">
        <v>0.03</v>
      </c>
      <c r="O349" s="191">
        <v>0.97</v>
      </c>
      <c r="P349" s="191">
        <v>0.26</v>
      </c>
      <c r="Q349" s="380"/>
      <c r="R349" s="287">
        <v>104</v>
      </c>
      <c r="S349" s="176">
        <v>8.3333333333333329E-2</v>
      </c>
      <c r="T349" s="381">
        <v>1</v>
      </c>
      <c r="U349" s="120" t="str">
        <f t="shared" si="178"/>
        <v>Outlier</v>
      </c>
      <c r="V349" s="120" t="str">
        <f t="shared" si="179"/>
        <v>Normal</v>
      </c>
      <c r="W349" s="81">
        <f t="shared" si="180"/>
        <v>-0.13157894736842105</v>
      </c>
      <c r="X349" s="81">
        <f t="shared" si="181"/>
        <v>-0.13513513513513514</v>
      </c>
      <c r="Y349" s="280"/>
    </row>
    <row r="350" spans="1:25">
      <c r="A350" s="378">
        <v>45365</v>
      </c>
      <c r="B350" s="386">
        <f>IF(YEAR(Table7[[#This Row],[Date]]) = 2023, WEEKNUM(Table7[[#This Row],[Date]])-13, WEEKNUM(Table7[[#This Row],[Date]])+40)</f>
        <v>51</v>
      </c>
      <c r="C350" s="203" t="s">
        <v>52</v>
      </c>
      <c r="D350" s="203" t="s">
        <v>94</v>
      </c>
      <c r="E350" s="379">
        <v>49</v>
      </c>
      <c r="F350" s="379">
        <v>49</v>
      </c>
      <c r="G350" s="350">
        <f t="shared" si="188"/>
        <v>-0.37179487179487181</v>
      </c>
      <c r="H350" s="350">
        <f t="shared" si="189"/>
        <v>-0.34666666666666668</v>
      </c>
      <c r="I350" s="379"/>
      <c r="J350" s="379"/>
      <c r="K350" s="379"/>
      <c r="L350" s="379"/>
      <c r="M350" s="191">
        <v>1</v>
      </c>
      <c r="N350" s="191">
        <v>0</v>
      </c>
      <c r="O350" s="191">
        <v>1</v>
      </c>
      <c r="P350" s="191">
        <v>0.13</v>
      </c>
      <c r="Q350" s="191"/>
      <c r="R350" s="391">
        <v>140</v>
      </c>
      <c r="S350" s="392">
        <v>4.1666666666666664E-2</v>
      </c>
      <c r="T350" s="381">
        <v>2</v>
      </c>
      <c r="U350" s="120" t="str">
        <f t="shared" si="178"/>
        <v>Outlier</v>
      </c>
      <c r="V350" s="120" t="str">
        <f t="shared" si="179"/>
        <v>Normal</v>
      </c>
      <c r="W350" s="81">
        <f t="shared" si="180"/>
        <v>-0.37179487179487181</v>
      </c>
      <c r="X350" s="81">
        <f t="shared" si="181"/>
        <v>-0.34666666666666668</v>
      </c>
      <c r="Y350" s="280"/>
    </row>
    <row r="351" spans="1:25">
      <c r="A351" s="378">
        <v>45366</v>
      </c>
      <c r="B351" s="386">
        <f>IF(YEAR(Table7[[#This Row],[Date]]) = 2023, WEEKNUM(Table7[[#This Row],[Date]])-13, WEEKNUM(Table7[[#This Row],[Date]])+40)</f>
        <v>51</v>
      </c>
      <c r="C351" s="203" t="s">
        <v>53</v>
      </c>
      <c r="D351" s="203" t="s">
        <v>94</v>
      </c>
      <c r="E351" s="379">
        <v>89</v>
      </c>
      <c r="F351" s="379">
        <v>83</v>
      </c>
      <c r="G351" s="350">
        <f t="shared" si="188"/>
        <v>0.36923076923076925</v>
      </c>
      <c r="H351" s="350">
        <f t="shared" si="189"/>
        <v>0.31746031746031744</v>
      </c>
      <c r="I351" s="379"/>
      <c r="J351" s="379"/>
      <c r="K351" s="379"/>
      <c r="L351" s="379"/>
      <c r="M351" s="191">
        <v>0.93</v>
      </c>
      <c r="N351" s="191">
        <v>7.0000000000000007E-2</v>
      </c>
      <c r="O351" s="191">
        <v>0.93</v>
      </c>
      <c r="P351" s="191">
        <v>0.25</v>
      </c>
      <c r="Q351" s="380"/>
      <c r="R351" s="287">
        <v>155</v>
      </c>
      <c r="S351" s="176">
        <v>3.3333333333333333E-2</v>
      </c>
      <c r="T351" s="381">
        <v>2</v>
      </c>
      <c r="U351" s="120" t="str">
        <f t="shared" si="178"/>
        <v>Outlier</v>
      </c>
      <c r="V351" s="120" t="str">
        <f t="shared" si="179"/>
        <v>Normal</v>
      </c>
      <c r="W351" s="81">
        <f t="shared" si="180"/>
        <v>0.36923076923076925</v>
      </c>
      <c r="X351" s="81">
        <f t="shared" si="181"/>
        <v>0.31746031746031744</v>
      </c>
      <c r="Y351" s="280"/>
    </row>
    <row r="352" spans="1:25">
      <c r="A352" s="378">
        <v>45367</v>
      </c>
      <c r="B352" s="386">
        <f>IF(YEAR(Table7[[#This Row],[Date]]) = 2023, WEEKNUM(Table7[[#This Row],[Date]])-13, WEEKNUM(Table7[[#This Row],[Date]])+40)</f>
        <v>51</v>
      </c>
      <c r="C352" s="203" t="s">
        <v>54</v>
      </c>
      <c r="D352" s="203" t="s">
        <v>94</v>
      </c>
      <c r="E352" s="379">
        <v>35</v>
      </c>
      <c r="F352" s="379">
        <v>34</v>
      </c>
      <c r="G352" s="350">
        <f t="shared" si="188"/>
        <v>-0.18604651162790697</v>
      </c>
      <c r="H352" s="350">
        <f t="shared" si="189"/>
        <v>-0.17073170731707318</v>
      </c>
      <c r="I352" s="379"/>
      <c r="J352" s="379"/>
      <c r="K352" s="379"/>
      <c r="L352" s="379"/>
      <c r="M352" s="191">
        <v>0.97</v>
      </c>
      <c r="N352" s="191">
        <v>0.03</v>
      </c>
      <c r="O352" s="191">
        <v>0.97</v>
      </c>
      <c r="P352" s="191">
        <v>0.17</v>
      </c>
      <c r="Q352" s="191"/>
      <c r="R352" s="391">
        <v>127</v>
      </c>
      <c r="S352" s="392">
        <v>4.2361111111111106E-2</v>
      </c>
      <c r="T352" s="381">
        <v>1</v>
      </c>
      <c r="U352" s="120" t="str">
        <f t="shared" si="178"/>
        <v>Outlier</v>
      </c>
      <c r="V352" s="120" t="str">
        <f t="shared" si="179"/>
        <v>Normal</v>
      </c>
      <c r="W352" s="81">
        <f t="shared" si="180"/>
        <v>-0.18604651162790697</v>
      </c>
      <c r="X352" s="81">
        <f t="shared" si="181"/>
        <v>-0.17073170731707318</v>
      </c>
      <c r="Y352" s="280"/>
    </row>
    <row r="353" spans="1:25">
      <c r="A353" s="378">
        <v>45368</v>
      </c>
      <c r="B353" s="386">
        <f>IF(YEAR(Table7[[#This Row],[Date]]) = 2023, WEEKNUM(Table7[[#This Row],[Date]])-13, WEEKNUM(Table7[[#This Row],[Date]])+40)</f>
        <v>52</v>
      </c>
      <c r="C353" s="203" t="s">
        <v>48</v>
      </c>
      <c r="D353" s="203" t="s">
        <v>94</v>
      </c>
      <c r="E353" s="379">
        <v>0</v>
      </c>
      <c r="F353" s="379">
        <v>0</v>
      </c>
      <c r="G353" s="350">
        <f t="shared" si="188"/>
        <v>0</v>
      </c>
      <c r="H353" s="350">
        <f t="shared" si="189"/>
        <v>0</v>
      </c>
      <c r="I353" s="379">
        <v>0</v>
      </c>
      <c r="J353" s="379">
        <v>0</v>
      </c>
      <c r="K353" s="379">
        <v>0</v>
      </c>
      <c r="L353" s="379">
        <v>0</v>
      </c>
      <c r="M353" s="191">
        <v>0</v>
      </c>
      <c r="N353" s="191">
        <v>0</v>
      </c>
      <c r="O353" s="191">
        <v>0</v>
      </c>
      <c r="P353" s="191">
        <v>0</v>
      </c>
      <c r="Q353" s="380"/>
      <c r="R353" s="287">
        <v>0</v>
      </c>
      <c r="S353" s="176">
        <v>0</v>
      </c>
      <c r="T353" s="381">
        <v>0</v>
      </c>
      <c r="U353" s="120" t="str">
        <f t="shared" si="178"/>
        <v>Normal</v>
      </c>
      <c r="V353" s="120" t="str">
        <f t="shared" si="179"/>
        <v>Normal</v>
      </c>
      <c r="W353" s="81">
        <f t="shared" si="180"/>
        <v>0</v>
      </c>
      <c r="X353" s="81">
        <f t="shared" si="181"/>
        <v>0</v>
      </c>
      <c r="Y353" s="280"/>
    </row>
    <row r="354" spans="1:25">
      <c r="A354" s="378">
        <v>45369</v>
      </c>
      <c r="B354" s="386">
        <f>IF(YEAR(Table7[[#This Row],[Date]]) = 2023, WEEKNUM(Table7[[#This Row],[Date]])-13, WEEKNUM(Table7[[#This Row],[Date]])+40)</f>
        <v>52</v>
      </c>
      <c r="C354" s="203" t="s">
        <v>49</v>
      </c>
      <c r="D354" s="203" t="s">
        <v>94</v>
      </c>
      <c r="E354" s="379">
        <v>85</v>
      </c>
      <c r="F354" s="379">
        <v>84</v>
      </c>
      <c r="G354" s="350">
        <f t="shared" si="188"/>
        <v>0</v>
      </c>
      <c r="H354" s="350">
        <f t="shared" si="189"/>
        <v>0</v>
      </c>
      <c r="I354" s="379"/>
      <c r="J354" s="379"/>
      <c r="K354" s="379"/>
      <c r="L354" s="379"/>
      <c r="M354" s="191">
        <v>0.99</v>
      </c>
      <c r="N354" s="191">
        <v>0.01</v>
      </c>
      <c r="O354" s="191">
        <v>0.99</v>
      </c>
      <c r="P354" s="191">
        <v>0.62</v>
      </c>
      <c r="Q354" s="191"/>
      <c r="R354" s="391">
        <v>192</v>
      </c>
      <c r="S354" s="392">
        <v>8.819444444444445E-2</v>
      </c>
      <c r="T354" s="381">
        <v>1</v>
      </c>
      <c r="U354" s="120" t="str">
        <f t="shared" si="178"/>
        <v>Normal</v>
      </c>
      <c r="V354" s="120" t="str">
        <f t="shared" si="179"/>
        <v>Normal</v>
      </c>
      <c r="W354" s="81">
        <f t="shared" si="180"/>
        <v>0</v>
      </c>
      <c r="X354" s="81">
        <f t="shared" si="181"/>
        <v>0</v>
      </c>
      <c r="Y354" s="280"/>
    </row>
    <row r="355" spans="1:25">
      <c r="A355" s="378">
        <v>45370</v>
      </c>
      <c r="B355" s="386">
        <f>IF(YEAR(Table7[[#This Row],[Date]]) = 2023, WEEKNUM(Table7[[#This Row],[Date]])-13, WEEKNUM(Table7[[#This Row],[Date]])+40)</f>
        <v>52</v>
      </c>
      <c r="C355" s="203" t="s">
        <v>50</v>
      </c>
      <c r="D355" s="203" t="s">
        <v>94</v>
      </c>
      <c r="E355" s="379">
        <v>87</v>
      </c>
      <c r="F355" s="379">
        <v>78</v>
      </c>
      <c r="G355" s="350">
        <f t="shared" si="188"/>
        <v>-1.1363636363636364E-2</v>
      </c>
      <c r="H355" s="350">
        <f t="shared" si="189"/>
        <v>-8.2352941176470587E-2</v>
      </c>
      <c r="I355" s="379"/>
      <c r="J355" s="379"/>
      <c r="K355" s="379"/>
      <c r="L355" s="379"/>
      <c r="M355" s="191">
        <v>0.9</v>
      </c>
      <c r="N355" s="191">
        <v>0.1</v>
      </c>
      <c r="O355" s="191">
        <v>0.9</v>
      </c>
      <c r="P355" s="191">
        <v>0.37</v>
      </c>
      <c r="Q355" s="380"/>
      <c r="R355" s="287">
        <v>124</v>
      </c>
      <c r="S355" s="176">
        <v>4.3750000000000004E-2</v>
      </c>
      <c r="T355" s="381">
        <v>1</v>
      </c>
      <c r="U355" s="120" t="str">
        <f t="shared" si="178"/>
        <v>Outlier</v>
      </c>
      <c r="V355" s="120" t="str">
        <f t="shared" si="179"/>
        <v>Normal</v>
      </c>
      <c r="W355" s="81">
        <f t="shared" si="180"/>
        <v>-1.1363636363636364E-2</v>
      </c>
      <c r="X355" s="81">
        <f t="shared" si="181"/>
        <v>-8.2352941176470587E-2</v>
      </c>
      <c r="Y355" s="280"/>
    </row>
    <row r="356" spans="1:25">
      <c r="A356" s="378">
        <v>45371</v>
      </c>
      <c r="B356" s="386">
        <f>IF(YEAR(Table7[[#This Row],[Date]]) = 2023, WEEKNUM(Table7[[#This Row],[Date]])-13, WEEKNUM(Table7[[#This Row],[Date]])+40)</f>
        <v>52</v>
      </c>
      <c r="C356" s="203" t="s">
        <v>51</v>
      </c>
      <c r="D356" s="203" t="s">
        <v>94</v>
      </c>
      <c r="E356" s="379">
        <v>66</v>
      </c>
      <c r="F356" s="379">
        <v>44</v>
      </c>
      <c r="G356" s="350">
        <f t="shared" si="188"/>
        <v>0</v>
      </c>
      <c r="H356" s="350">
        <f t="shared" si="189"/>
        <v>-0.3125</v>
      </c>
      <c r="I356" s="379"/>
      <c r="J356" s="379"/>
      <c r="K356" s="379"/>
      <c r="L356" s="379"/>
      <c r="M356" s="191">
        <v>0.67</v>
      </c>
      <c r="N356" s="191">
        <v>0.33</v>
      </c>
      <c r="O356" s="191">
        <v>0.67</v>
      </c>
      <c r="P356" s="191">
        <v>0.31</v>
      </c>
      <c r="Q356" s="191"/>
      <c r="R356" s="391">
        <v>181</v>
      </c>
      <c r="S356" s="392">
        <v>0.125</v>
      </c>
      <c r="T356" s="381">
        <v>1</v>
      </c>
      <c r="U356" s="120" t="str">
        <f t="shared" si="178"/>
        <v>Outlier</v>
      </c>
      <c r="V356" s="120" t="str">
        <f t="shared" si="179"/>
        <v>Normal</v>
      </c>
      <c r="W356" s="81">
        <f t="shared" si="180"/>
        <v>0</v>
      </c>
      <c r="X356" s="81">
        <f t="shared" si="181"/>
        <v>-0.3125</v>
      </c>
      <c r="Y356" s="280"/>
    </row>
    <row r="357" spans="1:25">
      <c r="A357" s="378">
        <v>45372</v>
      </c>
      <c r="B357" s="386">
        <f>IF(YEAR(Table7[[#This Row],[Date]]) = 2023, WEEKNUM(Table7[[#This Row],[Date]])-13, WEEKNUM(Table7[[#This Row],[Date]])+40)</f>
        <v>52</v>
      </c>
      <c r="C357" s="203" t="s">
        <v>52</v>
      </c>
      <c r="D357" s="203" t="s">
        <v>94</v>
      </c>
      <c r="E357" s="379">
        <v>97</v>
      </c>
      <c r="F357" s="379">
        <v>42</v>
      </c>
      <c r="G357" s="350">
        <f t="shared" si="188"/>
        <v>0.97959183673469385</v>
      </c>
      <c r="H357" s="350">
        <f t="shared" si="189"/>
        <v>-0.14285714285714285</v>
      </c>
      <c r="I357" s="379"/>
      <c r="J357" s="379"/>
      <c r="K357" s="379"/>
      <c r="L357" s="379"/>
      <c r="M357" s="191">
        <v>0.43</v>
      </c>
      <c r="N357" s="191">
        <v>0.56999999999999995</v>
      </c>
      <c r="O357" s="191">
        <v>0.43</v>
      </c>
      <c r="P357" s="191">
        <v>0.1</v>
      </c>
      <c r="Q357" s="380"/>
      <c r="R357" s="287">
        <v>121</v>
      </c>
      <c r="S357" s="176">
        <v>4.1666666666666664E-2</v>
      </c>
      <c r="T357" s="381">
        <v>2</v>
      </c>
      <c r="U357" s="120" t="str">
        <f t="shared" si="178"/>
        <v>Outlier</v>
      </c>
      <c r="V357" s="120" t="str">
        <f t="shared" si="179"/>
        <v>Normal</v>
      </c>
      <c r="W357" s="81">
        <f t="shared" si="180"/>
        <v>0.97959183673469385</v>
      </c>
      <c r="X357" s="81">
        <f t="shared" si="181"/>
        <v>-0.14285714285714285</v>
      </c>
      <c r="Y357" s="280"/>
    </row>
    <row r="358" spans="1:25">
      <c r="A358" s="378">
        <v>45373</v>
      </c>
      <c r="B358" s="386">
        <f>IF(YEAR(Table7[[#This Row],[Date]]) = 2023, WEEKNUM(Table7[[#This Row],[Date]])-13, WEEKNUM(Table7[[#This Row],[Date]])+40)</f>
        <v>52</v>
      </c>
      <c r="C358" s="203" t="s">
        <v>53</v>
      </c>
      <c r="D358" s="203" t="s">
        <v>94</v>
      </c>
      <c r="E358" s="379">
        <v>120</v>
      </c>
      <c r="F358" s="379">
        <v>96</v>
      </c>
      <c r="G358" s="350">
        <f t="shared" si="188"/>
        <v>0.34831460674157305</v>
      </c>
      <c r="H358" s="350">
        <f t="shared" si="189"/>
        <v>0.15662650602409639</v>
      </c>
      <c r="I358" s="379"/>
      <c r="J358" s="379"/>
      <c r="K358" s="379"/>
      <c r="L358" s="379"/>
      <c r="M358" s="191">
        <v>0.72</v>
      </c>
      <c r="N358" s="191">
        <v>0.56999999999999995</v>
      </c>
      <c r="O358" s="191">
        <v>0.43</v>
      </c>
      <c r="P358" s="191">
        <v>0.1</v>
      </c>
      <c r="Q358" s="191"/>
      <c r="R358" s="391">
        <v>180</v>
      </c>
      <c r="S358" s="392">
        <v>0.12569444444444444</v>
      </c>
      <c r="T358" s="381">
        <v>3</v>
      </c>
      <c r="U358" s="120" t="str">
        <f t="shared" si="178"/>
        <v>Outlier</v>
      </c>
      <c r="V358" s="120" t="str">
        <f t="shared" si="179"/>
        <v>Normal</v>
      </c>
      <c r="W358" s="81">
        <f t="shared" si="180"/>
        <v>0.34831460674157305</v>
      </c>
      <c r="X358" s="81">
        <f t="shared" si="181"/>
        <v>0.15662650602409639</v>
      </c>
      <c r="Y358" s="280"/>
    </row>
    <row r="359" spans="1:25">
      <c r="A359" s="378">
        <v>45374</v>
      </c>
      <c r="B359" s="386">
        <f>IF(YEAR(Table7[[#This Row],[Date]]) = 2023, WEEKNUM(Table7[[#This Row],[Date]])-13, WEEKNUM(Table7[[#This Row],[Date]])+40)</f>
        <v>52</v>
      </c>
      <c r="C359" s="203" t="s">
        <v>54</v>
      </c>
      <c r="D359" s="203" t="s">
        <v>94</v>
      </c>
      <c r="E359" s="379">
        <v>59</v>
      </c>
      <c r="F359" s="379">
        <v>56</v>
      </c>
      <c r="G359" s="350">
        <f t="shared" si="188"/>
        <v>0.68571428571428572</v>
      </c>
      <c r="H359" s="350">
        <f t="shared" si="189"/>
        <v>0.6470588235294118</v>
      </c>
      <c r="I359" s="379"/>
      <c r="J359" s="379"/>
      <c r="K359" s="379"/>
      <c r="L359" s="379"/>
      <c r="M359" s="191">
        <v>0.72</v>
      </c>
      <c r="N359" s="191">
        <v>0.28000000000000003</v>
      </c>
      <c r="O359" s="191">
        <v>0.72</v>
      </c>
      <c r="P359" s="191">
        <v>0.2</v>
      </c>
      <c r="Q359" s="380"/>
      <c r="R359" s="287">
        <v>182</v>
      </c>
      <c r="S359" s="176">
        <v>4.2361111111111106E-2</v>
      </c>
      <c r="T359" s="381">
        <v>3</v>
      </c>
      <c r="U359" s="120" t="str">
        <f t="shared" si="178"/>
        <v>Outlier</v>
      </c>
      <c r="V359" s="120" t="str">
        <f t="shared" si="179"/>
        <v>Normal</v>
      </c>
      <c r="W359" s="81">
        <f t="shared" si="180"/>
        <v>0.68571428571428572</v>
      </c>
      <c r="X359" s="81">
        <f t="shared" si="181"/>
        <v>0.6470588235294118</v>
      </c>
      <c r="Y359" s="280"/>
    </row>
    <row r="360" spans="1:25">
      <c r="A360" s="378">
        <v>45375</v>
      </c>
      <c r="B360" s="386">
        <f>IF(YEAR(Table7[[#This Row],[Date]]) = 2023, WEEKNUM(Table7[[#This Row],[Date]])-13, WEEKNUM(Table7[[#This Row],[Date]])+40)</f>
        <v>53</v>
      </c>
      <c r="C360" s="203" t="s">
        <v>48</v>
      </c>
      <c r="D360" s="203" t="s">
        <v>94</v>
      </c>
      <c r="E360" s="379">
        <v>0</v>
      </c>
      <c r="F360" s="379">
        <v>0</v>
      </c>
      <c r="G360" s="350">
        <v>0</v>
      </c>
      <c r="H360" s="350">
        <v>0</v>
      </c>
      <c r="I360" s="379">
        <v>0</v>
      </c>
      <c r="J360" s="379">
        <v>0</v>
      </c>
      <c r="K360" s="379">
        <v>0</v>
      </c>
      <c r="L360" s="379">
        <v>0</v>
      </c>
      <c r="M360" s="191">
        <v>0</v>
      </c>
      <c r="N360" s="191">
        <v>0</v>
      </c>
      <c r="O360" s="191">
        <v>0</v>
      </c>
      <c r="P360" s="191">
        <v>0</v>
      </c>
      <c r="Q360" s="191"/>
      <c r="R360" s="391">
        <v>0</v>
      </c>
      <c r="S360" s="392">
        <v>0</v>
      </c>
      <c r="T360" s="381">
        <v>0</v>
      </c>
      <c r="U360" s="120" t="str">
        <f t="shared" si="178"/>
        <v>Normal</v>
      </c>
      <c r="V360" s="120" t="str">
        <f t="shared" si="179"/>
        <v>Normal</v>
      </c>
      <c r="W360" s="81">
        <f t="shared" si="180"/>
        <v>0</v>
      </c>
      <c r="X360" s="81">
        <f t="shared" si="181"/>
        <v>0</v>
      </c>
      <c r="Y360" s="280"/>
    </row>
    <row r="361" spans="1:25">
      <c r="A361" s="378">
        <v>45376</v>
      </c>
      <c r="B361" s="386">
        <f>IF(YEAR(Table7[[#This Row],[Date]]) = 2023, WEEKNUM(Table7[[#This Row],[Date]])-13, WEEKNUM(Table7[[#This Row],[Date]])+40)</f>
        <v>53</v>
      </c>
      <c r="C361" s="203" t="s">
        <v>49</v>
      </c>
      <c r="D361" s="203" t="s">
        <v>94</v>
      </c>
      <c r="E361" s="379">
        <v>79</v>
      </c>
      <c r="F361" s="379">
        <v>76</v>
      </c>
      <c r="G361" s="350">
        <f t="shared" ref="G361:G367" si="190">IFERROR((E361-E354)/E354,0%)</f>
        <v>-7.0588235294117646E-2</v>
      </c>
      <c r="H361" s="350">
        <f t="shared" ref="H361:H367" si="191">IFERROR((F361-F354)/F354,0%)</f>
        <v>-9.5238095238095233E-2</v>
      </c>
      <c r="I361" s="379"/>
      <c r="J361" s="379"/>
      <c r="K361" s="379"/>
      <c r="L361" s="379"/>
      <c r="M361" s="191">
        <v>0.96</v>
      </c>
      <c r="N361" s="191">
        <v>0.04</v>
      </c>
      <c r="O361" s="191">
        <v>0.96</v>
      </c>
      <c r="P361" s="191">
        <v>0.43</v>
      </c>
      <c r="Q361" s="380"/>
      <c r="R361" s="287">
        <v>441</v>
      </c>
      <c r="S361" s="176">
        <v>8.6111111111111124E-2</v>
      </c>
      <c r="T361" s="381">
        <v>3</v>
      </c>
      <c r="U361" s="120" t="str">
        <f t="shared" si="178"/>
        <v>Outlier</v>
      </c>
      <c r="V361" s="120" t="str">
        <f t="shared" si="179"/>
        <v>Normal</v>
      </c>
      <c r="W361" s="81">
        <f t="shared" si="180"/>
        <v>-7.0588235294117646E-2</v>
      </c>
      <c r="X361" s="81">
        <f t="shared" si="181"/>
        <v>-9.5238095238095233E-2</v>
      </c>
      <c r="Y361" s="280"/>
    </row>
    <row r="362" spans="1:25">
      <c r="A362" s="378">
        <v>45377</v>
      </c>
      <c r="B362" s="386">
        <f>IF(YEAR(Table7[[#This Row],[Date]]) = 2023, WEEKNUM(Table7[[#This Row],[Date]])-13, WEEKNUM(Table7[[#This Row],[Date]])+40)</f>
        <v>53</v>
      </c>
      <c r="C362" s="203" t="s">
        <v>50</v>
      </c>
      <c r="D362" s="203" t="s">
        <v>94</v>
      </c>
      <c r="E362" s="379">
        <v>93</v>
      </c>
      <c r="F362" s="379">
        <v>89</v>
      </c>
      <c r="G362" s="350">
        <f t="shared" si="190"/>
        <v>6.8965517241379309E-2</v>
      </c>
      <c r="H362" s="350">
        <f t="shared" si="191"/>
        <v>0.14102564102564102</v>
      </c>
      <c r="I362" s="379"/>
      <c r="J362" s="379"/>
      <c r="K362" s="379"/>
      <c r="L362" s="379"/>
      <c r="M362" s="191">
        <v>0.96</v>
      </c>
      <c r="N362" s="191">
        <v>0.04</v>
      </c>
      <c r="O362" s="191">
        <v>0.96</v>
      </c>
      <c r="P362" s="191">
        <v>0.55000000000000004</v>
      </c>
      <c r="Q362" s="191"/>
      <c r="R362" s="391">
        <v>483</v>
      </c>
      <c r="S362" s="392">
        <v>7.7777777777777779E-2</v>
      </c>
      <c r="T362" s="381">
        <v>3</v>
      </c>
      <c r="U362" s="120" t="str">
        <f t="shared" si="178"/>
        <v>Outlier</v>
      </c>
      <c r="V362" s="120" t="str">
        <f t="shared" si="179"/>
        <v>Normal</v>
      </c>
      <c r="W362" s="81">
        <f t="shared" si="180"/>
        <v>6.8965517241379309E-2</v>
      </c>
      <c r="X362" s="81">
        <f t="shared" si="181"/>
        <v>0.14102564102564102</v>
      </c>
      <c r="Y362" s="280"/>
    </row>
    <row r="363" spans="1:25">
      <c r="A363" s="378">
        <v>45378</v>
      </c>
      <c r="B363" s="386">
        <f>IF(YEAR(Table7[[#This Row],[Date]]) = 2023, WEEKNUM(Table7[[#This Row],[Date]])-13, WEEKNUM(Table7[[#This Row],[Date]])+40)</f>
        <v>53</v>
      </c>
      <c r="C363" s="203" t="s">
        <v>51</v>
      </c>
      <c r="D363" s="203" t="s">
        <v>94</v>
      </c>
      <c r="E363" s="379">
        <v>66</v>
      </c>
      <c r="F363" s="379">
        <v>64</v>
      </c>
      <c r="G363" s="350">
        <f>IFERROR((E363-E356)/E356,0%)</f>
        <v>0</v>
      </c>
      <c r="H363" s="350">
        <f t="shared" si="191"/>
        <v>0.45454545454545453</v>
      </c>
      <c r="I363" s="379"/>
      <c r="J363" s="379"/>
      <c r="K363" s="379"/>
      <c r="L363" s="379"/>
      <c r="M363" s="191">
        <v>0.97</v>
      </c>
      <c r="N363" s="191">
        <v>0.03</v>
      </c>
      <c r="O363" s="191">
        <v>0.97</v>
      </c>
      <c r="P363" s="191">
        <v>0.42</v>
      </c>
      <c r="Q363" s="380"/>
      <c r="R363" s="287">
        <v>516</v>
      </c>
      <c r="S363" s="176">
        <v>4.027777777777778E-2</v>
      </c>
      <c r="T363" s="381">
        <v>3</v>
      </c>
      <c r="U363" s="120" t="str">
        <f t="shared" si="178"/>
        <v>Outlier</v>
      </c>
      <c r="V363" s="120" t="str">
        <f t="shared" si="179"/>
        <v>Normal</v>
      </c>
      <c r="W363" s="81">
        <f t="shared" si="180"/>
        <v>0</v>
      </c>
      <c r="X363" s="81">
        <f t="shared" si="181"/>
        <v>0.45454545454545453</v>
      </c>
      <c r="Y363" s="280"/>
    </row>
    <row r="364" spans="1:25">
      <c r="A364" s="378">
        <v>45379</v>
      </c>
      <c r="B364" s="386">
        <f>IF(YEAR(Table7[[#This Row],[Date]]) = 2023, WEEKNUM(Table7[[#This Row],[Date]])-13, WEEKNUM(Table7[[#This Row],[Date]])+40)</f>
        <v>53</v>
      </c>
      <c r="C364" s="203" t="s">
        <v>52</v>
      </c>
      <c r="D364" s="203" t="s">
        <v>94</v>
      </c>
      <c r="E364" s="379">
        <v>37</v>
      </c>
      <c r="F364" s="379">
        <v>35</v>
      </c>
      <c r="G364" s="350">
        <f t="shared" si="190"/>
        <v>-0.61855670103092786</v>
      </c>
      <c r="H364" s="350">
        <f t="shared" si="191"/>
        <v>-0.16666666666666666</v>
      </c>
      <c r="I364" s="379"/>
      <c r="J364" s="379"/>
      <c r="K364" s="379"/>
      <c r="L364" s="379"/>
      <c r="M364" s="191">
        <v>0.97</v>
      </c>
      <c r="N364" s="191">
        <v>0.05</v>
      </c>
      <c r="O364" s="191">
        <v>0.95</v>
      </c>
      <c r="P364" s="191">
        <v>0.35</v>
      </c>
      <c r="Q364" s="191"/>
      <c r="R364" s="391">
        <v>522</v>
      </c>
      <c r="S364" s="392">
        <v>4.2361111111111106E-2</v>
      </c>
      <c r="T364" s="381">
        <v>2</v>
      </c>
      <c r="U364" s="120" t="str">
        <f t="shared" si="178"/>
        <v>Outlier</v>
      </c>
      <c r="V364" s="120" t="str">
        <f t="shared" si="179"/>
        <v>Normal</v>
      </c>
      <c r="W364" s="81">
        <f t="shared" si="180"/>
        <v>-0.61855670103092786</v>
      </c>
      <c r="X364" s="81">
        <f t="shared" si="181"/>
        <v>-0.16666666666666666</v>
      </c>
      <c r="Y364" s="280"/>
    </row>
    <row r="365" spans="1:25">
      <c r="A365" s="378">
        <v>45380</v>
      </c>
      <c r="B365" s="386">
        <f>IF(YEAR(Table7[[#This Row],[Date]]) = 2023, WEEKNUM(Table7[[#This Row],[Date]])-13, WEEKNUM(Table7[[#This Row],[Date]])+40)</f>
        <v>53</v>
      </c>
      <c r="C365" s="203" t="s">
        <v>53</v>
      </c>
      <c r="D365" s="203" t="s">
        <v>94</v>
      </c>
      <c r="E365" s="379">
        <v>0</v>
      </c>
      <c r="F365" s="379">
        <v>0</v>
      </c>
      <c r="G365" s="350">
        <v>0</v>
      </c>
      <c r="H365" s="350">
        <v>0</v>
      </c>
      <c r="I365" s="379"/>
      <c r="J365" s="379"/>
      <c r="K365" s="379"/>
      <c r="L365" s="379"/>
      <c r="M365" s="191">
        <v>0</v>
      </c>
      <c r="N365" s="191">
        <v>0</v>
      </c>
      <c r="O365" s="191">
        <v>0</v>
      </c>
      <c r="P365" s="191">
        <v>0</v>
      </c>
      <c r="Q365" s="380"/>
      <c r="R365" s="287">
        <v>0</v>
      </c>
      <c r="S365" s="176">
        <v>0</v>
      </c>
      <c r="T365" s="381">
        <v>0</v>
      </c>
      <c r="U365" s="120" t="str">
        <f t="shared" si="178"/>
        <v>Normal</v>
      </c>
      <c r="V365" s="120" t="str">
        <f t="shared" si="179"/>
        <v>Normal</v>
      </c>
      <c r="W365" s="81">
        <f t="shared" si="180"/>
        <v>0</v>
      </c>
      <c r="X365" s="81">
        <f t="shared" si="181"/>
        <v>0</v>
      </c>
      <c r="Y365" s="280"/>
    </row>
    <row r="366" spans="1:25">
      <c r="A366" s="378">
        <v>45381</v>
      </c>
      <c r="B366" s="386">
        <f>IF(YEAR(Table7[[#This Row],[Date]]) = 2023, WEEKNUM(Table7[[#This Row],[Date]])-13, WEEKNUM(Table7[[#This Row],[Date]])+40)</f>
        <v>53</v>
      </c>
      <c r="C366" s="203" t="s">
        <v>54</v>
      </c>
      <c r="D366" s="203" t="s">
        <v>94</v>
      </c>
      <c r="E366" s="379">
        <v>0</v>
      </c>
      <c r="F366" s="379">
        <v>0</v>
      </c>
      <c r="G366" s="350">
        <v>0</v>
      </c>
      <c r="H366" s="350">
        <v>0</v>
      </c>
      <c r="I366" s="379"/>
      <c r="J366" s="379"/>
      <c r="K366" s="379"/>
      <c r="L366" s="379"/>
      <c r="M366" s="191">
        <v>0</v>
      </c>
      <c r="N366" s="191">
        <v>0</v>
      </c>
      <c r="O366" s="191">
        <v>0</v>
      </c>
      <c r="P366" s="191">
        <v>0</v>
      </c>
      <c r="Q366" s="191"/>
      <c r="R366" s="391">
        <v>0</v>
      </c>
      <c r="S366" s="392">
        <v>0</v>
      </c>
      <c r="T366" s="381">
        <v>0</v>
      </c>
      <c r="U366" s="120" t="str">
        <f t="shared" si="178"/>
        <v>Normal</v>
      </c>
      <c r="V366" s="120" t="str">
        <f t="shared" si="179"/>
        <v>Normal</v>
      </c>
      <c r="W366" s="81">
        <f t="shared" si="180"/>
        <v>0</v>
      </c>
      <c r="X366" s="81">
        <f t="shared" si="181"/>
        <v>0</v>
      </c>
      <c r="Y366" s="280"/>
    </row>
    <row r="367" spans="1:25">
      <c r="A367" s="395">
        <v>45382</v>
      </c>
      <c r="B367" s="412">
        <f>IF(YEAR(Table7[[#This Row],[Date]]) = 2023, WEEKNUM(Table7[[#This Row],[Date]])-13, WEEKNUM(Table7[[#This Row],[Date]])+40)</f>
        <v>54</v>
      </c>
      <c r="C367" s="373" t="s">
        <v>48</v>
      </c>
      <c r="D367" s="373" t="s">
        <v>94</v>
      </c>
      <c r="E367" s="396">
        <v>0</v>
      </c>
      <c r="F367" s="396">
        <v>0</v>
      </c>
      <c r="G367" s="397">
        <f t="shared" si="190"/>
        <v>0</v>
      </c>
      <c r="H367" s="397">
        <f t="shared" si="191"/>
        <v>0</v>
      </c>
      <c r="I367" s="396"/>
      <c r="J367" s="396"/>
      <c r="K367" s="396"/>
      <c r="L367" s="396"/>
      <c r="M367" s="398">
        <v>0</v>
      </c>
      <c r="N367" s="398">
        <v>0</v>
      </c>
      <c r="O367" s="398">
        <v>0</v>
      </c>
      <c r="P367" s="398">
        <v>0</v>
      </c>
      <c r="Q367" s="399"/>
      <c r="R367" s="374">
        <v>0</v>
      </c>
      <c r="S367" s="400">
        <v>0</v>
      </c>
      <c r="T367" s="401">
        <v>0</v>
      </c>
      <c r="U367" s="120" t="str">
        <f t="shared" si="178"/>
        <v>Normal</v>
      </c>
      <c r="V367" s="120" t="str">
        <f t="shared" si="179"/>
        <v>Normal</v>
      </c>
      <c r="W367" s="81">
        <f t="shared" si="180"/>
        <v>0</v>
      </c>
      <c r="X367" s="81">
        <f t="shared" si="181"/>
        <v>0</v>
      </c>
      <c r="Y367" s="280"/>
    </row>
  </sheetData>
  <mergeCells count="5">
    <mergeCell ref="Z3:AB3"/>
    <mergeCell ref="AD3:AE3"/>
    <mergeCell ref="AG3:AH3"/>
    <mergeCell ref="Z8:AA8"/>
    <mergeCell ref="AD8:AE8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754fae-d523-4761-9a50-9f412c2400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B9B6ECA80D4546BC922360F49E02D1" ma:contentTypeVersion="14" ma:contentTypeDescription="Create a new document." ma:contentTypeScope="" ma:versionID="465c6eb37d8243bc17e6ffea623d29b3">
  <xsd:schema xmlns:xsd="http://www.w3.org/2001/XMLSchema" xmlns:xs="http://www.w3.org/2001/XMLSchema" xmlns:p="http://schemas.microsoft.com/office/2006/metadata/properties" xmlns:ns3="57896ae6-1ae1-4be6-8420-a0683873ede9" xmlns:ns4="05754fae-d523-4761-9a50-9f412c24001d" targetNamespace="http://schemas.microsoft.com/office/2006/metadata/properties" ma:root="true" ma:fieldsID="3e694366ba04f689bb2a8eeb9288ff48" ns3:_="" ns4:_="">
    <xsd:import namespace="57896ae6-1ae1-4be6-8420-a0683873ede9"/>
    <xsd:import namespace="05754fae-d523-4761-9a50-9f412c24001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6ae6-1ae1-4be6-8420-a0683873ed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54fae-d523-4761-9a50-9f412c24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6D382-14CD-45E6-8B46-B8EFDAB500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CDDB6-9572-48EE-B5EB-1D9595661E6F}">
  <ds:schemaRefs>
    <ds:schemaRef ds:uri="57896ae6-1ae1-4be6-8420-a0683873ede9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05754fae-d523-4761-9a50-9f412c24001d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0A2F856-52AF-4A9C-A5C1-6A050EF84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6ae6-1ae1-4be6-8420-a0683873ede9"/>
    <ds:schemaRef ds:uri="05754fae-d523-4761-9a50-9f412c2400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107</vt:i4>
      </vt:variant>
    </vt:vector>
  </HeadingPairs>
  <TitlesOfParts>
    <vt:vector size="121" baseType="lpstr">
      <vt:lpstr>Live Chat - Composite</vt:lpstr>
      <vt:lpstr>Live Chat KPIs - Weekly</vt:lpstr>
      <vt:lpstr>Live Chat KPIs - Monthly</vt:lpstr>
      <vt:lpstr>Trinidad and Tobago</vt:lpstr>
      <vt:lpstr>OECS</vt:lpstr>
      <vt:lpstr>Guyana</vt:lpstr>
      <vt:lpstr>Jamaica</vt:lpstr>
      <vt:lpstr>Barbados</vt:lpstr>
      <vt:lpstr>Belize</vt:lpstr>
      <vt:lpstr>Annual_Regional</vt:lpstr>
      <vt:lpstr>Weekly_Regional</vt:lpstr>
      <vt:lpstr>Monthly_Regional</vt:lpstr>
      <vt:lpstr>Country_List</vt:lpstr>
      <vt:lpstr>Dashboard</vt:lpstr>
      <vt:lpstr>'Live Chat KPIs - Monthly'!ABR_BAR</vt:lpstr>
      <vt:lpstr>ABR_BAR</vt:lpstr>
      <vt:lpstr>'Live Chat KPIs - Monthly'!ABR_GUY</vt:lpstr>
      <vt:lpstr>ABR_GUY</vt:lpstr>
      <vt:lpstr>'Live Chat KPIs - Monthly'!ABR_JAM</vt:lpstr>
      <vt:lpstr>ABR_JAM</vt:lpstr>
      <vt:lpstr>'Live Chat KPIs - Monthly'!ABR_OECS</vt:lpstr>
      <vt:lpstr>ABR_OECS</vt:lpstr>
      <vt:lpstr>'Live Chat KPIs - Monthly'!ABR_TT</vt:lpstr>
      <vt:lpstr>ABR_TT</vt:lpstr>
      <vt:lpstr>ATT_BAR</vt:lpstr>
      <vt:lpstr>ATT_GUY</vt:lpstr>
      <vt:lpstr>ATT_JAM</vt:lpstr>
      <vt:lpstr>ATT_OECS</vt:lpstr>
      <vt:lpstr>ATT_TT</vt:lpstr>
      <vt:lpstr>'Live Chat KPIs - Monthly'!AU_BAR</vt:lpstr>
      <vt:lpstr>AU_BAR</vt:lpstr>
      <vt:lpstr>'Live Chat KPIs - Monthly'!AU_GUY</vt:lpstr>
      <vt:lpstr>AU_GUY</vt:lpstr>
      <vt:lpstr>'Live Chat KPIs - Monthly'!AU_JAM</vt:lpstr>
      <vt:lpstr>AU_JAM</vt:lpstr>
      <vt:lpstr>'Live Chat KPIs - Monthly'!AU_OECS</vt:lpstr>
      <vt:lpstr>AU_OECS</vt:lpstr>
      <vt:lpstr>'Live Chat KPIs - Monthly'!AU_TT</vt:lpstr>
      <vt:lpstr>AU_TT</vt:lpstr>
      <vt:lpstr>'Live Chat KPIs - Monthly'!calls_ans_BAR</vt:lpstr>
      <vt:lpstr>calls_ans_BAR</vt:lpstr>
      <vt:lpstr>'Live Chat KPIs - Monthly'!calls_ans_GUY</vt:lpstr>
      <vt:lpstr>calls_ans_GUY</vt:lpstr>
      <vt:lpstr>'Live Chat KPIs - Monthly'!calls_ans_JAM</vt:lpstr>
      <vt:lpstr>calls_ans_JAM</vt:lpstr>
      <vt:lpstr>'Live Chat KPIs - Monthly'!calls_ans_OECS</vt:lpstr>
      <vt:lpstr>calls_ans_OECS</vt:lpstr>
      <vt:lpstr>'Live Chat KPIs - Monthly'!calls_ans_TT</vt:lpstr>
      <vt:lpstr>calls_ans_TT</vt:lpstr>
      <vt:lpstr>'Live Chat KPIs - Monthly'!calls_off_BAR</vt:lpstr>
      <vt:lpstr>calls_off_BAR</vt:lpstr>
      <vt:lpstr>'Live Chat KPIs - Monthly'!calls_off_GUY</vt:lpstr>
      <vt:lpstr>calls_off_GUY</vt:lpstr>
      <vt:lpstr>'Live Chat KPIs - Monthly'!calls_off_JAM</vt:lpstr>
      <vt:lpstr>calls_off_JAM</vt:lpstr>
      <vt:lpstr>'Live Chat KPIs - Monthly'!calls_off_OECS</vt:lpstr>
      <vt:lpstr>calls_off_OECS</vt:lpstr>
      <vt:lpstr>'Live Chat KPIs - Monthly'!calls_off_TT</vt:lpstr>
      <vt:lpstr>calls_off_TT</vt:lpstr>
      <vt:lpstr>'Live Chat KPIs - Monthly'!percent_WoW_ans_BAR</vt:lpstr>
      <vt:lpstr>percent_WoW_ans_BAR</vt:lpstr>
      <vt:lpstr>'Live Chat KPIs - Monthly'!percent_WoW_ans_GUY</vt:lpstr>
      <vt:lpstr>percent_WoW_ans_GUY</vt:lpstr>
      <vt:lpstr>'Live Chat KPIs - Monthly'!percent_WoW_ans_JAM</vt:lpstr>
      <vt:lpstr>percent_WoW_ans_JAM</vt:lpstr>
      <vt:lpstr>'Live Chat KPIs - Monthly'!percent_WoW_ans_OECS</vt:lpstr>
      <vt:lpstr>percent_WoW_ans_OECS</vt:lpstr>
      <vt:lpstr>'Live Chat KPIs - Monthly'!percent_WoW_ans_TT</vt:lpstr>
      <vt:lpstr>percent_WoW_ans_TT</vt:lpstr>
      <vt:lpstr>'Live Chat KPIs - Monthly'!percent_WoW_off_BAR</vt:lpstr>
      <vt:lpstr>percent_WoW_off_BAR</vt:lpstr>
      <vt:lpstr>'Live Chat KPIs - Monthly'!percent_WoW_off_GUY</vt:lpstr>
      <vt:lpstr>percent_WoW_off_GUY</vt:lpstr>
      <vt:lpstr>'Live Chat KPIs - Monthly'!percent_WoW_off_JAM</vt:lpstr>
      <vt:lpstr>percent_WoW_off_JAM</vt:lpstr>
      <vt:lpstr>'Live Chat KPIs - Monthly'!percent_WoW_off_OECS</vt:lpstr>
      <vt:lpstr>percent_WoW_off_OECS</vt:lpstr>
      <vt:lpstr>'Live Chat KPIs - Monthly'!percent_WoW_off_TT</vt:lpstr>
      <vt:lpstr>percent_WoW_off_TT</vt:lpstr>
      <vt:lpstr>'Live Chat KPIs - Monthly'!period_BAR</vt:lpstr>
      <vt:lpstr>period_BAR</vt:lpstr>
      <vt:lpstr>'Live Chat KPIs - Monthly'!period_BAR_WFM</vt:lpstr>
      <vt:lpstr>period_BAR_WFM</vt:lpstr>
      <vt:lpstr>'Live Chat KPIs - Monthly'!period_GUY</vt:lpstr>
      <vt:lpstr>period_GUY</vt:lpstr>
      <vt:lpstr>'Live Chat KPIs - Monthly'!period_GUY_WF</vt:lpstr>
      <vt:lpstr>period_GUY_WF</vt:lpstr>
      <vt:lpstr>'Live Chat KPIs - Monthly'!period_JAM</vt:lpstr>
      <vt:lpstr>period_JAM</vt:lpstr>
      <vt:lpstr>'Live Chat KPIs - Monthly'!period_JAM_WFM</vt:lpstr>
      <vt:lpstr>period_JAM_WFM</vt:lpstr>
      <vt:lpstr>'Live Chat KPIs - Monthly'!period_OECS</vt:lpstr>
      <vt:lpstr>period_OECS</vt:lpstr>
      <vt:lpstr>'Live Chat KPIs - Monthly'!period_TT</vt:lpstr>
      <vt:lpstr>period_TT</vt:lpstr>
      <vt:lpstr>'Live Chat KPIs - Monthly'!period_TT_WFM</vt:lpstr>
      <vt:lpstr>period_TT_WFM</vt:lpstr>
      <vt:lpstr>'Live Chat KPIs - Monthly'!SL_BAR</vt:lpstr>
      <vt:lpstr>SL_BAR</vt:lpstr>
      <vt:lpstr>'Live Chat KPIs - Monthly'!SL_GUY</vt:lpstr>
      <vt:lpstr>SL_GUY</vt:lpstr>
      <vt:lpstr>'Live Chat KPIs - Monthly'!SL_JAM</vt:lpstr>
      <vt:lpstr>SL_JAM</vt:lpstr>
      <vt:lpstr>'Live Chat KPIs - Monthly'!SL_OECS</vt:lpstr>
      <vt:lpstr>SL_OECS</vt:lpstr>
      <vt:lpstr>'Live Chat KPIs - Monthly'!SL_TT</vt:lpstr>
      <vt:lpstr>SL_TT</vt:lpstr>
      <vt:lpstr>'Live Chat KPIs - Monthly'!WoW_calls_ans</vt:lpstr>
      <vt:lpstr>WoW_calls_ans</vt:lpstr>
      <vt:lpstr>'Live Chat KPIs - Monthly'!WoW_calls_off</vt:lpstr>
      <vt:lpstr>WoW_calls_off</vt:lpstr>
      <vt:lpstr>'Live Chat KPIs - Monthly'!WoW_dates_BAR</vt:lpstr>
      <vt:lpstr>WoW_dates_BAR</vt:lpstr>
      <vt:lpstr>'Live Chat KPIs - Monthly'!WoW_dates_GUY</vt:lpstr>
      <vt:lpstr>WoW_dates_GUY</vt:lpstr>
      <vt:lpstr>'Live Chat KPIs - Monthly'!WoW_dates_JAM</vt:lpstr>
      <vt:lpstr>WoW_dates_JAM</vt:lpstr>
      <vt:lpstr>'Live Chat KPIs - Monthly'!WoW_dates_OECS</vt:lpstr>
      <vt:lpstr>WoW_dates_OECS</vt:lpstr>
      <vt:lpstr>'Live Chat KPIs - Monthly'!WoW_dates_TT</vt:lpstr>
      <vt:lpstr>WoW_dates_TT</vt:lpstr>
    </vt:vector>
  </TitlesOfParts>
  <Company>Unicomer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Shaw</dc:creator>
  <cp:lastModifiedBy>Roy Shaw</cp:lastModifiedBy>
  <dcterms:created xsi:type="dcterms:W3CDTF">2021-11-19T18:50:18Z</dcterms:created>
  <dcterms:modified xsi:type="dcterms:W3CDTF">2024-08-14T18:25:57Z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0x01010036B9B6ECA80D4546BC922360F49E02D1</vt:lpwstr>
  </property>
</Properties>
</file>