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y_shaw\Desktop\Completed Reports\CC KPI_and_Live Chat\"/>
    </mc:Choice>
  </mc:AlternateContent>
  <xr:revisionPtr revIDLastSave="0" documentId="13_ncr:1_{10A63F00-7E59-4095-84F0-7AAB2AF435E9}" xr6:coauthVersionLast="47" xr6:coauthVersionMax="47" xr10:uidLastSave="{00000000-0000-0000-0000-000000000000}"/>
  <bookViews>
    <workbookView xWindow="-110" yWindow="-110" windowWidth="19420" windowHeight="10420" firstSheet="3" activeTab="7" xr2:uid="{83609B99-848E-40A6-A0EE-BB7496E8433D}"/>
  </bookViews>
  <sheets>
    <sheet name="Live Chat KPIs - Weekly" sheetId="2" r:id="rId1"/>
    <sheet name="Live Chat KPIs - Monthly" sheetId="16" r:id="rId2"/>
    <sheet name="Weekly_Regional" sheetId="13" r:id="rId3"/>
    <sheet name="Monthly_Regional" sheetId="15" r:id="rId4"/>
    <sheet name="Jamaica" sheetId="9" r:id="rId5"/>
    <sheet name="OECS" sheetId="12" r:id="rId6"/>
    <sheet name="Guyana" sheetId="11" r:id="rId7"/>
    <sheet name="Trinidad and Tobago" sheetId="8" r:id="rId8"/>
    <sheet name="Barbados" sheetId="10" r:id="rId9"/>
    <sheet name="Dashboard" sheetId="17" r:id="rId10"/>
    <sheet name="Country_List" sheetId="7" r:id="rId11"/>
    <sheet name="Sheet1" sheetId="18" r:id="rId12"/>
  </sheets>
  <definedNames>
    <definedName name="_xlnm._FilterDatabase" localSheetId="8" hidden="1">Barbados!$A$1:$P$96</definedName>
    <definedName name="_xlnm._FilterDatabase" localSheetId="5" hidden="1">OECS!$R$1:$R$1</definedName>
    <definedName name="ABR_BAR" localSheetId="1">Table3[ABR]</definedName>
    <definedName name="ABR_BAR">Table3[ABR]</definedName>
    <definedName name="ABR_GUY" localSheetId="1">Table9[ABR]</definedName>
    <definedName name="ABR_GUY">Table9[ABR]</definedName>
    <definedName name="ABR_JAM" localSheetId="1">Table6[ABR]</definedName>
    <definedName name="ABR_JAM">Table6[ABR]</definedName>
    <definedName name="ABR_OECS" localSheetId="1">Table2[ABR]</definedName>
    <definedName name="ABR_OECS">Table2[ABR]</definedName>
    <definedName name="ABR_TT" localSheetId="1">Table7[ABR]</definedName>
    <definedName name="ABR_TT">Table7[ABR]</definedName>
    <definedName name="ATT_BAR">Table3[AHT]</definedName>
    <definedName name="ATT_GUY">Table9[AHT]</definedName>
    <definedName name="ATT_JAM">Table6[AHT]</definedName>
    <definedName name="ATT_OECS">Table2[AHT]</definedName>
    <definedName name="ATT_TT">Table7[AHT]</definedName>
    <definedName name="AU_BAR" localSheetId="1">Table3[AO/AU]</definedName>
    <definedName name="AU_BAR">Table3[AO/AU]</definedName>
    <definedName name="AU_GUY" localSheetId="1">Table9[AO/AU]</definedName>
    <definedName name="AU_GUY">Table9[AO/AU]</definedName>
    <definedName name="AU_JAM" localSheetId="1">Table6[AO/AU]</definedName>
    <definedName name="AU_JAM">Table6[AO/AU]</definedName>
    <definedName name="AU_OECS" localSheetId="1">Table2[AO/AU]</definedName>
    <definedName name="AU_OECS">Table2[AO/AU]</definedName>
    <definedName name="AU_TT" localSheetId="1">Table7[AO/AU]</definedName>
    <definedName name="AU_TT">Table7[AO/AU]</definedName>
    <definedName name="avg_chart_ATT_JAM">AVG([0]!chart_ATT_JAM)</definedName>
    <definedName name="calls_ans_BAR" localSheetId="1">Table3[Calls Ans]</definedName>
    <definedName name="calls_ans_BAR">Table3[Calls Ans]</definedName>
    <definedName name="calls_ans_GUY" localSheetId="1">Table9[Calls Ans]</definedName>
    <definedName name="calls_ans_GUY">Table9[Calls Ans]</definedName>
    <definedName name="calls_ans_JAM" localSheetId="1">Table6[Calls Ans]</definedName>
    <definedName name="calls_ans_JAM">Table6[Calls Ans]</definedName>
    <definedName name="calls_ans_OECS" localSheetId="1">Table2[Calls Ans]</definedName>
    <definedName name="calls_ans_OECS">Table2[Calls Ans]</definedName>
    <definedName name="calls_ans_TT" localSheetId="1">Table7[Calls Ans]</definedName>
    <definedName name="calls_ans_TT">Table7[Calls Ans]</definedName>
    <definedName name="calls_off_BAR" localSheetId="1">Table3[Calls Off]</definedName>
    <definedName name="calls_off_BAR">Table3[Calls Off]</definedName>
    <definedName name="calls_off_GUY" localSheetId="1">Table9[Calls Off]</definedName>
    <definedName name="calls_off_GUY">Table9[Calls Off]</definedName>
    <definedName name="calls_off_JAM" localSheetId="1">Table6[Calls Off]</definedName>
    <definedName name="calls_off_JAM">Table6[Calls Off]</definedName>
    <definedName name="calls_off_OECS" localSheetId="1">Table2[Calls Off]</definedName>
    <definedName name="calls_off_OECS">Table2[Calls Off]</definedName>
    <definedName name="calls_off_TT" localSheetId="1">Table7[Calls Off]</definedName>
    <definedName name="calls_off_TT">Table7[Calls Off]</definedName>
    <definedName name="chart_ABR_BAR" localSheetId="1">INDEX('Live Chat KPIs - Monthly'!ABR_BAR,MATCH(Barbados!$V$111,'Live Chat KPIs - Monthly'!period_BAR,0)):INDEX('Live Chat KPIs - Monthly'!ABR_BAR,MATCH(Barbados!$V$112,'Live Chat KPIs - Monthly'!period_BAR,0))</definedName>
    <definedName name="chart_ABR_GUY" localSheetId="1">INDEX('Live Chat KPIs - Monthly'!ABR_GUY,MATCH(Guyana!$U$110,'Live Chat KPIs - Monthly'!period_GUY,0)):INDEX('Live Chat KPIs - Monthly'!ABR_GUY,MATCH(Guyana!$U$111,'Live Chat KPIs - Monthly'!period_GUY,0))</definedName>
    <definedName name="chart_ABR_JAM" localSheetId="1">INDEX('Live Chat KPIs - Monthly'!ABR_JAM,MATCH(Jamaica!$V$108,'Live Chat KPIs - Monthly'!period_JAM,0)):INDEX('Live Chat KPIs - Monthly'!ABR_JAM,MATCH(Jamaica!$V$109,'Live Chat KPIs - Monthly'!period_JAM,0))</definedName>
    <definedName name="chart_ABR_OECS" localSheetId="1">INDEX('Live Chat KPIs - Monthly'!ABR_OECS,MATCH(OECS!$U$128,'Live Chat KPIs - Monthly'!period_OECS,0)):INDEX('Live Chat KPIs - Monthly'!ABR_OECS,MATCH(OECS!$U$129,'Live Chat KPIs - Monthly'!period_OECS,0))</definedName>
    <definedName name="chart_ABR_TT" localSheetId="1">INDEX('Live Chat KPIs - Monthly'!ABR_TT,MATCH('Trinidad and Tobago'!$W$120,'Live Chat KPIs - Monthly'!period_TT,0)):INDEX('Live Chat KPIs - Monthly'!ABR_TT,MATCH('Trinidad and Tobago'!$W$121,'Live Chat KPIs - Monthly'!period_TT,0))</definedName>
    <definedName name="chart_ATT">INDEX(ATT_JAM,MATCH(Jamaica!$AA$5,WoW_dates_JAM,0)):INDEX(WoW_dates_JAM,MATCH(Jamaica!$AA$6,WoW_dates_JAM,0))</definedName>
    <definedName name="chart_ATT_BAR">INDEX([0]!ATT_BAR,MATCH(Barbados!$V$111,'Live Chat KPIs - Monthly'!period_BAR,0)):INDEX([0]!ATT_BAR,MATCH(Barbados!$V$112,'Live Chat KPIs - Monthly'!period_BAR,0))</definedName>
    <definedName name="chart_ATT_GUY">INDEX([0]!ATT_GUY,MATCH(Guyana!$U$110,'Live Chat KPIs - Monthly'!period_GUY,0)):INDEX([0]!ATT_GUY,MATCH(Guyana!$U$111,'Live Chat KPIs - Monthly'!period_GUY,0))</definedName>
    <definedName name="chart_ATT_JAM">INDEX([0]!ATT_JAM,MATCH(Jamaica!$V$108,'Live Chat KPIs - Monthly'!period_JAM,0)):INDEX([0]!ATT_JAM,MATCH(Jamaica!$V$109,'Live Chat KPIs - Monthly'!period_JAM,0))</definedName>
    <definedName name="chart_ATT_OECS">INDEX([0]!ATT_OECS,MATCH(OECS!$U$128,'Live Chat KPIs - Monthly'!period_OECS,0)):INDEX([0]!ATT_OECS,MATCH(OECS!$U$129,'Live Chat KPIs - Monthly'!period_OECS,0))</definedName>
    <definedName name="chart_ATT_TT">INDEX([0]!ATT_TT,MATCH('Trinidad and Tobago'!$W$120,'Live Chat KPIs - Monthly'!period_TT,0)):INDEX([0]!ATT_TT,MATCH('Trinidad and Tobago'!$W$121,'Live Chat KPIs - Monthly'!period_TT,0))</definedName>
    <definedName name="chart_AU_BAR" localSheetId="1">INDEX('Live Chat KPIs - Monthly'!AU_BAR,MATCH(Barbados!$V$111,'Live Chat KPIs - Monthly'!period_BAR,0)):INDEX('Live Chat KPIs - Monthly'!AU_BAR,MATCH(Barbados!$V$112,'Live Chat KPIs - Monthly'!period_BAR,0))</definedName>
    <definedName name="chart_AU_GUY" localSheetId="1">INDEX('Live Chat KPIs - Monthly'!AU_GUY,MATCH(Guyana!$U$110,'Live Chat KPIs - Monthly'!period_GUY,0)):INDEX('Live Chat KPIs - Monthly'!AU_GUY,MATCH(Guyana!$U$111,'Live Chat KPIs - Monthly'!period_GUY,0))</definedName>
    <definedName name="chart_AU_JAM" localSheetId="1">INDEX('Live Chat KPIs - Monthly'!AU_JAM,MATCH(Jamaica!$V$108,'Live Chat KPIs - Monthly'!period_JAM,0)):INDEX('Live Chat KPIs - Monthly'!AU_JAM,MATCH(Jamaica!$V$109,'Live Chat KPIs - Monthly'!period_JAM,0))</definedName>
    <definedName name="chart_AU_OECS" localSheetId="1">INDEX('Live Chat KPIs - Monthly'!AU_OECS,MATCH(OECS!$U$128,'Live Chat KPIs - Monthly'!period_OECS,0)):INDEX('Live Chat KPIs - Monthly'!AU_OECS,MATCH(OECS!$U$129,'Live Chat KPIs - Monthly'!period_OECS,0))</definedName>
    <definedName name="chart_AU_TT" localSheetId="1">INDEX('Live Chat KPIs - Monthly'!AU_TT,MATCH('Trinidad and Tobago'!$W$120,'Live Chat KPIs - Monthly'!period_TT,0)):INDEX('Live Chat KPIs - Monthly'!AU_TT,MATCH('Trinidad and Tobago'!$W$121,'Live Chat KPIs - Monthly'!period_TT,0))</definedName>
    <definedName name="chart_calls_ans_BAR" localSheetId="1">INDEX('Live Chat KPIs - Monthly'!calls_ans_BAR,MATCH(Barbados!$V$111,'Live Chat KPIs - Monthly'!period_BAR,0)):INDEX('Live Chat KPIs - Monthly'!calls_ans_BAR,MATCH(Barbados!$V$112,'Live Chat KPIs - Monthly'!period_BAR,0))</definedName>
    <definedName name="chart_calls_ans_GUY" localSheetId="1">INDEX('Live Chat KPIs - Monthly'!calls_ans_GUY,MATCH(Guyana!$U$110,'Live Chat KPIs - Monthly'!period_GUY,0)):INDEX('Live Chat KPIs - Monthly'!calls_ans_GUY,MATCH(Guyana!$U$111,'Live Chat KPIs - Monthly'!period_GUY,0))</definedName>
    <definedName name="chart_calls_ans_JAM" localSheetId="1">INDEX('Live Chat KPIs - Monthly'!calls_ans_JAM,MATCH(Jamaica!$V$108,'Live Chat KPIs - Monthly'!period_JAM,0)):INDEX('Live Chat KPIs - Monthly'!calls_ans_JAM,MATCH(Jamaica!$V$109,'Live Chat KPIs - Monthly'!period_JAM,0))</definedName>
    <definedName name="chart_calls_ans_OECS" localSheetId="1">INDEX('Live Chat KPIs - Monthly'!calls_ans_OECS,MATCH(OECS!$U$128,'Live Chat KPIs - Monthly'!period_OECS,0)):INDEX('Live Chat KPIs - Monthly'!calls_ans_OECS,MATCH(OECS!$U$129,'Live Chat KPIs - Monthly'!period_OECS,0))</definedName>
    <definedName name="chart_calls_ans_TT" localSheetId="1">INDEX('Live Chat KPIs - Monthly'!calls_ans_TT,MATCH('Trinidad and Tobago'!$W$120,'Live Chat KPIs - Monthly'!period_TT,0)):INDEX('Live Chat KPIs - Monthly'!calls_ans_TT,MATCH('Trinidad and Tobago'!$W$121,'Live Chat KPIs - Monthly'!period_TT,0))</definedName>
    <definedName name="chart_calls_off_BAR" localSheetId="1">INDEX('Live Chat KPIs - Monthly'!calls_off_BAR,MATCH(Barbados!$V$111,'Live Chat KPIs - Monthly'!period_BAR,0)):INDEX('Live Chat KPIs - Monthly'!calls_off_BAR,MATCH(Barbados!$V$112,'Live Chat KPIs - Monthly'!period_BAR,0))</definedName>
    <definedName name="chart_calls_off_GUY" localSheetId="1">INDEX('Live Chat KPIs - Monthly'!calls_off_GUY,MATCH(Guyana!$U$110,'Live Chat KPIs - Monthly'!period_GUY,0)):INDEX('Live Chat KPIs - Monthly'!calls_off_GUY,MATCH(Guyana!$U$111,'Live Chat KPIs - Monthly'!period_GUY,0))</definedName>
    <definedName name="chart_calls_off_JAM" localSheetId="1">INDEX('Live Chat KPIs - Monthly'!calls_off_JAM,MATCH(Jamaica!$V$108,'Live Chat KPIs - Monthly'!period_JAM,0)):INDEX('Live Chat KPIs - Monthly'!calls_off_JAM,MATCH(Jamaica!$V$109,'Live Chat KPIs - Monthly'!period_JAM,0))</definedName>
    <definedName name="chart_calls_off_OECS" localSheetId="1">INDEX('Live Chat KPIs - Monthly'!calls_off_OECS,MATCH(OECS!$U$128,'Live Chat KPIs - Monthly'!period_OECS,0)):INDEX('Live Chat KPIs - Monthly'!calls_off_OECS,MATCH(OECS!$U$129,'Live Chat KPIs - Monthly'!period_OECS,0))</definedName>
    <definedName name="chart_calls_off_TT" localSheetId="1">INDEX('Live Chat KPIs - Monthly'!calls_off_TT,MATCH('Trinidad and Tobago'!$W$120,'Live Chat KPIs - Monthly'!period_TT,0)):INDEX('Live Chat KPIs - Monthly'!calls_off_TT,MATCH('Trinidad and Tobago'!$W$121,'Live Chat KPIs - Monthly'!period_TT,0))</definedName>
    <definedName name="chart_period_ATT_JAM">INDEX([0]!period_JAM,MATCH(Jamaica!$V$108,'Live Chat KPIs - Monthly'!period_JAM,0)):INDEX([0]!period_JAM,MATCH(Jamaica!$V$109,'Live Chat KPIs - Monthly'!period_JAM,0))</definedName>
    <definedName name="chart_period_BAR" localSheetId="1">INDEX('Live Chat KPIs - Monthly'!period_BAR,MATCH(Barbados!$V$111,'Live Chat KPIs - Monthly'!period_BAR,0)):INDEX('Live Chat KPIs - Monthly'!period_BAR,MATCH(Barbados!$V$112,'Live Chat KPIs - Monthly'!period_BAR,0))</definedName>
    <definedName name="chart_period_GUY" localSheetId="1">INDEX('Live Chat KPIs - Monthly'!period_GUY,MATCH(Guyana!$U$110,'Live Chat KPIs - Monthly'!period_GUY,0)):INDEX('Live Chat KPIs - Monthly'!period_GUY,MATCH(Guyana!$U$111,'Live Chat KPIs - Monthly'!period_GUY,0))</definedName>
    <definedName name="chart_period_JAM" localSheetId="1">INDEX('Live Chat KPIs - Monthly'!period_JAM,MATCH(Jamaica!$V$108,'Live Chat KPIs - Monthly'!period_JAM,0)):INDEX('Live Chat KPIs - Monthly'!period_JAM,MATCH(Jamaica!$V$109,'Live Chat KPIs - Monthly'!period_JAM,0))</definedName>
    <definedName name="chart_period_OECS" localSheetId="1">INDEX('Live Chat KPIs - Monthly'!period_OECS,MATCH(OECS!$U$128,'Live Chat KPIs - Monthly'!period_OECS,0)):INDEX('Live Chat KPIs - Monthly'!period_OECS,MATCH(OECS!$U$129,'Live Chat KPIs - Monthly'!period_OECS,0))</definedName>
    <definedName name="chart_period_TT" localSheetId="1">INDEX('Live Chat KPIs - Monthly'!period_TT,MATCH('Trinidad and Tobago'!$W$120,'Live Chat KPIs - Monthly'!period_TT,0)):INDEX('Live Chat KPIs - Monthly'!period_TT,MATCH('Trinidad and Tobago'!$W$121,'Live Chat KPIs - Monthly'!period_TT,0))</definedName>
    <definedName name="chart_period_WoW_BAR" localSheetId="1">INDEX('Live Chat KPIs - Monthly'!WoW_dates_BAR,MATCH(Barbados!$AF$3,'Live Chat KPIs - Monthly'!WoW_dates_BAR,0)):INDEX('Live Chat KPIs - Monthly'!WoW_dates_BAR,MATCH(Barbados!$AF$4,'Live Chat KPIs - Monthly'!WoW_dates_BAR,0))</definedName>
    <definedName name="chart_period_WoW_BAR">INDEX(WoW_dates_BAR,MATCH(Barbados!$AF$3,WoW_dates_BAR,0)):INDEX(WoW_dates_BAR,MATCH(Barbados!$AF$4,WoW_dates_BAR,0))</definedName>
    <definedName name="chart_period_WoW_GUY" localSheetId="1">INDEX('Live Chat KPIs - Monthly'!WoW_dates_GUY,MATCH(Guyana!$X$3,'Live Chat KPIs - Monthly'!WoW_dates_GUY,0)):INDEX('Live Chat KPIs - Monthly'!WoW_dates_GUY,MATCH(Guyana!$X$4,'Live Chat KPIs - Monthly'!WoW_dates_GUY,0))</definedName>
    <definedName name="chart_period_WoW_GUY">INDEX(WoW_dates_GUY,MATCH(Guyana!$X$3,WoW_dates_GUY,0)):INDEX(WoW_dates_GUY,MATCH(Guyana!$X$4,WoW_dates_GUY,0))</definedName>
    <definedName name="chart_period_WoW_JAM" localSheetId="1">INDEX('Live Chat KPIs - Monthly'!WoW_dates_JAM,MATCH(Jamaica!$AA$5,'Live Chat KPIs - Monthly'!WoW_dates_JAM,0)):INDEX('Live Chat KPIs - Monthly'!WoW_dates_JAM,MATCH(Jamaica!$AA$6,'Live Chat KPIs - Monthly'!WoW_dates_JAM,0))</definedName>
    <definedName name="chart_period_WoW_JAM">INDEX(WoW_dates_JAM,MATCH(Jamaica!$AA$5,WoW_dates_JAM,0)):INDEX(WoW_dates_JAM,MATCH(Jamaica!$AA$6,WoW_dates_JAM,0))</definedName>
    <definedName name="chart_period_WoW_OECS" localSheetId="1">INDEX('Live Chat KPIs - Monthly'!WoW_dates_OECS,MATCH(OECS!$Y$7,'Live Chat KPIs - Monthly'!WoW_dates_OECS,0)):INDEX('Live Chat KPIs - Monthly'!WoW_dates_OECS,MATCH(OECS!$Y$8,'Live Chat KPIs - Monthly'!WoW_dates_OECS,0))</definedName>
    <definedName name="chart_period_WoW_OECS">INDEX(WoW_dates_OECS,MATCH(OECS!$Y$7,WoW_dates_OECS,0)):INDEX(WoW_dates_OECS,MATCH(OECS!$Y$8,WoW_dates_OECS,0))</definedName>
    <definedName name="chart_period_WoW_TT" localSheetId="1">INDEX('Live Chat KPIs - Monthly'!WoW_dates_TT,MATCH('Trinidad and Tobago'!$Z$6,'Live Chat KPIs - Monthly'!WoW_dates_TT,0)):INDEX('Live Chat KPIs - Monthly'!WoW_dates_TT,MATCH('Trinidad and Tobago'!$Z$7,'Live Chat KPIs - Monthly'!WoW_dates_TT,0))</definedName>
    <definedName name="chart_period_WoW_TT">INDEX(WoW_dates_TT,MATCH('Trinidad and Tobago'!$Z$6,WoW_dates_TT,0)):INDEX(WoW_dates_TT,MATCH('Trinidad and Tobago'!$Z$7,WoW_dates_TT,0))</definedName>
    <definedName name="chart_SL_BAR" localSheetId="1">INDEX('Live Chat KPIs - Monthly'!SL_BAR,MATCH(Barbados!$V$111,'Live Chat KPIs - Monthly'!period_BAR,0)):INDEX('Live Chat KPIs - Monthly'!SL_BAR,MATCH(Barbados!$V$112,'Live Chat KPIs - Monthly'!period_BAR,0))</definedName>
    <definedName name="chart_SL_GUY" localSheetId="1">INDEX('Live Chat KPIs - Monthly'!SL_GUY,MATCH(Guyana!$U$110,'Live Chat KPIs - Monthly'!period_GUY,0)):INDEX('Live Chat KPIs - Monthly'!SL_GUY,MATCH(Guyana!$U$111,'Live Chat KPIs - Monthly'!period_GUY,0))</definedName>
    <definedName name="chart_SL_JAM" localSheetId="1">INDEX('Live Chat KPIs - Monthly'!SL_JAM,MATCH(Jamaica!$V$108,'Live Chat KPIs - Monthly'!period_JAM,0)):INDEX('Live Chat KPIs - Monthly'!SL_JAM,MATCH(Jamaica!$V$109,'Live Chat KPIs - Monthly'!period_JAM,0))</definedName>
    <definedName name="chart_SL_OECS" localSheetId="1">INDEX('Live Chat KPIs - Monthly'!SL_OECS,MATCH(OECS!$U$128,'Live Chat KPIs - Monthly'!period_OECS,0)):INDEX('Live Chat KPIs - Monthly'!SL_OECS,MATCH(OECS!$U$129,'Live Chat KPIs - Monthly'!period_OECS,0))</definedName>
    <definedName name="chart_SL_TT" localSheetId="1">INDEX('Live Chat KPIs - Monthly'!SL_TT,MATCH('Trinidad and Tobago'!$W$120,'Live Chat KPIs - Monthly'!period_TT,0)):INDEX('Live Chat KPIs - Monthly'!SL_TT,MATCH('Trinidad and Tobago'!$W$121,'Live Chat KPIs - Monthly'!period_TT,0))</definedName>
    <definedName name="chart_WFM_BAR" localSheetId="1">INDEX('Live Chat KPIs - Monthly'!period_BAR_WFM,MATCH(Barbados!$V$111,'Live Chat KPIs - Monthly'!period_BAR,0)):INDEX('Live Chat KPIs - Monthly'!period_BAR_WFM,MATCH(Barbados!$V$112,'Live Chat KPIs - Monthly'!period_BAR,0))</definedName>
    <definedName name="chart_WFM_GUY">INDEX(period_GUY_WF,MATCH(Guyana!$U$110,period_GUY,0)):INDEX(period_GUY_WF,MATCH(Guyana!$U$111,period_GUY,0))</definedName>
    <definedName name="chart_WFM_JAM" localSheetId="1">INDEX('Live Chat KPIs - Monthly'!period_JAM_WFM,MATCH(Jamaica!$V$108,'Live Chat KPIs - Monthly'!period_JAM,0)):INDEX('Live Chat KPIs - Monthly'!period_JAM_WFM,MATCH(Jamaica!$V$109,'Live Chat KPIs - Monthly'!period_JAM,0))</definedName>
    <definedName name="chart_WFM_OECS" localSheetId="1">INDEX([0]!period_OECS_WF,MATCH(OECS!$U$128,'Live Chat KPIs - Monthly'!period_OECS,0)):INDEX([0]!period_OECS_WF,MATCH(OECS!$U$129,'Live Chat KPIs - Monthly'!period_OECS,0))</definedName>
    <definedName name="chart_WFM_TTO" localSheetId="1">INDEX('Live Chat KPIs - Monthly'!period_TT_WFM,MATCH('Trinidad and Tobago'!$W$120,'Live Chat KPIs - Monthly'!period_TT,0)):INDEX('Live Chat KPIs - Monthly'!period_TT_WFM,MATCH('Trinidad and Tobago'!$W$121,'Live Chat KPIs - Monthly'!period_TT,0))</definedName>
    <definedName name="chart_WoW_ans_BAR_percent" localSheetId="1">INDEX('Live Chat KPIs - Monthly'!percent_WoW_ans_BAR,MATCH(Barbados!$V$111,'Live Chat KPIs - Monthly'!period_BAR,0)):INDEX('Live Chat KPIs - Monthly'!percent_WoW_ans_BAR,MATCH(Barbados!$V$112,'Live Chat KPIs - Monthly'!period_BAR,0))</definedName>
    <definedName name="chart_WoW_ans_GUY_percent" localSheetId="1">INDEX('Live Chat KPIs - Monthly'!percent_WoW_ans_GUY,MATCH(Guyana!$U$110,'Live Chat KPIs - Monthly'!period_GUY,0)):INDEX('Live Chat KPIs - Monthly'!percent_WoW_ans_GUY,MATCH(Guyana!$U$111,'Live Chat KPIs - Monthly'!period_GUY,0))</definedName>
    <definedName name="chart_WoW_ans_JAM_percent" localSheetId="1">INDEX('Live Chat KPIs - Monthly'!percent_WoW_ans_JAM,MATCH(Jamaica!$V$108,'Live Chat KPIs - Monthly'!period_JAM,0)):INDEX('Live Chat KPIs - Monthly'!percent_WoW_ans_JAM,MATCH(Jamaica!$V$109,'Live Chat KPIs - Monthly'!period_JAM,0))</definedName>
    <definedName name="chart_WoW_ans_OECS" localSheetId="1">INDEX('Live Chat KPIs - Monthly'!percent_WoW_ans_OECS,MATCH(OECS!$U$128,'Live Chat KPIs - Monthly'!period_OECS,0)):INDEX('Live Chat KPIs - Monthly'!percent_WoW_ans_OECS,MATCH(OECS!$U$129,'Live Chat KPIs - Monthly'!period_OECS,0))</definedName>
    <definedName name="chart_WoW_ans_TT_percent" localSheetId="1">INDEX('Live Chat KPIs - Monthly'!percent_WoW_ans_TT,MATCH('Trinidad and Tobago'!$W$120,'Live Chat KPIs - Monthly'!period_TT,0)):INDEX('Live Chat KPIs - Monthly'!percent_WoW_ans_TT,MATCH('Trinidad and Tobago'!$W$121,'Live Chat KPIs - Monthly'!period_TT,0))</definedName>
    <definedName name="chart_WoW_off_BAR_percent" localSheetId="1">INDEX('Live Chat KPIs - Monthly'!percent_WoW_off_BAR,MATCH(Barbados!$V$111,'Live Chat KPIs - Monthly'!period_BAR,0)):INDEX('Live Chat KPIs - Monthly'!percent_WoW_off_BAR,MATCH(Barbados!$V$112,'Live Chat KPIs - Monthly'!period_BAR,0))</definedName>
    <definedName name="chart_WoW_off_GUY_percent" localSheetId="1">INDEX('Live Chat KPIs - Monthly'!percent_WoW_off_GUY,MATCH(Guyana!$U$110,'Live Chat KPIs - Monthly'!period_GUY,0)):INDEX('Live Chat KPIs - Monthly'!percent_WoW_off_GUY,MATCH(Guyana!$U$111,'Live Chat KPIs - Monthly'!period_GUY,0))</definedName>
    <definedName name="chart_WoW_off_JAM_percent" localSheetId="1">INDEX('Live Chat KPIs - Monthly'!percent_WoW_off_JAM,MATCH(Jamaica!$V$108,'Live Chat KPIs - Monthly'!period_JAM,0)):INDEX('Live Chat KPIs - Monthly'!percent_WoW_off_JAM,MATCH(Jamaica!$V$109,'Live Chat KPIs - Monthly'!period_JAM,0))</definedName>
    <definedName name="chart_WoW_off_OECS" localSheetId="1">INDEX('Live Chat KPIs - Monthly'!percent_WoW_off_OECS,MATCH(OECS!$U$128,'Live Chat KPIs - Monthly'!period_OECS,0)):INDEX('Live Chat KPIs - Monthly'!percent_WoW_off_OECS,MATCH(OECS!$U$129,'Live Chat KPIs - Monthly'!period_OECS,0))</definedName>
    <definedName name="chart_WoW_off_TT_percent" localSheetId="1">INDEX('Live Chat KPIs - Monthly'!percent_WoW_off_TT,MATCH('Trinidad and Tobago'!$W$120,'Live Chat KPIs - Monthly'!period_TT,0)):INDEX('Live Chat KPIs - Monthly'!percent_WoW_off_TT,MATCH('Trinidad and Tobago'!$W$121,'Live Chat KPIs - Monthly'!period_TT,0))</definedName>
    <definedName name="percent_WoW_ans_BAR" localSheetId="1">Table3[WoW % change (ans)]</definedName>
    <definedName name="percent_WoW_ans_BAR">Table3[WoW % change (ans)]</definedName>
    <definedName name="percent_WoW_ans_GUY" localSheetId="1">Table9[WoW % change (ans)]</definedName>
    <definedName name="percent_WoW_ans_GUY">Table9[WoW % change (ans)]</definedName>
    <definedName name="percent_WoW_ans_JAM" localSheetId="1">Table6[WoW % change (ans)]</definedName>
    <definedName name="percent_WoW_ans_JAM">Table6[WoW % change (ans)]</definedName>
    <definedName name="percent_WoW_ans_OECS" localSheetId="1">Table2[WoW % change (ans)]</definedName>
    <definedName name="percent_WoW_ans_OECS">Table2[WoW % change (ans)]</definedName>
    <definedName name="percent_WoW_ans_TT" localSheetId="1">Table7[WoW % change (ans)]</definedName>
    <definedName name="percent_WoW_ans_TT">Table7[WoW % change (ans)]</definedName>
    <definedName name="percent_WoW_off_BAR" localSheetId="1">Table3[WoW % change (offer)]</definedName>
    <definedName name="percent_WoW_off_BAR">Table3[WoW % change (offer)]</definedName>
    <definedName name="percent_WoW_off_GUY" localSheetId="1">Table9[WoW % change (offer)]</definedName>
    <definedName name="percent_WoW_off_GUY">Table9[WoW % change (offer)]</definedName>
    <definedName name="percent_WoW_off_JAM" localSheetId="1">Table6[WoW % change (offer)]</definedName>
    <definedName name="percent_WoW_off_JAM">Table6[WoW % change (offer)]</definedName>
    <definedName name="percent_WoW_off_OECS" localSheetId="1">Table2[WoW % change (offer)]</definedName>
    <definedName name="percent_WoW_off_OECS">Table2[WoW % change (offer)]</definedName>
    <definedName name="percent_WoW_off_TT" localSheetId="1">Table7[WoW % change (offer)]</definedName>
    <definedName name="percent_WoW_off_TT">Table7[WoW % change (offer)]</definedName>
    <definedName name="period_BAR" localSheetId="1">Table3[Date]</definedName>
    <definedName name="period_BAR">Table3[Date]</definedName>
    <definedName name="period_BAR_WFM" localSheetId="1">Table3[Agents Log]</definedName>
    <definedName name="period_BAR_WFM">Table3[Agents Log]</definedName>
    <definedName name="period_GUY" localSheetId="1">Table9[Date]</definedName>
    <definedName name="period_GUY">Table9[Date]</definedName>
    <definedName name="period_GUY_WF" localSheetId="1">Table9[Agents Log]</definedName>
    <definedName name="period_GUY_WF">Table9[Agents Log]</definedName>
    <definedName name="period_JAM" localSheetId="1">Table6[Date]</definedName>
    <definedName name="period_JAM">Table6[Date]</definedName>
    <definedName name="period_JAM_WFM" localSheetId="1">Table6[Agents Log]</definedName>
    <definedName name="period_JAM_WFM">Table6[Agents Log]</definedName>
    <definedName name="period_OECS" localSheetId="1">Table2[Date]</definedName>
    <definedName name="period_OECS">Table2[Date]</definedName>
    <definedName name="period_OECS_WF">OECS!$R$2:$R$366</definedName>
    <definedName name="period_TT" localSheetId="1">Table7[Date]</definedName>
    <definedName name="period_TT">Table7[Date]</definedName>
    <definedName name="period_TT_WFM" localSheetId="1">Table7[Agents Log]</definedName>
    <definedName name="period_TT_WFM">Table7[Agents Log]</definedName>
    <definedName name="SL_BAR" localSheetId="1">Table3[SL]</definedName>
    <definedName name="SL_BAR">Table3[SL]</definedName>
    <definedName name="SL_GUY" localSheetId="1">Table9[SL]</definedName>
    <definedName name="SL_GUY">Table9[SL]</definedName>
    <definedName name="SL_JAM" localSheetId="1">Table6[SL]</definedName>
    <definedName name="SL_JAM">Table6[SL]</definedName>
    <definedName name="SL_OECS" localSheetId="1">Table2[SL]</definedName>
    <definedName name="SL_OECS">Table2[SL]</definedName>
    <definedName name="SL_TT" localSheetId="1">Table7[SL]</definedName>
    <definedName name="SL_TT">Table7[SL]</definedName>
    <definedName name="WoW_calls_ans" localSheetId="1">Table4[Sum of Calls - Answered]</definedName>
    <definedName name="WoW_calls_ans">Table4[Sum of Calls - Answered]</definedName>
    <definedName name="WoW_calls_off" localSheetId="1">Table4[Sum of Calls - Offered]</definedName>
    <definedName name="WoW_calls_off">Table4[Sum of Calls - Offered]</definedName>
    <definedName name="WoW_dates_BAR" localSheetId="1">Table14[Week of]</definedName>
    <definedName name="WoW_dates_BAR">Table14[Week of]</definedName>
    <definedName name="WoW_dates_GUY" localSheetId="1">Table10[Week of]</definedName>
    <definedName name="WoW_dates_GUY">Table10[Week of]</definedName>
    <definedName name="WoW_dates_JAM" localSheetId="1">Table13[Week of]</definedName>
    <definedName name="WoW_dates_JAM">Table13[Week of]</definedName>
    <definedName name="WoW_dates_OECS" localSheetId="1">Table8[Week Of]</definedName>
    <definedName name="WoW_dates_OECS">Table8[Week Of]</definedName>
    <definedName name="WoW_dates_TT" localSheetId="1">Table4[Week of]</definedName>
    <definedName name="WoW_dates_TT">Table4[Week of]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42" i="10" l="1"/>
  <c r="J21" i="18"/>
  <c r="J20" i="18" l="1"/>
  <c r="J19" i="18"/>
  <c r="K19" i="18"/>
  <c r="K20" i="18"/>
  <c r="K21" i="18" s="1"/>
  <c r="N20" i="18"/>
  <c r="M20" i="18"/>
  <c r="L20" i="18"/>
  <c r="I20" i="18"/>
  <c r="O20" i="18" l="1"/>
  <c r="L369" i="8" l="1"/>
  <c r="U239" i="8"/>
  <c r="J12" i="18"/>
  <c r="K12" i="18"/>
  <c r="L12" i="18"/>
  <c r="M12" i="18"/>
  <c r="I12" i="18"/>
  <c r="U258" i="11"/>
  <c r="S258" i="12"/>
  <c r="U284" i="9"/>
  <c r="I93" i="10" l="1"/>
  <c r="I94" i="10" s="1"/>
  <c r="I96" i="10" s="1"/>
  <c r="I97" i="10" s="1"/>
  <c r="I100" i="10" s="1"/>
  <c r="I101" i="10" s="1"/>
  <c r="I103" i="10" s="1"/>
  <c r="I104" i="10" s="1"/>
  <c r="I105" i="10" s="1"/>
  <c r="I106" i="10" s="1"/>
  <c r="I107" i="10" s="1"/>
  <c r="I108" i="10" s="1"/>
  <c r="I110" i="10" s="1"/>
  <c r="I111" i="10" s="1"/>
  <c r="I112" i="10" s="1"/>
  <c r="I113" i="10" s="1"/>
  <c r="I114" i="10" s="1"/>
  <c r="I115" i="10" s="1"/>
  <c r="I117" i="10" s="1"/>
  <c r="I118" i="10" s="1"/>
  <c r="I119" i="10" s="1"/>
  <c r="I120" i="10" s="1"/>
  <c r="I121" i="10" s="1"/>
  <c r="I122" i="10" s="1"/>
  <c r="H93" i="10"/>
  <c r="H94" i="10" s="1"/>
  <c r="H96" i="10" s="1"/>
  <c r="H97" i="10" s="1"/>
  <c r="H100" i="10" s="1"/>
  <c r="H101" i="10" s="1"/>
  <c r="H103" i="10" s="1"/>
  <c r="H104" i="10" s="1"/>
  <c r="H105" i="10" s="1"/>
  <c r="H106" i="10" s="1"/>
  <c r="H107" i="10" s="1"/>
  <c r="H108" i="10" s="1"/>
  <c r="H110" i="10" s="1"/>
  <c r="H111" i="10" s="1"/>
  <c r="H112" i="10" s="1"/>
  <c r="H113" i="10" s="1"/>
  <c r="H114" i="10" s="1"/>
  <c r="H115" i="10" s="1"/>
  <c r="H117" i="10" s="1"/>
  <c r="H118" i="10" s="1"/>
  <c r="H119" i="10" s="1"/>
  <c r="H120" i="10" s="1"/>
  <c r="H121" i="10" s="1"/>
  <c r="H122" i="10" s="1"/>
  <c r="I89" i="10"/>
  <c r="I90" i="10" s="1"/>
  <c r="I91" i="10" s="1"/>
  <c r="I92" i="10" s="1"/>
  <c r="H89" i="10"/>
  <c r="H90" i="10" s="1"/>
  <c r="H91" i="10" s="1"/>
  <c r="H92" i="10" s="1"/>
  <c r="I93" i="11"/>
  <c r="H93" i="11"/>
  <c r="H94" i="11" s="1"/>
  <c r="H97" i="11" s="1"/>
  <c r="H98" i="11" s="1"/>
  <c r="H99" i="11" s="1"/>
  <c r="H100" i="11" s="1"/>
  <c r="H103" i="11" s="1"/>
  <c r="H104" i="11" s="1"/>
  <c r="H105" i="11" s="1"/>
  <c r="H106" i="11" s="1"/>
  <c r="H107" i="11" s="1"/>
  <c r="H108" i="11" s="1"/>
  <c r="H110" i="11" s="1"/>
  <c r="H111" i="11" s="1"/>
  <c r="H112" i="11" s="1"/>
  <c r="H113" i="11" s="1"/>
  <c r="H114" i="11" s="1"/>
  <c r="H115" i="11" s="1"/>
  <c r="H117" i="11" s="1"/>
  <c r="H118" i="11" s="1"/>
  <c r="H119" i="11" s="1"/>
  <c r="H120" i="11" s="1"/>
  <c r="H121" i="11" s="1"/>
  <c r="H122" i="11" s="1"/>
  <c r="H91" i="11"/>
  <c r="H92" i="11" s="1"/>
  <c r="I91" i="11"/>
  <c r="I92" i="11" s="1"/>
  <c r="I90" i="11"/>
  <c r="H90" i="11"/>
  <c r="I94" i="11" l="1"/>
  <c r="I97" i="11" s="1"/>
  <c r="I98" i="11" s="1"/>
  <c r="I99" i="11" s="1"/>
  <c r="I100" i="11" s="1"/>
  <c r="I103" i="11" s="1"/>
  <c r="I104" i="11" s="1"/>
  <c r="I105" i="11" s="1"/>
  <c r="I106" i="11" s="1"/>
  <c r="I107" i="11" s="1"/>
  <c r="I108" i="11" s="1"/>
  <c r="I110" i="11" s="1"/>
  <c r="I111" i="11" s="1"/>
  <c r="I112" i="11" s="1"/>
  <c r="I113" i="11" s="1"/>
  <c r="I114" i="11" s="1"/>
  <c r="I115" i="11" s="1"/>
  <c r="I117" i="11" s="1"/>
  <c r="I118" i="11" s="1"/>
  <c r="I119" i="11" s="1"/>
  <c r="I120" i="11" s="1"/>
  <c r="I121" i="11" s="1"/>
  <c r="I122" i="11" s="1"/>
  <c r="U60" i="11" a="1"/>
  <c r="U60" i="11" s="1"/>
  <c r="V60" i="11" a="1"/>
  <c r="V60" i="11" s="1"/>
  <c r="R45" i="15"/>
  <c r="S45" i="15" s="1"/>
  <c r="R41" i="15"/>
  <c r="S41" i="15"/>
  <c r="R44" i="15"/>
  <c r="S44" i="15" s="1"/>
  <c r="R42" i="15"/>
  <c r="S42" i="15"/>
  <c r="S273" i="12"/>
  <c r="S43" i="15"/>
  <c r="R43" i="15"/>
  <c r="P43" i="15"/>
  <c r="U47" i="15"/>
  <c r="T47" i="15"/>
  <c r="Q47" i="15"/>
  <c r="N47" i="15"/>
  <c r="R47" i="15" s="1"/>
  <c r="S47" i="15" s="1"/>
  <c r="M47" i="15"/>
  <c r="O47" i="15" s="1"/>
  <c r="P45" i="15"/>
  <c r="O45" i="15"/>
  <c r="P44" i="15"/>
  <c r="O44" i="15"/>
  <c r="O43" i="15"/>
  <c r="P42" i="15"/>
  <c r="O42" i="15"/>
  <c r="P41" i="15"/>
  <c r="O41" i="15"/>
  <c r="E18" i="16"/>
  <c r="B18" i="16"/>
  <c r="F18" i="16"/>
  <c r="G18" i="16"/>
  <c r="D18" i="16"/>
  <c r="C18" i="16"/>
  <c r="W66" i="8"/>
  <c r="X66" i="8"/>
  <c r="G366" i="10"/>
  <c r="F366" i="10"/>
  <c r="G365" i="10"/>
  <c r="F365" i="10"/>
  <c r="G364" i="10"/>
  <c r="F364" i="10"/>
  <c r="G363" i="10"/>
  <c r="F363" i="10"/>
  <c r="G362" i="10"/>
  <c r="F362" i="10"/>
  <c r="G360" i="10"/>
  <c r="F360" i="10"/>
  <c r="G359" i="10"/>
  <c r="F359" i="10"/>
  <c r="G358" i="10"/>
  <c r="F358" i="10"/>
  <c r="P47" i="15" l="1"/>
  <c r="F366" i="8"/>
  <c r="K366" i="8"/>
  <c r="J366" i="8"/>
  <c r="G366" i="8"/>
  <c r="G359" i="8"/>
  <c r="G364" i="8"/>
  <c r="F364" i="8"/>
  <c r="G363" i="8"/>
  <c r="F363" i="8"/>
  <c r="G362" i="8"/>
  <c r="F362" i="8"/>
  <c r="G360" i="8"/>
  <c r="F360" i="8"/>
  <c r="F359" i="8"/>
  <c r="G358" i="8"/>
  <c r="F358" i="8"/>
  <c r="G366" i="9"/>
  <c r="F366" i="9"/>
  <c r="G365" i="9"/>
  <c r="F365" i="9"/>
  <c r="G364" i="9"/>
  <c r="F364" i="9"/>
  <c r="G363" i="9"/>
  <c r="F363" i="9"/>
  <c r="G362" i="9"/>
  <c r="F362" i="9"/>
  <c r="G360" i="9"/>
  <c r="F360" i="9"/>
  <c r="G359" i="9"/>
  <c r="F359" i="9"/>
  <c r="G358" i="9"/>
  <c r="F358" i="9"/>
  <c r="G366" i="11" l="1"/>
  <c r="F366" i="11"/>
  <c r="G365" i="11"/>
  <c r="F365" i="11"/>
  <c r="G364" i="11"/>
  <c r="F364" i="11"/>
  <c r="G363" i="11"/>
  <c r="F363" i="11"/>
  <c r="G362" i="11"/>
  <c r="F362" i="11"/>
  <c r="G360" i="11"/>
  <c r="F360" i="11"/>
  <c r="G359" i="11"/>
  <c r="F359" i="11"/>
  <c r="G358" i="11"/>
  <c r="F358" i="11"/>
  <c r="G366" i="12"/>
  <c r="F366" i="12"/>
  <c r="F365" i="12"/>
  <c r="G365" i="12"/>
  <c r="G364" i="12"/>
  <c r="F364" i="12"/>
  <c r="G363" i="12"/>
  <c r="F363" i="12"/>
  <c r="G362" i="12"/>
  <c r="F362" i="12"/>
  <c r="G360" i="12"/>
  <c r="F360" i="12"/>
  <c r="G359" i="12"/>
  <c r="F359" i="12"/>
  <c r="G358" i="12"/>
  <c r="F358" i="12"/>
  <c r="S179" i="12"/>
  <c r="U167" i="11"/>
  <c r="U244" i="9"/>
  <c r="V167" i="8"/>
  <c r="F11" i="13"/>
  <c r="E11" i="13"/>
  <c r="F5" i="13"/>
  <c r="F6" i="13"/>
  <c r="F7" i="13"/>
  <c r="F8" i="13"/>
  <c r="F9" i="13"/>
  <c r="E6" i="13"/>
  <c r="E7" i="13"/>
  <c r="E8" i="13"/>
  <c r="E9" i="13"/>
  <c r="E5" i="13"/>
  <c r="K25" i="13"/>
  <c r="J25" i="13"/>
  <c r="G25" i="13"/>
  <c r="D25" i="13"/>
  <c r="C25" i="13"/>
  <c r="H23" i="13"/>
  <c r="I23" i="13" s="1"/>
  <c r="H22" i="13"/>
  <c r="I22" i="13" s="1"/>
  <c r="H21" i="13"/>
  <c r="I21" i="13" s="1"/>
  <c r="H20" i="13"/>
  <c r="I20" i="13" s="1"/>
  <c r="H19" i="13"/>
  <c r="H25" i="13" s="1"/>
  <c r="K11" i="13"/>
  <c r="J11" i="13"/>
  <c r="G11" i="13"/>
  <c r="H9" i="13"/>
  <c r="I9" i="13" s="1"/>
  <c r="H8" i="13"/>
  <c r="I8" i="13" s="1"/>
  <c r="H7" i="13"/>
  <c r="I7" i="13" s="1"/>
  <c r="H6" i="13"/>
  <c r="I6" i="13" s="1"/>
  <c r="H5" i="13"/>
  <c r="H11" i="13" s="1"/>
  <c r="V174" i="10"/>
  <c r="D11" i="13"/>
  <c r="C11" i="13"/>
  <c r="G357" i="10"/>
  <c r="F357" i="10"/>
  <c r="G356" i="10"/>
  <c r="F356" i="10"/>
  <c r="G357" i="8"/>
  <c r="F357" i="8"/>
  <c r="G356" i="8"/>
  <c r="F356" i="8"/>
  <c r="G357" i="9"/>
  <c r="F357" i="9"/>
  <c r="G356" i="9"/>
  <c r="F356" i="9"/>
  <c r="I5" i="13" l="1"/>
  <c r="I11" i="13" s="1"/>
  <c r="I19" i="13"/>
  <c r="I25" i="13" s="1"/>
  <c r="G357" i="11"/>
  <c r="F357" i="11"/>
  <c r="G356" i="11"/>
  <c r="F356" i="11"/>
  <c r="G355" i="11"/>
  <c r="F355" i="11"/>
  <c r="G357" i="12"/>
  <c r="F357" i="12"/>
  <c r="G356" i="12"/>
  <c r="F356" i="12"/>
  <c r="G355" i="10"/>
  <c r="F355" i="10"/>
  <c r="G353" i="10"/>
  <c r="F353" i="10"/>
  <c r="G352" i="10"/>
  <c r="F352" i="10"/>
  <c r="G351" i="10"/>
  <c r="F351" i="10"/>
  <c r="G350" i="10"/>
  <c r="F350" i="10"/>
  <c r="G349" i="10"/>
  <c r="F349" i="10"/>
  <c r="G355" i="8"/>
  <c r="F355" i="8"/>
  <c r="G353" i="8"/>
  <c r="F353" i="8"/>
  <c r="G352" i="8"/>
  <c r="F352" i="8"/>
  <c r="G351" i="8"/>
  <c r="F351" i="8"/>
  <c r="G355" i="9"/>
  <c r="F355" i="9"/>
  <c r="G353" i="9"/>
  <c r="F353" i="9"/>
  <c r="G352" i="9"/>
  <c r="F352" i="9"/>
  <c r="G351" i="9"/>
  <c r="F351" i="9"/>
  <c r="G350" i="9"/>
  <c r="F350" i="9"/>
  <c r="G353" i="11" l="1"/>
  <c r="F353" i="11"/>
  <c r="G352" i="11"/>
  <c r="F352" i="11"/>
  <c r="G351" i="11"/>
  <c r="F351" i="11"/>
  <c r="G350" i="11"/>
  <c r="F350" i="11"/>
  <c r="I336" i="12"/>
  <c r="G355" i="12"/>
  <c r="F355" i="12"/>
  <c r="G353" i="12"/>
  <c r="F353" i="12"/>
  <c r="G352" i="12"/>
  <c r="F352" i="12"/>
  <c r="G351" i="12"/>
  <c r="F351" i="12"/>
  <c r="G350" i="12"/>
  <c r="F350" i="12"/>
  <c r="F18" i="2"/>
  <c r="B18" i="2"/>
  <c r="G348" i="10"/>
  <c r="F348" i="10"/>
  <c r="G346" i="10"/>
  <c r="F346" i="10"/>
  <c r="G345" i="10"/>
  <c r="F345" i="10"/>
  <c r="G344" i="10"/>
  <c r="F344" i="10"/>
  <c r="G343" i="10"/>
  <c r="F343" i="10"/>
  <c r="G342" i="10"/>
  <c r="F342" i="10"/>
  <c r="G350" i="8"/>
  <c r="F350" i="8"/>
  <c r="G349" i="8"/>
  <c r="F349" i="8"/>
  <c r="G348" i="8"/>
  <c r="F348" i="8"/>
  <c r="G346" i="8"/>
  <c r="F346" i="8"/>
  <c r="G345" i="8"/>
  <c r="F345" i="8"/>
  <c r="G344" i="8"/>
  <c r="F344" i="8"/>
  <c r="G343" i="8"/>
  <c r="F343" i="8"/>
  <c r="G342" i="8"/>
  <c r="F342" i="8"/>
  <c r="G348" i="9"/>
  <c r="F348" i="9"/>
  <c r="F349" i="9"/>
  <c r="G349" i="9"/>
  <c r="G346" i="9"/>
  <c r="F346" i="9"/>
  <c r="G345" i="9"/>
  <c r="F345" i="9"/>
  <c r="G344" i="9"/>
  <c r="F344" i="9"/>
  <c r="G343" i="9"/>
  <c r="F343" i="9"/>
  <c r="G342" i="9"/>
  <c r="F342" i="9"/>
  <c r="G349" i="11" l="1"/>
  <c r="F349" i="11"/>
  <c r="G348" i="11"/>
  <c r="F348" i="11"/>
  <c r="G346" i="11"/>
  <c r="F346" i="11"/>
  <c r="G345" i="11"/>
  <c r="F345" i="11"/>
  <c r="G344" i="11"/>
  <c r="F344" i="11"/>
  <c r="G343" i="11"/>
  <c r="F343" i="11"/>
  <c r="G342" i="11"/>
  <c r="F342" i="11"/>
  <c r="G349" i="12"/>
  <c r="F349" i="12"/>
  <c r="G348" i="12"/>
  <c r="F348" i="12"/>
  <c r="G346" i="12"/>
  <c r="F346" i="12"/>
  <c r="G345" i="12"/>
  <c r="F345" i="12"/>
  <c r="G344" i="12"/>
  <c r="F344" i="12"/>
  <c r="G343" i="12"/>
  <c r="F343" i="12"/>
  <c r="G342" i="12"/>
  <c r="F342" i="12"/>
  <c r="V345" i="9" a="1"/>
  <c r="V345" i="9" s="1"/>
  <c r="U332" i="8"/>
  <c r="U256" i="9"/>
  <c r="U151" i="9"/>
  <c r="U150" i="8"/>
  <c r="U134" i="9"/>
  <c r="U161" i="8"/>
  <c r="U276" i="9"/>
  <c r="G341" i="12" l="1"/>
  <c r="F341" i="12"/>
  <c r="G339" i="12"/>
  <c r="F339" i="12"/>
  <c r="G338" i="12"/>
  <c r="F338" i="12"/>
  <c r="G337" i="12"/>
  <c r="F337" i="12"/>
  <c r="I337" i="12"/>
  <c r="I338" i="12" s="1"/>
  <c r="I339" i="12" s="1"/>
  <c r="I341" i="12" s="1"/>
  <c r="I342" i="12" s="1"/>
  <c r="I343" i="12" s="1"/>
  <c r="I344" i="12" s="1"/>
  <c r="I345" i="12" s="1"/>
  <c r="I346" i="12" s="1"/>
  <c r="I348" i="12" s="1"/>
  <c r="I349" i="12" s="1"/>
  <c r="I350" i="12" s="1"/>
  <c r="I351" i="12" s="1"/>
  <c r="I352" i="12" s="1"/>
  <c r="I353" i="12" s="1"/>
  <c r="I355" i="12" s="1"/>
  <c r="I356" i="12" s="1"/>
  <c r="I357" i="12" s="1"/>
  <c r="I358" i="12" s="1"/>
  <c r="I359" i="12" s="1"/>
  <c r="I360" i="12" s="1"/>
  <c r="I362" i="12" s="1"/>
  <c r="I363" i="12" s="1"/>
  <c r="I364" i="12" s="1"/>
  <c r="I365" i="12" s="1"/>
  <c r="I366" i="12" s="1"/>
  <c r="H336" i="12"/>
  <c r="H337" i="12" s="1"/>
  <c r="G336" i="12"/>
  <c r="F336" i="12"/>
  <c r="G341" i="9"/>
  <c r="F341" i="9"/>
  <c r="I336" i="9"/>
  <c r="I337" i="9" s="1"/>
  <c r="I338" i="9" s="1"/>
  <c r="I339" i="9" s="1"/>
  <c r="I341" i="9" s="1"/>
  <c r="I342" i="9" s="1"/>
  <c r="I343" i="9" s="1"/>
  <c r="I344" i="9" s="1"/>
  <c r="I345" i="9" s="1"/>
  <c r="I346" i="9" s="1"/>
  <c r="I348" i="9" s="1"/>
  <c r="I349" i="9" s="1"/>
  <c r="I350" i="9" s="1"/>
  <c r="I351" i="9" s="1"/>
  <c r="I352" i="9" s="1"/>
  <c r="I353" i="9" s="1"/>
  <c r="I355" i="9" s="1"/>
  <c r="I356" i="9" s="1"/>
  <c r="I357" i="9" s="1"/>
  <c r="I358" i="9" s="1"/>
  <c r="I359" i="9" s="1"/>
  <c r="I360" i="9" s="1"/>
  <c r="I362" i="9" s="1"/>
  <c r="I363" i="9" s="1"/>
  <c r="I364" i="9" s="1"/>
  <c r="I365" i="9" s="1"/>
  <c r="I366" i="9" s="1"/>
  <c r="H336" i="9"/>
  <c r="H337" i="9" s="1"/>
  <c r="H338" i="9" s="1"/>
  <c r="H339" i="9" s="1"/>
  <c r="H341" i="9" s="1"/>
  <c r="H342" i="9" s="1"/>
  <c r="H343" i="9" s="1"/>
  <c r="H344" i="9" s="1"/>
  <c r="H345" i="9" s="1"/>
  <c r="H346" i="9" s="1"/>
  <c r="H348" i="9" s="1"/>
  <c r="H349" i="9" s="1"/>
  <c r="H350" i="9" s="1"/>
  <c r="H351" i="9" s="1"/>
  <c r="H352" i="9" s="1"/>
  <c r="H353" i="9" s="1"/>
  <c r="H355" i="9" s="1"/>
  <c r="H356" i="9" s="1"/>
  <c r="H357" i="9" s="1"/>
  <c r="H358" i="9" s="1"/>
  <c r="H359" i="9" s="1"/>
  <c r="H360" i="9" s="1"/>
  <c r="H362" i="9" s="1"/>
  <c r="H363" i="9" s="1"/>
  <c r="H364" i="9" s="1"/>
  <c r="H365" i="9" s="1"/>
  <c r="H366" i="9" s="1"/>
  <c r="G339" i="9"/>
  <c r="F339" i="9"/>
  <c r="G338" i="9"/>
  <c r="F338" i="9"/>
  <c r="G337" i="9"/>
  <c r="F337" i="9"/>
  <c r="G336" i="9"/>
  <c r="F336" i="9"/>
  <c r="H338" i="12" l="1"/>
  <c r="H339" i="12" s="1"/>
  <c r="H341" i="12" s="1"/>
  <c r="H342" i="12" s="1"/>
  <c r="H343" i="12" s="1"/>
  <c r="H344" i="12" s="1"/>
  <c r="H345" i="12" s="1"/>
  <c r="H346" i="12" s="1"/>
  <c r="H348" i="12" s="1"/>
  <c r="H349" i="12" s="1"/>
  <c r="H350" i="12" s="1"/>
  <c r="H351" i="12" s="1"/>
  <c r="H352" i="12" s="1"/>
  <c r="H353" i="12" s="1"/>
  <c r="H355" i="12" s="1"/>
  <c r="H356" i="12" s="1"/>
  <c r="H357" i="12" s="1"/>
  <c r="H358" i="12" s="1"/>
  <c r="H359" i="12" s="1"/>
  <c r="H360" i="12" s="1"/>
  <c r="H362" i="12" s="1"/>
  <c r="H363" i="12" s="1"/>
  <c r="H364" i="12" s="1"/>
  <c r="H365" i="12" s="1"/>
  <c r="H366" i="12" s="1"/>
  <c r="G341" i="8"/>
  <c r="F341" i="8"/>
  <c r="I336" i="8"/>
  <c r="I337" i="8" s="1"/>
  <c r="I338" i="8" s="1"/>
  <c r="I339" i="8" s="1"/>
  <c r="I341" i="8" s="1"/>
  <c r="I342" i="8" s="1"/>
  <c r="I343" i="8" s="1"/>
  <c r="I344" i="8" s="1"/>
  <c r="I345" i="8" s="1"/>
  <c r="I346" i="8" s="1"/>
  <c r="I348" i="8" s="1"/>
  <c r="I349" i="8" s="1"/>
  <c r="I350" i="8" s="1"/>
  <c r="I351" i="8" s="1"/>
  <c r="I352" i="8" s="1"/>
  <c r="I353" i="8" s="1"/>
  <c r="I355" i="8" s="1"/>
  <c r="I356" i="8" s="1"/>
  <c r="I357" i="8" s="1"/>
  <c r="I358" i="8" s="1"/>
  <c r="I359" i="8" s="1"/>
  <c r="I360" i="8" s="1"/>
  <c r="I362" i="8" s="1"/>
  <c r="I363" i="8" s="1"/>
  <c r="I364" i="8" s="1"/>
  <c r="I366" i="8" s="1"/>
  <c r="H336" i="8"/>
  <c r="H337" i="8" s="1"/>
  <c r="H338" i="8" s="1"/>
  <c r="H339" i="8" s="1"/>
  <c r="H341" i="8" s="1"/>
  <c r="H342" i="8" s="1"/>
  <c r="H343" i="8" s="1"/>
  <c r="H344" i="8" s="1"/>
  <c r="H345" i="8" s="1"/>
  <c r="H346" i="8" s="1"/>
  <c r="H348" i="8" s="1"/>
  <c r="H349" i="8" s="1"/>
  <c r="H350" i="8" s="1"/>
  <c r="H351" i="8" s="1"/>
  <c r="H352" i="8" s="1"/>
  <c r="H353" i="8" s="1"/>
  <c r="H355" i="8" s="1"/>
  <c r="H356" i="8" s="1"/>
  <c r="H357" i="8" s="1"/>
  <c r="H358" i="8" s="1"/>
  <c r="H359" i="8" s="1"/>
  <c r="H360" i="8" s="1"/>
  <c r="H362" i="8" s="1"/>
  <c r="H363" i="8" s="1"/>
  <c r="H364" i="8" s="1"/>
  <c r="H366" i="8" s="1"/>
  <c r="G339" i="8"/>
  <c r="F339" i="8"/>
  <c r="G338" i="8"/>
  <c r="F338" i="8"/>
  <c r="G337" i="8"/>
  <c r="F337" i="8"/>
  <c r="G336" i="8"/>
  <c r="F336" i="8"/>
  <c r="I336" i="10"/>
  <c r="I337" i="10" s="1"/>
  <c r="I338" i="10" s="1"/>
  <c r="I339" i="10" s="1"/>
  <c r="I341" i="10" s="1"/>
  <c r="I342" i="10" s="1"/>
  <c r="I343" i="10" s="1"/>
  <c r="I344" i="10" s="1"/>
  <c r="H336" i="10"/>
  <c r="H337" i="10" s="1"/>
  <c r="H338" i="10" s="1"/>
  <c r="H339" i="10" s="1"/>
  <c r="H341" i="10" s="1"/>
  <c r="H342" i="10" s="1"/>
  <c r="H343" i="10" s="1"/>
  <c r="H344" i="10" s="1"/>
  <c r="G341" i="10"/>
  <c r="F341" i="10"/>
  <c r="G340" i="10"/>
  <c r="F340" i="10"/>
  <c r="G339" i="10"/>
  <c r="F339" i="10"/>
  <c r="G338" i="10"/>
  <c r="F338" i="10"/>
  <c r="G337" i="10"/>
  <c r="F337" i="10"/>
  <c r="G336" i="10"/>
  <c r="F336" i="10"/>
  <c r="G341" i="11"/>
  <c r="F341" i="11"/>
  <c r="I336" i="11"/>
  <c r="I337" i="11" s="1"/>
  <c r="I338" i="11" s="1"/>
  <c r="I339" i="11" s="1"/>
  <c r="I341" i="11" s="1"/>
  <c r="I343" i="11" s="1"/>
  <c r="I344" i="11" s="1"/>
  <c r="I345" i="11" s="1"/>
  <c r="I346" i="11" s="1"/>
  <c r="I348" i="11" s="1"/>
  <c r="H336" i="11"/>
  <c r="H337" i="11" s="1"/>
  <c r="H338" i="11" s="1"/>
  <c r="H339" i="11" s="1"/>
  <c r="H341" i="11" s="1"/>
  <c r="H343" i="11" s="1"/>
  <c r="H344" i="11" s="1"/>
  <c r="H345" i="11" s="1"/>
  <c r="H346" i="11" s="1"/>
  <c r="H348" i="11" s="1"/>
  <c r="G339" i="11"/>
  <c r="F339" i="11"/>
  <c r="G338" i="11"/>
  <c r="F338" i="11"/>
  <c r="G337" i="11"/>
  <c r="F337" i="11"/>
  <c r="G336" i="11"/>
  <c r="F336" i="11"/>
  <c r="G335" i="10"/>
  <c r="F335" i="10"/>
  <c r="O30" i="15"/>
  <c r="P30" i="15"/>
  <c r="O31" i="15"/>
  <c r="P31" i="15"/>
  <c r="O32" i="15"/>
  <c r="P32" i="15"/>
  <c r="O33" i="15"/>
  <c r="P33" i="15"/>
  <c r="P29" i="15"/>
  <c r="O29" i="15"/>
  <c r="U35" i="15"/>
  <c r="T35" i="15"/>
  <c r="Q35" i="15"/>
  <c r="N35" i="15"/>
  <c r="R35" i="15" s="1"/>
  <c r="S35" i="15" s="1"/>
  <c r="M35" i="15"/>
  <c r="O35" i="15" s="1"/>
  <c r="R33" i="15"/>
  <c r="S33" i="15" s="1"/>
  <c r="R32" i="15"/>
  <c r="S32" i="15" s="1"/>
  <c r="R31" i="15"/>
  <c r="S31" i="15" s="1"/>
  <c r="R30" i="15"/>
  <c r="S30" i="15" s="1"/>
  <c r="R29" i="15"/>
  <c r="S29" i="15" s="1"/>
  <c r="G335" i="9"/>
  <c r="F335" i="9"/>
  <c r="I349" i="11" l="1"/>
  <c r="I350" i="11"/>
  <c r="H349" i="11"/>
  <c r="H350" i="11"/>
  <c r="H346" i="10"/>
  <c r="H348" i="10" s="1"/>
  <c r="H349" i="10" s="1"/>
  <c r="H350" i="10" s="1"/>
  <c r="H351" i="10" s="1"/>
  <c r="H345" i="10"/>
  <c r="I346" i="10"/>
  <c r="I348" i="10" s="1"/>
  <c r="I349" i="10" s="1"/>
  <c r="I350" i="10" s="1"/>
  <c r="I351" i="10" s="1"/>
  <c r="I345" i="10"/>
  <c r="P35" i="15"/>
  <c r="I352" i="10" l="1"/>
  <c r="I353" i="10"/>
  <c r="I355" i="10" s="1"/>
  <c r="I356" i="10" s="1"/>
  <c r="I357" i="10" s="1"/>
  <c r="I358" i="10" s="1"/>
  <c r="H352" i="10"/>
  <c r="H353" i="10"/>
  <c r="H355" i="10" s="1"/>
  <c r="H356" i="10" s="1"/>
  <c r="H357" i="10" s="1"/>
  <c r="H358" i="10" s="1"/>
  <c r="H352" i="11"/>
  <c r="H353" i="11" s="1"/>
  <c r="H355" i="11" s="1"/>
  <c r="H351" i="11"/>
  <c r="I352" i="11"/>
  <c r="I353" i="11" s="1"/>
  <c r="I355" i="11" s="1"/>
  <c r="I351" i="11"/>
  <c r="G335" i="8"/>
  <c r="F335" i="8"/>
  <c r="G335" i="12"/>
  <c r="F335" i="12"/>
  <c r="H359" i="10" l="1"/>
  <c r="H360" i="10"/>
  <c r="H362" i="10" s="1"/>
  <c r="H363" i="10" s="1"/>
  <c r="H364" i="10" s="1"/>
  <c r="H365" i="10" s="1"/>
  <c r="H366" i="10" s="1"/>
  <c r="I360" i="10"/>
  <c r="I362" i="10" s="1"/>
  <c r="I363" i="10" s="1"/>
  <c r="I364" i="10" s="1"/>
  <c r="I365" i="10" s="1"/>
  <c r="I366" i="10" s="1"/>
  <c r="I359" i="10"/>
  <c r="I356" i="11"/>
  <c r="I357" i="11"/>
  <c r="H356" i="11"/>
  <c r="H357" i="11"/>
  <c r="G335" i="11"/>
  <c r="F335" i="11"/>
  <c r="G334" i="11"/>
  <c r="F334" i="11"/>
  <c r="F329" i="11"/>
  <c r="I359" i="11" l="1"/>
  <c r="I360" i="11" s="1"/>
  <c r="I362" i="11" s="1"/>
  <c r="I358" i="11"/>
  <c r="H359" i="11"/>
  <c r="H360" i="11" s="1"/>
  <c r="H362" i="11" s="1"/>
  <c r="H358" i="11"/>
  <c r="G332" i="11"/>
  <c r="F332" i="11"/>
  <c r="G331" i="11"/>
  <c r="F331" i="11"/>
  <c r="G329" i="11"/>
  <c r="G328" i="11"/>
  <c r="F328" i="11"/>
  <c r="G327" i="11"/>
  <c r="F327" i="11"/>
  <c r="H363" i="11" l="1"/>
  <c r="H364" i="11"/>
  <c r="I363" i="11"/>
  <c r="I364" i="11"/>
  <c r="G334" i="9"/>
  <c r="F334" i="9"/>
  <c r="I366" i="11" l="1"/>
  <c r="I365" i="11"/>
  <c r="H366" i="11"/>
  <c r="H365" i="11"/>
  <c r="G334" i="8"/>
  <c r="F334" i="8"/>
  <c r="G332" i="8"/>
  <c r="F332" i="8"/>
  <c r="G331" i="8"/>
  <c r="F331" i="8"/>
  <c r="G330" i="8"/>
  <c r="F330" i="8"/>
  <c r="G329" i="8"/>
  <c r="F329" i="8"/>
  <c r="G334" i="10"/>
  <c r="F334" i="10"/>
  <c r="F332" i="10"/>
  <c r="G332" i="10"/>
  <c r="G333" i="10"/>
  <c r="F333" i="10"/>
  <c r="G331" i="10"/>
  <c r="F331" i="10"/>
  <c r="G330" i="10"/>
  <c r="F330" i="10"/>
  <c r="G329" i="10"/>
  <c r="F329" i="10"/>
  <c r="G328" i="10"/>
  <c r="F328" i="10"/>
  <c r="G332" i="9"/>
  <c r="F332" i="9"/>
  <c r="G331" i="9"/>
  <c r="F331" i="9"/>
  <c r="G330" i="9"/>
  <c r="F330" i="9"/>
  <c r="G329" i="9"/>
  <c r="F329" i="9"/>
  <c r="G328" i="9"/>
  <c r="F328" i="9"/>
  <c r="G327" i="9"/>
  <c r="F327" i="9"/>
  <c r="G334" i="12" l="1"/>
  <c r="F334" i="12"/>
  <c r="G332" i="12"/>
  <c r="F332" i="12"/>
  <c r="G331" i="12"/>
  <c r="F331" i="12"/>
  <c r="G330" i="12"/>
  <c r="F330" i="12"/>
  <c r="G329" i="12"/>
  <c r="F329" i="12"/>
  <c r="G328" i="12"/>
  <c r="F328" i="12"/>
  <c r="F20" i="2"/>
  <c r="X147" i="8" a="1"/>
  <c r="X147" i="8" s="1"/>
  <c r="V139" i="11" a="1"/>
  <c r="V139" i="11" s="1"/>
  <c r="AM140" i="12" a="1"/>
  <c r="AM140" i="12" s="1"/>
  <c r="W321" i="9" a="1"/>
  <c r="W321" i="9" s="1"/>
  <c r="G327" i="10"/>
  <c r="F327" i="10"/>
  <c r="I315" i="10"/>
  <c r="H315" i="10"/>
  <c r="G325" i="10"/>
  <c r="F325" i="10"/>
  <c r="G324" i="10"/>
  <c r="F324" i="10"/>
  <c r="G323" i="10"/>
  <c r="F323" i="10"/>
  <c r="I322" i="10"/>
  <c r="I323" i="10" s="1"/>
  <c r="I324" i="10" s="1"/>
  <c r="I325" i="10" s="1"/>
  <c r="I327" i="10" s="1"/>
  <c r="I328" i="10" s="1"/>
  <c r="I329" i="10" s="1"/>
  <c r="I330" i="10" s="1"/>
  <c r="I331" i="10" s="1"/>
  <c r="I332" i="10" s="1"/>
  <c r="I334" i="10" s="1"/>
  <c r="I335" i="10" s="1"/>
  <c r="H322" i="10"/>
  <c r="H323" i="10" s="1"/>
  <c r="H324" i="10" s="1"/>
  <c r="H325" i="10" s="1"/>
  <c r="H327" i="10" s="1"/>
  <c r="H328" i="10" s="1"/>
  <c r="H329" i="10" s="1"/>
  <c r="H330" i="10" s="1"/>
  <c r="H331" i="10" s="1"/>
  <c r="H332" i="10" s="1"/>
  <c r="H334" i="10" s="1"/>
  <c r="H335" i="10" s="1"/>
  <c r="G322" i="10"/>
  <c r="F322" i="10"/>
  <c r="I308" i="8"/>
  <c r="H308" i="8"/>
  <c r="G325" i="8"/>
  <c r="F325" i="8"/>
  <c r="G324" i="8"/>
  <c r="F324" i="8"/>
  <c r="G323" i="8"/>
  <c r="F323" i="8"/>
  <c r="G322" i="8"/>
  <c r="F322" i="8"/>
  <c r="G321" i="8"/>
  <c r="F321" i="8"/>
  <c r="F326" i="9"/>
  <c r="G326" i="9"/>
  <c r="G325" i="9"/>
  <c r="F325" i="9"/>
  <c r="G324" i="9"/>
  <c r="F324" i="9"/>
  <c r="G323" i="9"/>
  <c r="F323" i="9"/>
  <c r="G322" i="9"/>
  <c r="F322" i="9"/>
  <c r="G321" i="9"/>
  <c r="F321" i="9"/>
  <c r="G325" i="11" l="1"/>
  <c r="F325" i="11"/>
  <c r="G324" i="11"/>
  <c r="F324" i="11"/>
  <c r="G323" i="11"/>
  <c r="F323" i="11"/>
  <c r="G322" i="11"/>
  <c r="F322" i="11"/>
  <c r="G321" i="11"/>
  <c r="F321" i="11"/>
  <c r="G327" i="12"/>
  <c r="F327" i="12"/>
  <c r="G325" i="12"/>
  <c r="F325" i="12"/>
  <c r="G324" i="12"/>
  <c r="F324" i="12"/>
  <c r="G323" i="12"/>
  <c r="F323" i="12"/>
  <c r="G322" i="12"/>
  <c r="F322" i="12"/>
  <c r="G321" i="12"/>
  <c r="F321" i="12"/>
  <c r="G320" i="10" l="1"/>
  <c r="F320" i="10"/>
  <c r="G318" i="10"/>
  <c r="F318" i="10"/>
  <c r="G317" i="10"/>
  <c r="F317" i="10"/>
  <c r="G316" i="10"/>
  <c r="F316" i="10"/>
  <c r="G315" i="10"/>
  <c r="F315" i="10"/>
  <c r="K312" i="10"/>
  <c r="J312" i="10"/>
  <c r="I312" i="10"/>
  <c r="H312" i="10"/>
  <c r="K309" i="10"/>
  <c r="J309" i="10"/>
  <c r="I309" i="10"/>
  <c r="H309" i="10"/>
  <c r="G305" i="10"/>
  <c r="F305" i="10"/>
  <c r="G304" i="10"/>
  <c r="F304" i="10"/>
  <c r="G303" i="10"/>
  <c r="F303" i="10"/>
  <c r="G302" i="10"/>
  <c r="F302" i="10"/>
  <c r="G320" i="8"/>
  <c r="F320" i="8"/>
  <c r="G318" i="8"/>
  <c r="F318" i="8"/>
  <c r="G317" i="8"/>
  <c r="F317" i="8"/>
  <c r="G316" i="8"/>
  <c r="F316" i="8"/>
  <c r="G315" i="8"/>
  <c r="F315" i="8"/>
  <c r="G314" i="8"/>
  <c r="F314" i="8"/>
  <c r="G313" i="8"/>
  <c r="F313" i="8"/>
  <c r="G311" i="8"/>
  <c r="F311" i="8"/>
  <c r="G310" i="8"/>
  <c r="F310" i="8"/>
  <c r="G309" i="8"/>
  <c r="F309" i="8"/>
  <c r="G308" i="8"/>
  <c r="F308" i="8"/>
  <c r="G320" i="11" l="1"/>
  <c r="F320" i="11"/>
  <c r="I308" i="9"/>
  <c r="I309" i="9" s="1"/>
  <c r="I310" i="9" s="1"/>
  <c r="I311" i="9" s="1"/>
  <c r="I313" i="9" s="1"/>
  <c r="I314" i="9" s="1"/>
  <c r="I315" i="9" s="1"/>
  <c r="I316" i="9" s="1"/>
  <c r="I317" i="9" s="1"/>
  <c r="I318" i="9" s="1"/>
  <c r="I320" i="9" s="1"/>
  <c r="I321" i="9" s="1"/>
  <c r="I322" i="9" s="1"/>
  <c r="I323" i="9" s="1"/>
  <c r="I324" i="9" s="1"/>
  <c r="I325" i="9" s="1"/>
  <c r="H308" i="9"/>
  <c r="H309" i="9" s="1"/>
  <c r="H310" i="9" s="1"/>
  <c r="H311" i="9" s="1"/>
  <c r="H313" i="9" s="1"/>
  <c r="H314" i="9" s="1"/>
  <c r="H315" i="9" s="1"/>
  <c r="H316" i="9" s="1"/>
  <c r="H317" i="9" s="1"/>
  <c r="H318" i="9" s="1"/>
  <c r="H320" i="9" s="1"/>
  <c r="H321" i="9" s="1"/>
  <c r="H322" i="9" s="1"/>
  <c r="H323" i="9" s="1"/>
  <c r="H324" i="9" s="1"/>
  <c r="H325" i="9" s="1"/>
  <c r="G320" i="9"/>
  <c r="F320" i="9"/>
  <c r="G318" i="9"/>
  <c r="F318" i="9"/>
  <c r="G317" i="9"/>
  <c r="F317" i="9"/>
  <c r="G316" i="9"/>
  <c r="F316" i="9"/>
  <c r="G315" i="9"/>
  <c r="F315" i="9"/>
  <c r="G314" i="9"/>
  <c r="F314" i="9"/>
  <c r="G313" i="9"/>
  <c r="F313" i="9"/>
  <c r="G311" i="9"/>
  <c r="F311" i="9"/>
  <c r="G310" i="9"/>
  <c r="F310" i="9"/>
  <c r="G309" i="9"/>
  <c r="F309" i="9"/>
  <c r="G308" i="9"/>
  <c r="F308" i="9"/>
  <c r="I326" i="9" l="1"/>
  <c r="I327" i="9"/>
  <c r="I328" i="9" s="1"/>
  <c r="I329" i="9" s="1"/>
  <c r="I330" i="9" s="1"/>
  <c r="I331" i="9" s="1"/>
  <c r="I332" i="9" s="1"/>
  <c r="I334" i="9" s="1"/>
  <c r="I335" i="9" s="1"/>
  <c r="H326" i="9"/>
  <c r="H327" i="9"/>
  <c r="H328" i="9" s="1"/>
  <c r="H329" i="9" s="1"/>
  <c r="H330" i="9" s="1"/>
  <c r="H331" i="9" s="1"/>
  <c r="H332" i="9" s="1"/>
  <c r="H334" i="9" s="1"/>
  <c r="H335" i="9" s="1"/>
  <c r="G318" i="11"/>
  <c r="F318" i="11"/>
  <c r="G317" i="11"/>
  <c r="F317" i="11"/>
  <c r="G316" i="11"/>
  <c r="F316" i="11"/>
  <c r="G315" i="11"/>
  <c r="F315" i="11"/>
  <c r="G314" i="11"/>
  <c r="F314" i="11"/>
  <c r="G313" i="11"/>
  <c r="F313" i="11"/>
  <c r="I308" i="11" l="1"/>
  <c r="H308" i="11"/>
  <c r="F318" i="12"/>
  <c r="G318" i="12"/>
  <c r="G320" i="12"/>
  <c r="F320" i="12"/>
  <c r="G317" i="12"/>
  <c r="F317" i="12"/>
  <c r="G316" i="12"/>
  <c r="F316" i="12"/>
  <c r="G315" i="12"/>
  <c r="F315" i="12"/>
  <c r="G314" i="12"/>
  <c r="F314" i="12"/>
  <c r="G313" i="12"/>
  <c r="F313" i="12"/>
  <c r="I308" i="12"/>
  <c r="H308" i="12"/>
  <c r="G311" i="12"/>
  <c r="F311" i="12"/>
  <c r="G310" i="12"/>
  <c r="F310" i="12"/>
  <c r="G309" i="12"/>
  <c r="F309" i="12"/>
  <c r="G308" i="12"/>
  <c r="F308" i="12"/>
  <c r="G307" i="12"/>
  <c r="F307" i="12"/>
  <c r="G306" i="12"/>
  <c r="F306" i="12"/>
  <c r="G311" i="11"/>
  <c r="F311" i="11"/>
  <c r="G310" i="11"/>
  <c r="F310" i="11"/>
  <c r="G309" i="11"/>
  <c r="F309" i="11"/>
  <c r="G308" i="11"/>
  <c r="F308" i="11"/>
  <c r="G307" i="11"/>
  <c r="F307" i="11"/>
  <c r="G306" i="11"/>
  <c r="F306" i="11"/>
  <c r="G304" i="11" l="1"/>
  <c r="F304" i="11"/>
  <c r="G303" i="11"/>
  <c r="F303" i="11"/>
  <c r="G302" i="11"/>
  <c r="F302" i="11"/>
  <c r="G301" i="11"/>
  <c r="F301" i="11"/>
  <c r="G300" i="11"/>
  <c r="F300" i="11"/>
  <c r="G299" i="11"/>
  <c r="F299" i="11"/>
  <c r="G297" i="11" l="1"/>
  <c r="F297" i="11"/>
  <c r="G296" i="11"/>
  <c r="F296" i="11"/>
  <c r="G295" i="11"/>
  <c r="F295" i="11"/>
  <c r="G294" i="11"/>
  <c r="F294" i="11"/>
  <c r="G293" i="11"/>
  <c r="F293" i="11"/>
  <c r="G292" i="11"/>
  <c r="F292" i="11"/>
  <c r="F285" i="11" l="1"/>
  <c r="G290" i="11"/>
  <c r="F290" i="11"/>
  <c r="G289" i="11"/>
  <c r="F289" i="11"/>
  <c r="G288" i="11"/>
  <c r="F288" i="11"/>
  <c r="G287" i="11"/>
  <c r="F287" i="11"/>
  <c r="G286" i="11"/>
  <c r="F286" i="11"/>
  <c r="G285" i="11"/>
  <c r="I279" i="11"/>
  <c r="I280" i="11" s="1"/>
  <c r="I281" i="11" s="1"/>
  <c r="I282" i="11" s="1"/>
  <c r="I283" i="11" s="1"/>
  <c r="I285" i="11" s="1"/>
  <c r="I286" i="11" s="1"/>
  <c r="I287" i="11" s="1"/>
  <c r="I288" i="11" s="1"/>
  <c r="I289" i="11" s="1"/>
  <c r="I290" i="11" s="1"/>
  <c r="I292" i="11" s="1"/>
  <c r="I293" i="11" s="1"/>
  <c r="I294" i="11" s="1"/>
  <c r="I295" i="11" s="1"/>
  <c r="I296" i="11" s="1"/>
  <c r="I297" i="11" s="1"/>
  <c r="I299" i="11" s="1"/>
  <c r="I300" i="11" s="1"/>
  <c r="I301" i="11" s="1"/>
  <c r="I302" i="11" s="1"/>
  <c r="I303" i="11" s="1"/>
  <c r="I304" i="11" s="1"/>
  <c r="I306" i="11" s="1"/>
  <c r="I307" i="11" s="1"/>
  <c r="I309" i="11" s="1"/>
  <c r="I310" i="11" s="1"/>
  <c r="I311" i="11" s="1"/>
  <c r="I313" i="11" s="1"/>
  <c r="I314" i="11" s="1"/>
  <c r="I315" i="11" s="1"/>
  <c r="I316" i="11" s="1"/>
  <c r="I317" i="11" s="1"/>
  <c r="I318" i="11" s="1"/>
  <c r="I320" i="11" s="1"/>
  <c r="I321" i="11" s="1"/>
  <c r="I322" i="11" s="1"/>
  <c r="I323" i="11" s="1"/>
  <c r="I324" i="11" s="1"/>
  <c r="I325" i="11" s="1"/>
  <c r="I327" i="11" s="1"/>
  <c r="I328" i="11" s="1"/>
  <c r="I329" i="11" s="1"/>
  <c r="H279" i="11"/>
  <c r="H280" i="11" s="1"/>
  <c r="H281" i="11" s="1"/>
  <c r="H282" i="11" s="1"/>
  <c r="H283" i="11" s="1"/>
  <c r="H285" i="11" s="1"/>
  <c r="H286" i="11" s="1"/>
  <c r="H287" i="11" s="1"/>
  <c r="H288" i="11" s="1"/>
  <c r="H289" i="11" s="1"/>
  <c r="H290" i="11" s="1"/>
  <c r="H292" i="11" s="1"/>
  <c r="H293" i="11" s="1"/>
  <c r="H294" i="11" s="1"/>
  <c r="H295" i="11" s="1"/>
  <c r="H296" i="11" s="1"/>
  <c r="H297" i="11" s="1"/>
  <c r="H299" i="11" s="1"/>
  <c r="H300" i="11" s="1"/>
  <c r="H301" i="11" s="1"/>
  <c r="H302" i="11" s="1"/>
  <c r="H303" i="11" s="1"/>
  <c r="H304" i="11" s="1"/>
  <c r="H306" i="11" s="1"/>
  <c r="H307" i="11" s="1"/>
  <c r="H309" i="11" s="1"/>
  <c r="H310" i="11" s="1"/>
  <c r="H311" i="11" s="1"/>
  <c r="H313" i="11" s="1"/>
  <c r="H314" i="11" s="1"/>
  <c r="H315" i="11" s="1"/>
  <c r="H316" i="11" s="1"/>
  <c r="H317" i="11" s="1"/>
  <c r="H318" i="11" s="1"/>
  <c r="H320" i="11" s="1"/>
  <c r="H321" i="11" s="1"/>
  <c r="H322" i="11" s="1"/>
  <c r="H323" i="11" s="1"/>
  <c r="H324" i="11" s="1"/>
  <c r="H325" i="11" s="1"/>
  <c r="H327" i="11" s="1"/>
  <c r="H328" i="11" s="1"/>
  <c r="H329" i="11" s="1"/>
  <c r="G283" i="11"/>
  <c r="F283" i="11"/>
  <c r="G282" i="11"/>
  <c r="F282" i="11"/>
  <c r="G281" i="11"/>
  <c r="F281" i="11"/>
  <c r="G280" i="11"/>
  <c r="F280" i="11"/>
  <c r="G279" i="11"/>
  <c r="F279" i="11"/>
  <c r="I331" i="11" l="1"/>
  <c r="I332" i="11" s="1"/>
  <c r="I334" i="11" s="1"/>
  <c r="I335" i="11" s="1"/>
  <c r="H331" i="11"/>
  <c r="H332" i="11" s="1"/>
  <c r="H334" i="11" s="1"/>
  <c r="H335" i="11" s="1"/>
  <c r="P6" i="15"/>
  <c r="O6" i="15"/>
  <c r="E18" i="15"/>
  <c r="D18" i="15"/>
  <c r="R20" i="15"/>
  <c r="S20" i="15" s="1"/>
  <c r="G307" i="8" l="1"/>
  <c r="F307" i="8"/>
  <c r="G306" i="8"/>
  <c r="F306" i="8"/>
  <c r="G307" i="9" l="1"/>
  <c r="F307" i="9"/>
  <c r="G306" i="9"/>
  <c r="F306" i="9"/>
  <c r="U23" i="15" l="1"/>
  <c r="T23" i="15"/>
  <c r="Q23" i="15"/>
  <c r="N23" i="15"/>
  <c r="M23" i="15"/>
  <c r="R21" i="15"/>
  <c r="S21" i="15" s="1"/>
  <c r="R19" i="15"/>
  <c r="S19" i="15" s="1"/>
  <c r="R18" i="15"/>
  <c r="S18" i="15" s="1"/>
  <c r="R17" i="15"/>
  <c r="S17" i="15" s="1"/>
  <c r="R23" i="15" l="1"/>
  <c r="S23" i="15" s="1"/>
  <c r="G276" i="11"/>
  <c r="F276" i="11"/>
  <c r="G275" i="11"/>
  <c r="F275" i="11"/>
  <c r="G274" i="11"/>
  <c r="F274" i="11"/>
  <c r="G273" i="11"/>
  <c r="F273" i="11"/>
  <c r="F269" i="11"/>
  <c r="G269" i="11"/>
  <c r="F268" i="11"/>
  <c r="G268" i="11"/>
  <c r="F267" i="11"/>
  <c r="G267" i="11"/>
  <c r="F266" i="11"/>
  <c r="G266" i="11"/>
  <c r="F265" i="11"/>
  <c r="G265" i="11"/>
  <c r="F264" i="11"/>
  <c r="G264" i="11"/>
  <c r="F263" i="11" l="1"/>
  <c r="G263" i="11"/>
  <c r="F262" i="11"/>
  <c r="G262" i="11"/>
  <c r="F261" i="11"/>
  <c r="G261" i="11"/>
  <c r="F260" i="11"/>
  <c r="G260" i="11"/>
  <c r="F259" i="11"/>
  <c r="G259" i="11"/>
  <c r="F258" i="11"/>
  <c r="G258" i="11"/>
  <c r="F257" i="11"/>
  <c r="G257" i="11"/>
  <c r="F256" i="11"/>
  <c r="G256" i="11"/>
  <c r="F255" i="11"/>
  <c r="G255" i="11"/>
  <c r="F254" i="11"/>
  <c r="G254" i="11"/>
  <c r="G304" i="8" l="1"/>
  <c r="F304" i="8"/>
  <c r="G301" i="10"/>
  <c r="F301" i="10"/>
  <c r="F300" i="10"/>
  <c r="G300" i="10"/>
  <c r="G299" i="10"/>
  <c r="F299" i="10"/>
  <c r="F296" i="10"/>
  <c r="G296" i="10"/>
  <c r="F295" i="10"/>
  <c r="G295" i="10"/>
  <c r="F294" i="10"/>
  <c r="G294" i="10"/>
  <c r="F293" i="10"/>
  <c r="G293" i="10"/>
  <c r="G292" i="10"/>
  <c r="F292" i="10"/>
  <c r="G303" i="8"/>
  <c r="F303" i="8"/>
  <c r="G302" i="8"/>
  <c r="F302" i="8"/>
  <c r="G301" i="8"/>
  <c r="F301" i="8"/>
  <c r="G300" i="8"/>
  <c r="F300" i="8"/>
  <c r="G299" i="8"/>
  <c r="F299" i="8"/>
  <c r="G297" i="8"/>
  <c r="F297" i="8"/>
  <c r="G296" i="8"/>
  <c r="F296" i="8"/>
  <c r="G295" i="8"/>
  <c r="F295" i="8"/>
  <c r="G294" i="8"/>
  <c r="F294" i="8"/>
  <c r="G293" i="8"/>
  <c r="F293" i="8"/>
  <c r="G292" i="8"/>
  <c r="F292" i="8"/>
  <c r="G287" i="8"/>
  <c r="G286" i="8"/>
  <c r="G285" i="8"/>
  <c r="F285" i="8"/>
  <c r="G290" i="8"/>
  <c r="F290" i="8"/>
  <c r="G289" i="8"/>
  <c r="F289" i="8"/>
  <c r="G288" i="8"/>
  <c r="F288" i="8"/>
  <c r="F287" i="8"/>
  <c r="F286" i="8"/>
  <c r="F283" i="8"/>
  <c r="G283" i="8"/>
  <c r="F282" i="8"/>
  <c r="G282" i="8"/>
  <c r="F281" i="8"/>
  <c r="G281" i="8"/>
  <c r="I279" i="8"/>
  <c r="I280" i="8" s="1"/>
  <c r="I281" i="8" s="1"/>
  <c r="I282" i="8" s="1"/>
  <c r="I283" i="8" s="1"/>
  <c r="I285" i="8" s="1"/>
  <c r="I286" i="8" s="1"/>
  <c r="H279" i="8"/>
  <c r="H280" i="8" s="1"/>
  <c r="H281" i="8" s="1"/>
  <c r="H282" i="8" s="1"/>
  <c r="H283" i="8" s="1"/>
  <c r="H285" i="8" s="1"/>
  <c r="H286" i="8" s="1"/>
  <c r="F280" i="8"/>
  <c r="G280" i="8"/>
  <c r="G279" i="8"/>
  <c r="F279" i="8"/>
  <c r="G304" i="9"/>
  <c r="F304" i="9"/>
  <c r="G303" i="9"/>
  <c r="F303" i="9"/>
  <c r="G302" i="9"/>
  <c r="F302" i="9"/>
  <c r="G301" i="9"/>
  <c r="F301" i="9"/>
  <c r="G300" i="9"/>
  <c r="F300" i="9"/>
  <c r="G299" i="9"/>
  <c r="F299" i="9"/>
  <c r="G297" i="9"/>
  <c r="F297" i="9"/>
  <c r="G296" i="9"/>
  <c r="F296" i="9"/>
  <c r="G295" i="9"/>
  <c r="F295" i="9"/>
  <c r="G294" i="9"/>
  <c r="F294" i="9"/>
  <c r="G293" i="9"/>
  <c r="F293" i="9"/>
  <c r="H287" i="8" l="1"/>
  <c r="H288" i="8" s="1"/>
  <c r="H289" i="8" s="1"/>
  <c r="H290" i="8" s="1"/>
  <c r="H292" i="8" s="1"/>
  <c r="H293" i="8" s="1"/>
  <c r="H294" i="8" s="1"/>
  <c r="H295" i="8" s="1"/>
  <c r="H296" i="8" s="1"/>
  <c r="H297" i="8" s="1"/>
  <c r="H299" i="8" s="1"/>
  <c r="H300" i="8" s="1"/>
  <c r="H301" i="8" s="1"/>
  <c r="H302" i="8" s="1"/>
  <c r="H303" i="8" s="1"/>
  <c r="H304" i="8" s="1"/>
  <c r="H306" i="8" s="1"/>
  <c r="H307" i="8" s="1"/>
  <c r="H309" i="8" s="1"/>
  <c r="H310" i="8" s="1"/>
  <c r="H311" i="8" s="1"/>
  <c r="H313" i="8" s="1"/>
  <c r="H314" i="8" s="1"/>
  <c r="H315" i="8" s="1"/>
  <c r="H316" i="8" s="1"/>
  <c r="H317" i="8" s="1"/>
  <c r="H318" i="8" s="1"/>
  <c r="H320" i="8" s="1"/>
  <c r="H321" i="8" s="1"/>
  <c r="H322" i="8" s="1"/>
  <c r="H323" i="8" s="1"/>
  <c r="H324" i="8" s="1"/>
  <c r="H325" i="8" s="1"/>
  <c r="H329" i="8" s="1"/>
  <c r="H330" i="8" s="1"/>
  <c r="H331" i="8" s="1"/>
  <c r="H332" i="8" s="1"/>
  <c r="H334" i="8" s="1"/>
  <c r="H335" i="8" s="1"/>
  <c r="I287" i="8"/>
  <c r="I288" i="8" s="1"/>
  <c r="I289" i="8" s="1"/>
  <c r="I290" i="8" s="1"/>
  <c r="I292" i="8" s="1"/>
  <c r="I293" i="8" s="1"/>
  <c r="I294" i="8" s="1"/>
  <c r="I295" i="8" s="1"/>
  <c r="I296" i="8" s="1"/>
  <c r="I297" i="8" s="1"/>
  <c r="I299" i="8" s="1"/>
  <c r="I300" i="8" s="1"/>
  <c r="I301" i="8" s="1"/>
  <c r="I302" i="8" s="1"/>
  <c r="I303" i="8" s="1"/>
  <c r="I304" i="8" s="1"/>
  <c r="I306" i="8" s="1"/>
  <c r="I307" i="8" s="1"/>
  <c r="I309" i="8" s="1"/>
  <c r="I310" i="8" s="1"/>
  <c r="I311" i="8" s="1"/>
  <c r="I313" i="8" s="1"/>
  <c r="I314" i="8" s="1"/>
  <c r="I315" i="8" s="1"/>
  <c r="I316" i="8" s="1"/>
  <c r="I317" i="8" s="1"/>
  <c r="I318" i="8" s="1"/>
  <c r="I320" i="8" s="1"/>
  <c r="I321" i="8" s="1"/>
  <c r="I322" i="8" s="1"/>
  <c r="I323" i="8" s="1"/>
  <c r="I324" i="8" s="1"/>
  <c r="I325" i="8" s="1"/>
  <c r="I329" i="8" s="1"/>
  <c r="I330" i="8" s="1"/>
  <c r="I331" i="8" s="1"/>
  <c r="I332" i="8" s="1"/>
  <c r="I334" i="8" s="1"/>
  <c r="I335" i="8" s="1"/>
  <c r="G304" i="12"/>
  <c r="F304" i="12"/>
  <c r="G303" i="12"/>
  <c r="F303" i="12"/>
  <c r="G302" i="12"/>
  <c r="F302" i="12"/>
  <c r="G301" i="12"/>
  <c r="F301" i="12"/>
  <c r="G300" i="12"/>
  <c r="F300" i="12"/>
  <c r="G299" i="12"/>
  <c r="F299" i="12"/>
  <c r="G297" i="12"/>
  <c r="F297" i="12"/>
  <c r="G296" i="12"/>
  <c r="F296" i="12"/>
  <c r="G295" i="12"/>
  <c r="F295" i="12"/>
  <c r="G294" i="12"/>
  <c r="F294" i="12"/>
  <c r="G293" i="12"/>
  <c r="F293" i="12"/>
  <c r="G292" i="12"/>
  <c r="F292" i="12"/>
  <c r="O9" i="15"/>
  <c r="P9" i="15"/>
  <c r="P8" i="15"/>
  <c r="O8" i="15"/>
  <c r="P7" i="15"/>
  <c r="O7" i="15"/>
  <c r="P5" i="15"/>
  <c r="O5" i="15"/>
  <c r="J23" i="15"/>
  <c r="I23" i="15"/>
  <c r="F23" i="15"/>
  <c r="C23" i="15"/>
  <c r="B23" i="15"/>
  <c r="G21" i="15"/>
  <c r="H21" i="15" s="1"/>
  <c r="G20" i="15"/>
  <c r="H20" i="15" s="1"/>
  <c r="G19" i="15"/>
  <c r="H19" i="15" s="1"/>
  <c r="G18" i="15"/>
  <c r="H18" i="15" s="1"/>
  <c r="G17" i="15"/>
  <c r="H17" i="15" s="1"/>
  <c r="F276" i="8"/>
  <c r="G276" i="8"/>
  <c r="G275" i="8"/>
  <c r="F275" i="8"/>
  <c r="F274" i="8"/>
  <c r="G274" i="8"/>
  <c r="G273" i="8"/>
  <c r="F273" i="8"/>
  <c r="G269" i="8"/>
  <c r="F269" i="8"/>
  <c r="F268" i="8"/>
  <c r="G268" i="8"/>
  <c r="F267" i="8"/>
  <c r="G267" i="8"/>
  <c r="F266" i="8"/>
  <c r="G266" i="8"/>
  <c r="F265" i="8"/>
  <c r="G265" i="8"/>
  <c r="K264" i="8"/>
  <c r="K265" i="8" s="1"/>
  <c r="K266" i="8" s="1"/>
  <c r="K267" i="8" s="1"/>
  <c r="K268" i="8" s="1"/>
  <c r="K269" i="8" s="1"/>
  <c r="K273" i="8" s="1"/>
  <c r="K274" i="8" s="1"/>
  <c r="K275" i="8" s="1"/>
  <c r="K276" i="8" s="1"/>
  <c r="K279" i="8" s="1"/>
  <c r="K280" i="8" s="1"/>
  <c r="K281" i="8" s="1"/>
  <c r="K282" i="8" s="1"/>
  <c r="K283" i="8" s="1"/>
  <c r="K285" i="8" s="1"/>
  <c r="K286" i="8" s="1"/>
  <c r="K287" i="8" s="1"/>
  <c r="K288" i="8" s="1"/>
  <c r="K289" i="8" s="1"/>
  <c r="K290" i="8" s="1"/>
  <c r="K292" i="8" s="1"/>
  <c r="K293" i="8" s="1"/>
  <c r="K294" i="8" s="1"/>
  <c r="K295" i="8" s="1"/>
  <c r="K296" i="8" s="1"/>
  <c r="K297" i="8" s="1"/>
  <c r="K299" i="8" s="1"/>
  <c r="K300" i="8" s="1"/>
  <c r="K301" i="8" s="1"/>
  <c r="K302" i="8" s="1"/>
  <c r="K303" i="8" s="1"/>
  <c r="K304" i="8" s="1"/>
  <c r="K306" i="8" s="1"/>
  <c r="K307" i="8" s="1"/>
  <c r="K308" i="8" s="1"/>
  <c r="K309" i="8" s="1"/>
  <c r="K310" i="8" s="1"/>
  <c r="K311" i="8" s="1"/>
  <c r="K313" i="8" s="1"/>
  <c r="K314" i="8" s="1"/>
  <c r="K315" i="8" s="1"/>
  <c r="K316" i="8" s="1"/>
  <c r="K317" i="8" s="1"/>
  <c r="K318" i="8" s="1"/>
  <c r="K320" i="8" s="1"/>
  <c r="K321" i="8" s="1"/>
  <c r="K322" i="8" s="1"/>
  <c r="K323" i="8" s="1"/>
  <c r="K324" i="8" s="1"/>
  <c r="K325" i="8" s="1"/>
  <c r="K329" i="8" s="1"/>
  <c r="K330" i="8" s="1"/>
  <c r="K331" i="8" s="1"/>
  <c r="K332" i="8" s="1"/>
  <c r="K334" i="8" s="1"/>
  <c r="K335" i="8" s="1"/>
  <c r="K336" i="8" s="1"/>
  <c r="K337" i="8" s="1"/>
  <c r="K338" i="8" s="1"/>
  <c r="K339" i="8" s="1"/>
  <c r="K341" i="8" s="1"/>
  <c r="K342" i="8" s="1"/>
  <c r="K343" i="8" s="1"/>
  <c r="K344" i="8" s="1"/>
  <c r="K345" i="8" s="1"/>
  <c r="K346" i="8" s="1"/>
  <c r="K348" i="8" s="1"/>
  <c r="K349" i="8" s="1"/>
  <c r="K350" i="8" s="1"/>
  <c r="K351" i="8" s="1"/>
  <c r="K352" i="8" s="1"/>
  <c r="K353" i="8" s="1"/>
  <c r="K355" i="8" s="1"/>
  <c r="K356" i="8" s="1"/>
  <c r="K357" i="8" s="1"/>
  <c r="K358" i="8" s="1"/>
  <c r="K359" i="8" s="1"/>
  <c r="K360" i="8" s="1"/>
  <c r="K362" i="8" s="1"/>
  <c r="K363" i="8" s="1"/>
  <c r="K364" i="8" s="1"/>
  <c r="J264" i="8"/>
  <c r="J265" i="8" s="1"/>
  <c r="J266" i="8" s="1"/>
  <c r="J267" i="8" s="1"/>
  <c r="J268" i="8" s="1"/>
  <c r="J269" i="8" s="1"/>
  <c r="J273" i="8" s="1"/>
  <c r="J274" i="8" s="1"/>
  <c r="J275" i="8" s="1"/>
  <c r="J276" i="8" s="1"/>
  <c r="J279" i="8" s="1"/>
  <c r="J280" i="8" s="1"/>
  <c r="J281" i="8" s="1"/>
  <c r="J282" i="8" s="1"/>
  <c r="J283" i="8" s="1"/>
  <c r="J285" i="8" s="1"/>
  <c r="J286" i="8" s="1"/>
  <c r="I264" i="8"/>
  <c r="I265" i="8" s="1"/>
  <c r="I266" i="8" s="1"/>
  <c r="I267" i="8" s="1"/>
  <c r="I268" i="8" s="1"/>
  <c r="I269" i="8" s="1"/>
  <c r="I273" i="8" s="1"/>
  <c r="I274" i="8" s="1"/>
  <c r="I275" i="8" s="1"/>
  <c r="I276" i="8" s="1"/>
  <c r="H264" i="8"/>
  <c r="H265" i="8" s="1"/>
  <c r="H266" i="8" s="1"/>
  <c r="H267" i="8" s="1"/>
  <c r="H268" i="8" s="1"/>
  <c r="H269" i="8" s="1"/>
  <c r="H273" i="8" s="1"/>
  <c r="H274" i="8" s="1"/>
  <c r="H275" i="8" s="1"/>
  <c r="H276" i="8" s="1"/>
  <c r="G264" i="8"/>
  <c r="F264" i="8"/>
  <c r="F180" i="12"/>
  <c r="F289" i="10"/>
  <c r="G289" i="10"/>
  <c r="F288" i="10"/>
  <c r="G288" i="10"/>
  <c r="F287" i="10"/>
  <c r="G287" i="10"/>
  <c r="K286" i="10"/>
  <c r="K287" i="10" s="1"/>
  <c r="K288" i="10" s="1"/>
  <c r="K289" i="10" s="1"/>
  <c r="K292" i="10" s="1"/>
  <c r="K293" i="10" s="1"/>
  <c r="K294" i="10" s="1"/>
  <c r="K295" i="10" s="1"/>
  <c r="K296" i="10" s="1"/>
  <c r="K299" i="10" s="1"/>
  <c r="J286" i="10"/>
  <c r="J287" i="10" s="1"/>
  <c r="J288" i="10" s="1"/>
  <c r="J289" i="10" s="1"/>
  <c r="J292" i="10" s="1"/>
  <c r="J293" i="10" s="1"/>
  <c r="J294" i="10" s="1"/>
  <c r="J295" i="10" s="1"/>
  <c r="J296" i="10" s="1"/>
  <c r="J299" i="10" s="1"/>
  <c r="I286" i="10"/>
  <c r="I287" i="10" s="1"/>
  <c r="I288" i="10" s="1"/>
  <c r="I289" i="10" s="1"/>
  <c r="I292" i="10" s="1"/>
  <c r="I293" i="10" s="1"/>
  <c r="I294" i="10" s="1"/>
  <c r="I295" i="10" s="1"/>
  <c r="I296" i="10" s="1"/>
  <c r="I299" i="10" s="1"/>
  <c r="H286" i="10"/>
  <c r="H287" i="10" s="1"/>
  <c r="H288" i="10" s="1"/>
  <c r="H289" i="10" s="1"/>
  <c r="H292" i="10" s="1"/>
  <c r="H293" i="10" s="1"/>
  <c r="H294" i="10" s="1"/>
  <c r="H295" i="10" s="1"/>
  <c r="H296" i="10" s="1"/>
  <c r="H299" i="10" s="1"/>
  <c r="G286" i="10"/>
  <c r="F286" i="10"/>
  <c r="F283" i="10"/>
  <c r="G283" i="10"/>
  <c r="F282" i="10"/>
  <c r="G282" i="10"/>
  <c r="F281" i="10"/>
  <c r="G281" i="10"/>
  <c r="F280" i="10"/>
  <c r="G280" i="10"/>
  <c r="I279" i="10"/>
  <c r="I280" i="10" s="1"/>
  <c r="I281" i="10" s="1"/>
  <c r="I282" i="10" s="1"/>
  <c r="I283" i="10" s="1"/>
  <c r="H279" i="10"/>
  <c r="H280" i="10" s="1"/>
  <c r="H281" i="10" s="1"/>
  <c r="H282" i="10" s="1"/>
  <c r="H283" i="10" s="1"/>
  <c r="G279" i="10"/>
  <c r="F279" i="10"/>
  <c r="F276" i="10"/>
  <c r="G276" i="10"/>
  <c r="F275" i="10"/>
  <c r="G275" i="10"/>
  <c r="F274" i="10"/>
  <c r="G274" i="10"/>
  <c r="G273" i="10"/>
  <c r="F273" i="10"/>
  <c r="F269" i="10"/>
  <c r="G269" i="10"/>
  <c r="F268" i="10"/>
  <c r="G268" i="10"/>
  <c r="F267" i="10"/>
  <c r="G267" i="10"/>
  <c r="F266" i="10"/>
  <c r="G266" i="10"/>
  <c r="F265" i="10"/>
  <c r="G265" i="10"/>
  <c r="F264" i="10"/>
  <c r="G264" i="10"/>
  <c r="F263" i="10"/>
  <c r="G263" i="10"/>
  <c r="F262" i="10"/>
  <c r="G262" i="10"/>
  <c r="F261" i="10"/>
  <c r="G261" i="10"/>
  <c r="K260" i="10"/>
  <c r="K261" i="10" s="1"/>
  <c r="K262" i="10" s="1"/>
  <c r="K263" i="10" s="1"/>
  <c r="K264" i="10" s="1"/>
  <c r="K265" i="10" s="1"/>
  <c r="K266" i="10" s="1"/>
  <c r="K267" i="10" s="1"/>
  <c r="K268" i="10" s="1"/>
  <c r="K269" i="10" s="1"/>
  <c r="K273" i="10" s="1"/>
  <c r="K274" i="10" s="1"/>
  <c r="K275" i="10" s="1"/>
  <c r="K276" i="10" s="1"/>
  <c r="K279" i="10" s="1"/>
  <c r="K280" i="10" s="1"/>
  <c r="K281" i="10" s="1"/>
  <c r="K282" i="10" s="1"/>
  <c r="K283" i="10" s="1"/>
  <c r="J260" i="10"/>
  <c r="J261" i="10" s="1"/>
  <c r="J262" i="10" s="1"/>
  <c r="J263" i="10" s="1"/>
  <c r="J264" i="10" s="1"/>
  <c r="J265" i="10" s="1"/>
  <c r="J266" i="10" s="1"/>
  <c r="J267" i="10" s="1"/>
  <c r="J268" i="10" s="1"/>
  <c r="J269" i="10" s="1"/>
  <c r="J273" i="10" s="1"/>
  <c r="J274" i="10" s="1"/>
  <c r="J275" i="10" s="1"/>
  <c r="J276" i="10" s="1"/>
  <c r="J279" i="10" s="1"/>
  <c r="J280" i="10" s="1"/>
  <c r="J281" i="10" s="1"/>
  <c r="J282" i="10" s="1"/>
  <c r="J283" i="10" s="1"/>
  <c r="I260" i="10"/>
  <c r="I261" i="10" s="1"/>
  <c r="I262" i="10" s="1"/>
  <c r="I263" i="10" s="1"/>
  <c r="I264" i="10" s="1"/>
  <c r="I265" i="10" s="1"/>
  <c r="I266" i="10" s="1"/>
  <c r="I267" i="10" s="1"/>
  <c r="I268" i="10" s="1"/>
  <c r="I269" i="10" s="1"/>
  <c r="I273" i="10" s="1"/>
  <c r="I274" i="10" s="1"/>
  <c r="I275" i="10" s="1"/>
  <c r="I276" i="10" s="1"/>
  <c r="H260" i="10"/>
  <c r="H261" i="10" s="1"/>
  <c r="H262" i="10" s="1"/>
  <c r="H263" i="10" s="1"/>
  <c r="H264" i="10" s="1"/>
  <c r="H265" i="10" s="1"/>
  <c r="H266" i="10" s="1"/>
  <c r="H267" i="10" s="1"/>
  <c r="H268" i="10" s="1"/>
  <c r="H269" i="10" s="1"/>
  <c r="H273" i="10" s="1"/>
  <c r="H274" i="10" s="1"/>
  <c r="H275" i="10" s="1"/>
  <c r="H276" i="10" s="1"/>
  <c r="G260" i="10"/>
  <c r="F260" i="10"/>
  <c r="G292" i="9"/>
  <c r="F292" i="9"/>
  <c r="F290" i="9"/>
  <c r="G290" i="9"/>
  <c r="F289" i="9"/>
  <c r="G289" i="9"/>
  <c r="F288" i="9"/>
  <c r="G288" i="9"/>
  <c r="F287" i="9"/>
  <c r="G287" i="9"/>
  <c r="F286" i="9"/>
  <c r="G286" i="9"/>
  <c r="G285" i="9"/>
  <c r="F285" i="9"/>
  <c r="F283" i="9"/>
  <c r="G283" i="9"/>
  <c r="F282" i="9"/>
  <c r="G282" i="9"/>
  <c r="F281" i="9"/>
  <c r="G281" i="9"/>
  <c r="F280" i="9"/>
  <c r="G280" i="9"/>
  <c r="I279" i="9"/>
  <c r="I280" i="9" s="1"/>
  <c r="I281" i="9" s="1"/>
  <c r="I282" i="9" s="1"/>
  <c r="I283" i="9" s="1"/>
  <c r="I285" i="9" s="1"/>
  <c r="I286" i="9" s="1"/>
  <c r="I287" i="9" s="1"/>
  <c r="I288" i="9" s="1"/>
  <c r="I289" i="9" s="1"/>
  <c r="I290" i="9" s="1"/>
  <c r="I292" i="9" s="1"/>
  <c r="I293" i="9" s="1"/>
  <c r="I294" i="9" s="1"/>
  <c r="I295" i="9" s="1"/>
  <c r="I296" i="9" s="1"/>
  <c r="I297" i="9" s="1"/>
  <c r="I299" i="9" s="1"/>
  <c r="I300" i="9" s="1"/>
  <c r="I301" i="9" s="1"/>
  <c r="I302" i="9" s="1"/>
  <c r="I303" i="9" s="1"/>
  <c r="I304" i="9" s="1"/>
  <c r="I306" i="9" s="1"/>
  <c r="I307" i="9" s="1"/>
  <c r="H279" i="9"/>
  <c r="H280" i="9" s="1"/>
  <c r="H281" i="9" s="1"/>
  <c r="H282" i="9" s="1"/>
  <c r="H283" i="9" s="1"/>
  <c r="H285" i="9" s="1"/>
  <c r="H286" i="9" s="1"/>
  <c r="H287" i="9" s="1"/>
  <c r="H288" i="9" s="1"/>
  <c r="H289" i="9" s="1"/>
  <c r="H290" i="9" s="1"/>
  <c r="H292" i="9" s="1"/>
  <c r="H293" i="9" s="1"/>
  <c r="H294" i="9" s="1"/>
  <c r="H295" i="9" s="1"/>
  <c r="H296" i="9" s="1"/>
  <c r="H297" i="9" s="1"/>
  <c r="H299" i="9" s="1"/>
  <c r="H300" i="9" s="1"/>
  <c r="H301" i="9" s="1"/>
  <c r="H302" i="9" s="1"/>
  <c r="H303" i="9" s="1"/>
  <c r="H304" i="9" s="1"/>
  <c r="H306" i="9" s="1"/>
  <c r="H307" i="9" s="1"/>
  <c r="G279" i="9"/>
  <c r="F279" i="9"/>
  <c r="I300" i="10" l="1"/>
  <c r="I301" i="10" s="1"/>
  <c r="I302" i="10"/>
  <c r="I303" i="10" s="1"/>
  <c r="I304" i="10" s="1"/>
  <c r="J300" i="10"/>
  <c r="J301" i="10" s="1"/>
  <c r="J302" i="10"/>
  <c r="J303" i="10" s="1"/>
  <c r="J304" i="10" s="1"/>
  <c r="K300" i="10"/>
  <c r="K301" i="10" s="1"/>
  <c r="K302" i="10"/>
  <c r="K303" i="10" s="1"/>
  <c r="K304" i="10" s="1"/>
  <c r="H300" i="10"/>
  <c r="H301" i="10" s="1"/>
  <c r="H302" i="10"/>
  <c r="H303" i="10" s="1"/>
  <c r="H304" i="10" s="1"/>
  <c r="G23" i="15"/>
  <c r="H23" i="15" s="1"/>
  <c r="J287" i="8"/>
  <c r="J288" i="8" s="1"/>
  <c r="J289" i="8" s="1"/>
  <c r="J290" i="8" s="1"/>
  <c r="J292" i="8" s="1"/>
  <c r="J293" i="8" s="1"/>
  <c r="J294" i="8" s="1"/>
  <c r="J295" i="8" s="1"/>
  <c r="J296" i="8" s="1"/>
  <c r="J297" i="8" s="1"/>
  <c r="J299" i="8" s="1"/>
  <c r="J300" i="8" s="1"/>
  <c r="J301" i="8" s="1"/>
  <c r="J302" i="8" s="1"/>
  <c r="J303" i="8" s="1"/>
  <c r="J304" i="8" s="1"/>
  <c r="J306" i="8" s="1"/>
  <c r="J307" i="8" s="1"/>
  <c r="J308" i="8" s="1"/>
  <c r="J309" i="8" s="1"/>
  <c r="J310" i="8" s="1"/>
  <c r="J311" i="8" s="1"/>
  <c r="J313" i="8" s="1"/>
  <c r="J314" i="8" s="1"/>
  <c r="J315" i="8" s="1"/>
  <c r="J316" i="8" s="1"/>
  <c r="J317" i="8" s="1"/>
  <c r="J318" i="8" s="1"/>
  <c r="J320" i="8" s="1"/>
  <c r="J321" i="8" s="1"/>
  <c r="J322" i="8" s="1"/>
  <c r="J323" i="8" s="1"/>
  <c r="J324" i="8" s="1"/>
  <c r="J325" i="8" s="1"/>
  <c r="J329" i="8" s="1"/>
  <c r="J330" i="8" s="1"/>
  <c r="J331" i="8" s="1"/>
  <c r="J332" i="8" s="1"/>
  <c r="J334" i="8" s="1"/>
  <c r="J335" i="8" s="1"/>
  <c r="J336" i="8" s="1"/>
  <c r="J337" i="8" s="1"/>
  <c r="J338" i="8" s="1"/>
  <c r="J339" i="8" s="1"/>
  <c r="J341" i="8" s="1"/>
  <c r="J342" i="8" s="1"/>
  <c r="J343" i="8" s="1"/>
  <c r="J344" i="8" s="1"/>
  <c r="J345" i="8" s="1"/>
  <c r="J346" i="8" s="1"/>
  <c r="J348" i="8" s="1"/>
  <c r="J349" i="8" s="1"/>
  <c r="J350" i="8" s="1"/>
  <c r="J351" i="8" s="1"/>
  <c r="J352" i="8" s="1"/>
  <c r="J353" i="8" s="1"/>
  <c r="J355" i="8" s="1"/>
  <c r="J356" i="8" s="1"/>
  <c r="J357" i="8" s="1"/>
  <c r="J358" i="8" s="1"/>
  <c r="J359" i="8" s="1"/>
  <c r="J360" i="8" s="1"/>
  <c r="J362" i="8" s="1"/>
  <c r="J363" i="8" s="1"/>
  <c r="J364" i="8" s="1"/>
  <c r="F276" i="9"/>
  <c r="G276" i="9"/>
  <c r="F275" i="9"/>
  <c r="G275" i="9"/>
  <c r="F274" i="9"/>
  <c r="G274" i="9"/>
  <c r="G273" i="9"/>
  <c r="F273" i="9"/>
  <c r="F269" i="9"/>
  <c r="G269" i="9"/>
  <c r="F268" i="9"/>
  <c r="G268" i="9"/>
  <c r="F267" i="9"/>
  <c r="G267" i="9"/>
  <c r="F266" i="9"/>
  <c r="G266" i="9"/>
  <c r="F265" i="9"/>
  <c r="G265" i="9"/>
  <c r="K264" i="9"/>
  <c r="K265" i="9" s="1"/>
  <c r="K266" i="9" s="1"/>
  <c r="K267" i="9" s="1"/>
  <c r="K268" i="9" s="1"/>
  <c r="K269" i="9" s="1"/>
  <c r="K273" i="9" s="1"/>
  <c r="K274" i="9" s="1"/>
  <c r="K275" i="9" s="1"/>
  <c r="K276" i="9" s="1"/>
  <c r="K279" i="9" s="1"/>
  <c r="K280" i="9" s="1"/>
  <c r="K281" i="9" s="1"/>
  <c r="K282" i="9" s="1"/>
  <c r="K283" i="9" s="1"/>
  <c r="K285" i="9" s="1"/>
  <c r="K286" i="9" s="1"/>
  <c r="K287" i="9" s="1"/>
  <c r="K288" i="9" s="1"/>
  <c r="K289" i="9" s="1"/>
  <c r="K290" i="9" s="1"/>
  <c r="K292" i="9" s="1"/>
  <c r="K293" i="9" s="1"/>
  <c r="K294" i="9" s="1"/>
  <c r="K295" i="9" s="1"/>
  <c r="K296" i="9" s="1"/>
  <c r="K297" i="9" s="1"/>
  <c r="K299" i="9" s="1"/>
  <c r="K300" i="9" s="1"/>
  <c r="K301" i="9" s="1"/>
  <c r="K302" i="9" s="1"/>
  <c r="K303" i="9" s="1"/>
  <c r="K304" i="9" s="1"/>
  <c r="K306" i="9" s="1"/>
  <c r="K307" i="9" s="1"/>
  <c r="K308" i="9" s="1"/>
  <c r="K309" i="9" s="1"/>
  <c r="K310" i="9" s="1"/>
  <c r="K311" i="9" s="1"/>
  <c r="K313" i="9" s="1"/>
  <c r="K314" i="9" s="1"/>
  <c r="K315" i="9" s="1"/>
  <c r="K316" i="9" s="1"/>
  <c r="K317" i="9" s="1"/>
  <c r="K318" i="9" s="1"/>
  <c r="K320" i="9" s="1"/>
  <c r="K321" i="9" s="1"/>
  <c r="K322" i="9" s="1"/>
  <c r="K323" i="9" s="1"/>
  <c r="K324" i="9" s="1"/>
  <c r="K325" i="9" s="1"/>
  <c r="J264" i="9"/>
  <c r="J265" i="9" s="1"/>
  <c r="J266" i="9" s="1"/>
  <c r="J267" i="9" s="1"/>
  <c r="J268" i="9" s="1"/>
  <c r="J269" i="9" s="1"/>
  <c r="J273" i="9" s="1"/>
  <c r="J274" i="9" s="1"/>
  <c r="J275" i="9" s="1"/>
  <c r="J276" i="9" s="1"/>
  <c r="J279" i="9" s="1"/>
  <c r="J280" i="9" s="1"/>
  <c r="J281" i="9" s="1"/>
  <c r="J282" i="9" s="1"/>
  <c r="J283" i="9" s="1"/>
  <c r="J285" i="9" s="1"/>
  <c r="J286" i="9" s="1"/>
  <c r="J287" i="9" s="1"/>
  <c r="J288" i="9" s="1"/>
  <c r="J289" i="9" s="1"/>
  <c r="J290" i="9" s="1"/>
  <c r="J292" i="9" s="1"/>
  <c r="J293" i="9" s="1"/>
  <c r="J294" i="9" s="1"/>
  <c r="J295" i="9" s="1"/>
  <c r="J296" i="9" s="1"/>
  <c r="J297" i="9" s="1"/>
  <c r="J299" i="9" s="1"/>
  <c r="J300" i="9" s="1"/>
  <c r="J301" i="9" s="1"/>
  <c r="J302" i="9" s="1"/>
  <c r="J303" i="9" s="1"/>
  <c r="J304" i="9" s="1"/>
  <c r="J306" i="9" s="1"/>
  <c r="J307" i="9" s="1"/>
  <c r="J308" i="9" s="1"/>
  <c r="J309" i="9" s="1"/>
  <c r="J310" i="9" s="1"/>
  <c r="J311" i="9" s="1"/>
  <c r="J313" i="9" s="1"/>
  <c r="J314" i="9" s="1"/>
  <c r="J315" i="9" s="1"/>
  <c r="J316" i="9" s="1"/>
  <c r="J317" i="9" s="1"/>
  <c r="J318" i="9" s="1"/>
  <c r="J320" i="9" s="1"/>
  <c r="J321" i="9" s="1"/>
  <c r="J322" i="9" s="1"/>
  <c r="J323" i="9" s="1"/>
  <c r="J324" i="9" s="1"/>
  <c r="J325" i="9" s="1"/>
  <c r="I264" i="9"/>
  <c r="I265" i="9" s="1"/>
  <c r="I266" i="9" s="1"/>
  <c r="I267" i="9" s="1"/>
  <c r="I268" i="9" s="1"/>
  <c r="I269" i="9" s="1"/>
  <c r="I273" i="9" s="1"/>
  <c r="I274" i="9" s="1"/>
  <c r="I275" i="9" s="1"/>
  <c r="I276" i="9" s="1"/>
  <c r="H264" i="9"/>
  <c r="H265" i="9" s="1"/>
  <c r="H266" i="9" s="1"/>
  <c r="H267" i="9" s="1"/>
  <c r="H268" i="9" s="1"/>
  <c r="H269" i="9" s="1"/>
  <c r="H273" i="9" s="1"/>
  <c r="H274" i="9" s="1"/>
  <c r="H275" i="9" s="1"/>
  <c r="H276" i="9" s="1"/>
  <c r="G264" i="9"/>
  <c r="F264" i="9"/>
  <c r="K326" i="9" l="1"/>
  <c r="K327" i="9"/>
  <c r="K328" i="9" s="1"/>
  <c r="K329" i="9" s="1"/>
  <c r="K330" i="9" s="1"/>
  <c r="K331" i="9" s="1"/>
  <c r="K332" i="9" s="1"/>
  <c r="K334" i="9" s="1"/>
  <c r="K335" i="9" s="1"/>
  <c r="K336" i="9" s="1"/>
  <c r="K337" i="9" s="1"/>
  <c r="K338" i="9" s="1"/>
  <c r="K339" i="9" s="1"/>
  <c r="K341" i="9" s="1"/>
  <c r="K342" i="9" s="1"/>
  <c r="K343" i="9" s="1"/>
  <c r="K344" i="9" s="1"/>
  <c r="K345" i="9" s="1"/>
  <c r="K346" i="9" s="1"/>
  <c r="K348" i="9" s="1"/>
  <c r="K349" i="9" s="1"/>
  <c r="K350" i="9" s="1"/>
  <c r="K351" i="9" s="1"/>
  <c r="K352" i="9" s="1"/>
  <c r="K353" i="9" s="1"/>
  <c r="K355" i="9" s="1"/>
  <c r="K356" i="9" s="1"/>
  <c r="K357" i="9" s="1"/>
  <c r="K358" i="9" s="1"/>
  <c r="K359" i="9" s="1"/>
  <c r="K360" i="9" s="1"/>
  <c r="K362" i="9" s="1"/>
  <c r="K363" i="9" s="1"/>
  <c r="K364" i="9" s="1"/>
  <c r="K365" i="9" s="1"/>
  <c r="K366" i="9" s="1"/>
  <c r="J326" i="9"/>
  <c r="J327" i="9"/>
  <c r="J328" i="9" s="1"/>
  <c r="J329" i="9" s="1"/>
  <c r="J330" i="9" s="1"/>
  <c r="J331" i="9" s="1"/>
  <c r="J332" i="9" s="1"/>
  <c r="J334" i="9" s="1"/>
  <c r="J335" i="9" s="1"/>
  <c r="J336" i="9" s="1"/>
  <c r="J337" i="9" s="1"/>
  <c r="J338" i="9" s="1"/>
  <c r="J339" i="9" s="1"/>
  <c r="J341" i="9" s="1"/>
  <c r="J342" i="9" s="1"/>
  <c r="J343" i="9" s="1"/>
  <c r="J344" i="9" s="1"/>
  <c r="J345" i="9" s="1"/>
  <c r="J346" i="9" s="1"/>
  <c r="J348" i="9" s="1"/>
  <c r="J349" i="9" s="1"/>
  <c r="J350" i="9" s="1"/>
  <c r="J351" i="9" s="1"/>
  <c r="J352" i="9" s="1"/>
  <c r="J353" i="9" s="1"/>
  <c r="J355" i="9" s="1"/>
  <c r="J356" i="9" s="1"/>
  <c r="J357" i="9" s="1"/>
  <c r="J358" i="9" s="1"/>
  <c r="J359" i="9" s="1"/>
  <c r="J360" i="9" s="1"/>
  <c r="J362" i="9" s="1"/>
  <c r="J363" i="9" s="1"/>
  <c r="J364" i="9" s="1"/>
  <c r="J365" i="9" s="1"/>
  <c r="J366" i="9" s="1"/>
  <c r="J306" i="10"/>
  <c r="J315" i="10"/>
  <c r="J316" i="10" s="1"/>
  <c r="J317" i="10" s="1"/>
  <c r="J318" i="10" s="1"/>
  <c r="J320" i="10" s="1"/>
  <c r="J321" i="10" s="1"/>
  <c r="J322" i="10" s="1"/>
  <c r="J323" i="10" s="1"/>
  <c r="J324" i="10" s="1"/>
  <c r="J325" i="10" s="1"/>
  <c r="J327" i="10" s="1"/>
  <c r="J328" i="10" s="1"/>
  <c r="J329" i="10" s="1"/>
  <c r="J330" i="10" s="1"/>
  <c r="J331" i="10" s="1"/>
  <c r="J332" i="10" s="1"/>
  <c r="J334" i="10" s="1"/>
  <c r="J335" i="10" s="1"/>
  <c r="J336" i="10" s="1"/>
  <c r="J337" i="10" s="1"/>
  <c r="J338" i="10" s="1"/>
  <c r="J339" i="10" s="1"/>
  <c r="J341" i="10" s="1"/>
  <c r="J342" i="10" s="1"/>
  <c r="J343" i="10" s="1"/>
  <c r="J344" i="10" s="1"/>
  <c r="H306" i="10"/>
  <c r="H316" i="10"/>
  <c r="H317" i="10" s="1"/>
  <c r="H318" i="10" s="1"/>
  <c r="H320" i="10" s="1"/>
  <c r="H321" i="10" s="1"/>
  <c r="I306" i="10"/>
  <c r="I316" i="10"/>
  <c r="I317" i="10" s="1"/>
  <c r="I318" i="10" s="1"/>
  <c r="I320" i="10" s="1"/>
  <c r="I321" i="10" s="1"/>
  <c r="K306" i="10"/>
  <c r="K315" i="10"/>
  <c r="K316" i="10" s="1"/>
  <c r="K317" i="10" s="1"/>
  <c r="K318" i="10" s="1"/>
  <c r="K320" i="10" s="1"/>
  <c r="K321" i="10" s="1"/>
  <c r="K322" i="10" s="1"/>
  <c r="K323" i="10" s="1"/>
  <c r="K324" i="10" s="1"/>
  <c r="K325" i="10" s="1"/>
  <c r="K327" i="10" s="1"/>
  <c r="K328" i="10" s="1"/>
  <c r="K329" i="10" s="1"/>
  <c r="K330" i="10" s="1"/>
  <c r="K331" i="10" s="1"/>
  <c r="K332" i="10" s="1"/>
  <c r="K334" i="10" s="1"/>
  <c r="K335" i="10" s="1"/>
  <c r="K336" i="10" s="1"/>
  <c r="K337" i="10" s="1"/>
  <c r="K338" i="10" s="1"/>
  <c r="K339" i="10" s="1"/>
  <c r="K341" i="10" s="1"/>
  <c r="K342" i="10" s="1"/>
  <c r="K343" i="10" s="1"/>
  <c r="K344" i="10" s="1"/>
  <c r="F253" i="11"/>
  <c r="G253" i="11"/>
  <c r="F252" i="11"/>
  <c r="G252" i="11"/>
  <c r="F251" i="11"/>
  <c r="G251" i="11"/>
  <c r="F250" i="11"/>
  <c r="G250" i="11"/>
  <c r="F249" i="11"/>
  <c r="G249" i="11"/>
  <c r="F248" i="11"/>
  <c r="G248" i="11"/>
  <c r="G247" i="11"/>
  <c r="F247" i="11"/>
  <c r="I246" i="11"/>
  <c r="I247" i="11" s="1"/>
  <c r="I248" i="11" s="1"/>
  <c r="I249" i="11" s="1"/>
  <c r="I250" i="11" s="1"/>
  <c r="I251" i="11" s="1"/>
  <c r="I252" i="11" s="1"/>
  <c r="I253" i="11" s="1"/>
  <c r="I254" i="11" s="1"/>
  <c r="I255" i="11" s="1"/>
  <c r="I256" i="11" s="1"/>
  <c r="I257" i="11" s="1"/>
  <c r="I258" i="11" s="1"/>
  <c r="I259" i="11" s="1"/>
  <c r="I260" i="11" s="1"/>
  <c r="I261" i="11" s="1"/>
  <c r="I262" i="11" s="1"/>
  <c r="I263" i="11" s="1"/>
  <c r="I264" i="11" s="1"/>
  <c r="I265" i="11" s="1"/>
  <c r="I266" i="11" s="1"/>
  <c r="I267" i="11" s="1"/>
  <c r="I268" i="11" s="1"/>
  <c r="I269" i="11" s="1"/>
  <c r="I273" i="11" s="1"/>
  <c r="I274" i="11" s="1"/>
  <c r="I275" i="11" s="1"/>
  <c r="I276" i="11" s="1"/>
  <c r="H246" i="11"/>
  <c r="H247" i="11" s="1"/>
  <c r="H248" i="11" s="1"/>
  <c r="H249" i="11" s="1"/>
  <c r="H250" i="11" s="1"/>
  <c r="H251" i="11" s="1"/>
  <c r="H252" i="11" s="1"/>
  <c r="H253" i="11" s="1"/>
  <c r="H254" i="11" s="1"/>
  <c r="H255" i="11" s="1"/>
  <c r="H256" i="11" s="1"/>
  <c r="H257" i="11" s="1"/>
  <c r="H258" i="11" s="1"/>
  <c r="H259" i="11" s="1"/>
  <c r="H260" i="11" s="1"/>
  <c r="H261" i="11" s="1"/>
  <c r="H262" i="11" s="1"/>
  <c r="H263" i="11" s="1"/>
  <c r="H264" i="11" s="1"/>
  <c r="H265" i="11" s="1"/>
  <c r="H266" i="11" s="1"/>
  <c r="H267" i="11" s="1"/>
  <c r="H268" i="11" s="1"/>
  <c r="H269" i="11" s="1"/>
  <c r="H273" i="11" s="1"/>
  <c r="H274" i="11" s="1"/>
  <c r="H275" i="11" s="1"/>
  <c r="H276" i="11" s="1"/>
  <c r="F246" i="11"/>
  <c r="G246" i="11"/>
  <c r="F245" i="11"/>
  <c r="G245" i="11"/>
  <c r="F244" i="11"/>
  <c r="G244" i="11"/>
  <c r="F243" i="11"/>
  <c r="G243" i="11"/>
  <c r="F242" i="11"/>
  <c r="G242" i="11"/>
  <c r="F241" i="11"/>
  <c r="G241" i="11"/>
  <c r="F240" i="11"/>
  <c r="G240" i="11"/>
  <c r="F239" i="11"/>
  <c r="G239" i="11"/>
  <c r="F238" i="11"/>
  <c r="G238" i="11"/>
  <c r="F237" i="11"/>
  <c r="G237" i="11"/>
  <c r="F236" i="11"/>
  <c r="G236" i="11"/>
  <c r="K235" i="11"/>
  <c r="K236" i="11" s="1"/>
  <c r="K237" i="11" s="1"/>
  <c r="K238" i="11" s="1"/>
  <c r="K239" i="11" s="1"/>
  <c r="K240" i="11" s="1"/>
  <c r="K241" i="11" s="1"/>
  <c r="K242" i="11" s="1"/>
  <c r="K243" i="11" s="1"/>
  <c r="K244" i="11" s="1"/>
  <c r="K245" i="11" s="1"/>
  <c r="K246" i="11" s="1"/>
  <c r="K247" i="11" s="1"/>
  <c r="K248" i="11" s="1"/>
  <c r="K249" i="11" s="1"/>
  <c r="K250" i="11" s="1"/>
  <c r="K251" i="11" s="1"/>
  <c r="K252" i="11" s="1"/>
  <c r="K253" i="11" s="1"/>
  <c r="K254" i="11" s="1"/>
  <c r="K255" i="11" s="1"/>
  <c r="K256" i="11" s="1"/>
  <c r="K257" i="11" s="1"/>
  <c r="K258" i="11" s="1"/>
  <c r="K259" i="11" s="1"/>
  <c r="K260" i="11" s="1"/>
  <c r="K261" i="11" s="1"/>
  <c r="K262" i="11" s="1"/>
  <c r="K263" i="11" s="1"/>
  <c r="K264" i="11" s="1"/>
  <c r="K265" i="11" s="1"/>
  <c r="K266" i="11" s="1"/>
  <c r="K267" i="11" s="1"/>
  <c r="K268" i="11" s="1"/>
  <c r="K269" i="11" s="1"/>
  <c r="K273" i="11" s="1"/>
  <c r="K274" i="11" s="1"/>
  <c r="K275" i="11" s="1"/>
  <c r="K276" i="11" s="1"/>
  <c r="K279" i="11" s="1"/>
  <c r="K280" i="11" s="1"/>
  <c r="K281" i="11" s="1"/>
  <c r="K282" i="11" s="1"/>
  <c r="K283" i="11" s="1"/>
  <c r="K285" i="11" s="1"/>
  <c r="K286" i="11" s="1"/>
  <c r="K287" i="11" s="1"/>
  <c r="K288" i="11" s="1"/>
  <c r="K289" i="11" s="1"/>
  <c r="K290" i="11" s="1"/>
  <c r="K292" i="11" s="1"/>
  <c r="K293" i="11" s="1"/>
  <c r="K294" i="11" s="1"/>
  <c r="K295" i="11" s="1"/>
  <c r="K296" i="11" s="1"/>
  <c r="K297" i="11" s="1"/>
  <c r="K299" i="11" s="1"/>
  <c r="K300" i="11" s="1"/>
  <c r="K301" i="11" s="1"/>
  <c r="K302" i="11" s="1"/>
  <c r="K303" i="11" s="1"/>
  <c r="K304" i="11" s="1"/>
  <c r="K306" i="11" s="1"/>
  <c r="K307" i="11" s="1"/>
  <c r="K308" i="11" s="1"/>
  <c r="K309" i="11" s="1"/>
  <c r="K310" i="11" s="1"/>
  <c r="K311" i="11" s="1"/>
  <c r="K313" i="11" s="1"/>
  <c r="K314" i="11" s="1"/>
  <c r="K315" i="11" s="1"/>
  <c r="K316" i="11" s="1"/>
  <c r="K317" i="11" s="1"/>
  <c r="K318" i="11" s="1"/>
  <c r="K320" i="11" s="1"/>
  <c r="K321" i="11" s="1"/>
  <c r="K322" i="11" s="1"/>
  <c r="K323" i="11" s="1"/>
  <c r="K324" i="11" s="1"/>
  <c r="K325" i="11" s="1"/>
  <c r="K327" i="11" s="1"/>
  <c r="K328" i="11" s="1"/>
  <c r="K329" i="11" s="1"/>
  <c r="J235" i="1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251" i="11" s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3" i="11" s="1"/>
  <c r="J274" i="11" s="1"/>
  <c r="J275" i="11" s="1"/>
  <c r="J276" i="11" s="1"/>
  <c r="J279" i="11" s="1"/>
  <c r="J280" i="11" s="1"/>
  <c r="J281" i="11" s="1"/>
  <c r="J282" i="11" s="1"/>
  <c r="J283" i="11" s="1"/>
  <c r="J285" i="11" s="1"/>
  <c r="J286" i="11" s="1"/>
  <c r="J287" i="11" s="1"/>
  <c r="J288" i="11" s="1"/>
  <c r="J289" i="11" s="1"/>
  <c r="J290" i="11" s="1"/>
  <c r="J292" i="11" s="1"/>
  <c r="J293" i="11" s="1"/>
  <c r="J294" i="11" s="1"/>
  <c r="J295" i="11" s="1"/>
  <c r="J296" i="11" s="1"/>
  <c r="J297" i="11" s="1"/>
  <c r="J299" i="11" s="1"/>
  <c r="J300" i="11" s="1"/>
  <c r="J301" i="11" s="1"/>
  <c r="J302" i="11" s="1"/>
  <c r="J303" i="11" s="1"/>
  <c r="J304" i="11" s="1"/>
  <c r="J306" i="11" s="1"/>
  <c r="J307" i="11" s="1"/>
  <c r="J308" i="11" s="1"/>
  <c r="J309" i="11" s="1"/>
  <c r="J310" i="11" s="1"/>
  <c r="J311" i="11" s="1"/>
  <c r="J313" i="11" s="1"/>
  <c r="J314" i="11" s="1"/>
  <c r="J315" i="11" s="1"/>
  <c r="J316" i="11" s="1"/>
  <c r="J317" i="11" s="1"/>
  <c r="J318" i="11" s="1"/>
  <c r="J320" i="11" s="1"/>
  <c r="J321" i="11" s="1"/>
  <c r="J322" i="11" s="1"/>
  <c r="J323" i="11" s="1"/>
  <c r="J324" i="11" s="1"/>
  <c r="J325" i="11" s="1"/>
  <c r="J327" i="11" s="1"/>
  <c r="J328" i="11" s="1"/>
  <c r="J329" i="11" s="1"/>
  <c r="I235" i="11"/>
  <c r="I236" i="11" s="1"/>
  <c r="I237" i="11" s="1"/>
  <c r="I238" i="11" s="1"/>
  <c r="I239" i="11" s="1"/>
  <c r="I240" i="11" s="1"/>
  <c r="I241" i="11" s="1"/>
  <c r="I242" i="11" s="1"/>
  <c r="I243" i="11" s="1"/>
  <c r="I244" i="11" s="1"/>
  <c r="I245" i="11" s="1"/>
  <c r="H235" i="11"/>
  <c r="H236" i="11" s="1"/>
  <c r="H237" i="11" s="1"/>
  <c r="H238" i="11" s="1"/>
  <c r="H239" i="11" s="1"/>
  <c r="H240" i="11" s="1"/>
  <c r="H241" i="11" s="1"/>
  <c r="H242" i="11" s="1"/>
  <c r="H243" i="11" s="1"/>
  <c r="H244" i="11" s="1"/>
  <c r="H245" i="11" s="1"/>
  <c r="G235" i="11"/>
  <c r="F235" i="11"/>
  <c r="F290" i="12"/>
  <c r="G290" i="12"/>
  <c r="F289" i="12"/>
  <c r="G289" i="12"/>
  <c r="F288" i="12"/>
  <c r="G288" i="12"/>
  <c r="F287" i="12"/>
  <c r="G287" i="12"/>
  <c r="F286" i="12"/>
  <c r="G286" i="12"/>
  <c r="G285" i="12"/>
  <c r="F285" i="12"/>
  <c r="F282" i="12"/>
  <c r="G282" i="12"/>
  <c r="F283" i="12"/>
  <c r="G283" i="12"/>
  <c r="F281" i="12"/>
  <c r="G281" i="12"/>
  <c r="I279" i="12"/>
  <c r="I280" i="12" s="1"/>
  <c r="I281" i="12" s="1"/>
  <c r="I282" i="12" s="1"/>
  <c r="I283" i="12" s="1"/>
  <c r="I285" i="12" s="1"/>
  <c r="I286" i="12" s="1"/>
  <c r="I287" i="12" s="1"/>
  <c r="I288" i="12" s="1"/>
  <c r="I289" i="12" s="1"/>
  <c r="I290" i="12" s="1"/>
  <c r="I292" i="12" s="1"/>
  <c r="I293" i="12" s="1"/>
  <c r="I294" i="12" s="1"/>
  <c r="I295" i="12" s="1"/>
  <c r="I296" i="12" s="1"/>
  <c r="I297" i="12" s="1"/>
  <c r="I299" i="12" s="1"/>
  <c r="I300" i="12" s="1"/>
  <c r="I301" i="12" s="1"/>
  <c r="I302" i="12" s="1"/>
  <c r="I303" i="12" s="1"/>
  <c r="I304" i="12" s="1"/>
  <c r="I306" i="12" s="1"/>
  <c r="I307" i="12" s="1"/>
  <c r="I309" i="12" s="1"/>
  <c r="I310" i="12" s="1"/>
  <c r="I311" i="12" s="1"/>
  <c r="I313" i="12" s="1"/>
  <c r="I314" i="12" s="1"/>
  <c r="I315" i="12" s="1"/>
  <c r="I316" i="12" s="1"/>
  <c r="I317" i="12" s="1"/>
  <c r="H279" i="12"/>
  <c r="H280" i="12" s="1"/>
  <c r="H281" i="12" s="1"/>
  <c r="H282" i="12" s="1"/>
  <c r="H283" i="12" s="1"/>
  <c r="H285" i="12" s="1"/>
  <c r="H286" i="12" s="1"/>
  <c r="H287" i="12" s="1"/>
  <c r="H288" i="12" s="1"/>
  <c r="H289" i="12" s="1"/>
  <c r="H290" i="12" s="1"/>
  <c r="H292" i="12" s="1"/>
  <c r="H293" i="12" s="1"/>
  <c r="H294" i="12" s="1"/>
  <c r="H295" i="12" s="1"/>
  <c r="H296" i="12" s="1"/>
  <c r="H297" i="12" s="1"/>
  <c r="H299" i="12" s="1"/>
  <c r="H300" i="12" s="1"/>
  <c r="H301" i="12" s="1"/>
  <c r="H302" i="12" s="1"/>
  <c r="H303" i="12" s="1"/>
  <c r="H304" i="12" s="1"/>
  <c r="H306" i="12" s="1"/>
  <c r="H307" i="12" s="1"/>
  <c r="H309" i="12" s="1"/>
  <c r="H310" i="12" s="1"/>
  <c r="H311" i="12" s="1"/>
  <c r="H313" i="12" s="1"/>
  <c r="H314" i="12" s="1"/>
  <c r="H315" i="12" s="1"/>
  <c r="H316" i="12" s="1"/>
  <c r="H317" i="12" s="1"/>
  <c r="F280" i="12"/>
  <c r="G280" i="12"/>
  <c r="G279" i="12"/>
  <c r="F279" i="12"/>
  <c r="F276" i="12"/>
  <c r="G276" i="12"/>
  <c r="F275" i="12"/>
  <c r="G275" i="12"/>
  <c r="F274" i="12"/>
  <c r="G274" i="12"/>
  <c r="G273" i="12"/>
  <c r="F273" i="12"/>
  <c r="F269" i="12"/>
  <c r="G269" i="12"/>
  <c r="F268" i="12"/>
  <c r="G268" i="12"/>
  <c r="F267" i="12"/>
  <c r="G267" i="12"/>
  <c r="F266" i="12"/>
  <c r="G266" i="12"/>
  <c r="F265" i="12"/>
  <c r="G265" i="12"/>
  <c r="K264" i="12"/>
  <c r="K265" i="12" s="1"/>
  <c r="K266" i="12" s="1"/>
  <c r="K267" i="12" s="1"/>
  <c r="K268" i="12" s="1"/>
  <c r="K269" i="12" s="1"/>
  <c r="K273" i="12" s="1"/>
  <c r="K274" i="12" s="1"/>
  <c r="K275" i="12" s="1"/>
  <c r="K276" i="12" s="1"/>
  <c r="K279" i="12" s="1"/>
  <c r="K280" i="12" s="1"/>
  <c r="K281" i="12" s="1"/>
  <c r="K282" i="12" s="1"/>
  <c r="K283" i="12" s="1"/>
  <c r="K285" i="12" s="1"/>
  <c r="K286" i="12" s="1"/>
  <c r="K287" i="12" s="1"/>
  <c r="K288" i="12" s="1"/>
  <c r="K289" i="12" s="1"/>
  <c r="K290" i="12" s="1"/>
  <c r="K292" i="12" s="1"/>
  <c r="K293" i="12" s="1"/>
  <c r="K294" i="12" s="1"/>
  <c r="K295" i="12" s="1"/>
  <c r="K296" i="12" s="1"/>
  <c r="K297" i="12" s="1"/>
  <c r="K299" i="12" s="1"/>
  <c r="K300" i="12" s="1"/>
  <c r="K301" i="12" s="1"/>
  <c r="K302" i="12" s="1"/>
  <c r="K303" i="12" s="1"/>
  <c r="K304" i="12" s="1"/>
  <c r="K306" i="12" s="1"/>
  <c r="K307" i="12" s="1"/>
  <c r="K308" i="12" s="1"/>
  <c r="K309" i="12" s="1"/>
  <c r="K310" i="12" s="1"/>
  <c r="K311" i="12" s="1"/>
  <c r="K313" i="12" s="1"/>
  <c r="K314" i="12" s="1"/>
  <c r="K315" i="12" s="1"/>
  <c r="K316" i="12" s="1"/>
  <c r="K317" i="12" s="1"/>
  <c r="J264" i="12"/>
  <c r="J265" i="12" s="1"/>
  <c r="J266" i="12" s="1"/>
  <c r="J267" i="12" s="1"/>
  <c r="J268" i="12" s="1"/>
  <c r="J269" i="12" s="1"/>
  <c r="J273" i="12" s="1"/>
  <c r="J274" i="12" s="1"/>
  <c r="J275" i="12" s="1"/>
  <c r="J276" i="12" s="1"/>
  <c r="J279" i="12" s="1"/>
  <c r="J280" i="12" s="1"/>
  <c r="J281" i="12" s="1"/>
  <c r="J282" i="12" s="1"/>
  <c r="J283" i="12" s="1"/>
  <c r="J285" i="12" s="1"/>
  <c r="J286" i="12" s="1"/>
  <c r="J287" i="12" s="1"/>
  <c r="J288" i="12" s="1"/>
  <c r="J289" i="12" s="1"/>
  <c r="J290" i="12" s="1"/>
  <c r="J292" i="12" s="1"/>
  <c r="J293" i="12" s="1"/>
  <c r="J294" i="12" s="1"/>
  <c r="J295" i="12" s="1"/>
  <c r="J296" i="12" s="1"/>
  <c r="J297" i="12" s="1"/>
  <c r="J299" i="12" s="1"/>
  <c r="J300" i="12" s="1"/>
  <c r="J301" i="12" s="1"/>
  <c r="J302" i="12" s="1"/>
  <c r="J303" i="12" s="1"/>
  <c r="J304" i="12" s="1"/>
  <c r="J306" i="12" s="1"/>
  <c r="J307" i="12" s="1"/>
  <c r="J308" i="12" s="1"/>
  <c r="J309" i="12" s="1"/>
  <c r="J310" i="12" s="1"/>
  <c r="J311" i="12" s="1"/>
  <c r="J313" i="12" s="1"/>
  <c r="J314" i="12" s="1"/>
  <c r="J315" i="12" s="1"/>
  <c r="J316" i="12" s="1"/>
  <c r="J317" i="12" s="1"/>
  <c r="I264" i="12"/>
  <c r="I265" i="12" s="1"/>
  <c r="I266" i="12" s="1"/>
  <c r="I267" i="12" s="1"/>
  <c r="I268" i="12" s="1"/>
  <c r="I269" i="12" s="1"/>
  <c r="I273" i="12" s="1"/>
  <c r="I274" i="12" s="1"/>
  <c r="I275" i="12" s="1"/>
  <c r="I276" i="12" s="1"/>
  <c r="H264" i="12"/>
  <c r="H265" i="12" s="1"/>
  <c r="H266" i="12" s="1"/>
  <c r="H267" i="12" s="1"/>
  <c r="H268" i="12" s="1"/>
  <c r="H269" i="12" s="1"/>
  <c r="H273" i="12" s="1"/>
  <c r="H274" i="12" s="1"/>
  <c r="H275" i="12" s="1"/>
  <c r="H276" i="12" s="1"/>
  <c r="G264" i="12"/>
  <c r="F264" i="12"/>
  <c r="D20" i="16"/>
  <c r="B20" i="16"/>
  <c r="K346" i="10" l="1"/>
  <c r="K348" i="10" s="1"/>
  <c r="K349" i="10" s="1"/>
  <c r="K350" i="10" s="1"/>
  <c r="K351" i="10" s="1"/>
  <c r="K345" i="10"/>
  <c r="J346" i="10"/>
  <c r="J348" i="10" s="1"/>
  <c r="J349" i="10" s="1"/>
  <c r="J350" i="10" s="1"/>
  <c r="J351" i="10" s="1"/>
  <c r="J345" i="10"/>
  <c r="K331" i="11"/>
  <c r="K332" i="11" s="1"/>
  <c r="K334" i="11" s="1"/>
  <c r="K335" i="11" s="1"/>
  <c r="K336" i="11" s="1"/>
  <c r="K337" i="11" s="1"/>
  <c r="K338" i="11" s="1"/>
  <c r="K339" i="11" s="1"/>
  <c r="K341" i="11" s="1"/>
  <c r="K343" i="11" s="1"/>
  <c r="K344" i="11" s="1"/>
  <c r="K345" i="11" s="1"/>
  <c r="K346" i="11" s="1"/>
  <c r="K348" i="11" s="1"/>
  <c r="J331" i="11"/>
  <c r="J332" i="11" s="1"/>
  <c r="J334" i="11" s="1"/>
  <c r="J335" i="11" s="1"/>
  <c r="J336" i="11" s="1"/>
  <c r="J337" i="11" s="1"/>
  <c r="J338" i="11" s="1"/>
  <c r="J339" i="11" s="1"/>
  <c r="J341" i="11" s="1"/>
  <c r="J343" i="11" s="1"/>
  <c r="J344" i="11" s="1"/>
  <c r="J345" i="11" s="1"/>
  <c r="J346" i="11" s="1"/>
  <c r="J348" i="11" s="1"/>
  <c r="J318" i="12"/>
  <c r="J320" i="12" s="1"/>
  <c r="J321" i="12" s="1"/>
  <c r="J322" i="12" s="1"/>
  <c r="J323" i="12" s="1"/>
  <c r="J324" i="12" s="1"/>
  <c r="J325" i="12" s="1"/>
  <c r="J327" i="12" s="1"/>
  <c r="J328" i="12" s="1"/>
  <c r="J329" i="12" s="1"/>
  <c r="J330" i="12" s="1"/>
  <c r="J331" i="12" s="1"/>
  <c r="J332" i="12" s="1"/>
  <c r="J334" i="12" s="1"/>
  <c r="J335" i="12" s="1"/>
  <c r="J336" i="12" s="1"/>
  <c r="J337" i="12" s="1"/>
  <c r="J338" i="12" s="1"/>
  <c r="J339" i="12" s="1"/>
  <c r="J341" i="12" s="1"/>
  <c r="J342" i="12" s="1"/>
  <c r="J343" i="12" s="1"/>
  <c r="J344" i="12" s="1"/>
  <c r="J345" i="12" s="1"/>
  <c r="J346" i="12" s="1"/>
  <c r="J348" i="12" s="1"/>
  <c r="J349" i="12" s="1"/>
  <c r="J350" i="12" s="1"/>
  <c r="J351" i="12" s="1"/>
  <c r="J352" i="12" s="1"/>
  <c r="J353" i="12" s="1"/>
  <c r="J355" i="12" s="1"/>
  <c r="J356" i="12" s="1"/>
  <c r="J357" i="12" s="1"/>
  <c r="J358" i="12" s="1"/>
  <c r="J359" i="12" s="1"/>
  <c r="J360" i="12" s="1"/>
  <c r="J362" i="12" s="1"/>
  <c r="J363" i="12" s="1"/>
  <c r="J364" i="12" s="1"/>
  <c r="J365" i="12" s="1"/>
  <c r="J366" i="12" s="1"/>
  <c r="I318" i="12"/>
  <c r="I320" i="12" s="1"/>
  <c r="I321" i="12" s="1"/>
  <c r="I322" i="12" s="1"/>
  <c r="I323" i="12" s="1"/>
  <c r="I324" i="12" s="1"/>
  <c r="I325" i="12" s="1"/>
  <c r="I327" i="12" s="1"/>
  <c r="I328" i="12" s="1"/>
  <c r="I329" i="12" s="1"/>
  <c r="I330" i="12" s="1"/>
  <c r="I331" i="12" s="1"/>
  <c r="I332" i="12" s="1"/>
  <c r="I334" i="12" s="1"/>
  <c r="I335" i="12" s="1"/>
  <c r="H318" i="12"/>
  <c r="H320" i="12" s="1"/>
  <c r="H321" i="12" s="1"/>
  <c r="H322" i="12" s="1"/>
  <c r="H323" i="12" s="1"/>
  <c r="H324" i="12" s="1"/>
  <c r="H325" i="12" s="1"/>
  <c r="H327" i="12" s="1"/>
  <c r="H328" i="12" s="1"/>
  <c r="H329" i="12" s="1"/>
  <c r="H330" i="12" s="1"/>
  <c r="H331" i="12" s="1"/>
  <c r="H332" i="12" s="1"/>
  <c r="H334" i="12" s="1"/>
  <c r="H335" i="12" s="1"/>
  <c r="K318" i="12"/>
  <c r="K320" i="12" s="1"/>
  <c r="K321" i="12" s="1"/>
  <c r="K322" i="12" s="1"/>
  <c r="K323" i="12" s="1"/>
  <c r="K324" i="12" s="1"/>
  <c r="K325" i="12" s="1"/>
  <c r="K327" i="12" s="1"/>
  <c r="K328" i="12" s="1"/>
  <c r="K329" i="12" s="1"/>
  <c r="K330" i="12" s="1"/>
  <c r="K331" i="12" s="1"/>
  <c r="K332" i="12" s="1"/>
  <c r="K334" i="12" s="1"/>
  <c r="K335" i="12" s="1"/>
  <c r="K336" i="12" s="1"/>
  <c r="K337" i="12" s="1"/>
  <c r="K338" i="12" s="1"/>
  <c r="K339" i="12" s="1"/>
  <c r="K341" i="12" s="1"/>
  <c r="K342" i="12" s="1"/>
  <c r="K343" i="12" s="1"/>
  <c r="K344" i="12" s="1"/>
  <c r="K345" i="12" s="1"/>
  <c r="K346" i="12" s="1"/>
  <c r="K348" i="12" s="1"/>
  <c r="K349" i="12" s="1"/>
  <c r="K350" i="12" s="1"/>
  <c r="K351" i="12" s="1"/>
  <c r="K352" i="12" s="1"/>
  <c r="K353" i="12" s="1"/>
  <c r="K355" i="12" s="1"/>
  <c r="K356" i="12" s="1"/>
  <c r="K357" i="12" s="1"/>
  <c r="K358" i="12" s="1"/>
  <c r="K359" i="12" s="1"/>
  <c r="K360" i="12" s="1"/>
  <c r="K362" i="12" s="1"/>
  <c r="K363" i="12" s="1"/>
  <c r="K364" i="12" s="1"/>
  <c r="K365" i="12" s="1"/>
  <c r="K366" i="12" s="1"/>
  <c r="D20" i="2"/>
  <c r="U11" i="15"/>
  <c r="T11" i="15"/>
  <c r="Q11" i="15"/>
  <c r="N11" i="15"/>
  <c r="M11" i="15"/>
  <c r="R9" i="15"/>
  <c r="S9" i="15" s="1"/>
  <c r="R8" i="15"/>
  <c r="S8" i="15" s="1"/>
  <c r="R7" i="15"/>
  <c r="S7" i="15" s="1"/>
  <c r="R6" i="15"/>
  <c r="S6" i="15" s="1"/>
  <c r="R5" i="15"/>
  <c r="S5" i="15" s="1"/>
  <c r="J352" i="10" l="1"/>
  <c r="J353" i="10"/>
  <c r="J355" i="10" s="1"/>
  <c r="J356" i="10" s="1"/>
  <c r="J357" i="10" s="1"/>
  <c r="J358" i="10" s="1"/>
  <c r="K352" i="10"/>
  <c r="K353" i="10"/>
  <c r="K355" i="10" s="1"/>
  <c r="K356" i="10" s="1"/>
  <c r="K357" i="10" s="1"/>
  <c r="K358" i="10" s="1"/>
  <c r="J349" i="11"/>
  <c r="J350" i="11"/>
  <c r="K349" i="11"/>
  <c r="K350" i="11"/>
  <c r="O23" i="15"/>
  <c r="O11" i="15"/>
  <c r="P23" i="15"/>
  <c r="P11" i="15"/>
  <c r="R11" i="15"/>
  <c r="S11" i="15" s="1"/>
  <c r="G22" i="16"/>
  <c r="E22" i="16"/>
  <c r="D22" i="16"/>
  <c r="C22" i="16"/>
  <c r="B22" i="16"/>
  <c r="G21" i="16"/>
  <c r="F21" i="16"/>
  <c r="E21" i="16"/>
  <c r="D21" i="16"/>
  <c r="C21" i="16"/>
  <c r="B21" i="16"/>
  <c r="E20" i="16"/>
  <c r="C20" i="16"/>
  <c r="G20" i="16"/>
  <c r="F22" i="16"/>
  <c r="K360" i="10" l="1"/>
  <c r="K362" i="10" s="1"/>
  <c r="K363" i="10" s="1"/>
  <c r="K364" i="10" s="1"/>
  <c r="K365" i="10" s="1"/>
  <c r="K366" i="10" s="1"/>
  <c r="K359" i="10"/>
  <c r="J359" i="10"/>
  <c r="J360" i="10"/>
  <c r="J362" i="10" s="1"/>
  <c r="J363" i="10" s="1"/>
  <c r="J364" i="10" s="1"/>
  <c r="J365" i="10" s="1"/>
  <c r="J366" i="10" s="1"/>
  <c r="K351" i="11"/>
  <c r="K352" i="11"/>
  <c r="K353" i="11" s="1"/>
  <c r="K355" i="11" s="1"/>
  <c r="J351" i="11"/>
  <c r="J352" i="11"/>
  <c r="J353" i="11" s="1"/>
  <c r="J355" i="11" s="1"/>
  <c r="F20" i="16"/>
  <c r="K357" i="11" l="1"/>
  <c r="K356" i="11"/>
  <c r="J357" i="11"/>
  <c r="J356" i="11"/>
  <c r="B20" i="2"/>
  <c r="C20" i="2"/>
  <c r="E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J359" i="11" l="1"/>
  <c r="J360" i="11" s="1"/>
  <c r="J362" i="11" s="1"/>
  <c r="J358" i="11"/>
  <c r="K358" i="11"/>
  <c r="K359" i="11"/>
  <c r="K360" i="11" s="1"/>
  <c r="K362" i="11" s="1"/>
  <c r="S232" i="12"/>
  <c r="I11" i="15"/>
  <c r="H11" i="15"/>
  <c r="E11" i="15"/>
  <c r="D11" i="15"/>
  <c r="C11" i="15"/>
  <c r="F9" i="15"/>
  <c r="G9" i="15" s="1"/>
  <c r="F8" i="15"/>
  <c r="G8" i="15" s="1"/>
  <c r="F7" i="15"/>
  <c r="G7" i="15" s="1"/>
  <c r="F6" i="15"/>
  <c r="G6" i="15" s="1"/>
  <c r="F5" i="15"/>
  <c r="G5" i="15" s="1"/>
  <c r="K364" i="11" l="1"/>
  <c r="K363" i="11"/>
  <c r="J364" i="11"/>
  <c r="J363" i="11"/>
  <c r="F11" i="15"/>
  <c r="J366" i="11" l="1"/>
  <c r="J365" i="11"/>
  <c r="K366" i="11"/>
  <c r="K365" i="11"/>
  <c r="G11" i="15"/>
  <c r="U5" i="10" l="1"/>
  <c r="U6" i="10" s="1"/>
  <c r="U7" i="9"/>
  <c r="U8" i="9" s="1"/>
  <c r="T9" i="11"/>
  <c r="U8" i="11" s="1" a="1"/>
  <c r="U8" i="11" s="1"/>
  <c r="S9" i="12"/>
  <c r="S10" i="12" s="1"/>
  <c r="V15" i="8"/>
  <c r="X14" i="8" s="1"/>
  <c r="V6" i="9" l="1" a="1"/>
  <c r="V6" i="9" s="1"/>
  <c r="W6" i="9" a="1"/>
  <c r="W6" i="9" s="1"/>
  <c r="V4" i="10"/>
  <c r="U8" i="12" a="1"/>
  <c r="U8" i="12" s="1"/>
  <c r="T10" i="1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V20" i="11" s="1" a="1"/>
  <c r="V20" i="11" s="1"/>
  <c r="V8" i="11" a="1"/>
  <c r="V8" i="11" s="1"/>
  <c r="V12" i="11" a="1"/>
  <c r="V12" i="11" s="1"/>
  <c r="U9" i="9"/>
  <c r="W8" i="9" s="1" a="1"/>
  <c r="W8" i="9" s="1"/>
  <c r="V7" i="9" a="1"/>
  <c r="V7" i="9" s="1"/>
  <c r="W7" i="9" a="1"/>
  <c r="W7" i="9" s="1"/>
  <c r="U9" i="12" a="1"/>
  <c r="U9" i="12" s="1"/>
  <c r="U7" i="10"/>
  <c r="W5" i="10"/>
  <c r="V5" i="10"/>
  <c r="W4" i="10"/>
  <c r="T9" i="12" a="1"/>
  <c r="T9" i="12" s="1"/>
  <c r="T8" i="12" a="1"/>
  <c r="T8" i="12" s="1"/>
  <c r="V16" i="8"/>
  <c r="W15" i="8" s="1"/>
  <c r="W14" i="8"/>
  <c r="S11" i="12"/>
  <c r="U10" i="12" s="1" a="1"/>
  <c r="U10" i="12" s="1"/>
  <c r="U9" i="11" l="1" a="1"/>
  <c r="U9" i="11" s="1"/>
  <c r="V8" i="9" a="1"/>
  <c r="V8" i="9" s="1"/>
  <c r="V13" i="11" a="1"/>
  <c r="V13" i="11" s="1"/>
  <c r="U11" i="11" a="1"/>
  <c r="U11" i="11" s="1"/>
  <c r="U12" i="11" a="1"/>
  <c r="U12" i="11" s="1"/>
  <c r="V15" i="11" a="1"/>
  <c r="V15" i="11" s="1"/>
  <c r="U13" i="11" a="1"/>
  <c r="U13" i="11" s="1"/>
  <c r="V18" i="11" a="1"/>
  <c r="V18" i="11" s="1"/>
  <c r="U14" i="11" a="1"/>
  <c r="U14" i="11" s="1"/>
  <c r="U10" i="11" a="1"/>
  <c r="U10" i="11" s="1"/>
  <c r="V16" i="11" a="1"/>
  <c r="V16" i="11" s="1"/>
  <c r="U18" i="11" a="1"/>
  <c r="U18" i="11" s="1"/>
  <c r="V17" i="11" a="1"/>
  <c r="V17" i="11" s="1"/>
  <c r="U16" i="11" a="1"/>
  <c r="U16" i="11" s="1"/>
  <c r="V14" i="11" a="1"/>
  <c r="V14" i="11" s="1"/>
  <c r="U17" i="11" a="1"/>
  <c r="U17" i="11" s="1"/>
  <c r="U15" i="11" a="1"/>
  <c r="U15" i="11" s="1"/>
  <c r="U19" i="11" a="1"/>
  <c r="U19" i="11" s="1"/>
  <c r="V9" i="11" a="1"/>
  <c r="V9" i="11" s="1"/>
  <c r="V11" i="11" a="1"/>
  <c r="V11" i="11" s="1"/>
  <c r="V10" i="11" a="1"/>
  <c r="V10" i="11" s="1"/>
  <c r="V19" i="11" a="1"/>
  <c r="V19" i="11" s="1"/>
  <c r="T22" i="11"/>
  <c r="V21" i="11" s="1" a="1"/>
  <c r="V21" i="11" s="1"/>
  <c r="U20" i="11" a="1"/>
  <c r="U20" i="11" s="1"/>
  <c r="U10" i="9"/>
  <c r="W9" i="9" s="1" a="1"/>
  <c r="W9" i="9" s="1"/>
  <c r="X15" i="8"/>
  <c r="U8" i="10"/>
  <c r="V7" i="10" s="1"/>
  <c r="W6" i="10"/>
  <c r="V6" i="10"/>
  <c r="T10" i="12" a="1"/>
  <c r="T10" i="12" s="1"/>
  <c r="V17" i="8"/>
  <c r="X16" i="8" s="1"/>
  <c r="S12" i="12"/>
  <c r="U11" i="12" s="1" a="1"/>
  <c r="U11" i="12" s="1"/>
  <c r="V9" i="9" l="1" a="1"/>
  <c r="V9" i="9" s="1"/>
  <c r="U21" i="11" a="1"/>
  <c r="U21" i="11" s="1"/>
  <c r="T23" i="11"/>
  <c r="U11" i="9"/>
  <c r="U9" i="10"/>
  <c r="V8" i="10" s="1"/>
  <c r="W7" i="10"/>
  <c r="T11" i="12" a="1"/>
  <c r="T11" i="12" s="1"/>
  <c r="V18" i="8"/>
  <c r="W17" i="8" s="1"/>
  <c r="W16" i="8"/>
  <c r="S13" i="12"/>
  <c r="X17" i="8" l="1"/>
  <c r="T24" i="11"/>
  <c r="U22" i="11" a="1"/>
  <c r="U22" i="11" s="1"/>
  <c r="V22" i="11" a="1"/>
  <c r="V22" i="11" s="1"/>
  <c r="U12" i="9"/>
  <c r="W11" i="9" s="1" a="1"/>
  <c r="W11" i="9" s="1"/>
  <c r="W10" i="9" a="1"/>
  <c r="W10" i="9" s="1"/>
  <c r="V10" i="9" a="1"/>
  <c r="V10" i="9" s="1"/>
  <c r="U12" i="12" a="1"/>
  <c r="U12" i="12" s="1"/>
  <c r="T12" i="12" a="1"/>
  <c r="T12" i="12" s="1"/>
  <c r="U10" i="10"/>
  <c r="W8" i="10"/>
  <c r="V19" i="8"/>
  <c r="S14" i="12"/>
  <c r="U13" i="12" s="1" a="1"/>
  <c r="U13" i="12" s="1"/>
  <c r="U23" i="11" l="1" a="1"/>
  <c r="U23" i="11" s="1"/>
  <c r="T25" i="11"/>
  <c r="U24" i="11" s="1" a="1"/>
  <c r="U24" i="11" s="1"/>
  <c r="V23" i="11" a="1"/>
  <c r="V23" i="11" s="1"/>
  <c r="V11" i="9" a="1"/>
  <c r="V11" i="9" s="1"/>
  <c r="U13" i="9"/>
  <c r="W12" i="9" s="1" a="1"/>
  <c r="W12" i="9" s="1"/>
  <c r="U11" i="10"/>
  <c r="W10" i="10" s="1"/>
  <c r="V9" i="10"/>
  <c r="W9" i="10"/>
  <c r="T13" i="12" a="1"/>
  <c r="T13" i="12" s="1"/>
  <c r="V20" i="8"/>
  <c r="X19" i="8" s="1"/>
  <c r="W18" i="8"/>
  <c r="X18" i="8"/>
  <c r="S15" i="12"/>
  <c r="U14" i="12" s="1" a="1"/>
  <c r="U14" i="12" s="1"/>
  <c r="W19" i="8" l="1"/>
  <c r="V12" i="9" a="1"/>
  <c r="V12" i="9" s="1"/>
  <c r="T26" i="11"/>
  <c r="V24" i="11" a="1"/>
  <c r="V24" i="11" s="1"/>
  <c r="V10" i="10"/>
  <c r="U14" i="9"/>
  <c r="W13" i="9" s="1" a="1"/>
  <c r="W13" i="9" s="1"/>
  <c r="U12" i="10"/>
  <c r="W11" i="10" s="1"/>
  <c r="T14" i="12" a="1"/>
  <c r="T14" i="12" s="1"/>
  <c r="V21" i="8"/>
  <c r="X20" i="8" s="1"/>
  <c r="S16" i="12"/>
  <c r="U15" i="12" s="1" a="1"/>
  <c r="U15" i="12" s="1"/>
  <c r="V13" i="9" l="1" a="1"/>
  <c r="V13" i="9" s="1"/>
  <c r="W20" i="8"/>
  <c r="V11" i="10"/>
  <c r="T27" i="11"/>
  <c r="V26" i="11" s="1" a="1"/>
  <c r="V26" i="11" s="1"/>
  <c r="U25" i="11" a="1"/>
  <c r="U25" i="11" s="1"/>
  <c r="V25" i="11" a="1"/>
  <c r="V25" i="11" s="1"/>
  <c r="U15" i="9"/>
  <c r="U13" i="10"/>
  <c r="V12" i="10" s="1"/>
  <c r="T15" i="12" a="1"/>
  <c r="T15" i="12" s="1"/>
  <c r="V22" i="8"/>
  <c r="X21" i="8" s="1"/>
  <c r="S17" i="12"/>
  <c r="U16" i="12" s="1" a="1"/>
  <c r="U16" i="12" s="1"/>
  <c r="T28" i="11" l="1"/>
  <c r="U26" i="11" a="1"/>
  <c r="U26" i="11" s="1"/>
  <c r="W21" i="8"/>
  <c r="U16" i="9"/>
  <c r="V15" i="9" s="1" a="1"/>
  <c r="V15" i="9" s="1"/>
  <c r="W15" i="9" a="1"/>
  <c r="W15" i="9" s="1"/>
  <c r="V14" i="9" a="1"/>
  <c r="V14" i="9" s="1"/>
  <c r="W14" i="9" a="1"/>
  <c r="W14" i="9" s="1"/>
  <c r="T16" i="12" a="1"/>
  <c r="T16" i="12" s="1"/>
  <c r="U14" i="10"/>
  <c r="W13" i="10" s="1"/>
  <c r="W12" i="10"/>
  <c r="V23" i="8"/>
  <c r="S18" i="12"/>
  <c r="U17" i="12" s="1" a="1"/>
  <c r="U17" i="12" s="1"/>
  <c r="T29" i="11" l="1"/>
  <c r="V27" i="11" a="1"/>
  <c r="V27" i="11" s="1"/>
  <c r="U27" i="11" a="1"/>
  <c r="U27" i="11" s="1"/>
  <c r="V13" i="10"/>
  <c r="U17" i="9"/>
  <c r="T17" i="12" a="1"/>
  <c r="T17" i="12" s="1"/>
  <c r="U15" i="10"/>
  <c r="W14" i="10" s="1"/>
  <c r="V24" i="8"/>
  <c r="W23" i="8" s="1"/>
  <c r="W22" i="8"/>
  <c r="X22" i="8"/>
  <c r="S19" i="12"/>
  <c r="T30" i="11" l="1"/>
  <c r="U28" i="11" a="1"/>
  <c r="U28" i="11" s="1"/>
  <c r="V28" i="11" a="1"/>
  <c r="V28" i="11" s="1"/>
  <c r="X23" i="8"/>
  <c r="U18" i="9"/>
  <c r="V17" i="9" s="1" a="1"/>
  <c r="V17" i="9" s="1"/>
  <c r="W16" i="9" a="1"/>
  <c r="W16" i="9" s="1"/>
  <c r="V16" i="9" a="1"/>
  <c r="V16" i="9" s="1"/>
  <c r="U18" i="12" a="1"/>
  <c r="U18" i="12" s="1"/>
  <c r="T18" i="12" a="1"/>
  <c r="T18" i="12" s="1"/>
  <c r="U16" i="10"/>
  <c r="V14" i="10"/>
  <c r="V25" i="8"/>
  <c r="S20" i="12"/>
  <c r="U19" i="12" s="1" a="1"/>
  <c r="U19" i="12" s="1"/>
  <c r="W17" i="9" l="1" a="1"/>
  <c r="W17" i="9" s="1"/>
  <c r="T31" i="11"/>
  <c r="U30" i="11" s="1" a="1"/>
  <c r="U30" i="11" s="1"/>
  <c r="U29" i="11" a="1"/>
  <c r="U29" i="11" s="1"/>
  <c r="V29" i="11" a="1"/>
  <c r="V29" i="11" s="1"/>
  <c r="U19" i="9"/>
  <c r="W18" i="9" a="1"/>
  <c r="W18" i="9" s="1"/>
  <c r="V18" i="9" a="1"/>
  <c r="V18" i="9" s="1"/>
  <c r="T19" i="12" a="1"/>
  <c r="T19" i="12" s="1"/>
  <c r="U17" i="10"/>
  <c r="V16" i="10" s="1"/>
  <c r="V15" i="10"/>
  <c r="W15" i="10"/>
  <c r="V26" i="8"/>
  <c r="X25" i="8" s="1"/>
  <c r="W24" i="8"/>
  <c r="X24" i="8"/>
  <c r="S21" i="12"/>
  <c r="T20" i="12" s="1" a="1"/>
  <c r="T20" i="12" s="1"/>
  <c r="T32" i="11" l="1"/>
  <c r="U31" i="11" s="1" a="1"/>
  <c r="U31" i="11" s="1"/>
  <c r="V30" i="11" a="1"/>
  <c r="V30" i="11" s="1"/>
  <c r="U20" i="9"/>
  <c r="W19" i="9" s="1" a="1"/>
  <c r="W19" i="9" s="1"/>
  <c r="U20" i="12" a="1"/>
  <c r="U20" i="12" s="1"/>
  <c r="U18" i="10"/>
  <c r="W16" i="10"/>
  <c r="V27" i="8"/>
  <c r="X26" i="8" s="1"/>
  <c r="W25" i="8"/>
  <c r="S22" i="12"/>
  <c r="T33" i="11" l="1"/>
  <c r="U32" i="11" s="1" a="1"/>
  <c r="U32" i="11" s="1"/>
  <c r="V31" i="11" a="1"/>
  <c r="V31" i="11" s="1"/>
  <c r="V19" i="9" a="1"/>
  <c r="V19" i="9" s="1"/>
  <c r="U21" i="9"/>
  <c r="W20" i="9" s="1" a="1"/>
  <c r="W20" i="9" s="1"/>
  <c r="W26" i="8"/>
  <c r="T21" i="12" a="1"/>
  <c r="T21" i="12" s="1"/>
  <c r="U21" i="12" a="1"/>
  <c r="U21" i="12" s="1"/>
  <c r="U19" i="10"/>
  <c r="V17" i="10"/>
  <c r="W17" i="10"/>
  <c r="V28" i="8"/>
  <c r="X27" i="8" s="1"/>
  <c r="S23" i="12"/>
  <c r="T22" i="12" s="1" a="1"/>
  <c r="T22" i="12" s="1"/>
  <c r="V20" i="9" l="1" a="1"/>
  <c r="V20" i="9" s="1"/>
  <c r="V32" i="11" a="1"/>
  <c r="V32" i="11" s="1"/>
  <c r="T34" i="11"/>
  <c r="V33" i="11" s="1" a="1"/>
  <c r="V33" i="11" s="1"/>
  <c r="U22" i="9"/>
  <c r="V21" i="9" s="1" a="1"/>
  <c r="V21" i="9" s="1"/>
  <c r="S24" i="12"/>
  <c r="U23" i="12" s="1" a="1"/>
  <c r="U23" i="12" s="1"/>
  <c r="U22" i="12" a="1"/>
  <c r="U22" i="12" s="1"/>
  <c r="U20" i="10"/>
  <c r="V19" i="10" s="1" a="1"/>
  <c r="V19" i="10" s="1"/>
  <c r="V18" i="10"/>
  <c r="W18" i="10"/>
  <c r="V29" i="8"/>
  <c r="W27" i="8"/>
  <c r="W21" i="9" l="1" a="1"/>
  <c r="W21" i="9" s="1"/>
  <c r="U33" i="11" a="1"/>
  <c r="U33" i="11" s="1"/>
  <c r="T35" i="11"/>
  <c r="U21" i="10"/>
  <c r="W19" i="10" a="1"/>
  <c r="W19" i="10" s="1"/>
  <c r="U23" i="9"/>
  <c r="T23" i="12" a="1"/>
  <c r="T23" i="12" s="1"/>
  <c r="S25" i="12"/>
  <c r="X28" i="8"/>
  <c r="W28" i="8"/>
  <c r="V30" i="8"/>
  <c r="U34" i="11" l="1" a="1"/>
  <c r="U34" i="11" s="1"/>
  <c r="T36" i="11"/>
  <c r="V34" i="11" a="1"/>
  <c r="V34" i="11" s="1"/>
  <c r="V22" i="9" a="1"/>
  <c r="V22" i="9" s="1"/>
  <c r="S26" i="12"/>
  <c r="W29" i="8"/>
  <c r="U24" i="9"/>
  <c r="W22" i="9" a="1"/>
  <c r="W22" i="9" s="1"/>
  <c r="U22" i="10"/>
  <c r="V20" i="10" a="1"/>
  <c r="V20" i="10" s="1"/>
  <c r="W20" i="10" a="1"/>
  <c r="W20" i="10" s="1"/>
  <c r="U24" i="12"/>
  <c r="T24" i="12" a="1"/>
  <c r="T24" i="12" s="1"/>
  <c r="V31" i="8"/>
  <c r="X29" i="8"/>
  <c r="U35" i="11" l="1" a="1"/>
  <c r="U35" i="11" s="1"/>
  <c r="T37" i="11"/>
  <c r="V36" i="11" s="1" a="1"/>
  <c r="V36" i="11" s="1"/>
  <c r="V35" i="11" a="1"/>
  <c r="V35" i="11" s="1"/>
  <c r="U25" i="12"/>
  <c r="T25" i="12" a="1"/>
  <c r="T25" i="12" s="1"/>
  <c r="U23" i="10"/>
  <c r="W22" i="10" s="1" a="1"/>
  <c r="W22" i="10" s="1"/>
  <c r="V22" i="10" a="1"/>
  <c r="V22" i="10" s="1"/>
  <c r="S27" i="12"/>
  <c r="T26" i="12" s="1" a="1"/>
  <c r="T26" i="12" s="1"/>
  <c r="U25" i="9"/>
  <c r="V23" i="9" a="1"/>
  <c r="V23" i="9" s="1"/>
  <c r="W23" i="9" a="1"/>
  <c r="W23" i="9" s="1"/>
  <c r="X30" i="8"/>
  <c r="V32" i="8"/>
  <c r="W30" i="8"/>
  <c r="V21" i="10" a="1"/>
  <c r="V21" i="10" s="1"/>
  <c r="W21" i="10" a="1"/>
  <c r="W21" i="10" s="1"/>
  <c r="U26" i="12" l="1"/>
  <c r="T38" i="11"/>
  <c r="U37" i="11" s="1" a="1"/>
  <c r="U37" i="11" s="1"/>
  <c r="U36" i="11" a="1"/>
  <c r="U36" i="11" s="1"/>
  <c r="U26" i="9"/>
  <c r="W25" i="9" s="1" a="1"/>
  <c r="W25" i="9" s="1"/>
  <c r="U24" i="10"/>
  <c r="V23" i="10" s="1" a="1"/>
  <c r="V23" i="10" s="1"/>
  <c r="W23" i="10" a="1"/>
  <c r="W23" i="10" s="1"/>
  <c r="S28" i="12"/>
  <c r="V24" i="9" a="1"/>
  <c r="V24" i="9" s="1"/>
  <c r="W24" i="9" a="1"/>
  <c r="W24" i="9" s="1"/>
  <c r="V33" i="8"/>
  <c r="X31" i="8"/>
  <c r="W31" i="8"/>
  <c r="V25" i="9" l="1" a="1"/>
  <c r="V25" i="9" s="1"/>
  <c r="T39" i="11"/>
  <c r="V38" i="11" a="1"/>
  <c r="V38" i="11" s="1"/>
  <c r="U38" i="11" a="1"/>
  <c r="U38" i="11" s="1"/>
  <c r="V37" i="11" a="1"/>
  <c r="V37" i="11" s="1"/>
  <c r="U27" i="12"/>
  <c r="T27" i="12" a="1"/>
  <c r="T27" i="12" s="1"/>
  <c r="S29" i="12"/>
  <c r="U28" i="12" s="1"/>
  <c r="V34" i="8"/>
  <c r="X33" i="8" s="1"/>
  <c r="U27" i="9"/>
  <c r="U25" i="10"/>
  <c r="W32" i="8"/>
  <c r="X32" i="8"/>
  <c r="T40" i="11" l="1"/>
  <c r="U39" i="11" s="1" a="1"/>
  <c r="U39" i="11" s="1"/>
  <c r="X39" i="11" s="1"/>
  <c r="W33" i="8"/>
  <c r="T28" i="12" a="1"/>
  <c r="T28" i="12" s="1"/>
  <c r="V26" i="9" a="1"/>
  <c r="V26" i="9" s="1"/>
  <c r="V24" i="10" a="1"/>
  <c r="V24" i="10" s="1"/>
  <c r="S30" i="12"/>
  <c r="U26" i="10"/>
  <c r="W24" i="10" a="1"/>
  <c r="W24" i="10" s="1"/>
  <c r="U28" i="9"/>
  <c r="W26" i="9" a="1"/>
  <c r="W26" i="9" s="1"/>
  <c r="V35" i="8"/>
  <c r="V39" i="11" l="1" a="1"/>
  <c r="V39" i="11" s="1"/>
  <c r="Y39" i="11" s="1"/>
  <c r="T41" i="11"/>
  <c r="V40" i="11" a="1"/>
  <c r="V40" i="11" s="1"/>
  <c r="U40" i="11" a="1"/>
  <c r="U40" i="11" s="1"/>
  <c r="U29" i="9"/>
  <c r="V28" i="9" s="1" a="1"/>
  <c r="V28" i="9" s="1"/>
  <c r="U29" i="12"/>
  <c r="T29" i="12" a="1"/>
  <c r="T29" i="12" s="1"/>
  <c r="S31" i="12"/>
  <c r="V25" i="10" a="1"/>
  <c r="V25" i="10" s="1"/>
  <c r="U27" i="10"/>
  <c r="W27" i="9" a="1"/>
  <c r="W27" i="9" s="1"/>
  <c r="V36" i="8"/>
  <c r="W35" i="8" s="1"/>
  <c r="V27" i="9" a="1"/>
  <c r="V27" i="9" s="1"/>
  <c r="W25" i="10" a="1"/>
  <c r="W25" i="10" s="1"/>
  <c r="W34" i="8"/>
  <c r="X34" i="8"/>
  <c r="T42" i="11" l="1"/>
  <c r="T43" i="11" s="1"/>
  <c r="U41" i="11" a="1"/>
  <c r="U41" i="11" s="1"/>
  <c r="V41" i="11" a="1"/>
  <c r="V41" i="11" s="1"/>
  <c r="W28" i="9" a="1"/>
  <c r="W28" i="9" s="1"/>
  <c r="U28" i="10"/>
  <c r="W27" i="10" a="1"/>
  <c r="W27" i="10" s="1"/>
  <c r="V27" i="10" a="1"/>
  <c r="V27" i="10" s="1"/>
  <c r="U30" i="9"/>
  <c r="X35" i="8"/>
  <c r="S32" i="12"/>
  <c r="T31" i="12" s="1" a="1"/>
  <c r="T31" i="12" s="1"/>
  <c r="T30" i="12" a="1"/>
  <c r="T30" i="12" s="1"/>
  <c r="U30" i="12"/>
  <c r="V26" i="10" a="1"/>
  <c r="V26" i="10" s="1"/>
  <c r="W26" i="10" a="1"/>
  <c r="W26" i="10" s="1"/>
  <c r="V37" i="8"/>
  <c r="U42" i="11" l="1" a="1"/>
  <c r="U42" i="11" s="1"/>
  <c r="V42" i="11" a="1"/>
  <c r="V42" i="11" s="1"/>
  <c r="T44" i="11"/>
  <c r="V43" i="11" s="1" a="1"/>
  <c r="V43" i="11" s="1"/>
  <c r="U31" i="12"/>
  <c r="U29" i="10"/>
  <c r="W28" i="10" s="1"/>
  <c r="W36" i="8"/>
  <c r="U31" i="9"/>
  <c r="W30" i="9" s="1" a="1"/>
  <c r="W30" i="9" s="1"/>
  <c r="W29" i="9" a="1"/>
  <c r="W29" i="9" s="1"/>
  <c r="V29" i="9" a="1"/>
  <c r="V29" i="9" s="1"/>
  <c r="V38" i="8"/>
  <c r="X36" i="8"/>
  <c r="S33" i="12"/>
  <c r="U32" i="12" s="1"/>
  <c r="U43" i="11" l="1" a="1"/>
  <c r="U43" i="11" s="1"/>
  <c r="T45" i="11"/>
  <c r="U44" i="11" s="1" a="1"/>
  <c r="U44" i="11" s="1"/>
  <c r="T32" i="12" a="1"/>
  <c r="T32" i="12" s="1"/>
  <c r="V30" i="9" a="1"/>
  <c r="V30" i="9" s="1"/>
  <c r="V28" i="10"/>
  <c r="U30" i="10"/>
  <c r="W29" i="10" s="1"/>
  <c r="V39" i="8"/>
  <c r="V40" i="8" s="1"/>
  <c r="W37" i="8"/>
  <c r="X37" i="8"/>
  <c r="U32" i="9"/>
  <c r="W31" i="9" s="1" a="1"/>
  <c r="W31" i="9" s="1"/>
  <c r="S34" i="12"/>
  <c r="S35" i="12" s="1"/>
  <c r="V44" i="11" l="1" a="1"/>
  <c r="V44" i="11" s="1"/>
  <c r="T46" i="11"/>
  <c r="U45" i="11" a="1"/>
  <c r="U45" i="11" s="1"/>
  <c r="V45" i="11" a="1"/>
  <c r="V45" i="11" s="1"/>
  <c r="W38" i="8"/>
  <c r="T33" i="12" a="1"/>
  <c r="T33" i="12" s="1"/>
  <c r="V29" i="10"/>
  <c r="U33" i="12"/>
  <c r="V31" i="9" a="1"/>
  <c r="V31" i="9" s="1"/>
  <c r="X38" i="8"/>
  <c r="U33" i="9"/>
  <c r="W32" i="9" s="1" a="1"/>
  <c r="W32" i="9" s="1"/>
  <c r="V32" i="9" a="1"/>
  <c r="V32" i="9" s="1"/>
  <c r="S36" i="12"/>
  <c r="U34" i="12"/>
  <c r="T34" i="12" a="1"/>
  <c r="T34" i="12" s="1"/>
  <c r="U31" i="10"/>
  <c r="V41" i="8"/>
  <c r="T47" i="11" l="1"/>
  <c r="V30" i="10" a="1"/>
  <c r="V30" i="10" s="1"/>
  <c r="U35" i="12"/>
  <c r="U32" i="10"/>
  <c r="W30" i="10" a="1"/>
  <c r="W30" i="10" s="1"/>
  <c r="U34" i="9"/>
  <c r="V42" i="8"/>
  <c r="X41" i="8" s="1"/>
  <c r="W40" i="8"/>
  <c r="X40" i="8"/>
  <c r="S37" i="12"/>
  <c r="T36" i="12" a="1"/>
  <c r="T36" i="12" s="1"/>
  <c r="T35" i="12" a="1"/>
  <c r="T35" i="12" s="1"/>
  <c r="W39" i="8"/>
  <c r="X39" i="8"/>
  <c r="U46" i="11" l="1" a="1"/>
  <c r="U46" i="11" s="1"/>
  <c r="T48" i="11"/>
  <c r="V47" i="11" s="1" a="1"/>
  <c r="V47" i="11" s="1"/>
  <c r="V46" i="11" a="1"/>
  <c r="V46" i="11" s="1"/>
  <c r="V43" i="8"/>
  <c r="W41" i="8"/>
  <c r="U33" i="10"/>
  <c r="W32" i="10" s="1"/>
  <c r="W31" i="10" a="1"/>
  <c r="W31" i="10" s="1"/>
  <c r="V31" i="10" a="1"/>
  <c r="V31" i="10" s="1"/>
  <c r="U36" i="12"/>
  <c r="U35" i="9"/>
  <c r="W33" i="9" a="1"/>
  <c r="W33" i="9" s="1"/>
  <c r="V33" i="9" a="1"/>
  <c r="V33" i="9" s="1"/>
  <c r="S38" i="12"/>
  <c r="U47" i="11" l="1" a="1"/>
  <c r="U47" i="11" s="1"/>
  <c r="T49" i="11"/>
  <c r="U48" i="11" a="1"/>
  <c r="U48" i="11" s="1"/>
  <c r="V48" i="11" a="1"/>
  <c r="V48" i="11" s="1"/>
  <c r="V32" i="10"/>
  <c r="V44" i="8"/>
  <c r="X43" i="8" s="1"/>
  <c r="W42" i="8"/>
  <c r="X42" i="8"/>
  <c r="U34" i="10"/>
  <c r="U36" i="9"/>
  <c r="V34" i="9" a="1"/>
  <c r="V34" i="9" s="1"/>
  <c r="W34" i="9" a="1"/>
  <c r="W34" i="9" s="1"/>
  <c r="S39" i="12"/>
  <c r="U37" i="12"/>
  <c r="T37" i="12" a="1"/>
  <c r="T37" i="12" s="1"/>
  <c r="T50" i="11" l="1"/>
  <c r="V49" i="11" a="1"/>
  <c r="V49" i="11" s="1"/>
  <c r="U49" i="11" a="1"/>
  <c r="U49" i="11" s="1"/>
  <c r="W43" i="8"/>
  <c r="V33" i="10" a="1"/>
  <c r="V33" i="10" s="1"/>
  <c r="U35" i="10"/>
  <c r="U38" i="12"/>
  <c r="S40" i="12"/>
  <c r="V45" i="8"/>
  <c r="X44" i="8" s="1"/>
  <c r="U37" i="9"/>
  <c r="T38" i="12" a="1"/>
  <c r="T38" i="12" s="1"/>
  <c r="V35" i="9" a="1"/>
  <c r="V35" i="9" s="1"/>
  <c r="W35" i="9" a="1"/>
  <c r="W35" i="9" s="1"/>
  <c r="W33" i="10" a="1"/>
  <c r="W33" i="10" s="1"/>
  <c r="T51" i="11" l="1"/>
  <c r="U50" i="11" a="1"/>
  <c r="U50" i="11" s="1"/>
  <c r="W44" i="8"/>
  <c r="S41" i="12"/>
  <c r="U40" i="12"/>
  <c r="T40" i="12" a="1"/>
  <c r="T40" i="12" s="1"/>
  <c r="U36" i="10"/>
  <c r="W35" i="10" s="1"/>
  <c r="V34" i="10" a="1"/>
  <c r="V34" i="10" s="1"/>
  <c r="W34" i="10" a="1"/>
  <c r="W34" i="10" s="1"/>
  <c r="V46" i="8"/>
  <c r="W36" i="9" a="1"/>
  <c r="W36" i="9" s="1"/>
  <c r="T39" i="12" a="1"/>
  <c r="T39" i="12" s="1"/>
  <c r="W39" i="12" s="1"/>
  <c r="U39" i="12"/>
  <c r="X39" i="12" s="1"/>
  <c r="V36" i="9" a="1"/>
  <c r="V36" i="9" s="1"/>
  <c r="U38" i="9"/>
  <c r="V50" i="11" l="1" a="1"/>
  <c r="V50" i="11" s="1"/>
  <c r="T52" i="11"/>
  <c r="V51" i="11" s="1" a="1"/>
  <c r="V51" i="11" s="1"/>
  <c r="V35" i="10"/>
  <c r="Y35" i="10" s="1"/>
  <c r="S42" i="12"/>
  <c r="T41" i="12" a="1"/>
  <c r="T41" i="12" s="1"/>
  <c r="U37" i="10"/>
  <c r="V36" i="10" s="1" a="1"/>
  <c r="V36" i="10" s="1"/>
  <c r="V47" i="8"/>
  <c r="W46" i="8" s="1"/>
  <c r="Z35" i="10"/>
  <c r="X45" i="8"/>
  <c r="AA45" i="8" s="1"/>
  <c r="W45" i="8"/>
  <c r="Z45" i="8" s="1"/>
  <c r="V37" i="9" a="1"/>
  <c r="V37" i="9" s="1"/>
  <c r="U39" i="9"/>
  <c r="W37" i="9" a="1"/>
  <c r="W37" i="9" s="1"/>
  <c r="T53" i="11" l="1"/>
  <c r="U51" i="11" a="1"/>
  <c r="U51" i="11" s="1"/>
  <c r="U41" i="12" a="1"/>
  <c r="U41" i="12" s="1"/>
  <c r="S43" i="12"/>
  <c r="U38" i="10"/>
  <c r="U40" i="9"/>
  <c r="W36" i="10" a="1"/>
  <c r="W36" i="10" s="1"/>
  <c r="X46" i="8"/>
  <c r="V48" i="8"/>
  <c r="W38" i="9" a="1"/>
  <c r="W38" i="9" s="1"/>
  <c r="V38" i="9" a="1"/>
  <c r="V38" i="9" s="1"/>
  <c r="U52" i="11" l="1" a="1"/>
  <c r="U52" i="11" s="1"/>
  <c r="T54" i="11"/>
  <c r="V52" i="11" a="1"/>
  <c r="V52" i="11" s="1"/>
  <c r="U42" i="12" a="1"/>
  <c r="U42" i="12" s="1"/>
  <c r="S44" i="12"/>
  <c r="U39" i="10"/>
  <c r="V38" i="10" a="1"/>
  <c r="V38" i="10" s="1"/>
  <c r="W38" i="10" a="1"/>
  <c r="W38" i="10" s="1"/>
  <c r="V49" i="8"/>
  <c r="X48" i="8" s="1"/>
  <c r="X47" i="8"/>
  <c r="U41" i="9"/>
  <c r="T42" i="12" a="1"/>
  <c r="T42" i="12" s="1"/>
  <c r="V37" i="10" a="1"/>
  <c r="V37" i="10" s="1"/>
  <c r="W37" i="10" a="1"/>
  <c r="W37" i="10" s="1"/>
  <c r="W47" i="8"/>
  <c r="V39" i="9" a="1"/>
  <c r="V39" i="9" s="1"/>
  <c r="W39" i="9" a="1"/>
  <c r="W39" i="9" s="1"/>
  <c r="U53" i="11" l="1" a="1"/>
  <c r="U53" i="11" s="1"/>
  <c r="T55" i="11"/>
  <c r="V54" i="11" s="1" a="1"/>
  <c r="V54" i="11" s="1"/>
  <c r="V53" i="11" a="1"/>
  <c r="V53" i="11" s="1"/>
  <c r="U43" i="12" a="1"/>
  <c r="U43" i="12" s="1"/>
  <c r="U40" i="10"/>
  <c r="W39" i="10" a="1"/>
  <c r="W39" i="10" s="1"/>
  <c r="V39" i="10" a="1"/>
  <c r="V39" i="10" s="1"/>
  <c r="U42" i="9"/>
  <c r="V41" i="9" s="1" a="1"/>
  <c r="V41" i="9" s="1"/>
  <c r="V50" i="8"/>
  <c r="X49" i="8" s="1"/>
  <c r="W48" i="8"/>
  <c r="S45" i="12"/>
  <c r="U44" i="12" s="1" a="1"/>
  <c r="U44" i="12" s="1"/>
  <c r="T43" i="12" a="1"/>
  <c r="T43" i="12" s="1"/>
  <c r="W40" i="9" a="1"/>
  <c r="W40" i="9" s="1"/>
  <c r="V40" i="9" a="1"/>
  <c r="V40" i="9" s="1"/>
  <c r="W41" i="9" l="1" a="1"/>
  <c r="W41" i="9" s="1"/>
  <c r="T56" i="11"/>
  <c r="U54" i="11" a="1"/>
  <c r="U54" i="11" s="1"/>
  <c r="U41" i="10"/>
  <c r="U42" i="10" s="1"/>
  <c r="V40" i="10" a="1"/>
  <c r="V40" i="10" s="1"/>
  <c r="W40" i="10" a="1"/>
  <c r="W40" i="10" s="1"/>
  <c r="S46" i="12"/>
  <c r="U45" i="12" s="1" a="1"/>
  <c r="U45" i="12" s="1"/>
  <c r="T45" i="12" a="1"/>
  <c r="T45" i="12" s="1"/>
  <c r="T44" i="12" a="1"/>
  <c r="T44" i="12" s="1"/>
  <c r="W49" i="8"/>
  <c r="U43" i="9"/>
  <c r="W42" i="9" s="1" a="1"/>
  <c r="W42" i="9" s="1"/>
  <c r="V51" i="8"/>
  <c r="W50" i="8" s="1"/>
  <c r="T57" i="11" l="1"/>
  <c r="V56" i="11" s="1" a="1"/>
  <c r="V56" i="11" s="1"/>
  <c r="V55" i="11" a="1"/>
  <c r="V55" i="11" s="1"/>
  <c r="U55" i="11" a="1"/>
  <c r="U55" i="11" s="1"/>
  <c r="W41" i="10"/>
  <c r="V41" i="10"/>
  <c r="V42" i="9" a="1"/>
  <c r="V42" i="9" s="1"/>
  <c r="S47" i="12"/>
  <c r="T46" i="12" s="1" a="1"/>
  <c r="T46" i="12" s="1"/>
  <c r="U43" i="10"/>
  <c r="V52" i="8"/>
  <c r="X51" i="8" s="1"/>
  <c r="X50" i="8"/>
  <c r="U44" i="9"/>
  <c r="W43" i="9" s="1" a="1"/>
  <c r="W43" i="9" s="1"/>
  <c r="V43" i="9" a="1"/>
  <c r="V43" i="9" s="1"/>
  <c r="U46" i="12" l="1" a="1"/>
  <c r="U46" i="12" s="1"/>
  <c r="T58" i="11"/>
  <c r="V57" i="11" a="1"/>
  <c r="V57" i="11" s="1"/>
  <c r="U57" i="11" a="1"/>
  <c r="U57" i="11" s="1"/>
  <c r="U56" i="11" a="1"/>
  <c r="U56" i="11" s="1"/>
  <c r="V42" i="10" a="1"/>
  <c r="V42" i="10" s="1"/>
  <c r="W51" i="8"/>
  <c r="U44" i="10"/>
  <c r="W42" i="10" a="1"/>
  <c r="W42" i="10" s="1"/>
  <c r="S48" i="12"/>
  <c r="T47" i="12" a="1"/>
  <c r="T47" i="12" s="1"/>
  <c r="V53" i="8"/>
  <c r="W52" i="8" s="1"/>
  <c r="U45" i="9"/>
  <c r="W44" i="9" s="1" a="1"/>
  <c r="W44" i="9" s="1"/>
  <c r="U58" i="11" l="1" a="1"/>
  <c r="U58" i="11" s="1"/>
  <c r="T59" i="11"/>
  <c r="V44" i="9" a="1"/>
  <c r="V44" i="9" s="1"/>
  <c r="X52" i="8"/>
  <c r="U45" i="10"/>
  <c r="W44" i="10" s="1"/>
  <c r="V43" i="10" a="1"/>
  <c r="V43" i="10" s="1"/>
  <c r="W43" i="10" a="1"/>
  <c r="W43" i="10" s="1"/>
  <c r="S49" i="12"/>
  <c r="T48" i="12" s="1" a="1"/>
  <c r="T48" i="12" s="1"/>
  <c r="U47" i="12" a="1"/>
  <c r="U47" i="12" s="1"/>
  <c r="V54" i="8"/>
  <c r="X53" i="8" s="1"/>
  <c r="W53" i="8"/>
  <c r="U46" i="9"/>
  <c r="W45" i="9" s="1" a="1"/>
  <c r="W45" i="9" s="1"/>
  <c r="V45" i="9" a="1"/>
  <c r="V45" i="9" s="1"/>
  <c r="V44" i="10" l="1"/>
  <c r="U59" i="11" a="1"/>
  <c r="U59" i="11" s="1"/>
  <c r="V59" i="11" a="1"/>
  <c r="V59" i="11" s="1"/>
  <c r="V58" i="11" a="1"/>
  <c r="V58" i="11" s="1"/>
  <c r="U48" i="12" a="1"/>
  <c r="U48" i="12" s="1"/>
  <c r="S50" i="12"/>
  <c r="T49" i="12" s="1" a="1"/>
  <c r="T49" i="12" s="1"/>
  <c r="U46" i="10"/>
  <c r="W45" i="10" s="1"/>
  <c r="V45" i="10"/>
  <c r="U47" i="9"/>
  <c r="U48" i="9" s="1"/>
  <c r="V47" i="9" s="1" a="1"/>
  <c r="V47" i="9" s="1"/>
  <c r="V46" i="9" a="1"/>
  <c r="V46" i="9" s="1"/>
  <c r="W46" i="9" a="1"/>
  <c r="W46" i="9" s="1"/>
  <c r="V55" i="8"/>
  <c r="W54" i="8" s="1"/>
  <c r="X54" i="8" l="1"/>
  <c r="S51" i="12"/>
  <c r="W47" i="9" a="1"/>
  <c r="W47" i="9" s="1"/>
  <c r="U49" i="12" a="1"/>
  <c r="U49" i="12" s="1"/>
  <c r="U47" i="10"/>
  <c r="W46" i="10" s="1"/>
  <c r="V56" i="8"/>
  <c r="X55" i="8" s="1"/>
  <c r="T50" i="12" a="1"/>
  <c r="T50" i="12" s="1"/>
  <c r="U50" i="12" a="1"/>
  <c r="U50" i="12" s="1"/>
  <c r="U49" i="9"/>
  <c r="W48" i="9" s="1" a="1"/>
  <c r="W48" i="9" s="1"/>
  <c r="S52" i="12"/>
  <c r="V46" i="10" l="1"/>
  <c r="V48" i="9" a="1"/>
  <c r="V48" i="9" s="1"/>
  <c r="W55" i="8"/>
  <c r="U48" i="10"/>
  <c r="V57" i="8"/>
  <c r="X56" i="8" s="1"/>
  <c r="T51" i="12" a="1"/>
  <c r="T51" i="12" s="1"/>
  <c r="S53" i="12"/>
  <c r="U51" i="12" a="1"/>
  <c r="U51" i="12" s="1"/>
  <c r="U50" i="9"/>
  <c r="W56" i="8" l="1"/>
  <c r="U49" i="10"/>
  <c r="V47" i="10" a="1"/>
  <c r="V47" i="10" s="1"/>
  <c r="W47" i="10" a="1"/>
  <c r="W47" i="10" s="1"/>
  <c r="V58" i="8"/>
  <c r="W57" i="8" s="1"/>
  <c r="U51" i="9"/>
  <c r="W49" i="9" a="1"/>
  <c r="W49" i="9" s="1"/>
  <c r="V49" i="9" a="1"/>
  <c r="V49" i="9" s="1"/>
  <c r="S54" i="12"/>
  <c r="T52" i="12" a="1"/>
  <c r="T52" i="12" s="1"/>
  <c r="U52" i="12" a="1"/>
  <c r="U52" i="12" s="1"/>
  <c r="X57" i="8" l="1"/>
  <c r="U50" i="10"/>
  <c r="V49" i="10" a="1"/>
  <c r="V49" i="10" s="1"/>
  <c r="W49" i="10" a="1"/>
  <c r="W49" i="10" s="1"/>
  <c r="T53" i="12" a="1"/>
  <c r="T53" i="12" s="1"/>
  <c r="U53" i="12" a="1"/>
  <c r="U53" i="12" s="1"/>
  <c r="V50" i="9" a="1"/>
  <c r="V50" i="9" s="1"/>
  <c r="U52" i="9"/>
  <c r="W51" i="9" s="1" a="1"/>
  <c r="W51" i="9" s="1"/>
  <c r="W50" i="9" a="1"/>
  <c r="W50" i="9" s="1"/>
  <c r="S55" i="12"/>
  <c r="W48" i="10" a="1"/>
  <c r="W48" i="10" s="1"/>
  <c r="V48" i="10" a="1"/>
  <c r="V48" i="10" s="1"/>
  <c r="V59" i="8"/>
  <c r="T54" i="12" l="1" a="1"/>
  <c r="T54" i="12" s="1"/>
  <c r="V51" i="9" a="1"/>
  <c r="V51" i="9" s="1"/>
  <c r="U51" i="10"/>
  <c r="V60" i="8"/>
  <c r="X59" i="8" s="1"/>
  <c r="S56" i="12"/>
  <c r="U54" i="12" a="1"/>
  <c r="U54" i="12" s="1"/>
  <c r="U53" i="9"/>
  <c r="X58" i="8"/>
  <c r="W58" i="8"/>
  <c r="W59" i="8" l="1"/>
  <c r="V50" i="10" a="1"/>
  <c r="V50" i="10" s="1"/>
  <c r="U55" i="12" a="1"/>
  <c r="U55" i="12" s="1"/>
  <c r="S57" i="12"/>
  <c r="V52" i="9" a="1"/>
  <c r="V52" i="9" s="1"/>
  <c r="T55" i="12" a="1"/>
  <c r="T55" i="12" s="1"/>
  <c r="U52" i="10"/>
  <c r="W50" i="10" a="1"/>
  <c r="W50" i="10" s="1"/>
  <c r="U54" i="9"/>
  <c r="W52" i="9" a="1"/>
  <c r="W52" i="9" s="1"/>
  <c r="V61" i="8"/>
  <c r="S58" i="12" l="1"/>
  <c r="U57" i="12" a="1"/>
  <c r="U57" i="12" s="1"/>
  <c r="T57" i="12" a="1"/>
  <c r="T57" i="12" s="1"/>
  <c r="U56" i="12" a="1"/>
  <c r="U56" i="12" s="1"/>
  <c r="T56" i="12" a="1"/>
  <c r="T56" i="12" s="1"/>
  <c r="U53" i="10"/>
  <c r="V52" i="10" s="1" a="1"/>
  <c r="V52" i="10" s="1"/>
  <c r="V51" i="10" a="1"/>
  <c r="V51" i="10" s="1"/>
  <c r="W51" i="10" a="1"/>
  <c r="W51" i="10" s="1"/>
  <c r="U55" i="9"/>
  <c r="W54" i="9" a="1"/>
  <c r="W54" i="9" s="1"/>
  <c r="V54" i="9" a="1"/>
  <c r="V54" i="9" s="1"/>
  <c r="V53" i="9" a="1"/>
  <c r="V53" i="9" s="1"/>
  <c r="W53" i="9" a="1"/>
  <c r="W53" i="9" s="1"/>
  <c r="V62" i="8"/>
  <c r="X60" i="8"/>
  <c r="W60" i="8"/>
  <c r="U56" i="9" l="1"/>
  <c r="V55" i="9" a="1"/>
  <c r="V55" i="9" s="1"/>
  <c r="W55" i="9" a="1"/>
  <c r="W55" i="9" s="1"/>
  <c r="S59" i="12"/>
  <c r="U54" i="10"/>
  <c r="V53" i="10" s="1"/>
  <c r="W52" i="10" a="1"/>
  <c r="W52" i="10" s="1"/>
  <c r="W61" i="8"/>
  <c r="X61" i="8"/>
  <c r="V63" i="8"/>
  <c r="W53" i="10" l="1"/>
  <c r="T58" i="12" a="1"/>
  <c r="T58" i="12" s="1"/>
  <c r="U57" i="9"/>
  <c r="W56" i="9" a="1"/>
  <c r="W56" i="9" s="1"/>
  <c r="V56" i="9" a="1"/>
  <c r="V56" i="9" s="1"/>
  <c r="S60" i="12"/>
  <c r="U58" i="12" a="1"/>
  <c r="U58" i="12" s="1"/>
  <c r="U55" i="10"/>
  <c r="V64" i="8"/>
  <c r="X62" i="8"/>
  <c r="W62" i="8"/>
  <c r="V54" i="10" l="1" a="1"/>
  <c r="V54" i="10" s="1"/>
  <c r="U60" i="12"/>
  <c r="T60" i="12" a="1"/>
  <c r="T60" i="12" s="1"/>
  <c r="U59" i="12" a="1"/>
  <c r="U59" i="12" s="1"/>
  <c r="T59" i="12" a="1"/>
  <c r="T59" i="12" s="1"/>
  <c r="U56" i="10"/>
  <c r="W54" i="10" a="1"/>
  <c r="W54" i="10" s="1"/>
  <c r="U58" i="9"/>
  <c r="V57" i="9" s="1" a="1"/>
  <c r="V57" i="9" s="1"/>
  <c r="X63" i="8"/>
  <c r="V65" i="8"/>
  <c r="W63" i="8"/>
  <c r="V58" i="9" l="1" a="1"/>
  <c r="V58" i="9" s="1"/>
  <c r="W58" i="9" a="1"/>
  <c r="W58" i="9" s="1"/>
  <c r="W57" i="9" a="1"/>
  <c r="W57" i="9" s="1"/>
  <c r="V56" i="10"/>
  <c r="W56" i="10"/>
  <c r="V55" i="10" a="1"/>
  <c r="V55" i="10" s="1"/>
  <c r="W55" i="10" a="1"/>
  <c r="W55" i="10" s="1"/>
  <c r="W65" i="8"/>
  <c r="X65" i="8"/>
  <c r="X64" i="8"/>
  <c r="W64" i="8"/>
  <c r="W159" i="10" l="1" a="1"/>
  <c r="W159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<sst xmlns="http://schemas.openxmlformats.org/spreadsheetml/2006/main" count="4156" uniqueCount="155">
  <si>
    <t>Region</t>
  </si>
  <si>
    <t xml:space="preserve">Country </t>
  </si>
  <si>
    <t>Calls Presented</t>
  </si>
  <si>
    <t>SVL</t>
  </si>
  <si>
    <t>ANS</t>
  </si>
  <si>
    <t>ABR</t>
  </si>
  <si>
    <t>AU/AO</t>
  </si>
  <si>
    <t>AA</t>
  </si>
  <si>
    <t>Target</t>
  </si>
  <si>
    <t>TT</t>
  </si>
  <si>
    <t>GUY</t>
  </si>
  <si>
    <t>OECS</t>
  </si>
  <si>
    <t>JA</t>
  </si>
  <si>
    <t>BAR</t>
  </si>
  <si>
    <t>BEL</t>
  </si>
  <si>
    <t>Calls Handled</t>
  </si>
  <si>
    <t>-</t>
  </si>
  <si>
    <t>KPIs</t>
  </si>
  <si>
    <t>Targets</t>
  </si>
  <si>
    <t>Average Response Time</t>
  </si>
  <si>
    <t>Response Time</t>
  </si>
  <si>
    <t>Average Wait Time</t>
  </si>
  <si>
    <t>Wait Time</t>
  </si>
  <si>
    <t>Average Chat Duration</t>
  </si>
  <si>
    <t>Chat Duration</t>
  </si>
  <si>
    <t>CSAT</t>
  </si>
  <si>
    <t>1 min</t>
  </si>
  <si>
    <t>1 min (85%)</t>
  </si>
  <si>
    <t>12 mins</t>
  </si>
  <si>
    <t>12 mins (85%)</t>
  </si>
  <si>
    <t>Belize</t>
  </si>
  <si>
    <t>Chats Rated</t>
  </si>
  <si>
    <t>SL</t>
  </si>
  <si>
    <t>AO/AU</t>
  </si>
  <si>
    <t>Calls Ans</t>
  </si>
  <si>
    <t>JAM</t>
  </si>
  <si>
    <t>Date</t>
  </si>
  <si>
    <t>Chats served</t>
  </si>
  <si>
    <t>Chats Missed W.H</t>
  </si>
  <si>
    <t>Chats Missed Outside</t>
  </si>
  <si>
    <t>Total Chats</t>
  </si>
  <si>
    <t>Service Level - 85%</t>
  </si>
  <si>
    <t>% of Missed Chats Outside</t>
  </si>
  <si>
    <t>Missed Chat (ABR) - 15%</t>
  </si>
  <si>
    <t>Trinidad and Tobago</t>
  </si>
  <si>
    <t>Jamaica</t>
  </si>
  <si>
    <t>Barbados</t>
  </si>
  <si>
    <t>Guyana</t>
  </si>
  <si>
    <t>D</t>
  </si>
  <si>
    <t>M</t>
  </si>
  <si>
    <t>T</t>
  </si>
  <si>
    <t>W</t>
  </si>
  <si>
    <t>R</t>
  </si>
  <si>
    <t>F</t>
  </si>
  <si>
    <t>S</t>
  </si>
  <si>
    <t>Day of the week</t>
  </si>
  <si>
    <t>MTD Calls Offered</t>
  </si>
  <si>
    <t>MTD Calls Ans</t>
  </si>
  <si>
    <t>Calls Off</t>
  </si>
  <si>
    <t>Fiscal</t>
  </si>
  <si>
    <t>FY23</t>
  </si>
  <si>
    <t>WoW % change (ans)</t>
  </si>
  <si>
    <t>From:</t>
  </si>
  <si>
    <t>To:</t>
  </si>
  <si>
    <t>HOL</t>
  </si>
  <si>
    <t>Week of</t>
  </si>
  <si>
    <t>Sum of Calls - Offered</t>
  </si>
  <si>
    <t>Sum of Calls - Answered</t>
  </si>
  <si>
    <t>From week:</t>
  </si>
  <si>
    <t>To week:</t>
  </si>
  <si>
    <t>Week Of</t>
  </si>
  <si>
    <t>TTO</t>
  </si>
  <si>
    <t>Tech Issue</t>
  </si>
  <si>
    <t>Tech Issues</t>
  </si>
  <si>
    <t xml:space="preserve">D </t>
  </si>
  <si>
    <t>Regional CC Performance Report (OCT FY-23)</t>
  </si>
  <si>
    <t>Percent Chats Rated</t>
  </si>
  <si>
    <t>Regional CC Performance Report (NOV FY-23)</t>
  </si>
  <si>
    <t>Percentage Change Calls Offered (MoM)</t>
  </si>
  <si>
    <t>Percentage Change Calls Answered (MoM)</t>
  </si>
  <si>
    <t>Agents Log</t>
  </si>
  <si>
    <t>Regional CC Performance Report (DEC-FY23)</t>
  </si>
  <si>
    <t>AHT</t>
  </si>
  <si>
    <t>AWT</t>
  </si>
  <si>
    <t>Regional CC Performance Report (JAN-FY23)</t>
  </si>
  <si>
    <t>CC KPI Dashboard</t>
  </si>
  <si>
    <t>Country</t>
  </si>
  <si>
    <t>Antigua</t>
  </si>
  <si>
    <t>Curacao</t>
  </si>
  <si>
    <t>Dominica</t>
  </si>
  <si>
    <t>Grenada</t>
  </si>
  <si>
    <t>St. Kitts and Nevis</t>
  </si>
  <si>
    <t>St. Lucia</t>
  </si>
  <si>
    <t>St. Vincent</t>
  </si>
  <si>
    <t>SKU Count</t>
  </si>
  <si>
    <t>`</t>
  </si>
  <si>
    <t>Column Chart</t>
  </si>
  <si>
    <t>Bands</t>
  </si>
  <si>
    <t>Value</t>
  </si>
  <si>
    <t>Start</t>
  </si>
  <si>
    <t>Initial</t>
  </si>
  <si>
    <t>Middle</t>
  </si>
  <si>
    <t>End</t>
  </si>
  <si>
    <t>Avg Percent Change Calls Offered (Week over Week)</t>
  </si>
  <si>
    <t xml:space="preserve"> Avg Percent Change Calls Ans (Week over Week)</t>
  </si>
  <si>
    <t>Regional CC Performance Report (Feb-FY23)</t>
  </si>
  <si>
    <t>Live Chat KPIs - February FY23</t>
  </si>
  <si>
    <t>21s</t>
  </si>
  <si>
    <t>58s</t>
  </si>
  <si>
    <t>43s</t>
  </si>
  <si>
    <t>Live Chat KPIs - Week 50 FY23 (Mar-13 to Mar-19)</t>
  </si>
  <si>
    <t>23s</t>
  </si>
  <si>
    <t>6m 33s</t>
  </si>
  <si>
    <t>19s</t>
  </si>
  <si>
    <t>9m 53s</t>
  </si>
  <si>
    <t>39s</t>
  </si>
  <si>
    <t>33s</t>
  </si>
  <si>
    <t>6m 18s</t>
  </si>
  <si>
    <t>2m 12s</t>
  </si>
  <si>
    <t>2m 25s</t>
  </si>
  <si>
    <t>7m 16s</t>
  </si>
  <si>
    <t>38s</t>
  </si>
  <si>
    <t>30s</t>
  </si>
  <si>
    <t>7m 17s</t>
  </si>
  <si>
    <t>5m 50s</t>
  </si>
  <si>
    <t>Regional CC Performance Report (FY-23 Week 49: Mar-7 to Mar-13)</t>
  </si>
  <si>
    <t>Regional CC Performance Report (FY-23 Week 50: Mar-14 to Mar-20)</t>
  </si>
  <si>
    <t>Live Chat KPIs - March FY23</t>
  </si>
  <si>
    <t>42s</t>
  </si>
  <si>
    <t>9m 57s</t>
  </si>
  <si>
    <t>49s</t>
  </si>
  <si>
    <t>7m 22s</t>
  </si>
  <si>
    <t>37s</t>
  </si>
  <si>
    <t>7m 40s</t>
  </si>
  <si>
    <t>22s</t>
  </si>
  <si>
    <t>1m 3s</t>
  </si>
  <si>
    <t>1m 57s</t>
  </si>
  <si>
    <t>9m 19s</t>
  </si>
  <si>
    <t>7m 46s</t>
  </si>
  <si>
    <t>25s</t>
  </si>
  <si>
    <t>6m 31s</t>
  </si>
  <si>
    <t>Regional CC Performance Report (Mar-FY23)</t>
  </si>
  <si>
    <t>Regional CC Performance FY23</t>
  </si>
  <si>
    <t>JM</t>
  </si>
  <si>
    <t>BZ</t>
  </si>
  <si>
    <t>Business Revenue Areas</t>
  </si>
  <si>
    <t>Trinidad</t>
  </si>
  <si>
    <t>US$</t>
  </si>
  <si>
    <t>Total Budget</t>
  </si>
  <si>
    <t>Total Revenue</t>
  </si>
  <si>
    <t>%</t>
  </si>
  <si>
    <t>Telesales - FY23</t>
  </si>
  <si>
    <t>YTD Calls Ans</t>
  </si>
  <si>
    <t>YTD Calls Offer</t>
  </si>
  <si>
    <t>WoW % change (offer)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</si>
</sst>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43" formatCode="_-* #,##0.00_-;\-* #,##0.00_-;_-* &quot;-&quot;??_-;_-@_-"/>
    <numFmt numFmtId="164" formatCode="[mm]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gency FB"/>
      <family val="2"/>
    </font>
    <font>
      <sz val="18"/>
      <color theme="1"/>
      <name val="Amasis MT Pro Black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DE9D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2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9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2" borderId="2" xfId="0" applyNumberFormat="1" applyFill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16" fontId="0" fillId="0" borderId="0" xfId="0" applyNumberFormat="1"/>
    <xf numFmtId="1" fontId="0" fillId="0" borderId="1" xfId="0" applyNumberFormat="1" applyBorder="1"/>
    <xf numFmtId="9" fontId="0" fillId="0" borderId="1" xfId="0" applyNumberFormat="1" applyBorder="1"/>
    <xf numFmtId="10" fontId="0" fillId="0" borderId="1" xfId="1" applyNumberFormat="1" applyFont="1" applyBorder="1"/>
    <xf numFmtId="10" fontId="0" fillId="0" borderId="9" xfId="1" applyNumberFormat="1" applyFont="1" applyBorder="1"/>
    <xf numFmtId="1" fontId="0" fillId="0" borderId="0" xfId="0" applyNumberFormat="1"/>
    <xf numFmtId="0" fontId="4" fillId="0" borderId="1" xfId="0" applyFont="1" applyBorder="1" applyAlignment="1">
      <alignment horizontal="center"/>
    </xf>
    <xf numFmtId="16" fontId="0" fillId="0" borderId="1" xfId="0" applyNumberFormat="1" applyBorder="1"/>
    <xf numFmtId="9" fontId="0" fillId="0" borderId="2" xfId="0" applyNumberFormat="1" applyBorder="1"/>
    <xf numFmtId="16" fontId="0" fillId="0" borderId="9" xfId="0" applyNumberFormat="1" applyBorder="1"/>
    <xf numFmtId="0" fontId="5" fillId="6" borderId="12" xfId="0" applyFont="1" applyFill="1" applyBorder="1"/>
    <xf numFmtId="0" fontId="5" fillId="6" borderId="0" xfId="0" applyFont="1" applyFill="1" applyAlignment="1">
      <alignment horizontal="center"/>
    </xf>
    <xf numFmtId="0" fontId="5" fillId="6" borderId="13" xfId="0" applyFont="1" applyFill="1" applyBorder="1" applyAlignment="1">
      <alignment horizontal="center"/>
    </xf>
    <xf numFmtId="16" fontId="0" fillId="0" borderId="4" xfId="0" applyNumberFormat="1" applyBorder="1"/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0" fillId="5" borderId="1" xfId="0" applyNumberFormat="1" applyFill="1" applyBorder="1"/>
    <xf numFmtId="0" fontId="0" fillId="5" borderId="1" xfId="0" applyFill="1" applyBorder="1"/>
    <xf numFmtId="16" fontId="0" fillId="0" borderId="8" xfId="0" applyNumberFormat="1" applyBorder="1"/>
    <xf numFmtId="16" fontId="0" fillId="5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/>
    <xf numFmtId="0" fontId="4" fillId="4" borderId="2" xfId="0" applyFont="1" applyFill="1" applyBorder="1" applyAlignment="1">
      <alignment horizontal="center"/>
    </xf>
    <xf numFmtId="0" fontId="0" fillId="0" borderId="9" xfId="0" applyBorder="1"/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9" fontId="7" fillId="0" borderId="1" xfId="1" applyFont="1" applyFill="1" applyBorder="1"/>
    <xf numFmtId="9" fontId="7" fillId="0" borderId="1" xfId="1" applyFont="1" applyFill="1" applyBorder="1" applyAlignment="1">
      <alignment horizontal="right"/>
    </xf>
    <xf numFmtId="9" fontId="6" fillId="0" borderId="1" xfId="0" applyNumberFormat="1" applyFont="1" applyBorder="1" applyAlignment="1">
      <alignment horizontal="center"/>
    </xf>
    <xf numFmtId="9" fontId="0" fillId="0" borderId="9" xfId="0" applyNumberFormat="1" applyBorder="1"/>
    <xf numFmtId="0" fontId="0" fillId="2" borderId="0" xfId="0" applyFill="1"/>
    <xf numFmtId="0" fontId="0" fillId="8" borderId="0" xfId="0" applyFill="1"/>
    <xf numFmtId="16" fontId="0" fillId="8" borderId="1" xfId="0" applyNumberFormat="1" applyFill="1" applyBorder="1" applyAlignment="1">
      <alignment horizontal="center"/>
    </xf>
    <xf numFmtId="0" fontId="0" fillId="8" borderId="1" xfId="0" applyFill="1" applyBorder="1"/>
    <xf numFmtId="9" fontId="0" fillId="8" borderId="1" xfId="0" applyNumberFormat="1" applyFill="1" applyBorder="1"/>
    <xf numFmtId="16" fontId="0" fillId="8" borderId="1" xfId="0" applyNumberFormat="1" applyFill="1" applyBorder="1"/>
    <xf numFmtId="9" fontId="6" fillId="0" borderId="1" xfId="1" applyFont="1" applyFill="1" applyBorder="1"/>
    <xf numFmtId="0" fontId="4" fillId="0" borderId="2" xfId="0" applyFont="1" applyBorder="1" applyAlignment="1">
      <alignment horizontal="center"/>
    </xf>
    <xf numFmtId="9" fontId="7" fillId="0" borderId="1" xfId="0" applyNumberFormat="1" applyFont="1" applyBorder="1" applyAlignment="1">
      <alignment horizontal="center" vertical="center"/>
    </xf>
    <xf numFmtId="10" fontId="6" fillId="0" borderId="9" xfId="1" applyNumberFormat="1" applyFont="1" applyBorder="1" applyAlignment="1"/>
    <xf numFmtId="9" fontId="6" fillId="0" borderId="1" xfId="0" applyNumberFormat="1" applyFont="1" applyBorder="1"/>
    <xf numFmtId="9" fontId="7" fillId="0" borderId="2" xfId="0" applyNumberFormat="1" applyFont="1" applyBorder="1"/>
    <xf numFmtId="9" fontId="6" fillId="0" borderId="2" xfId="0" applyNumberFormat="1" applyFont="1" applyBorder="1"/>
    <xf numFmtId="0" fontId="7" fillId="0" borderId="2" xfId="0" applyFont="1" applyBorder="1"/>
    <xf numFmtId="1" fontId="7" fillId="0" borderId="1" xfId="0" applyNumberFormat="1" applyFont="1" applyBorder="1"/>
    <xf numFmtId="9" fontId="7" fillId="0" borderId="1" xfId="0" applyNumberFormat="1" applyFont="1" applyBorder="1"/>
    <xf numFmtId="1" fontId="7" fillId="0" borderId="1" xfId="0" applyNumberFormat="1" applyFont="1" applyBorder="1" applyAlignment="1">
      <alignment horizontal="right"/>
    </xf>
    <xf numFmtId="16" fontId="0" fillId="7" borderId="1" xfId="0" applyNumberFormat="1" applyFill="1" applyBorder="1" applyAlignment="1">
      <alignment horizontal="center"/>
    </xf>
    <xf numFmtId="10" fontId="0" fillId="5" borderId="1" xfId="0" applyNumberFormat="1" applyFill="1" applyBorder="1"/>
    <xf numFmtId="1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9" xfId="0" applyBorder="1" applyAlignment="1">
      <alignment horizontal="center"/>
    </xf>
    <xf numFmtId="9" fontId="0" fillId="0" borderId="1" xfId="1" applyFont="1" applyBorder="1"/>
    <xf numFmtId="9" fontId="0" fillId="5" borderId="1" xfId="1" applyFont="1" applyFill="1" applyBorder="1"/>
    <xf numFmtId="9" fontId="4" fillId="0" borderId="1" xfId="0" applyNumberFormat="1" applyFont="1" applyBorder="1"/>
    <xf numFmtId="0" fontId="0" fillId="9" borderId="1" xfId="0" applyFill="1" applyBorder="1"/>
    <xf numFmtId="10" fontId="7" fillId="0" borderId="1" xfId="1" applyNumberFormat="1" applyFont="1" applyBorder="1" applyAlignment="1"/>
    <xf numFmtId="0" fontId="7" fillId="0" borderId="1" xfId="0" applyFont="1" applyBorder="1" applyAlignment="1">
      <alignment horizontal="center" vertical="center"/>
    </xf>
    <xf numFmtId="0" fontId="2" fillId="0" borderId="8" xfId="0" applyFont="1" applyBorder="1"/>
    <xf numFmtId="1" fontId="2" fillId="0" borderId="1" xfId="0" applyNumberFormat="1" applyFont="1" applyBorder="1"/>
    <xf numFmtId="9" fontId="2" fillId="0" borderId="2" xfId="1" applyFont="1" applyFill="1" applyBorder="1" applyAlignment="1">
      <alignment horizontal="right"/>
    </xf>
    <xf numFmtId="9" fontId="2" fillId="0" borderId="2" xfId="1" quotePrefix="1" applyFont="1" applyFill="1" applyBorder="1" applyAlignment="1">
      <alignment horizontal="right"/>
    </xf>
    <xf numFmtId="0" fontId="0" fillId="0" borderId="1" xfId="0" quotePrefix="1" applyBorder="1" applyAlignment="1">
      <alignment horizontal="center"/>
    </xf>
    <xf numFmtId="16" fontId="0" fillId="2" borderId="9" xfId="0" applyNumberFormat="1" applyFill="1" applyBorder="1"/>
    <xf numFmtId="16" fontId="0" fillId="2" borderId="1" xfId="0" applyNumberFormat="1" applyFill="1" applyBorder="1" applyAlignment="1">
      <alignment horizontal="center"/>
    </xf>
    <xf numFmtId="16" fontId="0" fillId="2" borderId="8" xfId="0" applyNumberFormat="1" applyFill="1" applyBorder="1"/>
    <xf numFmtId="0" fontId="0" fillId="10" borderId="1" xfId="0" applyFill="1" applyBorder="1"/>
    <xf numFmtId="10" fontId="0" fillId="8" borderId="1" xfId="0" applyNumberFormat="1" applyFill="1" applyBorder="1"/>
    <xf numFmtId="16" fontId="0" fillId="4" borderId="8" xfId="0" applyNumberFormat="1" applyFill="1" applyBorder="1"/>
    <xf numFmtId="16" fontId="0" fillId="4" borderId="1" xfId="0" applyNumberFormat="1" applyFill="1" applyBorder="1" applyAlignment="1">
      <alignment horizontal="center"/>
    </xf>
    <xf numFmtId="10" fontId="0" fillId="4" borderId="1" xfId="0" applyNumberFormat="1" applyFill="1" applyBorder="1"/>
    <xf numFmtId="10" fontId="0" fillId="2" borderId="1" xfId="0" applyNumberFormat="1" applyFill="1" applyBorder="1"/>
    <xf numFmtId="10" fontId="0" fillId="0" borderId="9" xfId="0" applyNumberFormat="1" applyBorder="1"/>
    <xf numFmtId="10" fontId="4" fillId="0" borderId="1" xfId="0" applyNumberFormat="1" applyFont="1" applyBorder="1"/>
    <xf numFmtId="10" fontId="0" fillId="0" borderId="1" xfId="1" applyNumberFormat="1" applyFont="1" applyFill="1" applyBorder="1"/>
    <xf numFmtId="16" fontId="0" fillId="2" borderId="9" xfId="0" applyNumberForma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1" xfId="0" quotePrefix="1" applyBorder="1"/>
    <xf numFmtId="0" fontId="0" fillId="10" borderId="1" xfId="0" applyFill="1" applyBorder="1" applyAlignment="1">
      <alignment horizontal="center"/>
    </xf>
    <xf numFmtId="10" fontId="0" fillId="10" borderId="1" xfId="0" applyNumberFormat="1" applyFill="1" applyBorder="1"/>
    <xf numFmtId="9" fontId="0" fillId="10" borderId="1" xfId="0" applyNumberFormat="1" applyFill="1" applyBorder="1"/>
    <xf numFmtId="9" fontId="0" fillId="0" borderId="1" xfId="0" applyNumberFormat="1" applyBorder="1" applyAlignment="1">
      <alignment horizontal="right"/>
    </xf>
    <xf numFmtId="9" fontId="0" fillId="5" borderId="1" xfId="0" applyNumberFormat="1" applyFill="1" applyBorder="1" applyAlignment="1">
      <alignment horizontal="right"/>
    </xf>
    <xf numFmtId="9" fontId="0" fillId="5" borderId="2" xfId="1" applyFont="1" applyFill="1" applyBorder="1"/>
    <xf numFmtId="9" fontId="0" fillId="0" borderId="2" xfId="1" applyFont="1" applyBorder="1"/>
    <xf numFmtId="0" fontId="5" fillId="6" borderId="5" xfId="0" applyFont="1" applyFill="1" applyBorder="1"/>
    <xf numFmtId="16" fontId="0" fillId="0" borderId="9" xfId="0" applyNumberFormat="1" applyBorder="1" applyAlignment="1">
      <alignment horizontal="center"/>
    </xf>
    <xf numFmtId="16" fontId="0" fillId="7" borderId="9" xfId="0" applyNumberFormat="1" applyFill="1" applyBorder="1" applyAlignment="1">
      <alignment horizontal="center"/>
    </xf>
    <xf numFmtId="9" fontId="0" fillId="0" borderId="9" xfId="1" applyFont="1" applyBorder="1"/>
    <xf numFmtId="9" fontId="0" fillId="0" borderId="14" xfId="1" applyFont="1" applyBorder="1"/>
    <xf numFmtId="0" fontId="0" fillId="0" borderId="14" xfId="0" applyBorder="1"/>
    <xf numFmtId="0" fontId="0" fillId="0" borderId="7" xfId="0" applyBorder="1"/>
    <xf numFmtId="0" fontId="0" fillId="0" borderId="2" xfId="0" applyBorder="1"/>
    <xf numFmtId="0" fontId="0" fillId="8" borderId="1" xfId="0" applyFill="1" applyBorder="1" applyAlignment="1">
      <alignment horizontal="right"/>
    </xf>
    <xf numFmtId="9" fontId="0" fillId="8" borderId="1" xfId="0" applyNumberFormat="1" applyFill="1" applyBorder="1" applyAlignment="1">
      <alignment horizontal="right"/>
    </xf>
    <xf numFmtId="16" fontId="0" fillId="11" borderId="1" xfId="0" applyNumberFormat="1" applyFill="1" applyBorder="1" applyAlignment="1">
      <alignment horizontal="center"/>
    </xf>
    <xf numFmtId="16" fontId="0" fillId="8" borderId="9" xfId="0" applyNumberFormat="1" applyFill="1" applyBorder="1"/>
    <xf numFmtId="9" fontId="0" fillId="8" borderId="2" xfId="0" applyNumberFormat="1" applyFill="1" applyBorder="1"/>
    <xf numFmtId="16" fontId="0" fillId="0" borderId="8" xfId="0" applyNumberFormat="1" applyBorder="1" applyAlignment="1">
      <alignment horizontal="center"/>
    </xf>
    <xf numFmtId="16" fontId="0" fillId="8" borderId="4" xfId="0" applyNumberFormat="1" applyFill="1" applyBorder="1"/>
    <xf numFmtId="16" fontId="0" fillId="8" borderId="9" xfId="0" applyNumberFormat="1" applyFill="1" applyBorder="1" applyAlignment="1">
      <alignment horizontal="center"/>
    </xf>
    <xf numFmtId="9" fontId="0" fillId="8" borderId="1" xfId="1" applyFont="1" applyFill="1" applyBorder="1"/>
    <xf numFmtId="9" fontId="0" fillId="8" borderId="2" xfId="1" applyFont="1" applyFill="1" applyBorder="1"/>
    <xf numFmtId="16" fontId="0" fillId="12" borderId="4" xfId="0" applyNumberFormat="1" applyFill="1" applyBorder="1"/>
    <xf numFmtId="16" fontId="0" fillId="12" borderId="1" xfId="0" applyNumberFormat="1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0" fontId="0" fillId="12" borderId="1" xfId="0" applyFill="1" applyBorder="1"/>
    <xf numFmtId="10" fontId="0" fillId="12" borderId="1" xfId="0" applyNumberFormat="1" applyFill="1" applyBorder="1"/>
    <xf numFmtId="9" fontId="0" fillId="12" borderId="1" xfId="1" applyFont="1" applyFill="1" applyBorder="1"/>
    <xf numFmtId="9" fontId="0" fillId="12" borderId="2" xfId="1" applyFont="1" applyFill="1" applyBorder="1"/>
    <xf numFmtId="0" fontId="0" fillId="8" borderId="1" xfId="0" quotePrefix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8" borderId="6" xfId="0" applyFill="1" applyBorder="1"/>
    <xf numFmtId="9" fontId="0" fillId="5" borderId="6" xfId="0" applyNumberFormat="1" applyFill="1" applyBorder="1"/>
    <xf numFmtId="9" fontId="0" fillId="0" borderId="6" xfId="1" applyFont="1" applyBorder="1"/>
    <xf numFmtId="1" fontId="0" fillId="5" borderId="1" xfId="0" applyNumberFormat="1" applyFill="1" applyBorder="1"/>
    <xf numFmtId="16" fontId="0" fillId="13" borderId="1" xfId="0" applyNumberFormat="1" applyFill="1" applyBorder="1" applyAlignment="1">
      <alignment horizontal="center"/>
    </xf>
    <xf numFmtId="16" fontId="0" fillId="14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right"/>
    </xf>
    <xf numFmtId="10" fontId="0" fillId="13" borderId="1" xfId="0" applyNumberFormat="1" applyFill="1" applyBorder="1"/>
    <xf numFmtId="0" fontId="0" fillId="13" borderId="1" xfId="0" applyFill="1" applyBorder="1"/>
    <xf numFmtId="9" fontId="0" fillId="13" borderId="1" xfId="0" applyNumberFormat="1" applyFill="1" applyBorder="1"/>
    <xf numFmtId="9" fontId="0" fillId="13" borderId="1" xfId="0" applyNumberFormat="1" applyFill="1" applyBorder="1" applyAlignment="1">
      <alignment horizontal="right"/>
    </xf>
    <xf numFmtId="1" fontId="0" fillId="14" borderId="1" xfId="0" applyNumberFormat="1" applyFill="1" applyBorder="1"/>
    <xf numFmtId="0" fontId="0" fillId="13" borderId="0" xfId="0" applyFill="1"/>
    <xf numFmtId="2" fontId="0" fillId="0" borderId="1" xfId="1" applyNumberFormat="1" applyFont="1" applyBorder="1"/>
    <xf numFmtId="1" fontId="0" fillId="0" borderId="1" xfId="1" applyNumberFormat="1" applyFont="1" applyBorder="1"/>
    <xf numFmtId="9" fontId="7" fillId="0" borderId="2" xfId="1" quotePrefix="1" applyFont="1" applyFill="1" applyBorder="1" applyAlignment="1">
      <alignment horizontal="center" vertical="center"/>
    </xf>
    <xf numFmtId="2" fontId="0" fillId="0" borderId="0" xfId="0" applyNumberFormat="1"/>
    <xf numFmtId="2" fontId="5" fillId="6" borderId="6" xfId="0" applyNumberFormat="1" applyFont="1" applyFill="1" applyBorder="1" applyAlignment="1">
      <alignment horizontal="center"/>
    </xf>
    <xf numFmtId="2" fontId="0" fillId="0" borderId="6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1" fontId="0" fillId="0" borderId="9" xfId="0" applyNumberFormat="1" applyBorder="1"/>
    <xf numFmtId="1" fontId="0" fillId="0" borderId="1" xfId="2" applyNumberFormat="1" applyFont="1" applyBorder="1"/>
    <xf numFmtId="0" fontId="7" fillId="0" borderId="1" xfId="0" applyFont="1" applyBorder="1"/>
    <xf numFmtId="9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0" fillId="0" borderId="1" xfId="1" applyNumberFormat="1" applyFont="1" applyBorder="1"/>
    <xf numFmtId="0" fontId="0" fillId="0" borderId="9" xfId="1" applyNumberFormat="1" applyFont="1" applyBorder="1"/>
    <xf numFmtId="0" fontId="0" fillId="8" borderId="1" xfId="0" applyFill="1" applyBorder="1" applyAlignment="1">
      <alignment horizontal="center"/>
    </xf>
    <xf numFmtId="9" fontId="4" fillId="0" borderId="2" xfId="1" applyFont="1" applyFill="1" applyBorder="1" applyAlignment="1">
      <alignment horizontal="right"/>
    </xf>
    <xf numFmtId="1" fontId="0" fillId="11" borderId="1" xfId="0" applyNumberFormat="1" applyFill="1" applyBorder="1"/>
    <xf numFmtId="9" fontId="0" fillId="0" borderId="1" xfId="1" applyFont="1" applyFill="1" applyBorder="1"/>
    <xf numFmtId="0" fontId="2" fillId="0" borderId="6" xfId="0" applyFont="1" applyBorder="1" applyAlignment="1">
      <alignment wrapText="1"/>
    </xf>
    <xf numFmtId="10" fontId="7" fillId="0" borderId="1" xfId="0" applyNumberFormat="1" applyFont="1" applyBorder="1"/>
    <xf numFmtId="10" fontId="7" fillId="0" borderId="9" xfId="1" applyNumberFormat="1" applyFont="1" applyBorder="1" applyAlignment="1"/>
    <xf numFmtId="0" fontId="0" fillId="8" borderId="1" xfId="1" applyNumberFormat="1" applyFont="1" applyFill="1" applyBorder="1"/>
    <xf numFmtId="1" fontId="0" fillId="8" borderId="1" xfId="0" applyNumberFormat="1" applyFill="1" applyBorder="1"/>
    <xf numFmtId="0" fontId="6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9" fontId="0" fillId="15" borderId="1" xfId="0" quotePrefix="1" applyNumberFormat="1" applyFill="1" applyBorder="1" applyAlignment="1">
      <alignment horizontal="center"/>
    </xf>
    <xf numFmtId="9" fontId="7" fillId="0" borderId="9" xfId="0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9" fontId="6" fillId="0" borderId="1" xfId="1" applyFont="1" applyFill="1" applyBorder="1" applyAlignment="1">
      <alignment horizontal="right"/>
    </xf>
    <xf numFmtId="10" fontId="7" fillId="0" borderId="1" xfId="1" applyNumberFormat="1" applyFont="1" applyBorder="1"/>
    <xf numFmtId="10" fontId="7" fillId="0" borderId="9" xfId="1" applyNumberFormat="1" applyFont="1" applyBorder="1"/>
    <xf numFmtId="9" fontId="7" fillId="0" borderId="1" xfId="0" quotePrefix="1" applyNumberFormat="1" applyFont="1" applyBorder="1" applyAlignment="1">
      <alignment horizontal="center"/>
    </xf>
    <xf numFmtId="10" fontId="0" fillId="8" borderId="1" xfId="1" applyNumberFormat="1" applyFont="1" applyFill="1" applyBorder="1"/>
    <xf numFmtId="10" fontId="6" fillId="0" borderId="1" xfId="1" applyNumberFormat="1" applyFont="1" applyBorder="1"/>
    <xf numFmtId="10" fontId="4" fillId="0" borderId="2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9" fontId="0" fillId="2" borderId="1" xfId="1" applyFont="1" applyFill="1" applyBorder="1"/>
    <xf numFmtId="10" fontId="0" fillId="2" borderId="1" xfId="1" applyNumberFormat="1" applyFont="1" applyFill="1" applyBorder="1"/>
    <xf numFmtId="9" fontId="0" fillId="0" borderId="14" xfId="0" applyNumberFormat="1" applyBorder="1"/>
    <xf numFmtId="16" fontId="0" fillId="2" borderId="1" xfId="0" applyNumberFormat="1" applyFill="1" applyBorder="1"/>
    <xf numFmtId="9" fontId="0" fillId="2" borderId="2" xfId="1" applyFont="1" applyFill="1" applyBorder="1"/>
    <xf numFmtId="2" fontId="0" fillId="2" borderId="1" xfId="1" applyNumberFormat="1" applyFont="1" applyFill="1" applyBorder="1"/>
    <xf numFmtId="9" fontId="7" fillId="0" borderId="1" xfId="0" applyNumberFormat="1" applyFont="1" applyBorder="1" applyAlignment="1">
      <alignment horizontal="center"/>
    </xf>
    <xf numFmtId="9" fontId="7" fillId="0" borderId="9" xfId="0" applyNumberFormat="1" applyFont="1" applyBorder="1" applyAlignment="1">
      <alignment horizontal="center"/>
    </xf>
    <xf numFmtId="0" fontId="0" fillId="5" borderId="6" xfId="0" applyFill="1" applyBorder="1"/>
    <xf numFmtId="0" fontId="0" fillId="0" borderId="9" xfId="0" quotePrefix="1" applyBorder="1" applyAlignment="1">
      <alignment horizontal="center"/>
    </xf>
    <xf numFmtId="9" fontId="0" fillId="5" borderId="7" xfId="1" applyFont="1" applyFill="1" applyBorder="1"/>
    <xf numFmtId="164" fontId="0" fillId="0" borderId="1" xfId="0" applyNumberFormat="1" applyBorder="1"/>
    <xf numFmtId="9" fontId="0" fillId="0" borderId="7" xfId="0" applyNumberFormat="1" applyBorder="1"/>
    <xf numFmtId="2" fontId="5" fillId="6" borderId="0" xfId="0" applyNumberFormat="1" applyFont="1" applyFill="1" applyAlignment="1">
      <alignment horizontal="center"/>
    </xf>
    <xf numFmtId="2" fontId="0" fillId="0" borderId="5" xfId="0" applyNumberFormat="1" applyBorder="1"/>
    <xf numFmtId="2" fontId="0" fillId="0" borderId="4" xfId="0" applyNumberFormat="1" applyBorder="1"/>
    <xf numFmtId="2" fontId="0" fillId="0" borderId="8" xfId="0" applyNumberFormat="1" applyBorder="1"/>
    <xf numFmtId="2" fontId="0" fillId="2" borderId="0" xfId="0" applyNumberFormat="1" applyFill="1"/>
    <xf numFmtId="1" fontId="0" fillId="8" borderId="0" xfId="0" applyNumberFormat="1" applyFill="1"/>
    <xf numFmtId="164" fontId="0" fillId="8" borderId="1" xfId="0" applyNumberFormat="1" applyFill="1" applyBorder="1"/>
    <xf numFmtId="164" fontId="0" fillId="0" borderId="1" xfId="0" applyNumberFormat="1" applyBorder="1" applyAlignment="1">
      <alignment horizontal="center"/>
    </xf>
    <xf numFmtId="164" fontId="0" fillId="0" borderId="2" xfId="1" applyNumberFormat="1" applyFont="1" applyBorder="1"/>
    <xf numFmtId="0" fontId="0" fillId="9" borderId="0" xfId="0" applyFill="1"/>
    <xf numFmtId="9" fontId="0" fillId="8" borderId="6" xfId="0" applyNumberFormat="1" applyFill="1" applyBorder="1"/>
    <xf numFmtId="0" fontId="11" fillId="16" borderId="15" xfId="0" applyFont="1" applyFill="1" applyBorder="1" applyAlignment="1">
      <alignment vertical="center"/>
    </xf>
    <xf numFmtId="0" fontId="11" fillId="16" borderId="16" xfId="0" applyFont="1" applyFill="1" applyBorder="1" applyAlignment="1">
      <alignment vertical="center"/>
    </xf>
    <xf numFmtId="0" fontId="12" fillId="17" borderId="17" xfId="0" applyFont="1" applyFill="1" applyBorder="1" applyAlignment="1">
      <alignment vertical="center"/>
    </xf>
    <xf numFmtId="0" fontId="12" fillId="17" borderId="18" xfId="0" applyFont="1" applyFill="1" applyBorder="1" applyAlignment="1">
      <alignment horizontal="right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horizontal="right" vertical="center"/>
    </xf>
    <xf numFmtId="164" fontId="0" fillId="0" borderId="0" xfId="0" applyNumberFormat="1"/>
    <xf numFmtId="2" fontId="0" fillId="8" borderId="0" xfId="0" applyNumberFormat="1" applyFill="1"/>
    <xf numFmtId="16" fontId="0" fillId="8" borderId="8" xfId="0" applyNumberFormat="1" applyFill="1" applyBorder="1"/>
    <xf numFmtId="164" fontId="0" fillId="8" borderId="2" xfId="1" applyNumberFormat="1" applyFont="1" applyFill="1" applyBorder="1"/>
    <xf numFmtId="2" fontId="0" fillId="8" borderId="1" xfId="1" applyNumberFormat="1" applyFont="1" applyFill="1" applyBorder="1"/>
    <xf numFmtId="10" fontId="6" fillId="0" borderId="1" xfId="0" applyNumberFormat="1" applyFont="1" applyBorder="1"/>
    <xf numFmtId="9" fontId="13" fillId="0" borderId="2" xfId="1" applyFont="1" applyFill="1" applyBorder="1" applyAlignment="1">
      <alignment horizontal="right"/>
    </xf>
    <xf numFmtId="164" fontId="7" fillId="0" borderId="1" xfId="0" applyNumberFormat="1" applyFont="1" applyBorder="1" applyAlignment="1">
      <alignment horizontal="center" vertical="center"/>
    </xf>
    <xf numFmtId="45" fontId="7" fillId="0" borderId="1" xfId="0" applyNumberFormat="1" applyFont="1" applyBorder="1" applyAlignment="1">
      <alignment horizontal="center"/>
    </xf>
    <xf numFmtId="20" fontId="0" fillId="0" borderId="0" xfId="0" applyNumberFormat="1"/>
    <xf numFmtId="9" fontId="4" fillId="0" borderId="2" xfId="1" quotePrefix="1" applyFont="1" applyFill="1" applyBorder="1" applyAlignment="1">
      <alignment horizontal="right"/>
    </xf>
    <xf numFmtId="10" fontId="4" fillId="0" borderId="2" xfId="0" applyNumberFormat="1" applyFont="1" applyBorder="1"/>
    <xf numFmtId="9" fontId="13" fillId="0" borderId="2" xfId="1" quotePrefix="1" applyFont="1" applyFill="1" applyBorder="1" applyAlignment="1">
      <alignment horizontal="right"/>
    </xf>
    <xf numFmtId="9" fontId="0" fillId="0" borderId="0" xfId="1" applyFont="1"/>
    <xf numFmtId="0" fontId="0" fillId="0" borderId="1" xfId="0" quotePrefix="1" applyBorder="1" applyAlignment="1">
      <alignment horizontal="right"/>
    </xf>
    <xf numFmtId="0" fontId="0" fillId="7" borderId="1" xfId="0" applyFill="1" applyBorder="1"/>
    <xf numFmtId="0" fontId="2" fillId="0" borderId="1" xfId="0" applyFont="1" applyBorder="1"/>
    <xf numFmtId="9" fontId="2" fillId="0" borderId="1" xfId="0" applyNumberFormat="1" applyFont="1" applyBorder="1"/>
    <xf numFmtId="9" fontId="0" fillId="18" borderId="1" xfId="0" applyNumberFormat="1" applyFill="1" applyBorder="1"/>
    <xf numFmtId="9" fontId="0" fillId="19" borderId="1" xfId="0" applyNumberFormat="1" applyFill="1" applyBorder="1"/>
    <xf numFmtId="9" fontId="0" fillId="18" borderId="1" xfId="1" applyFont="1" applyFill="1" applyBorder="1"/>
    <xf numFmtId="9" fontId="0" fillId="19" borderId="1" xfId="1" applyFont="1" applyFill="1" applyBorder="1"/>
    <xf numFmtId="0" fontId="15" fillId="4" borderId="22" xfId="0" applyFont="1" applyFill="1" applyBorder="1" applyAlignment="1">
      <alignment vertical="center" wrapText="1"/>
    </xf>
    <xf numFmtId="0" fontId="15" fillId="4" borderId="23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vertical="center" wrapText="1"/>
    </xf>
    <xf numFmtId="0" fontId="16" fillId="4" borderId="23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6" fontId="17" fillId="0" borderId="23" xfId="0" applyNumberFormat="1" applyFont="1" applyBorder="1" applyAlignment="1">
      <alignment horizontal="center" vertical="center"/>
    </xf>
    <xf numFmtId="0" fontId="15" fillId="21" borderId="22" xfId="0" applyFont="1" applyFill="1" applyBorder="1" applyAlignment="1">
      <alignment horizontal="center" vertical="center"/>
    </xf>
    <xf numFmtId="6" fontId="15" fillId="21" borderId="23" xfId="0" applyNumberFormat="1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9" fontId="15" fillId="0" borderId="23" xfId="0" applyNumberFormat="1" applyFont="1" applyBorder="1" applyAlignment="1">
      <alignment horizontal="center" vertical="center"/>
    </xf>
    <xf numFmtId="8" fontId="15" fillId="21" borderId="23" xfId="0" applyNumberFormat="1" applyFont="1" applyFill="1" applyBorder="1" applyAlignment="1">
      <alignment horizontal="center" vertical="center" wrapText="1"/>
    </xf>
    <xf numFmtId="10" fontId="13" fillId="0" borderId="2" xfId="1" applyNumberFormat="1" applyFont="1" applyBorder="1"/>
    <xf numFmtId="0" fontId="0" fillId="5" borderId="1" xfId="0" quotePrefix="1" applyFill="1" applyBorder="1"/>
    <xf numFmtId="16" fontId="0" fillId="0" borderId="1" xfId="0" applyNumberFormat="1" applyBorder="1" applyAlignment="1">
      <alignment horizontal="right"/>
    </xf>
    <xf numFmtId="16" fontId="0" fillId="5" borderId="1" xfId="0" applyNumberFormat="1" applyFill="1" applyBorder="1" applyAlignment="1">
      <alignment horizontal="right"/>
    </xf>
    <xf numFmtId="16" fontId="0" fillId="10" borderId="1" xfId="0" applyNumberFormat="1" applyFill="1" applyBorder="1" applyAlignment="1">
      <alignment horizontal="right"/>
    </xf>
    <xf numFmtId="16" fontId="0" fillId="8" borderId="1" xfId="0" applyNumberFormat="1" applyFill="1" applyBorder="1" applyAlignment="1">
      <alignment horizontal="right"/>
    </xf>
    <xf numFmtId="16" fontId="0" fillId="13" borderId="1" xfId="0" applyNumberForma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46" fontId="0" fillId="0" borderId="1" xfId="0" quotePrefix="1" applyNumberFormat="1" applyBorder="1" applyAlignment="1">
      <alignment horizontal="right"/>
    </xf>
    <xf numFmtId="46" fontId="0" fillId="0" borderId="1" xfId="0" applyNumberFormat="1" applyBorder="1"/>
    <xf numFmtId="46" fontId="0" fillId="8" borderId="1" xfId="0" applyNumberFormat="1" applyFill="1" applyBorder="1"/>
    <xf numFmtId="46" fontId="0" fillId="5" borderId="1" xfId="0" applyNumberFormat="1" applyFill="1" applyBorder="1"/>
    <xf numFmtId="46" fontId="0" fillId="0" borderId="2" xfId="0" applyNumberFormat="1" applyBorder="1"/>
    <xf numFmtId="46" fontId="0" fillId="8" borderId="2" xfId="0" applyNumberFormat="1" applyFill="1" applyBorder="1"/>
    <xf numFmtId="46" fontId="0" fillId="0" borderId="2" xfId="1" applyNumberFormat="1" applyFont="1" applyBorder="1"/>
    <xf numFmtId="46" fontId="0" fillId="8" borderId="2" xfId="1" applyNumberFormat="1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20" borderId="19" xfId="0" applyFont="1" applyFill="1" applyBorder="1" applyAlignment="1">
      <alignment horizontal="center" vertical="center"/>
    </xf>
    <xf numFmtId="0" fontId="14" fillId="20" borderId="20" xfId="0" applyFont="1" applyFill="1" applyBorder="1" applyAlignment="1">
      <alignment horizontal="center" vertical="center"/>
    </xf>
    <xf numFmtId="0" fontId="14" fillId="20" borderId="21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29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medium">
          <color theme="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JAM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Monthly'!chart_calls_off_JAM</c:f>
              <c:numCache>
                <c:formatCode>General</c:formatCode>
                <c:ptCount val="31"/>
                <c:pt idx="0">
                  <c:v>893</c:v>
                </c:pt>
                <c:pt idx="1">
                  <c:v>839</c:v>
                </c:pt>
                <c:pt idx="2">
                  <c:v>808</c:v>
                </c:pt>
                <c:pt idx="3">
                  <c:v>601</c:v>
                </c:pt>
                <c:pt idx="4">
                  <c:v>0</c:v>
                </c:pt>
                <c:pt idx="5">
                  <c:v>964</c:v>
                </c:pt>
                <c:pt idx="6">
                  <c:v>850</c:v>
                </c:pt>
                <c:pt idx="7">
                  <c:v>1438</c:v>
                </c:pt>
                <c:pt idx="8">
                  <c:v>972</c:v>
                </c:pt>
                <c:pt idx="9">
                  <c:v>947</c:v>
                </c:pt>
                <c:pt idx="10">
                  <c:v>657</c:v>
                </c:pt>
                <c:pt idx="11">
                  <c:v>0</c:v>
                </c:pt>
                <c:pt idx="12">
                  <c:v>940</c:v>
                </c:pt>
                <c:pt idx="13">
                  <c:v>866</c:v>
                </c:pt>
                <c:pt idx="14">
                  <c:v>781</c:v>
                </c:pt>
                <c:pt idx="15">
                  <c:v>762</c:v>
                </c:pt>
                <c:pt idx="16">
                  <c:v>732</c:v>
                </c:pt>
                <c:pt idx="17">
                  <c:v>662</c:v>
                </c:pt>
                <c:pt idx="18">
                  <c:v>0</c:v>
                </c:pt>
                <c:pt idx="19">
                  <c:v>880</c:v>
                </c:pt>
                <c:pt idx="20">
                  <c:v>843</c:v>
                </c:pt>
                <c:pt idx="21">
                  <c:v>1190</c:v>
                </c:pt>
                <c:pt idx="22">
                  <c:v>904</c:v>
                </c:pt>
                <c:pt idx="23">
                  <c:v>924</c:v>
                </c:pt>
                <c:pt idx="24">
                  <c:v>715</c:v>
                </c:pt>
                <c:pt idx="25">
                  <c:v>0</c:v>
                </c:pt>
                <c:pt idx="26">
                  <c:v>953</c:v>
                </c:pt>
                <c:pt idx="27">
                  <c:v>935</c:v>
                </c:pt>
                <c:pt idx="28">
                  <c:v>967</c:v>
                </c:pt>
                <c:pt idx="29">
                  <c:v>899</c:v>
                </c:pt>
                <c:pt idx="30">
                  <c:v>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E-42F9-BADB-4CBE54DE440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Monthly'!chart_calls_ans_JAM</c:f>
              <c:numCache>
                <c:formatCode>General</c:formatCode>
                <c:ptCount val="31"/>
                <c:pt idx="0">
                  <c:v>812</c:v>
                </c:pt>
                <c:pt idx="1">
                  <c:v>816</c:v>
                </c:pt>
                <c:pt idx="2">
                  <c:v>816</c:v>
                </c:pt>
                <c:pt idx="3">
                  <c:v>578</c:v>
                </c:pt>
                <c:pt idx="4">
                  <c:v>0</c:v>
                </c:pt>
                <c:pt idx="5">
                  <c:v>908</c:v>
                </c:pt>
                <c:pt idx="6">
                  <c:v>830</c:v>
                </c:pt>
                <c:pt idx="7">
                  <c:v>1348</c:v>
                </c:pt>
                <c:pt idx="8">
                  <c:v>930</c:v>
                </c:pt>
                <c:pt idx="9">
                  <c:v>869</c:v>
                </c:pt>
                <c:pt idx="10">
                  <c:v>638</c:v>
                </c:pt>
                <c:pt idx="11">
                  <c:v>0</c:v>
                </c:pt>
                <c:pt idx="12">
                  <c:v>914</c:v>
                </c:pt>
                <c:pt idx="13">
                  <c:v>750</c:v>
                </c:pt>
                <c:pt idx="14">
                  <c:v>766</c:v>
                </c:pt>
                <c:pt idx="15">
                  <c:v>695</c:v>
                </c:pt>
                <c:pt idx="16">
                  <c:v>703</c:v>
                </c:pt>
                <c:pt idx="17">
                  <c:v>638</c:v>
                </c:pt>
                <c:pt idx="18">
                  <c:v>0</c:v>
                </c:pt>
                <c:pt idx="19">
                  <c:v>855</c:v>
                </c:pt>
                <c:pt idx="20">
                  <c:v>823</c:v>
                </c:pt>
                <c:pt idx="21">
                  <c:v>1105</c:v>
                </c:pt>
                <c:pt idx="22">
                  <c:v>848</c:v>
                </c:pt>
                <c:pt idx="23">
                  <c:v>894</c:v>
                </c:pt>
                <c:pt idx="24">
                  <c:v>661</c:v>
                </c:pt>
                <c:pt idx="25">
                  <c:v>0</c:v>
                </c:pt>
                <c:pt idx="26">
                  <c:v>937</c:v>
                </c:pt>
                <c:pt idx="27">
                  <c:v>916</c:v>
                </c:pt>
                <c:pt idx="28">
                  <c:v>900</c:v>
                </c:pt>
                <c:pt idx="29">
                  <c:v>847</c:v>
                </c:pt>
                <c:pt idx="30">
                  <c:v>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FE-42F9-BADB-4CBE54DE4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960656"/>
        <c:axId val="807551408"/>
      </c:barChart>
      <c:dateAx>
        <c:axId val="59996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51408"/>
        <c:crosses val="autoZero"/>
        <c:auto val="1"/>
        <c:lblOffset val="100"/>
        <c:baseTimeUnit val="days"/>
      </c:dateAx>
      <c:valAx>
        <c:axId val="8075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6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JAM</a:t>
            </a:r>
            <a:endParaRPr lang="en-JM">
              <a:effectLst/>
            </a:endParaRPr>
          </a:p>
        </c:rich>
      </c:tx>
      <c:layout>
        <c:manualLayout>
          <c:xMode val="edge"/>
          <c:yMode val="edge"/>
          <c:x val="0.27568934804569722"/>
          <c:y val="2.85027952938219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%Wow 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Monthly'!chart_WoW_off_JAM_percent</c:f>
              <c:numCache>
                <c:formatCode>0.00%</c:formatCode>
                <c:ptCount val="31"/>
                <c:pt idx="0">
                  <c:v>0</c:v>
                </c:pt>
                <c:pt idx="1">
                  <c:v>-0.13771839671120248</c:v>
                </c:pt>
                <c:pt idx="2">
                  <c:v>-0.11208791208791209</c:v>
                </c:pt>
                <c:pt idx="3">
                  <c:v>-0.15232722143864599</c:v>
                </c:pt>
                <c:pt idx="4">
                  <c:v>0</c:v>
                </c:pt>
                <c:pt idx="5">
                  <c:v>-7.662835249042145E-2</c:v>
                </c:pt>
                <c:pt idx="6">
                  <c:v>-0.10052910052910052</c:v>
                </c:pt>
                <c:pt idx="7">
                  <c:v>0.61030235162374025</c:v>
                </c:pt>
                <c:pt idx="8">
                  <c:v>0.15852205005959474</c:v>
                </c:pt>
                <c:pt idx="9">
                  <c:v>0.17202970297029702</c:v>
                </c:pt>
                <c:pt idx="10">
                  <c:v>9.3178036605657238E-2</c:v>
                </c:pt>
                <c:pt idx="11">
                  <c:v>0</c:v>
                </c:pt>
                <c:pt idx="12">
                  <c:v>-2.4896265560165973E-2</c:v>
                </c:pt>
                <c:pt idx="13">
                  <c:v>-0.1016597510373444</c:v>
                </c:pt>
                <c:pt idx="14">
                  <c:v>-0.45688456189151599</c:v>
                </c:pt>
                <c:pt idx="15">
                  <c:v>-0.21604938271604937</c:v>
                </c:pt>
                <c:pt idx="16">
                  <c:v>-0.22703273495248152</c:v>
                </c:pt>
                <c:pt idx="17">
                  <c:v>7.6103500761035003E-3</c:v>
                </c:pt>
                <c:pt idx="18">
                  <c:v>0</c:v>
                </c:pt>
                <c:pt idx="19">
                  <c:v>-6.3829787234042548E-2</c:v>
                </c:pt>
                <c:pt idx="20">
                  <c:v>-0.10319148936170212</c:v>
                </c:pt>
                <c:pt idx="21">
                  <c:v>0.52368758002560822</c:v>
                </c:pt>
                <c:pt idx="22">
                  <c:v>0.18635170603674542</c:v>
                </c:pt>
                <c:pt idx="23">
                  <c:v>0.26229508196721313</c:v>
                </c:pt>
                <c:pt idx="24">
                  <c:v>8.0060422960725075E-2</c:v>
                </c:pt>
                <c:pt idx="25">
                  <c:v>0</c:v>
                </c:pt>
                <c:pt idx="26">
                  <c:v>8.2954545454545461E-2</c:v>
                </c:pt>
                <c:pt idx="27">
                  <c:v>6.25E-2</c:v>
                </c:pt>
                <c:pt idx="28">
                  <c:v>-0.18739495798319328</c:v>
                </c:pt>
                <c:pt idx="29">
                  <c:v>-5.5309734513274336E-3</c:v>
                </c:pt>
                <c:pt idx="30">
                  <c:v>-2.2727272727272728E-2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1-4D4C-A96B-F2D3F12F1100}"/>
            </c:ext>
          </c:extLst>
        </c:ser>
        <c:ser>
          <c:idx val="1"/>
          <c:order val="1"/>
          <c:tx>
            <c:v>%WoW 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Monthly'!chart_WoW_ans_JAM_percent</c:f>
              <c:numCache>
                <c:formatCode>0.00%</c:formatCode>
                <c:ptCount val="31"/>
                <c:pt idx="0">
                  <c:v>0</c:v>
                </c:pt>
                <c:pt idx="1">
                  <c:v>-0.10624315443592552</c:v>
                </c:pt>
                <c:pt idx="2">
                  <c:v>2.7707808564231738E-2</c:v>
                </c:pt>
                <c:pt idx="3">
                  <c:v>-0.12158054711246201</c:v>
                </c:pt>
                <c:pt idx="4">
                  <c:v>0</c:v>
                </c:pt>
                <c:pt idx="5">
                  <c:v>-9.0180360721442893E-2</c:v>
                </c:pt>
                <c:pt idx="6">
                  <c:v>-7.3660714285714288E-2</c:v>
                </c:pt>
                <c:pt idx="7">
                  <c:v>0.66009852216748766</c:v>
                </c:pt>
                <c:pt idx="8">
                  <c:v>0.13970588235294118</c:v>
                </c:pt>
                <c:pt idx="9">
                  <c:v>6.4950980392156868E-2</c:v>
                </c:pt>
                <c:pt idx="10">
                  <c:v>0.10380622837370242</c:v>
                </c:pt>
                <c:pt idx="11">
                  <c:v>0</c:v>
                </c:pt>
                <c:pt idx="12">
                  <c:v>6.6079295154185024E-3</c:v>
                </c:pt>
                <c:pt idx="13">
                  <c:v>-0.17400881057268722</c:v>
                </c:pt>
                <c:pt idx="14">
                  <c:v>-0.43175074183976259</c:v>
                </c:pt>
                <c:pt idx="15">
                  <c:v>-0.25268817204301075</c:v>
                </c:pt>
                <c:pt idx="16">
                  <c:v>-0.19102416570771003</c:v>
                </c:pt>
                <c:pt idx="17">
                  <c:v>0</c:v>
                </c:pt>
                <c:pt idx="18">
                  <c:v>0</c:v>
                </c:pt>
                <c:pt idx="19">
                  <c:v>-6.4551422319474833E-2</c:v>
                </c:pt>
                <c:pt idx="20">
                  <c:v>-9.9562363238512031E-2</c:v>
                </c:pt>
                <c:pt idx="21">
                  <c:v>0.44255874673629242</c:v>
                </c:pt>
                <c:pt idx="22">
                  <c:v>0.22014388489208633</c:v>
                </c:pt>
                <c:pt idx="23">
                  <c:v>0.27169274537695592</c:v>
                </c:pt>
                <c:pt idx="24">
                  <c:v>3.6050156739811913E-2</c:v>
                </c:pt>
                <c:pt idx="25">
                  <c:v>0</c:v>
                </c:pt>
                <c:pt idx="26">
                  <c:v>9.5906432748538009E-2</c:v>
                </c:pt>
                <c:pt idx="27">
                  <c:v>7.1345029239766086E-2</c:v>
                </c:pt>
                <c:pt idx="28">
                  <c:v>-0.18552036199095023</c:v>
                </c:pt>
                <c:pt idx="29">
                  <c:v>-1.1792452830188679E-3</c:v>
                </c:pt>
                <c:pt idx="30">
                  <c:v>-4.0268456375838924E-2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D1-4D4C-A96B-F2D3F12F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7560560"/>
        <c:axId val="807563888"/>
      </c:barChart>
      <c:dateAx>
        <c:axId val="80756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63888"/>
        <c:crosses val="autoZero"/>
        <c:auto val="1"/>
        <c:lblOffset val="100"/>
        <c:baseTimeUnit val="days"/>
      </c:dateAx>
      <c:valAx>
        <c:axId val="8075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 of 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6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JAM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Monthly'!chart_AU_JAM</c:f>
              <c:numCache>
                <c:formatCode>0%</c:formatCode>
                <c:ptCount val="31"/>
                <c:pt idx="0">
                  <c:v>0.69</c:v>
                </c:pt>
                <c:pt idx="1">
                  <c:v>0.6</c:v>
                </c:pt>
                <c:pt idx="2">
                  <c:v>0.55000000000000004</c:v>
                </c:pt>
                <c:pt idx="3">
                  <c:v>0.6</c:v>
                </c:pt>
                <c:pt idx="4">
                  <c:v>0</c:v>
                </c:pt>
                <c:pt idx="5">
                  <c:v>0.63</c:v>
                </c:pt>
                <c:pt idx="6">
                  <c:v>0.41</c:v>
                </c:pt>
                <c:pt idx="7">
                  <c:v>1.1599999999999999</c:v>
                </c:pt>
                <c:pt idx="8">
                  <c:v>0.69</c:v>
                </c:pt>
                <c:pt idx="9">
                  <c:v>0.68</c:v>
                </c:pt>
                <c:pt idx="10">
                  <c:v>0.52</c:v>
                </c:pt>
                <c:pt idx="11">
                  <c:v>0</c:v>
                </c:pt>
                <c:pt idx="12">
                  <c:v>0.56000000000000005</c:v>
                </c:pt>
                <c:pt idx="13">
                  <c:v>0.43</c:v>
                </c:pt>
                <c:pt idx="14">
                  <c:v>0.63959986772486777</c:v>
                </c:pt>
                <c:pt idx="15">
                  <c:v>0.62289292497625837</c:v>
                </c:pt>
                <c:pt idx="16">
                  <c:v>0.59442193930041165</c:v>
                </c:pt>
                <c:pt idx="17">
                  <c:v>0.53961894586894588</c:v>
                </c:pt>
                <c:pt idx="18">
                  <c:v>0</c:v>
                </c:pt>
                <c:pt idx="19">
                  <c:v>0.56956018518518514</c:v>
                </c:pt>
                <c:pt idx="20">
                  <c:v>0.47</c:v>
                </c:pt>
                <c:pt idx="21">
                  <c:v>0.9</c:v>
                </c:pt>
                <c:pt idx="22">
                  <c:v>0.91</c:v>
                </c:pt>
                <c:pt idx="23">
                  <c:v>0.57999999999999996</c:v>
                </c:pt>
                <c:pt idx="24">
                  <c:v>0.6</c:v>
                </c:pt>
                <c:pt idx="25">
                  <c:v>0</c:v>
                </c:pt>
                <c:pt idx="26">
                  <c:v>0.6</c:v>
                </c:pt>
                <c:pt idx="27">
                  <c:v>0.55000000000000004</c:v>
                </c:pt>
                <c:pt idx="28">
                  <c:v>0.69</c:v>
                </c:pt>
                <c:pt idx="29">
                  <c:v>0.69</c:v>
                </c:pt>
                <c:pt idx="30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8C-46F0-8EF4-F7C3575BE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183760"/>
        <c:axId val="477175024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Monthly'!chart_SL_JAM</c:f>
              <c:numCache>
                <c:formatCode>0%</c:formatCode>
                <c:ptCount val="31"/>
                <c:pt idx="0">
                  <c:v>0.71</c:v>
                </c:pt>
                <c:pt idx="1">
                  <c:v>0.89</c:v>
                </c:pt>
                <c:pt idx="2">
                  <c:v>0.97</c:v>
                </c:pt>
                <c:pt idx="3">
                  <c:v>0.88</c:v>
                </c:pt>
                <c:pt idx="4">
                  <c:v>0</c:v>
                </c:pt>
                <c:pt idx="5">
                  <c:v>0.85</c:v>
                </c:pt>
                <c:pt idx="6">
                  <c:v>0.93</c:v>
                </c:pt>
                <c:pt idx="7">
                  <c:v>0.84</c:v>
                </c:pt>
                <c:pt idx="8">
                  <c:v>0.82</c:v>
                </c:pt>
                <c:pt idx="9">
                  <c:v>0.77</c:v>
                </c:pt>
                <c:pt idx="10">
                  <c:v>0.9</c:v>
                </c:pt>
                <c:pt idx="11">
                  <c:v>0</c:v>
                </c:pt>
                <c:pt idx="12">
                  <c:v>0.9</c:v>
                </c:pt>
                <c:pt idx="13">
                  <c:v>0.79</c:v>
                </c:pt>
                <c:pt idx="14">
                  <c:v>0.92</c:v>
                </c:pt>
                <c:pt idx="15">
                  <c:v>0.75</c:v>
                </c:pt>
                <c:pt idx="16">
                  <c:v>0.86</c:v>
                </c:pt>
                <c:pt idx="17">
                  <c:v>0.95</c:v>
                </c:pt>
                <c:pt idx="18">
                  <c:v>0</c:v>
                </c:pt>
                <c:pt idx="19">
                  <c:v>0.89</c:v>
                </c:pt>
                <c:pt idx="20">
                  <c:v>0.94</c:v>
                </c:pt>
                <c:pt idx="21">
                  <c:v>0.79</c:v>
                </c:pt>
                <c:pt idx="22">
                  <c:v>0.85</c:v>
                </c:pt>
                <c:pt idx="23">
                  <c:v>0.92</c:v>
                </c:pt>
                <c:pt idx="24">
                  <c:v>0.76</c:v>
                </c:pt>
                <c:pt idx="25">
                  <c:v>0</c:v>
                </c:pt>
                <c:pt idx="26">
                  <c:v>0.97</c:v>
                </c:pt>
                <c:pt idx="27">
                  <c:v>0.95</c:v>
                </c:pt>
                <c:pt idx="28">
                  <c:v>0.81</c:v>
                </c:pt>
                <c:pt idx="29">
                  <c:v>0.87</c:v>
                </c:pt>
                <c:pt idx="30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C-46F0-8EF4-F7C3575BE5EC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Monthly'!chart_ABR_JAM</c:f>
              <c:numCache>
                <c:formatCode>0%</c:formatCode>
                <c:ptCount val="31"/>
                <c:pt idx="0">
                  <c:v>0.09</c:v>
                </c:pt>
                <c:pt idx="1">
                  <c:v>0.03</c:v>
                </c:pt>
                <c:pt idx="2">
                  <c:v>0.02</c:v>
                </c:pt>
                <c:pt idx="3">
                  <c:v>0.04</c:v>
                </c:pt>
                <c:pt idx="4">
                  <c:v>0</c:v>
                </c:pt>
                <c:pt idx="5">
                  <c:v>0.06</c:v>
                </c:pt>
                <c:pt idx="6">
                  <c:v>0.02</c:v>
                </c:pt>
                <c:pt idx="7">
                  <c:v>0.06</c:v>
                </c:pt>
                <c:pt idx="8">
                  <c:v>0.04</c:v>
                </c:pt>
                <c:pt idx="9">
                  <c:v>0.08</c:v>
                </c:pt>
                <c:pt idx="10">
                  <c:v>0.03</c:v>
                </c:pt>
                <c:pt idx="11">
                  <c:v>0</c:v>
                </c:pt>
                <c:pt idx="12">
                  <c:v>0.03</c:v>
                </c:pt>
                <c:pt idx="13">
                  <c:v>0.13</c:v>
                </c:pt>
                <c:pt idx="14">
                  <c:v>1.9206145966709345E-2</c:v>
                </c:pt>
                <c:pt idx="15">
                  <c:v>8.7926509186351712E-2</c:v>
                </c:pt>
                <c:pt idx="16">
                  <c:v>3.9617486338797817E-2</c:v>
                </c:pt>
                <c:pt idx="17">
                  <c:v>3.6253776435045321E-2</c:v>
                </c:pt>
                <c:pt idx="18">
                  <c:v>0</c:v>
                </c:pt>
                <c:pt idx="19">
                  <c:v>2.8409090909090908E-2</c:v>
                </c:pt>
                <c:pt idx="20">
                  <c:v>0.02</c:v>
                </c:pt>
                <c:pt idx="21">
                  <c:v>7.0000000000000007E-2</c:v>
                </c:pt>
                <c:pt idx="22">
                  <c:v>0.06</c:v>
                </c:pt>
                <c:pt idx="23">
                  <c:v>0.03</c:v>
                </c:pt>
                <c:pt idx="24">
                  <c:v>0.08</c:v>
                </c:pt>
                <c:pt idx="25">
                  <c:v>0</c:v>
                </c:pt>
                <c:pt idx="26">
                  <c:v>0.02</c:v>
                </c:pt>
                <c:pt idx="27">
                  <c:v>0.02</c:v>
                </c:pt>
                <c:pt idx="28">
                  <c:v>7.0000000000000007E-2</c:v>
                </c:pt>
                <c:pt idx="29">
                  <c:v>0.06</c:v>
                </c:pt>
                <c:pt idx="30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8C-46F0-8EF4-F7C3575BE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183760"/>
        <c:axId val="477175024"/>
      </c:lineChart>
      <c:dateAx>
        <c:axId val="47718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75024"/>
        <c:crosses val="autoZero"/>
        <c:auto val="1"/>
        <c:lblOffset val="100"/>
        <c:baseTimeUnit val="days"/>
      </c:dateAx>
      <c:valAx>
        <c:axId val="4771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of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JAM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Jamaica!$V$5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Jamaica!$U$6:$U$57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Jamaica!$V$6:$V$57</c:f>
              <c:numCache>
                <c:formatCode>General</c:formatCode>
                <c:ptCount val="52"/>
                <c:pt idx="0">
                  <c:v>4919</c:v>
                </c:pt>
                <c:pt idx="1">
                  <c:v>3879</c:v>
                </c:pt>
                <c:pt idx="2">
                  <c:v>4579</c:v>
                </c:pt>
                <c:pt idx="3">
                  <c:v>6190</c:v>
                </c:pt>
                <c:pt idx="4">
                  <c:v>5368</c:v>
                </c:pt>
                <c:pt idx="5">
                  <c:v>4941</c:v>
                </c:pt>
                <c:pt idx="6">
                  <c:v>5266</c:v>
                </c:pt>
                <c:pt idx="7">
                  <c:v>4792</c:v>
                </c:pt>
                <c:pt idx="8">
                  <c:v>5695</c:v>
                </c:pt>
                <c:pt idx="9">
                  <c:v>5533</c:v>
                </c:pt>
                <c:pt idx="10">
                  <c:v>5426</c:v>
                </c:pt>
                <c:pt idx="11">
                  <c:v>4962</c:v>
                </c:pt>
                <c:pt idx="12">
                  <c:v>5937</c:v>
                </c:pt>
                <c:pt idx="13">
                  <c:v>5490</c:v>
                </c:pt>
                <c:pt idx="14">
                  <c:v>5836</c:v>
                </c:pt>
                <c:pt idx="15">
                  <c:v>5858</c:v>
                </c:pt>
                <c:pt idx="16">
                  <c:v>6054</c:v>
                </c:pt>
                <c:pt idx="17">
                  <c:v>5042</c:v>
                </c:pt>
                <c:pt idx="18">
                  <c:v>7095</c:v>
                </c:pt>
                <c:pt idx="19">
                  <c:v>6642</c:v>
                </c:pt>
                <c:pt idx="20">
                  <c:v>6171</c:v>
                </c:pt>
                <c:pt idx="21">
                  <c:v>7199</c:v>
                </c:pt>
                <c:pt idx="22">
                  <c:v>6810</c:v>
                </c:pt>
                <c:pt idx="23">
                  <c:v>6135</c:v>
                </c:pt>
                <c:pt idx="24">
                  <c:v>5705</c:v>
                </c:pt>
                <c:pt idx="25">
                  <c:v>6919</c:v>
                </c:pt>
                <c:pt idx="26">
                  <c:v>6420</c:v>
                </c:pt>
                <c:pt idx="27">
                  <c:v>6180</c:v>
                </c:pt>
                <c:pt idx="28">
                  <c:v>5878</c:v>
                </c:pt>
                <c:pt idx="29">
                  <c:v>8070</c:v>
                </c:pt>
                <c:pt idx="30">
                  <c:v>6215</c:v>
                </c:pt>
                <c:pt idx="31">
                  <c:v>5471</c:v>
                </c:pt>
                <c:pt idx="32">
                  <c:v>5842</c:v>
                </c:pt>
                <c:pt idx="33">
                  <c:v>6905</c:v>
                </c:pt>
                <c:pt idx="34">
                  <c:v>8903</c:v>
                </c:pt>
                <c:pt idx="35">
                  <c:v>7056</c:v>
                </c:pt>
                <c:pt idx="36">
                  <c:v>6875</c:v>
                </c:pt>
                <c:pt idx="37">
                  <c:v>7086</c:v>
                </c:pt>
                <c:pt idx="38">
                  <c:v>4539</c:v>
                </c:pt>
                <c:pt idx="39">
                  <c:v>4933</c:v>
                </c:pt>
                <c:pt idx="40">
                  <c:v>5454</c:v>
                </c:pt>
                <c:pt idx="41">
                  <c:v>5152</c:v>
                </c:pt>
                <c:pt idx="42">
                  <c:v>5456</c:v>
                </c:pt>
                <c:pt idx="43">
                  <c:v>5231</c:v>
                </c:pt>
                <c:pt idx="44">
                  <c:v>4704</c:v>
                </c:pt>
                <c:pt idx="45">
                  <c:v>4595</c:v>
                </c:pt>
                <c:pt idx="46">
                  <c:v>4230</c:v>
                </c:pt>
                <c:pt idx="47">
                  <c:v>5130</c:v>
                </c:pt>
                <c:pt idx="48">
                  <c:v>5828</c:v>
                </c:pt>
                <c:pt idx="49">
                  <c:v>4743</c:v>
                </c:pt>
                <c:pt idx="50">
                  <c:v>5456</c:v>
                </c:pt>
                <c:pt idx="51">
                  <c:v>4657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6-4535-95D8-C2C8BFF29A40}"/>
            </c:ext>
          </c:extLst>
        </c:ser>
        <c:ser>
          <c:idx val="1"/>
          <c:order val="1"/>
          <c:tx>
            <c:strRef>
              <c:f>Jamaica!$W$5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Jamaica!$U$6:$U$57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Jamaica!$W$6:$W$57</c:f>
              <c:numCache>
                <c:formatCode>General</c:formatCode>
                <c:ptCount val="52"/>
                <c:pt idx="0">
                  <c:v>3926</c:v>
                </c:pt>
                <c:pt idx="1">
                  <c:v>3257</c:v>
                </c:pt>
                <c:pt idx="2">
                  <c:v>3124</c:v>
                </c:pt>
                <c:pt idx="3">
                  <c:v>4680</c:v>
                </c:pt>
                <c:pt idx="4">
                  <c:v>4336</c:v>
                </c:pt>
                <c:pt idx="5">
                  <c:v>4230</c:v>
                </c:pt>
                <c:pt idx="6">
                  <c:v>4603</c:v>
                </c:pt>
                <c:pt idx="7">
                  <c:v>4059</c:v>
                </c:pt>
                <c:pt idx="8">
                  <c:v>4691</c:v>
                </c:pt>
                <c:pt idx="9">
                  <c:v>5017</c:v>
                </c:pt>
                <c:pt idx="10">
                  <c:v>4022</c:v>
                </c:pt>
                <c:pt idx="11">
                  <c:v>4356</c:v>
                </c:pt>
                <c:pt idx="12">
                  <c:v>4786</c:v>
                </c:pt>
                <c:pt idx="13">
                  <c:v>4603</c:v>
                </c:pt>
                <c:pt idx="14">
                  <c:v>4426</c:v>
                </c:pt>
                <c:pt idx="15">
                  <c:v>4396</c:v>
                </c:pt>
                <c:pt idx="16">
                  <c:v>4780</c:v>
                </c:pt>
                <c:pt idx="17">
                  <c:v>2273</c:v>
                </c:pt>
                <c:pt idx="18">
                  <c:v>4038</c:v>
                </c:pt>
                <c:pt idx="19">
                  <c:v>4496</c:v>
                </c:pt>
                <c:pt idx="20">
                  <c:v>4724</c:v>
                </c:pt>
                <c:pt idx="21">
                  <c:v>5472</c:v>
                </c:pt>
                <c:pt idx="22">
                  <c:v>3894</c:v>
                </c:pt>
                <c:pt idx="23">
                  <c:v>4119</c:v>
                </c:pt>
                <c:pt idx="24">
                  <c:v>4557</c:v>
                </c:pt>
                <c:pt idx="25">
                  <c:v>4352</c:v>
                </c:pt>
                <c:pt idx="26">
                  <c:v>4112</c:v>
                </c:pt>
                <c:pt idx="27">
                  <c:v>3617</c:v>
                </c:pt>
                <c:pt idx="28">
                  <c:v>3800</c:v>
                </c:pt>
                <c:pt idx="29">
                  <c:v>3393</c:v>
                </c:pt>
                <c:pt idx="30">
                  <c:v>4000</c:v>
                </c:pt>
                <c:pt idx="31">
                  <c:v>4201</c:v>
                </c:pt>
                <c:pt idx="32">
                  <c:v>4672</c:v>
                </c:pt>
                <c:pt idx="33">
                  <c:v>5764</c:v>
                </c:pt>
                <c:pt idx="34">
                  <c:v>5152</c:v>
                </c:pt>
                <c:pt idx="35">
                  <c:v>4914</c:v>
                </c:pt>
                <c:pt idx="36">
                  <c:v>5835</c:v>
                </c:pt>
                <c:pt idx="37">
                  <c:v>5248</c:v>
                </c:pt>
                <c:pt idx="38">
                  <c:v>3110</c:v>
                </c:pt>
                <c:pt idx="39">
                  <c:v>4322</c:v>
                </c:pt>
                <c:pt idx="40">
                  <c:v>5169</c:v>
                </c:pt>
                <c:pt idx="41">
                  <c:v>4942</c:v>
                </c:pt>
                <c:pt idx="42">
                  <c:v>5282</c:v>
                </c:pt>
                <c:pt idx="43">
                  <c:v>4798</c:v>
                </c:pt>
                <c:pt idx="44">
                  <c:v>4571</c:v>
                </c:pt>
                <c:pt idx="45">
                  <c:v>4469</c:v>
                </c:pt>
                <c:pt idx="46">
                  <c:v>3957</c:v>
                </c:pt>
                <c:pt idx="47">
                  <c:v>4916</c:v>
                </c:pt>
                <c:pt idx="48">
                  <c:v>5523</c:v>
                </c:pt>
                <c:pt idx="49">
                  <c:v>4466</c:v>
                </c:pt>
                <c:pt idx="50">
                  <c:v>5186</c:v>
                </c:pt>
                <c:pt idx="51">
                  <c:v>4458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6-4535-95D8-C2C8BFF29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063311"/>
        <c:axId val="2018066223"/>
      </c:lineChart>
      <c:dateAx>
        <c:axId val="2018063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066223"/>
        <c:crosses val="autoZero"/>
        <c:auto val="1"/>
        <c:lblOffset val="100"/>
        <c:baseTimeUnit val="days"/>
      </c:dateAx>
      <c:valAx>
        <c:axId val="201806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</a:t>
                </a:r>
                <a:r>
                  <a:rPr lang="en-JM" sz="1400" baseline="0"/>
                  <a:t> Volume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06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 Agents Logged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JAM_SL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Monthly'!chart_SL_JAM</c:f>
              <c:numCache>
                <c:formatCode>0%</c:formatCode>
                <c:ptCount val="31"/>
                <c:pt idx="0">
                  <c:v>0.71</c:v>
                </c:pt>
                <c:pt idx="1">
                  <c:v>0.89</c:v>
                </c:pt>
                <c:pt idx="2">
                  <c:v>0.97</c:v>
                </c:pt>
                <c:pt idx="3">
                  <c:v>0.88</c:v>
                </c:pt>
                <c:pt idx="4">
                  <c:v>0</c:v>
                </c:pt>
                <c:pt idx="5">
                  <c:v>0.85</c:v>
                </c:pt>
                <c:pt idx="6">
                  <c:v>0.93</c:v>
                </c:pt>
                <c:pt idx="7">
                  <c:v>0.84</c:v>
                </c:pt>
                <c:pt idx="8">
                  <c:v>0.82</c:v>
                </c:pt>
                <c:pt idx="9">
                  <c:v>0.77</c:v>
                </c:pt>
                <c:pt idx="10">
                  <c:v>0.9</c:v>
                </c:pt>
                <c:pt idx="11">
                  <c:v>0</c:v>
                </c:pt>
                <c:pt idx="12">
                  <c:v>0.9</c:v>
                </c:pt>
                <c:pt idx="13">
                  <c:v>0.79</c:v>
                </c:pt>
                <c:pt idx="14">
                  <c:v>0.92</c:v>
                </c:pt>
                <c:pt idx="15">
                  <c:v>0.75</c:v>
                </c:pt>
                <c:pt idx="16">
                  <c:v>0.86</c:v>
                </c:pt>
                <c:pt idx="17">
                  <c:v>0.95</c:v>
                </c:pt>
                <c:pt idx="18">
                  <c:v>0</c:v>
                </c:pt>
                <c:pt idx="19">
                  <c:v>0.89</c:v>
                </c:pt>
                <c:pt idx="20">
                  <c:v>0.94</c:v>
                </c:pt>
                <c:pt idx="21">
                  <c:v>0.79</c:v>
                </c:pt>
                <c:pt idx="22">
                  <c:v>0.85</c:v>
                </c:pt>
                <c:pt idx="23">
                  <c:v>0.92</c:v>
                </c:pt>
                <c:pt idx="24">
                  <c:v>0.76</c:v>
                </c:pt>
                <c:pt idx="25">
                  <c:v>0</c:v>
                </c:pt>
                <c:pt idx="26">
                  <c:v>0.97</c:v>
                </c:pt>
                <c:pt idx="27">
                  <c:v>0.95</c:v>
                </c:pt>
                <c:pt idx="28">
                  <c:v>0.81</c:v>
                </c:pt>
                <c:pt idx="29">
                  <c:v>0.87</c:v>
                </c:pt>
                <c:pt idx="30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6-4483-9D07-94FBF9CB9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581231"/>
        <c:axId val="849584975"/>
      </c:barChart>
      <c:lineChart>
        <c:grouping val="standard"/>
        <c:varyColors val="0"/>
        <c:ser>
          <c:idx val="1"/>
          <c:order val="1"/>
          <c:tx>
            <c:v>JAM_Agents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Monthly'!chart_period_JAM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Monthly'!chart_WFM_JAM</c:f>
              <c:numCache>
                <c:formatCode>General</c:formatCode>
                <c:ptCount val="31"/>
                <c:pt idx="0">
                  <c:v>15</c:v>
                </c:pt>
                <c:pt idx="1">
                  <c:v>17</c:v>
                </c:pt>
                <c:pt idx="2">
                  <c:v>17</c:v>
                </c:pt>
                <c:pt idx="3">
                  <c:v>10</c:v>
                </c:pt>
                <c:pt idx="4">
                  <c:v>0</c:v>
                </c:pt>
                <c:pt idx="5">
                  <c:v>16</c:v>
                </c:pt>
                <c:pt idx="6">
                  <c:v>19</c:v>
                </c:pt>
                <c:pt idx="7">
                  <c:v>13</c:v>
                </c:pt>
                <c:pt idx="8">
                  <c:v>16</c:v>
                </c:pt>
                <c:pt idx="9">
                  <c:v>13</c:v>
                </c:pt>
                <c:pt idx="10">
                  <c:v>15</c:v>
                </c:pt>
                <c:pt idx="11">
                  <c:v>0</c:v>
                </c:pt>
                <c:pt idx="12">
                  <c:v>17</c:v>
                </c:pt>
                <c:pt idx="13">
                  <c:v>18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13</c:v>
                </c:pt>
                <c:pt idx="18">
                  <c:v>0</c:v>
                </c:pt>
                <c:pt idx="19">
                  <c:v>15</c:v>
                </c:pt>
                <c:pt idx="20">
                  <c:v>18</c:v>
                </c:pt>
                <c:pt idx="21">
                  <c:v>16</c:v>
                </c:pt>
                <c:pt idx="22">
                  <c:v>11</c:v>
                </c:pt>
                <c:pt idx="23">
                  <c:v>15</c:v>
                </c:pt>
                <c:pt idx="24">
                  <c:v>12</c:v>
                </c:pt>
                <c:pt idx="25">
                  <c:v>0</c:v>
                </c:pt>
                <c:pt idx="26">
                  <c:v>17</c:v>
                </c:pt>
                <c:pt idx="27">
                  <c:v>17</c:v>
                </c:pt>
                <c:pt idx="28">
                  <c:v>14</c:v>
                </c:pt>
                <c:pt idx="29">
                  <c:v>13</c:v>
                </c:pt>
                <c:pt idx="3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6-4483-9D07-94FBF9CB9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562095"/>
        <c:axId val="849585391"/>
      </c:lineChart>
      <c:dateAx>
        <c:axId val="84958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84975"/>
        <c:crosses val="autoZero"/>
        <c:auto val="1"/>
        <c:lblOffset val="100"/>
        <c:baseTimeUnit val="days"/>
      </c:dateAx>
      <c:valAx>
        <c:axId val="84958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 Level Achieved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81231"/>
        <c:crosses val="autoZero"/>
        <c:crossBetween val="between"/>
      </c:valAx>
      <c:valAx>
        <c:axId val="849585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SRs</a:t>
                </a:r>
                <a:r>
                  <a:rPr lang="en-JM" baseline="0"/>
                  <a:t> Logged</a:t>
                </a:r>
                <a:endParaRPr lang="en-JM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62095"/>
        <c:crosses val="max"/>
        <c:crossBetween val="between"/>
      </c:valAx>
      <c:dateAx>
        <c:axId val="849562095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84958539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Jamaica!$V$317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Jamaica!$W$317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6-4B47-B9FF-800CD821585C}"/>
            </c:ext>
          </c:extLst>
        </c:ser>
        <c:ser>
          <c:idx val="1"/>
          <c:order val="1"/>
          <c:tx>
            <c:strRef>
              <c:f>Jamaica!$V$318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Jamaica!$W$318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6-4B47-B9FF-800CD821585C}"/>
            </c:ext>
          </c:extLst>
        </c:ser>
        <c:ser>
          <c:idx val="2"/>
          <c:order val="2"/>
          <c:tx>
            <c:strRef>
              <c:f>Jamaica!$V$319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Jamaica!$W$319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16-4B47-B9FF-800CD821585C}"/>
            </c:ext>
          </c:extLst>
        </c:ser>
        <c:ser>
          <c:idx val="3"/>
          <c:order val="3"/>
          <c:tx>
            <c:strRef>
              <c:f>Jamaica!$V$320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Jamaica!$W$320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469583"/>
        <c:axId val="4474159"/>
      </c:barChart>
      <c:lineChart>
        <c:grouping val="standard"/>
        <c:varyColors val="0"/>
        <c:ser>
          <c:idx val="4"/>
          <c:order val="4"/>
          <c:tx>
            <c:strRef>
              <c:f>Jamaica!$V$321</c:f>
              <c:strCache>
                <c:ptCount val="1"/>
                <c:pt idx="0">
                  <c:v>Value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3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5415279165976056"/>
                  <c:y val="-9.4907407407407454E-2"/>
                </c:manualLayout>
              </c:layout>
              <c:numFmt formatCode="[mm]:ss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835872271248645"/>
                      <c:h val="0.171088145231846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2B16-4B47-B9FF-800CD821585C}"/>
                </c:ext>
              </c:extLst>
            </c:dLbl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Jamaica!$W$321</c:f>
              <c:numCache>
                <c:formatCode>[mm]:ss</c:formatCode>
                <c:ptCount val="1"/>
                <c:pt idx="0">
                  <c:v>3.3071844993141286E-3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9583"/>
        <c:axId val="4474159"/>
      </c:lineChart>
      <c:catAx>
        <c:axId val="4469583"/>
        <c:scaling>
          <c:orientation val="minMax"/>
        </c:scaling>
        <c:delete val="1"/>
        <c:axPos val="b"/>
        <c:majorTickMark val="none"/>
        <c:minorTickMark val="none"/>
        <c:tickLblPos val="nextTo"/>
        <c:crossAx val="4474159"/>
        <c:crosses val="autoZero"/>
        <c:auto val="1"/>
        <c:lblAlgn val="ctr"/>
        <c:lblOffset val="100"/>
        <c:noMultiLvlLbl val="0"/>
      </c:catAx>
      <c:valAx>
        <c:axId val="4474159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58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OECS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Monthly'!chart_calls_off_OECS</c:f>
              <c:numCache>
                <c:formatCode>General</c:formatCode>
                <c:ptCount val="29"/>
                <c:pt idx="0">
                  <c:v>448</c:v>
                </c:pt>
                <c:pt idx="1">
                  <c:v>428</c:v>
                </c:pt>
                <c:pt idx="2">
                  <c:v>510</c:v>
                </c:pt>
                <c:pt idx="3">
                  <c:v>183</c:v>
                </c:pt>
                <c:pt idx="4">
                  <c:v>0</c:v>
                </c:pt>
                <c:pt idx="5">
                  <c:v>508</c:v>
                </c:pt>
                <c:pt idx="6">
                  <c:v>462</c:v>
                </c:pt>
                <c:pt idx="7">
                  <c:v>445</c:v>
                </c:pt>
                <c:pt idx="8">
                  <c:v>375</c:v>
                </c:pt>
                <c:pt idx="9">
                  <c:v>414</c:v>
                </c:pt>
                <c:pt idx="10">
                  <c:v>136</c:v>
                </c:pt>
                <c:pt idx="11">
                  <c:v>0</c:v>
                </c:pt>
                <c:pt idx="12">
                  <c:v>426</c:v>
                </c:pt>
                <c:pt idx="13">
                  <c:v>320</c:v>
                </c:pt>
                <c:pt idx="14">
                  <c:v>436</c:v>
                </c:pt>
                <c:pt idx="15">
                  <c:v>380</c:v>
                </c:pt>
                <c:pt idx="16">
                  <c:v>281</c:v>
                </c:pt>
                <c:pt idx="17">
                  <c:v>72</c:v>
                </c:pt>
                <c:pt idx="18">
                  <c:v>0</c:v>
                </c:pt>
                <c:pt idx="19">
                  <c:v>506</c:v>
                </c:pt>
                <c:pt idx="20">
                  <c:v>422</c:v>
                </c:pt>
                <c:pt idx="21">
                  <c:v>521</c:v>
                </c:pt>
                <c:pt idx="22">
                  <c:v>390</c:v>
                </c:pt>
                <c:pt idx="23">
                  <c:v>396</c:v>
                </c:pt>
                <c:pt idx="24">
                  <c:v>152</c:v>
                </c:pt>
                <c:pt idx="25">
                  <c:v>0</c:v>
                </c:pt>
                <c:pt idx="26">
                  <c:v>520</c:v>
                </c:pt>
                <c:pt idx="27">
                  <c:v>447</c:v>
                </c:pt>
                <c:pt idx="28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A-4464-AC9D-7F31D4ADEB7E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Monthly'!chart_calls_ans_OECS</c:f>
              <c:numCache>
                <c:formatCode>General</c:formatCode>
                <c:ptCount val="29"/>
                <c:pt idx="0">
                  <c:v>436</c:v>
                </c:pt>
                <c:pt idx="1">
                  <c:v>407</c:v>
                </c:pt>
                <c:pt idx="2">
                  <c:v>486</c:v>
                </c:pt>
                <c:pt idx="3">
                  <c:v>173</c:v>
                </c:pt>
                <c:pt idx="4">
                  <c:v>0</c:v>
                </c:pt>
                <c:pt idx="5">
                  <c:v>484</c:v>
                </c:pt>
                <c:pt idx="6">
                  <c:v>439</c:v>
                </c:pt>
                <c:pt idx="7">
                  <c:v>434</c:v>
                </c:pt>
                <c:pt idx="8">
                  <c:v>362</c:v>
                </c:pt>
                <c:pt idx="9">
                  <c:v>389</c:v>
                </c:pt>
                <c:pt idx="10">
                  <c:v>132</c:v>
                </c:pt>
                <c:pt idx="11">
                  <c:v>0</c:v>
                </c:pt>
                <c:pt idx="12">
                  <c:v>403</c:v>
                </c:pt>
                <c:pt idx="13">
                  <c:v>307</c:v>
                </c:pt>
                <c:pt idx="14">
                  <c:v>404</c:v>
                </c:pt>
                <c:pt idx="15">
                  <c:v>366</c:v>
                </c:pt>
                <c:pt idx="16">
                  <c:v>276</c:v>
                </c:pt>
                <c:pt idx="17">
                  <c:v>70</c:v>
                </c:pt>
                <c:pt idx="18">
                  <c:v>0</c:v>
                </c:pt>
                <c:pt idx="19">
                  <c:v>483</c:v>
                </c:pt>
                <c:pt idx="20">
                  <c:v>398</c:v>
                </c:pt>
                <c:pt idx="21">
                  <c:v>487</c:v>
                </c:pt>
                <c:pt idx="22">
                  <c:v>375</c:v>
                </c:pt>
                <c:pt idx="23">
                  <c:v>383</c:v>
                </c:pt>
                <c:pt idx="24">
                  <c:v>147</c:v>
                </c:pt>
                <c:pt idx="25">
                  <c:v>0</c:v>
                </c:pt>
                <c:pt idx="26">
                  <c:v>487</c:v>
                </c:pt>
                <c:pt idx="27">
                  <c:v>420</c:v>
                </c:pt>
                <c:pt idx="28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A-4464-AC9D-7F31D4ADE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5739392"/>
        <c:axId val="605739808"/>
      </c:barChart>
      <c:dateAx>
        <c:axId val="60573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39808"/>
        <c:crosses val="autoZero"/>
        <c:auto val="1"/>
        <c:lblOffset val="100"/>
        <c:baseTimeUnit val="days"/>
      </c:dateAx>
      <c:valAx>
        <c:axId val="6057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3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OECS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%WoW 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Monthly'!chart_WoW_off_OECS</c:f>
              <c:numCache>
                <c:formatCode>0.00%</c:formatCode>
                <c:ptCount val="29"/>
                <c:pt idx="0">
                  <c:v>0.13705583756345177</c:v>
                </c:pt>
                <c:pt idx="1">
                  <c:v>-1.6091954022988506E-2</c:v>
                </c:pt>
                <c:pt idx="2">
                  <c:v>0.31782945736434109</c:v>
                </c:pt>
                <c:pt idx="3">
                  <c:v>0.28873239436619719</c:v>
                </c:pt>
                <c:pt idx="4">
                  <c:v>0</c:v>
                </c:pt>
                <c:pt idx="5">
                  <c:v>0.11403508771929824</c:v>
                </c:pt>
                <c:pt idx="6">
                  <c:v>-4.3103448275862068E-3</c:v>
                </c:pt>
                <c:pt idx="7">
                  <c:v>-6.6964285714285711E-3</c:v>
                </c:pt>
                <c:pt idx="8">
                  <c:v>-0.12383177570093458</c:v>
                </c:pt>
                <c:pt idx="9">
                  <c:v>-0.18823529411764706</c:v>
                </c:pt>
                <c:pt idx="10">
                  <c:v>-0.25683060109289618</c:v>
                </c:pt>
                <c:pt idx="11">
                  <c:v>0</c:v>
                </c:pt>
                <c:pt idx="12">
                  <c:v>-0.16141732283464566</c:v>
                </c:pt>
                <c:pt idx="13">
                  <c:v>-0.30735930735930733</c:v>
                </c:pt>
                <c:pt idx="14">
                  <c:v>-2.0224719101123594E-2</c:v>
                </c:pt>
                <c:pt idx="15">
                  <c:v>1.3333333333333334E-2</c:v>
                </c:pt>
                <c:pt idx="16">
                  <c:v>-0.32125603864734298</c:v>
                </c:pt>
                <c:pt idx="17">
                  <c:v>-0.47058823529411764</c:v>
                </c:pt>
                <c:pt idx="18">
                  <c:v>0</c:v>
                </c:pt>
                <c:pt idx="19">
                  <c:v>0.18779342723004694</c:v>
                </c:pt>
                <c:pt idx="20">
                  <c:v>0.31874999999999998</c:v>
                </c:pt>
                <c:pt idx="21">
                  <c:v>0.19495412844036697</c:v>
                </c:pt>
                <c:pt idx="22">
                  <c:v>2.6315789473684209E-2</c:v>
                </c:pt>
                <c:pt idx="23">
                  <c:v>0.40925266903914592</c:v>
                </c:pt>
                <c:pt idx="24">
                  <c:v>1.1111111111111112</c:v>
                </c:pt>
                <c:pt idx="25">
                  <c:v>0</c:v>
                </c:pt>
                <c:pt idx="26">
                  <c:v>2.766798418972332E-2</c:v>
                </c:pt>
                <c:pt idx="27">
                  <c:v>5.9241706161137442E-2</c:v>
                </c:pt>
                <c:pt idx="28">
                  <c:v>-9.7888675623800381E-2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8-4F6E-9A2C-C82DCE3D2531}"/>
            </c:ext>
          </c:extLst>
        </c:ser>
        <c:ser>
          <c:idx val="1"/>
          <c:order val="1"/>
          <c:tx>
            <c:v>%WoW 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Monthly'!chart_WoW_ans_OECS</c:f>
              <c:numCache>
                <c:formatCode>0.00%</c:formatCode>
                <c:ptCount val="29"/>
                <c:pt idx="0">
                  <c:v>0.14136125654450263</c:v>
                </c:pt>
                <c:pt idx="1">
                  <c:v>-2.3980815347721823E-2</c:v>
                </c:pt>
                <c:pt idx="2">
                  <c:v>0.32065217391304346</c:v>
                </c:pt>
                <c:pt idx="3">
                  <c:v>0.23571428571428571</c:v>
                </c:pt>
                <c:pt idx="4">
                  <c:v>0</c:v>
                </c:pt>
                <c:pt idx="5">
                  <c:v>0.11778290993071594</c:v>
                </c:pt>
                <c:pt idx="6">
                  <c:v>1.3856812933025405E-2</c:v>
                </c:pt>
                <c:pt idx="7">
                  <c:v>-4.5871559633027525E-3</c:v>
                </c:pt>
                <c:pt idx="8">
                  <c:v>-0.11056511056511056</c:v>
                </c:pt>
                <c:pt idx="9">
                  <c:v>-0.19958847736625515</c:v>
                </c:pt>
                <c:pt idx="10">
                  <c:v>-0.23699421965317918</c:v>
                </c:pt>
                <c:pt idx="11">
                  <c:v>0</c:v>
                </c:pt>
                <c:pt idx="12">
                  <c:v>-0.16735537190082644</c:v>
                </c:pt>
                <c:pt idx="13">
                  <c:v>-0.30068337129840544</c:v>
                </c:pt>
                <c:pt idx="14">
                  <c:v>-6.9124423963133647E-2</c:v>
                </c:pt>
                <c:pt idx="15">
                  <c:v>1.1049723756906077E-2</c:v>
                </c:pt>
                <c:pt idx="16">
                  <c:v>-0.29048843187660667</c:v>
                </c:pt>
                <c:pt idx="17">
                  <c:v>-0.46969696969696972</c:v>
                </c:pt>
                <c:pt idx="18">
                  <c:v>0</c:v>
                </c:pt>
                <c:pt idx="19">
                  <c:v>0.19851116625310175</c:v>
                </c:pt>
                <c:pt idx="20">
                  <c:v>0.29641693811074921</c:v>
                </c:pt>
                <c:pt idx="21">
                  <c:v>0.20544554455445543</c:v>
                </c:pt>
                <c:pt idx="22">
                  <c:v>2.4590163934426229E-2</c:v>
                </c:pt>
                <c:pt idx="23">
                  <c:v>0.38768115942028986</c:v>
                </c:pt>
                <c:pt idx="24">
                  <c:v>1.1000000000000001</c:v>
                </c:pt>
                <c:pt idx="25">
                  <c:v>0</c:v>
                </c:pt>
                <c:pt idx="26">
                  <c:v>8.2815734989648039E-3</c:v>
                </c:pt>
                <c:pt idx="27">
                  <c:v>5.5276381909547742E-2</c:v>
                </c:pt>
                <c:pt idx="28">
                  <c:v>-8.0082135523613956E-2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58-4F6E-9A2C-C82DCE3D2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945104"/>
        <c:axId val="2072429792"/>
      </c:barChart>
      <c:dateAx>
        <c:axId val="199794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429792"/>
        <c:crosses val="autoZero"/>
        <c:auto val="1"/>
        <c:lblOffset val="100"/>
        <c:baseTimeUnit val="days"/>
      </c:dateAx>
      <c:valAx>
        <c:axId val="207242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 of 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94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OECS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Monthly'!chart_AU_OECS</c:f>
              <c:numCache>
                <c:formatCode>0%</c:formatCode>
                <c:ptCount val="29"/>
                <c:pt idx="0">
                  <c:v>0.49</c:v>
                </c:pt>
                <c:pt idx="1">
                  <c:v>0.56000000000000005</c:v>
                </c:pt>
                <c:pt idx="2">
                  <c:v>0.56999999999999995</c:v>
                </c:pt>
                <c:pt idx="3">
                  <c:v>0.54</c:v>
                </c:pt>
                <c:pt idx="4">
                  <c:v>0</c:v>
                </c:pt>
                <c:pt idx="5">
                  <c:v>0.67</c:v>
                </c:pt>
                <c:pt idx="6">
                  <c:v>0.61</c:v>
                </c:pt>
                <c:pt idx="7">
                  <c:v>0.49</c:v>
                </c:pt>
                <c:pt idx="8">
                  <c:v>0.64</c:v>
                </c:pt>
                <c:pt idx="9">
                  <c:v>0.57999999999999996</c:v>
                </c:pt>
                <c:pt idx="10">
                  <c:v>0.39</c:v>
                </c:pt>
                <c:pt idx="11">
                  <c:v>0</c:v>
                </c:pt>
                <c:pt idx="12">
                  <c:v>0.59</c:v>
                </c:pt>
                <c:pt idx="13">
                  <c:v>0.56999999999999995</c:v>
                </c:pt>
                <c:pt idx="14">
                  <c:v>0.71</c:v>
                </c:pt>
                <c:pt idx="15">
                  <c:v>0.66</c:v>
                </c:pt>
                <c:pt idx="16">
                  <c:v>0.94</c:v>
                </c:pt>
                <c:pt idx="17">
                  <c:v>0.97</c:v>
                </c:pt>
                <c:pt idx="18">
                  <c:v>0</c:v>
                </c:pt>
                <c:pt idx="19">
                  <c:v>0.92</c:v>
                </c:pt>
                <c:pt idx="20">
                  <c:v>0.9</c:v>
                </c:pt>
                <c:pt idx="21">
                  <c:v>0.69</c:v>
                </c:pt>
                <c:pt idx="22">
                  <c:v>0.66</c:v>
                </c:pt>
                <c:pt idx="23">
                  <c:v>0.67</c:v>
                </c:pt>
                <c:pt idx="24">
                  <c:v>0.45</c:v>
                </c:pt>
                <c:pt idx="25">
                  <c:v>0</c:v>
                </c:pt>
                <c:pt idx="26">
                  <c:v>0.67</c:v>
                </c:pt>
                <c:pt idx="27">
                  <c:v>0.61</c:v>
                </c:pt>
                <c:pt idx="28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97-4792-82C3-EEC74512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6060608"/>
        <c:axId val="356071008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Monthly'!chart_SL_OECS</c:f>
              <c:numCache>
                <c:formatCode>0%</c:formatCode>
                <c:ptCount val="29"/>
                <c:pt idx="0">
                  <c:v>0.94</c:v>
                </c:pt>
                <c:pt idx="1">
                  <c:v>0.92</c:v>
                </c:pt>
                <c:pt idx="2">
                  <c:v>0.88</c:v>
                </c:pt>
                <c:pt idx="3">
                  <c:v>0.9</c:v>
                </c:pt>
                <c:pt idx="4">
                  <c:v>0</c:v>
                </c:pt>
                <c:pt idx="5">
                  <c:v>0.87</c:v>
                </c:pt>
                <c:pt idx="6">
                  <c:v>0.89</c:v>
                </c:pt>
                <c:pt idx="7">
                  <c:v>0.94</c:v>
                </c:pt>
                <c:pt idx="8">
                  <c:v>0.89</c:v>
                </c:pt>
                <c:pt idx="9">
                  <c:v>0.87</c:v>
                </c:pt>
                <c:pt idx="10">
                  <c:v>0.92</c:v>
                </c:pt>
                <c:pt idx="11">
                  <c:v>0</c:v>
                </c:pt>
                <c:pt idx="12">
                  <c:v>0.89</c:v>
                </c:pt>
                <c:pt idx="13">
                  <c:v>0.88</c:v>
                </c:pt>
                <c:pt idx="14">
                  <c:v>0.82</c:v>
                </c:pt>
                <c:pt idx="15">
                  <c:v>0.88</c:v>
                </c:pt>
                <c:pt idx="16">
                  <c:v>0.38</c:v>
                </c:pt>
                <c:pt idx="17">
                  <c:v>0.33</c:v>
                </c:pt>
                <c:pt idx="18">
                  <c:v>0</c:v>
                </c:pt>
                <c:pt idx="19">
                  <c:v>0.56999999999999995</c:v>
                </c:pt>
                <c:pt idx="20">
                  <c:v>0.55000000000000004</c:v>
                </c:pt>
                <c:pt idx="21">
                  <c:v>0.89</c:v>
                </c:pt>
                <c:pt idx="22">
                  <c:v>0.94</c:v>
                </c:pt>
                <c:pt idx="23">
                  <c:v>0.9</c:v>
                </c:pt>
                <c:pt idx="24">
                  <c:v>0.95</c:v>
                </c:pt>
                <c:pt idx="25">
                  <c:v>0</c:v>
                </c:pt>
                <c:pt idx="26">
                  <c:v>0.86</c:v>
                </c:pt>
                <c:pt idx="27">
                  <c:v>0.88</c:v>
                </c:pt>
                <c:pt idx="2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7-4792-82C3-EEC745129987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Monthly'!chart_ABR_OECS</c:f>
              <c:numCache>
                <c:formatCode>0%</c:formatCode>
                <c:ptCount val="29"/>
                <c:pt idx="0">
                  <c:v>0.03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  <c:pt idx="10">
                  <c:v>0.03</c:v>
                </c:pt>
                <c:pt idx="11">
                  <c:v>0</c:v>
                </c:pt>
                <c:pt idx="12">
                  <c:v>0.05</c:v>
                </c:pt>
                <c:pt idx="13">
                  <c:v>0.04</c:v>
                </c:pt>
                <c:pt idx="14">
                  <c:v>7.0000000000000007E-2</c:v>
                </c:pt>
                <c:pt idx="15">
                  <c:v>0.04</c:v>
                </c:pt>
                <c:pt idx="16">
                  <c:v>0.02</c:v>
                </c:pt>
                <c:pt idx="17">
                  <c:v>0.03</c:v>
                </c:pt>
                <c:pt idx="18">
                  <c:v>0</c:v>
                </c:pt>
                <c:pt idx="19">
                  <c:v>0.05</c:v>
                </c:pt>
                <c:pt idx="20">
                  <c:v>0.06</c:v>
                </c:pt>
                <c:pt idx="21">
                  <c:v>7.0000000000000007E-2</c:v>
                </c:pt>
                <c:pt idx="22">
                  <c:v>0.04</c:v>
                </c:pt>
                <c:pt idx="23">
                  <c:v>0.03</c:v>
                </c:pt>
                <c:pt idx="24">
                  <c:v>0.03</c:v>
                </c:pt>
                <c:pt idx="25">
                  <c:v>0</c:v>
                </c:pt>
                <c:pt idx="26">
                  <c:v>0.06</c:v>
                </c:pt>
                <c:pt idx="27">
                  <c:v>0.06</c:v>
                </c:pt>
                <c:pt idx="28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7-4792-82C3-EEC74512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060608"/>
        <c:axId val="356071008"/>
      </c:lineChart>
      <c:dateAx>
        <c:axId val="35606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71008"/>
        <c:crosses val="autoZero"/>
        <c:auto val="1"/>
        <c:lblOffset val="100"/>
        <c:baseTimeUnit val="days"/>
      </c:dateAx>
      <c:valAx>
        <c:axId val="3560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of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6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OECS</a:t>
            </a:r>
            <a:endParaRPr lang="en-JM">
              <a:effectLst/>
            </a:endParaRPr>
          </a:p>
        </c:rich>
      </c:tx>
      <c:layout>
        <c:manualLayout>
          <c:xMode val="edge"/>
          <c:yMode val="edge"/>
          <c:x val="0.1421526684164479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OECS!$T$7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OECS!$S$8:$S$59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OECS!$T$8:$T$59</c:f>
              <c:numCache>
                <c:formatCode>General</c:formatCode>
                <c:ptCount val="52"/>
                <c:pt idx="0">
                  <c:v>3463</c:v>
                </c:pt>
                <c:pt idx="1">
                  <c:v>2668</c:v>
                </c:pt>
                <c:pt idx="2">
                  <c:v>2697</c:v>
                </c:pt>
                <c:pt idx="3">
                  <c:v>3294</c:v>
                </c:pt>
                <c:pt idx="4">
                  <c:v>3343</c:v>
                </c:pt>
                <c:pt idx="5">
                  <c:v>3168</c:v>
                </c:pt>
                <c:pt idx="6">
                  <c:v>2975</c:v>
                </c:pt>
                <c:pt idx="7">
                  <c:v>2843</c:v>
                </c:pt>
                <c:pt idx="8">
                  <c:v>3030</c:v>
                </c:pt>
                <c:pt idx="9">
                  <c:v>2680</c:v>
                </c:pt>
                <c:pt idx="10">
                  <c:v>2604</c:v>
                </c:pt>
                <c:pt idx="11">
                  <c:v>2951</c:v>
                </c:pt>
                <c:pt idx="12">
                  <c:v>2689</c:v>
                </c:pt>
                <c:pt idx="13">
                  <c:v>2911</c:v>
                </c:pt>
                <c:pt idx="14">
                  <c:v>2759</c:v>
                </c:pt>
                <c:pt idx="15">
                  <c:v>2499</c:v>
                </c:pt>
                <c:pt idx="16">
                  <c:v>3143</c:v>
                </c:pt>
                <c:pt idx="17">
                  <c:v>2387</c:v>
                </c:pt>
                <c:pt idx="18">
                  <c:v>2927</c:v>
                </c:pt>
                <c:pt idx="19">
                  <c:v>2864</c:v>
                </c:pt>
                <c:pt idx="20">
                  <c:v>1970</c:v>
                </c:pt>
                <c:pt idx="21">
                  <c:v>2476</c:v>
                </c:pt>
                <c:pt idx="22">
                  <c:v>3244</c:v>
                </c:pt>
                <c:pt idx="23">
                  <c:v>2783</c:v>
                </c:pt>
                <c:pt idx="24">
                  <c:v>2753</c:v>
                </c:pt>
                <c:pt idx="25">
                  <c:v>2897</c:v>
                </c:pt>
                <c:pt idx="26">
                  <c:v>2897</c:v>
                </c:pt>
                <c:pt idx="27">
                  <c:v>2914</c:v>
                </c:pt>
                <c:pt idx="28">
                  <c:v>2628</c:v>
                </c:pt>
                <c:pt idx="29">
                  <c:v>2692</c:v>
                </c:pt>
                <c:pt idx="30">
                  <c:v>2955</c:v>
                </c:pt>
                <c:pt idx="31">
                  <c:v>3473</c:v>
                </c:pt>
                <c:pt idx="32">
                  <c:v>3495</c:v>
                </c:pt>
                <c:pt idx="33">
                  <c:v>4127</c:v>
                </c:pt>
                <c:pt idx="34">
                  <c:v>4539</c:v>
                </c:pt>
                <c:pt idx="35">
                  <c:v>3463</c:v>
                </c:pt>
                <c:pt idx="36">
                  <c:v>3542</c:v>
                </c:pt>
                <c:pt idx="37">
                  <c:v>3933</c:v>
                </c:pt>
                <c:pt idx="38">
                  <c:v>1877</c:v>
                </c:pt>
                <c:pt idx="39">
                  <c:v>2079</c:v>
                </c:pt>
                <c:pt idx="40">
                  <c:v>2627</c:v>
                </c:pt>
                <c:pt idx="41">
                  <c:v>2163</c:v>
                </c:pt>
                <c:pt idx="42">
                  <c:v>2291</c:v>
                </c:pt>
                <c:pt idx="43">
                  <c:v>2698</c:v>
                </c:pt>
                <c:pt idx="44">
                  <c:v>2253</c:v>
                </c:pt>
                <c:pt idx="45">
                  <c:v>1975</c:v>
                </c:pt>
                <c:pt idx="46">
                  <c:v>2125</c:v>
                </c:pt>
                <c:pt idx="47">
                  <c:v>2489</c:v>
                </c:pt>
                <c:pt idx="48">
                  <c:v>2340</c:v>
                </c:pt>
                <c:pt idx="49">
                  <c:v>1915</c:v>
                </c:pt>
                <c:pt idx="50">
                  <c:v>2387</c:v>
                </c:pt>
                <c:pt idx="51">
                  <c:v>2324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4-404E-B663-561AF4421C33}"/>
            </c:ext>
          </c:extLst>
        </c:ser>
        <c:ser>
          <c:idx val="1"/>
          <c:order val="1"/>
          <c:tx>
            <c:strRef>
              <c:f>OECS!$U$7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OECS!$S$8:$S$59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OECS!$U$8:$U$59</c:f>
              <c:numCache>
                <c:formatCode>General</c:formatCode>
                <c:ptCount val="52"/>
                <c:pt idx="0">
                  <c:v>3020</c:v>
                </c:pt>
                <c:pt idx="1">
                  <c:v>2427</c:v>
                </c:pt>
                <c:pt idx="2">
                  <c:v>2354</c:v>
                </c:pt>
                <c:pt idx="3">
                  <c:v>3059</c:v>
                </c:pt>
                <c:pt idx="4">
                  <c:v>2944</c:v>
                </c:pt>
                <c:pt idx="5">
                  <c:v>2970</c:v>
                </c:pt>
                <c:pt idx="6">
                  <c:v>2807</c:v>
                </c:pt>
                <c:pt idx="7">
                  <c:v>2673</c:v>
                </c:pt>
                <c:pt idx="8">
                  <c:v>2827</c:v>
                </c:pt>
                <c:pt idx="9">
                  <c:v>2468</c:v>
                </c:pt>
                <c:pt idx="10">
                  <c:v>2366</c:v>
                </c:pt>
                <c:pt idx="11">
                  <c:v>2538</c:v>
                </c:pt>
                <c:pt idx="12">
                  <c:v>2479</c:v>
                </c:pt>
                <c:pt idx="13">
                  <c:v>2692</c:v>
                </c:pt>
                <c:pt idx="14">
                  <c:v>2584</c:v>
                </c:pt>
                <c:pt idx="15">
                  <c:v>2344</c:v>
                </c:pt>
                <c:pt idx="16">
                  <c:v>2858</c:v>
                </c:pt>
                <c:pt idx="17">
                  <c:v>2166</c:v>
                </c:pt>
                <c:pt idx="18">
                  <c:v>2730</c:v>
                </c:pt>
                <c:pt idx="19">
                  <c:v>2634</c:v>
                </c:pt>
                <c:pt idx="20">
                  <c:v>1836</c:v>
                </c:pt>
                <c:pt idx="21">
                  <c:v>2229</c:v>
                </c:pt>
                <c:pt idx="22">
                  <c:v>2921</c:v>
                </c:pt>
                <c:pt idx="23">
                  <c:v>2582</c:v>
                </c:pt>
                <c:pt idx="24">
                  <c:v>2530</c:v>
                </c:pt>
                <c:pt idx="25">
                  <c:v>2657</c:v>
                </c:pt>
                <c:pt idx="26">
                  <c:v>2719</c:v>
                </c:pt>
                <c:pt idx="27">
                  <c:v>2714</c:v>
                </c:pt>
                <c:pt idx="28">
                  <c:v>2433</c:v>
                </c:pt>
                <c:pt idx="29">
                  <c:v>2516</c:v>
                </c:pt>
                <c:pt idx="30">
                  <c:v>2763</c:v>
                </c:pt>
                <c:pt idx="31">
                  <c:v>3328</c:v>
                </c:pt>
                <c:pt idx="32">
                  <c:v>3312</c:v>
                </c:pt>
                <c:pt idx="33">
                  <c:v>3930</c:v>
                </c:pt>
                <c:pt idx="34">
                  <c:v>4283</c:v>
                </c:pt>
                <c:pt idx="35">
                  <c:v>3304</c:v>
                </c:pt>
                <c:pt idx="36">
                  <c:v>3302</c:v>
                </c:pt>
                <c:pt idx="37">
                  <c:v>3662</c:v>
                </c:pt>
                <c:pt idx="38">
                  <c:v>1822</c:v>
                </c:pt>
                <c:pt idx="39">
                  <c:v>2022</c:v>
                </c:pt>
                <c:pt idx="40">
                  <c:v>2504</c:v>
                </c:pt>
                <c:pt idx="41">
                  <c:v>2077</c:v>
                </c:pt>
                <c:pt idx="42">
                  <c:v>2198</c:v>
                </c:pt>
                <c:pt idx="43">
                  <c:v>2549</c:v>
                </c:pt>
                <c:pt idx="44">
                  <c:v>2167</c:v>
                </c:pt>
                <c:pt idx="45">
                  <c:v>1905</c:v>
                </c:pt>
                <c:pt idx="46">
                  <c:v>2052</c:v>
                </c:pt>
                <c:pt idx="47">
                  <c:v>2368</c:v>
                </c:pt>
                <c:pt idx="48">
                  <c:v>2240</c:v>
                </c:pt>
                <c:pt idx="49">
                  <c:v>1826</c:v>
                </c:pt>
                <c:pt idx="50">
                  <c:v>2273</c:v>
                </c:pt>
                <c:pt idx="51">
                  <c:v>2206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4-404E-B663-561AF4421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346815"/>
        <c:axId val="1438341823"/>
      </c:lineChart>
      <c:dateAx>
        <c:axId val="143834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</a:t>
                </a:r>
                <a:r>
                  <a:rPr lang="en-JM" sz="1400" baseline="0"/>
                  <a:t> Of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41823"/>
        <c:crosses val="autoZero"/>
        <c:auto val="1"/>
        <c:lblOffset val="100"/>
        <c:baseTimeUnit val="days"/>
      </c:dateAx>
      <c:valAx>
        <c:axId val="143834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4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vs. Agents Logged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OECS_SL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'Live Chat KPIs - Monthly'!chart_SL_OECS</c:f>
              <c:numCache>
                <c:formatCode>0%</c:formatCode>
                <c:ptCount val="29"/>
                <c:pt idx="0">
                  <c:v>0.94</c:v>
                </c:pt>
                <c:pt idx="1">
                  <c:v>0.92</c:v>
                </c:pt>
                <c:pt idx="2">
                  <c:v>0.88</c:v>
                </c:pt>
                <c:pt idx="3">
                  <c:v>0.9</c:v>
                </c:pt>
                <c:pt idx="4">
                  <c:v>0</c:v>
                </c:pt>
                <c:pt idx="5">
                  <c:v>0.87</c:v>
                </c:pt>
                <c:pt idx="6">
                  <c:v>0.89</c:v>
                </c:pt>
                <c:pt idx="7">
                  <c:v>0.94</c:v>
                </c:pt>
                <c:pt idx="8">
                  <c:v>0.89</c:v>
                </c:pt>
                <c:pt idx="9">
                  <c:v>0.87</c:v>
                </c:pt>
                <c:pt idx="10">
                  <c:v>0.92</c:v>
                </c:pt>
                <c:pt idx="11">
                  <c:v>0</c:v>
                </c:pt>
                <c:pt idx="12">
                  <c:v>0.89</c:v>
                </c:pt>
                <c:pt idx="13">
                  <c:v>0.88</c:v>
                </c:pt>
                <c:pt idx="14">
                  <c:v>0.82</c:v>
                </c:pt>
                <c:pt idx="15">
                  <c:v>0.88</c:v>
                </c:pt>
                <c:pt idx="16">
                  <c:v>0.38</c:v>
                </c:pt>
                <c:pt idx="17">
                  <c:v>0.33</c:v>
                </c:pt>
                <c:pt idx="18">
                  <c:v>0</c:v>
                </c:pt>
                <c:pt idx="19">
                  <c:v>0.56999999999999995</c:v>
                </c:pt>
                <c:pt idx="20">
                  <c:v>0.55000000000000004</c:v>
                </c:pt>
                <c:pt idx="21">
                  <c:v>0.89</c:v>
                </c:pt>
                <c:pt idx="22">
                  <c:v>0.94</c:v>
                </c:pt>
                <c:pt idx="23">
                  <c:v>0.9</c:v>
                </c:pt>
                <c:pt idx="24">
                  <c:v>0.95</c:v>
                </c:pt>
                <c:pt idx="25">
                  <c:v>0</c:v>
                </c:pt>
                <c:pt idx="26">
                  <c:v>0.86</c:v>
                </c:pt>
                <c:pt idx="27">
                  <c:v>0.88</c:v>
                </c:pt>
                <c:pt idx="28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5-423B-B00B-DDFF6F196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1898127"/>
        <c:axId val="1501912687"/>
      </c:barChart>
      <c:lineChart>
        <c:grouping val="standard"/>
        <c:varyColors val="0"/>
        <c:ser>
          <c:idx val="1"/>
          <c:order val="1"/>
          <c:tx>
            <c:v>OECS_WFM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Monthly'!chart_period_OECS</c:f>
              <c:numCache>
                <c:formatCode>d\-mmm</c:formatCode>
                <c:ptCount val="29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</c:numCache>
            </c:numRef>
          </c:cat>
          <c:val>
            <c:numRef>
              <c:f>[0]!period_OECS_WF</c:f>
              <c:numCache>
                <c:formatCode>0%</c:formatCode>
                <c:ptCount val="365"/>
                <c:pt idx="150" formatCode="0">
                  <c:v>4</c:v>
                </c:pt>
                <c:pt idx="151" formatCode="0">
                  <c:v>0</c:v>
                </c:pt>
                <c:pt idx="152" formatCode="0">
                  <c:v>4</c:v>
                </c:pt>
                <c:pt idx="153" formatCode="0">
                  <c:v>5</c:v>
                </c:pt>
                <c:pt idx="154" formatCode="0">
                  <c:v>5</c:v>
                </c:pt>
                <c:pt idx="155" formatCode="0">
                  <c:v>5</c:v>
                </c:pt>
                <c:pt idx="156" formatCode="0">
                  <c:v>0</c:v>
                </c:pt>
                <c:pt idx="157" formatCode="0">
                  <c:v>5</c:v>
                </c:pt>
                <c:pt idx="158" formatCode="0">
                  <c:v>5</c:v>
                </c:pt>
                <c:pt idx="159" formatCode="0">
                  <c:v>5</c:v>
                </c:pt>
                <c:pt idx="160" formatCode="0">
                  <c:v>5</c:v>
                </c:pt>
                <c:pt idx="161" formatCode="0">
                  <c:v>5</c:v>
                </c:pt>
                <c:pt idx="162" formatCode="0">
                  <c:v>3</c:v>
                </c:pt>
                <c:pt idx="163" formatCode="0">
                  <c:v>0</c:v>
                </c:pt>
                <c:pt idx="164" formatCode="General">
                  <c:v>5</c:v>
                </c:pt>
                <c:pt idx="165" formatCode="General">
                  <c:v>5</c:v>
                </c:pt>
                <c:pt idx="166" formatCode="General">
                  <c:v>4</c:v>
                </c:pt>
                <c:pt idx="167" formatCode="General">
                  <c:v>5</c:v>
                </c:pt>
                <c:pt idx="168" formatCode="General">
                  <c:v>5</c:v>
                </c:pt>
                <c:pt idx="169" formatCode="General">
                  <c:v>3</c:v>
                </c:pt>
                <c:pt idx="170" formatCode="General">
                  <c:v>0</c:v>
                </c:pt>
                <c:pt idx="171" formatCode="General">
                  <c:v>5</c:v>
                </c:pt>
                <c:pt idx="172" formatCode="General">
                  <c:v>5</c:v>
                </c:pt>
                <c:pt idx="173" formatCode="General">
                  <c:v>5</c:v>
                </c:pt>
                <c:pt idx="174" formatCode="General">
                  <c:v>5</c:v>
                </c:pt>
                <c:pt idx="175" formatCode="General">
                  <c:v>5</c:v>
                </c:pt>
                <c:pt idx="176" formatCode="General">
                  <c:v>4</c:v>
                </c:pt>
                <c:pt idx="177" formatCode="General">
                  <c:v>0</c:v>
                </c:pt>
                <c:pt idx="178" formatCode="0">
                  <c:v>5</c:v>
                </c:pt>
                <c:pt idx="179" formatCode="0">
                  <c:v>5</c:v>
                </c:pt>
                <c:pt idx="180" formatCode="0">
                  <c:v>5</c:v>
                </c:pt>
                <c:pt idx="181" formatCode="0">
                  <c:v>5</c:v>
                </c:pt>
                <c:pt idx="182" formatCode="0">
                  <c:v>4</c:v>
                </c:pt>
                <c:pt idx="183" formatCode="0">
                  <c:v>4</c:v>
                </c:pt>
                <c:pt idx="184" formatCode="General">
                  <c:v>0</c:v>
                </c:pt>
                <c:pt idx="185" formatCode="0">
                  <c:v>5</c:v>
                </c:pt>
                <c:pt idx="186" formatCode="0">
                  <c:v>5</c:v>
                </c:pt>
                <c:pt idx="187" formatCode="0">
                  <c:v>5</c:v>
                </c:pt>
                <c:pt idx="188" formatCode="0">
                  <c:v>5</c:v>
                </c:pt>
                <c:pt idx="189" formatCode="0">
                  <c:v>5</c:v>
                </c:pt>
                <c:pt idx="190" formatCode="0">
                  <c:v>4</c:v>
                </c:pt>
                <c:pt idx="191" formatCode="General">
                  <c:v>0</c:v>
                </c:pt>
                <c:pt idx="192" formatCode="0">
                  <c:v>6</c:v>
                </c:pt>
                <c:pt idx="193" formatCode="General">
                  <c:v>6</c:v>
                </c:pt>
                <c:pt idx="194" formatCode="0">
                  <c:v>6</c:v>
                </c:pt>
                <c:pt idx="195" formatCode="General">
                  <c:v>6</c:v>
                </c:pt>
                <c:pt idx="196" formatCode="0">
                  <c:v>6</c:v>
                </c:pt>
                <c:pt idx="197" formatCode="General">
                  <c:v>4</c:v>
                </c:pt>
                <c:pt idx="198" formatCode="General">
                  <c:v>0</c:v>
                </c:pt>
                <c:pt idx="199" formatCode="General">
                  <c:v>6</c:v>
                </c:pt>
                <c:pt idx="200" formatCode="General">
                  <c:v>5</c:v>
                </c:pt>
                <c:pt idx="201" formatCode="General">
                  <c:v>6</c:v>
                </c:pt>
                <c:pt idx="202" formatCode="General">
                  <c:v>6</c:v>
                </c:pt>
                <c:pt idx="203" formatCode="General">
                  <c:v>5</c:v>
                </c:pt>
                <c:pt idx="204" formatCode="General">
                  <c:v>4</c:v>
                </c:pt>
                <c:pt idx="205" formatCode="General">
                  <c:v>0</c:v>
                </c:pt>
                <c:pt idx="206" formatCode="General">
                  <c:v>5</c:v>
                </c:pt>
                <c:pt idx="207" formatCode="General">
                  <c:v>5</c:v>
                </c:pt>
                <c:pt idx="208" formatCode="General">
                  <c:v>5</c:v>
                </c:pt>
                <c:pt idx="209" formatCode="General">
                  <c:v>4</c:v>
                </c:pt>
                <c:pt idx="210" formatCode="General">
                  <c:v>4</c:v>
                </c:pt>
                <c:pt idx="211" formatCode="General">
                  <c:v>3</c:v>
                </c:pt>
                <c:pt idx="212" formatCode="General">
                  <c:v>0</c:v>
                </c:pt>
                <c:pt idx="213" formatCode="General">
                  <c:v>4.5</c:v>
                </c:pt>
                <c:pt idx="214" formatCode="General">
                  <c:v>5</c:v>
                </c:pt>
                <c:pt idx="215" formatCode="General">
                  <c:v>5</c:v>
                </c:pt>
                <c:pt idx="216" formatCode="General">
                  <c:v>5</c:v>
                </c:pt>
                <c:pt idx="217" formatCode="General">
                  <c:v>5</c:v>
                </c:pt>
                <c:pt idx="218" formatCode="General">
                  <c:v>4</c:v>
                </c:pt>
                <c:pt idx="219" formatCode="General">
                  <c:v>0</c:v>
                </c:pt>
                <c:pt idx="220" formatCode="General">
                  <c:v>7</c:v>
                </c:pt>
                <c:pt idx="221" formatCode="General">
                  <c:v>7</c:v>
                </c:pt>
                <c:pt idx="222" formatCode="General">
                  <c:v>7</c:v>
                </c:pt>
                <c:pt idx="223" formatCode="General">
                  <c:v>7</c:v>
                </c:pt>
                <c:pt idx="224" formatCode="General">
                  <c:v>7</c:v>
                </c:pt>
                <c:pt idx="225" formatCode="General">
                  <c:v>4</c:v>
                </c:pt>
                <c:pt idx="226" formatCode="General">
                  <c:v>2</c:v>
                </c:pt>
                <c:pt idx="227" formatCode="General">
                  <c:v>7</c:v>
                </c:pt>
                <c:pt idx="228" formatCode="General">
                  <c:v>7</c:v>
                </c:pt>
                <c:pt idx="229" formatCode="General">
                  <c:v>7</c:v>
                </c:pt>
                <c:pt idx="230" formatCode="General">
                  <c:v>7</c:v>
                </c:pt>
                <c:pt idx="231" formatCode="General">
                  <c:v>7</c:v>
                </c:pt>
                <c:pt idx="232" formatCode="General">
                  <c:v>4</c:v>
                </c:pt>
                <c:pt idx="233" formatCode="General">
                  <c:v>2</c:v>
                </c:pt>
                <c:pt idx="234" formatCode="General">
                  <c:v>7</c:v>
                </c:pt>
                <c:pt idx="235" formatCode="General">
                  <c:v>6</c:v>
                </c:pt>
                <c:pt idx="236" formatCode="General">
                  <c:v>6</c:v>
                </c:pt>
                <c:pt idx="237" formatCode="General">
                  <c:v>6</c:v>
                </c:pt>
                <c:pt idx="238" formatCode="General">
                  <c:v>8</c:v>
                </c:pt>
                <c:pt idx="239" formatCode="General">
                  <c:v>7</c:v>
                </c:pt>
                <c:pt idx="240" formatCode="General">
                  <c:v>6</c:v>
                </c:pt>
                <c:pt idx="241" formatCode="General">
                  <c:v>7</c:v>
                </c:pt>
                <c:pt idx="242" formatCode="General">
                  <c:v>7</c:v>
                </c:pt>
                <c:pt idx="243" formatCode="General">
                  <c:v>7</c:v>
                </c:pt>
                <c:pt idx="244" formatCode="General">
                  <c:v>7</c:v>
                </c:pt>
                <c:pt idx="245" formatCode="General">
                  <c:v>7</c:v>
                </c:pt>
                <c:pt idx="246" formatCode="General">
                  <c:v>4</c:v>
                </c:pt>
                <c:pt idx="247" formatCode="General">
                  <c:v>3</c:v>
                </c:pt>
                <c:pt idx="248" formatCode="General">
                  <c:v>6</c:v>
                </c:pt>
                <c:pt idx="249" formatCode="General">
                  <c:v>6</c:v>
                </c:pt>
                <c:pt idx="250" formatCode="0">
                  <c:v>6</c:v>
                </c:pt>
                <c:pt idx="251" formatCode="General">
                  <c:v>6</c:v>
                </c:pt>
                <c:pt idx="252" formatCode="General">
                  <c:v>5</c:v>
                </c:pt>
                <c:pt idx="253" formatCode="General">
                  <c:v>4</c:v>
                </c:pt>
                <c:pt idx="254" formatCode="General">
                  <c:v>6</c:v>
                </c:pt>
                <c:pt idx="255" formatCode="General">
                  <c:v>6</c:v>
                </c:pt>
                <c:pt idx="256" formatCode="General">
                  <c:v>4</c:v>
                </c:pt>
                <c:pt idx="257" formatCode="General">
                  <c:v>6</c:v>
                </c:pt>
                <c:pt idx="258" formatCode="General">
                  <c:v>5</c:v>
                </c:pt>
                <c:pt idx="259" formatCode="General">
                  <c:v>5</c:v>
                </c:pt>
                <c:pt idx="260" formatCode="General">
                  <c:v>5</c:v>
                </c:pt>
                <c:pt idx="261" formatCode="General">
                  <c:v>4</c:v>
                </c:pt>
                <c:pt idx="262" formatCode="General">
                  <c:v>5</c:v>
                </c:pt>
                <c:pt idx="263" formatCode="General">
                  <c:v>6</c:v>
                </c:pt>
                <c:pt idx="264" formatCode="General">
                  <c:v>6</c:v>
                </c:pt>
                <c:pt idx="265" formatCode="General">
                  <c:v>6</c:v>
                </c:pt>
                <c:pt idx="266" formatCode="General">
                  <c:v>6</c:v>
                </c:pt>
                <c:pt idx="267" formatCode="General">
                  <c:v>6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6</c:v>
                </c:pt>
                <c:pt idx="272" formatCode="General">
                  <c:v>6</c:v>
                </c:pt>
                <c:pt idx="273" formatCode="General">
                  <c:v>7</c:v>
                </c:pt>
                <c:pt idx="274" formatCode="General">
                  <c:v>5</c:v>
                </c:pt>
                <c:pt idx="275" formatCode="General">
                  <c:v>0</c:v>
                </c:pt>
                <c:pt idx="276" formatCode="General">
                  <c:v>0</c:v>
                </c:pt>
                <c:pt idx="277" formatCode="General">
                  <c:v>5</c:v>
                </c:pt>
                <c:pt idx="278" formatCode="General">
                  <c:v>6</c:v>
                </c:pt>
                <c:pt idx="279" formatCode="General">
                  <c:v>6</c:v>
                </c:pt>
                <c:pt idx="280" formatCode="General">
                  <c:v>6</c:v>
                </c:pt>
                <c:pt idx="281" formatCode="General">
                  <c:v>4</c:v>
                </c:pt>
                <c:pt idx="282" formatCode="General">
                  <c:v>0</c:v>
                </c:pt>
                <c:pt idx="283" formatCode="General">
                  <c:v>5</c:v>
                </c:pt>
                <c:pt idx="284" formatCode="General">
                  <c:v>5</c:v>
                </c:pt>
                <c:pt idx="285" formatCode="General">
                  <c:v>5</c:v>
                </c:pt>
                <c:pt idx="286" formatCode="General">
                  <c:v>5</c:v>
                </c:pt>
                <c:pt idx="287" formatCode="General">
                  <c:v>5</c:v>
                </c:pt>
                <c:pt idx="288" formatCode="General">
                  <c:v>4</c:v>
                </c:pt>
                <c:pt idx="289" formatCode="General">
                  <c:v>0</c:v>
                </c:pt>
                <c:pt idx="290" formatCode="General">
                  <c:v>5</c:v>
                </c:pt>
                <c:pt idx="291" formatCode="General">
                  <c:v>5</c:v>
                </c:pt>
                <c:pt idx="292" formatCode="General">
                  <c:v>5</c:v>
                </c:pt>
                <c:pt idx="293" formatCode="General">
                  <c:v>5</c:v>
                </c:pt>
                <c:pt idx="294" formatCode="General">
                  <c:v>5</c:v>
                </c:pt>
                <c:pt idx="295" formatCode="General">
                  <c:v>3</c:v>
                </c:pt>
                <c:pt idx="296" formatCode="General">
                  <c:v>0</c:v>
                </c:pt>
                <c:pt idx="297" formatCode="General">
                  <c:v>5</c:v>
                </c:pt>
                <c:pt idx="298" formatCode="General">
                  <c:v>5</c:v>
                </c:pt>
                <c:pt idx="299" formatCode="General">
                  <c:v>5</c:v>
                </c:pt>
                <c:pt idx="300" formatCode="General">
                  <c:v>5</c:v>
                </c:pt>
                <c:pt idx="301" formatCode="General">
                  <c:v>5</c:v>
                </c:pt>
                <c:pt idx="302" formatCode="General">
                  <c:v>4</c:v>
                </c:pt>
                <c:pt idx="303" formatCode="General">
                  <c:v>0</c:v>
                </c:pt>
                <c:pt idx="304" formatCode="General">
                  <c:v>5</c:v>
                </c:pt>
                <c:pt idx="305" formatCode="General">
                  <c:v>5</c:v>
                </c:pt>
                <c:pt idx="306" formatCode="General">
                  <c:v>5</c:v>
                </c:pt>
                <c:pt idx="307" formatCode="General">
                  <c:v>4</c:v>
                </c:pt>
                <c:pt idx="308" formatCode="General">
                  <c:v>5</c:v>
                </c:pt>
                <c:pt idx="309" formatCode="General">
                  <c:v>3</c:v>
                </c:pt>
                <c:pt idx="310" formatCode="General">
                  <c:v>0</c:v>
                </c:pt>
                <c:pt idx="311" formatCode="General">
                  <c:v>5</c:v>
                </c:pt>
                <c:pt idx="312" formatCode="General">
                  <c:v>5</c:v>
                </c:pt>
                <c:pt idx="313" formatCode="General">
                  <c:v>5</c:v>
                </c:pt>
                <c:pt idx="314" formatCode="General">
                  <c:v>5</c:v>
                </c:pt>
                <c:pt idx="315" formatCode="General">
                  <c:v>5</c:v>
                </c:pt>
                <c:pt idx="316" formatCode="General">
                  <c:v>3</c:v>
                </c:pt>
                <c:pt idx="317" formatCode="General">
                  <c:v>0</c:v>
                </c:pt>
                <c:pt idx="318" formatCode="General">
                  <c:v>5</c:v>
                </c:pt>
                <c:pt idx="319" formatCode="General">
                  <c:v>5</c:v>
                </c:pt>
                <c:pt idx="320" formatCode="General">
                  <c:v>5</c:v>
                </c:pt>
                <c:pt idx="321" formatCode="General">
                  <c:v>5</c:v>
                </c:pt>
                <c:pt idx="322" formatCode="General">
                  <c:v>5</c:v>
                </c:pt>
                <c:pt idx="323" formatCode="General">
                  <c:v>3</c:v>
                </c:pt>
                <c:pt idx="324" formatCode="General">
                  <c:v>0</c:v>
                </c:pt>
                <c:pt idx="325" formatCode="General">
                  <c:v>5</c:v>
                </c:pt>
                <c:pt idx="326" formatCode="General">
                  <c:v>5</c:v>
                </c:pt>
                <c:pt idx="327" formatCode="General">
                  <c:v>4</c:v>
                </c:pt>
                <c:pt idx="328" formatCode="General">
                  <c:v>5</c:v>
                </c:pt>
                <c:pt idx="329" formatCode="General">
                  <c:v>5</c:v>
                </c:pt>
                <c:pt idx="330" formatCode="General">
                  <c:v>4</c:v>
                </c:pt>
                <c:pt idx="331" formatCode="General">
                  <c:v>0</c:v>
                </c:pt>
                <c:pt idx="332" formatCode="General">
                  <c:v>5</c:v>
                </c:pt>
                <c:pt idx="333" formatCode="General">
                  <c:v>5</c:v>
                </c:pt>
                <c:pt idx="334" formatCode="General">
                  <c:v>5</c:v>
                </c:pt>
                <c:pt idx="335" formatCode="General">
                  <c:v>5</c:v>
                </c:pt>
                <c:pt idx="336" formatCode="General">
                  <c:v>5</c:v>
                </c:pt>
                <c:pt idx="337" formatCode="General">
                  <c:v>3</c:v>
                </c:pt>
                <c:pt idx="338" formatCode="General">
                  <c:v>0</c:v>
                </c:pt>
                <c:pt idx="339" formatCode="General">
                  <c:v>5</c:v>
                </c:pt>
                <c:pt idx="340" formatCode="General">
                  <c:v>5</c:v>
                </c:pt>
                <c:pt idx="341" formatCode="General">
                  <c:v>5</c:v>
                </c:pt>
                <c:pt idx="342" formatCode="General">
                  <c:v>5</c:v>
                </c:pt>
                <c:pt idx="343" formatCode="General">
                  <c:v>4</c:v>
                </c:pt>
                <c:pt idx="344" formatCode="General">
                  <c:v>3</c:v>
                </c:pt>
                <c:pt idx="345" formatCode="General">
                  <c:v>0</c:v>
                </c:pt>
                <c:pt idx="346" formatCode="General">
                  <c:v>4</c:v>
                </c:pt>
                <c:pt idx="347" formatCode="General">
                  <c:v>4</c:v>
                </c:pt>
                <c:pt idx="348" formatCode="General">
                  <c:v>4</c:v>
                </c:pt>
                <c:pt idx="349" formatCode="General">
                  <c:v>4</c:v>
                </c:pt>
                <c:pt idx="350" formatCode="General">
                  <c:v>3</c:v>
                </c:pt>
                <c:pt idx="351" formatCode="General">
                  <c:v>2</c:v>
                </c:pt>
                <c:pt idx="352" formatCode="General">
                  <c:v>0</c:v>
                </c:pt>
                <c:pt idx="353" formatCode="General">
                  <c:v>5</c:v>
                </c:pt>
                <c:pt idx="354" formatCode="General">
                  <c:v>5</c:v>
                </c:pt>
                <c:pt idx="355" formatCode="General">
                  <c:v>5</c:v>
                </c:pt>
                <c:pt idx="356" formatCode="0">
                  <c:v>4</c:v>
                </c:pt>
                <c:pt idx="357" formatCode="General">
                  <c:v>4</c:v>
                </c:pt>
                <c:pt idx="358" formatCode="General">
                  <c:v>4</c:v>
                </c:pt>
                <c:pt idx="359" formatCode="General">
                  <c:v>0</c:v>
                </c:pt>
                <c:pt idx="360" formatCode="General">
                  <c:v>5</c:v>
                </c:pt>
                <c:pt idx="361" formatCode="General">
                  <c:v>5</c:v>
                </c:pt>
                <c:pt idx="362" formatCode="General">
                  <c:v>5</c:v>
                </c:pt>
                <c:pt idx="363" formatCode="General">
                  <c:v>4</c:v>
                </c:pt>
                <c:pt idx="364" formatCode="General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08-431D-958F-165B02B9B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84959"/>
        <c:axId val="538385791"/>
      </c:lineChart>
      <c:dateAx>
        <c:axId val="150189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12687"/>
        <c:crosses val="autoZero"/>
        <c:auto val="1"/>
        <c:lblOffset val="100"/>
        <c:baseTimeUnit val="days"/>
      </c:dateAx>
      <c:valAx>
        <c:axId val="150191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 Level Achieved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898127"/>
        <c:crosses val="autoZero"/>
        <c:crossBetween val="between"/>
      </c:valAx>
      <c:valAx>
        <c:axId val="5383857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84959"/>
        <c:crosses val="max"/>
        <c:crossBetween val="between"/>
      </c:valAx>
      <c:dateAx>
        <c:axId val="5383849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538385791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OECS!$AL$136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OECS!$AM$136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F-4BAC-884B-B3ABE3134E68}"/>
            </c:ext>
          </c:extLst>
        </c:ser>
        <c:ser>
          <c:idx val="1"/>
          <c:order val="1"/>
          <c:tx>
            <c:strRef>
              <c:f>OECS!$AL$137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OECS!$AM$137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F-4BAC-884B-B3ABE3134E68}"/>
            </c:ext>
          </c:extLst>
        </c:ser>
        <c:ser>
          <c:idx val="2"/>
          <c:order val="2"/>
          <c:tx>
            <c:strRef>
              <c:f>OECS!$AL$138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OECS!$AM$138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F-4BAC-884B-B3ABE3134E68}"/>
            </c:ext>
          </c:extLst>
        </c:ser>
        <c:ser>
          <c:idx val="3"/>
          <c:order val="3"/>
          <c:tx>
            <c:strRef>
              <c:f>OECS!$AL$139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OECS!$AM$139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6F-4BAC-884B-B3ABE3134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29717263"/>
        <c:axId val="229704783"/>
      </c:barChart>
      <c:lineChart>
        <c:grouping val="standard"/>
        <c:varyColors val="0"/>
        <c:ser>
          <c:idx val="4"/>
          <c:order val="4"/>
          <c:tx>
            <c:strRef>
              <c:f>OECS!$AL$140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4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9.8701298701298748E-2"/>
                  <c:y val="-8.2925175645047547E-2"/>
                </c:manualLayout>
              </c:layout>
              <c:numFmt formatCode="[mm]:ss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8342857142857143"/>
                      <c:h val="0.1564296534692254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C16F-4BAC-884B-B3ABE3134E68}"/>
                </c:ext>
              </c:extLst>
            </c:dLbl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OECS!$AM$140</c:f>
              <c:numCache>
                <c:formatCode>[mm]:ss</c:formatCode>
                <c:ptCount val="1"/>
                <c:pt idx="0">
                  <c:v>2.0643518518518519E-3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6F-4BAC-884B-B3ABE3134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717263"/>
        <c:axId val="229704783"/>
      </c:lineChart>
      <c:catAx>
        <c:axId val="229717263"/>
        <c:scaling>
          <c:orientation val="minMax"/>
        </c:scaling>
        <c:delete val="1"/>
        <c:axPos val="b"/>
        <c:majorTickMark val="none"/>
        <c:minorTickMark val="none"/>
        <c:tickLblPos val="nextTo"/>
        <c:crossAx val="229704783"/>
        <c:crosses val="autoZero"/>
        <c:auto val="1"/>
        <c:lblAlgn val="ctr"/>
        <c:lblOffset val="100"/>
        <c:noMultiLvlLbl val="0"/>
      </c:catAx>
      <c:valAx>
        <c:axId val="229704783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1726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GUY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Monthly'!chart_calls_off_GUY</c:f>
              <c:numCache>
                <c:formatCode>General</c:formatCode>
                <c:ptCount val="31"/>
                <c:pt idx="0">
                  <c:v>213</c:v>
                </c:pt>
                <c:pt idx="1">
                  <c:v>232</c:v>
                </c:pt>
                <c:pt idx="2">
                  <c:v>208</c:v>
                </c:pt>
                <c:pt idx="3">
                  <c:v>140</c:v>
                </c:pt>
                <c:pt idx="4">
                  <c:v>0</c:v>
                </c:pt>
                <c:pt idx="5">
                  <c:v>249</c:v>
                </c:pt>
                <c:pt idx="6">
                  <c:v>0</c:v>
                </c:pt>
                <c:pt idx="7">
                  <c:v>241</c:v>
                </c:pt>
                <c:pt idx="8">
                  <c:v>255</c:v>
                </c:pt>
                <c:pt idx="9">
                  <c:v>189</c:v>
                </c:pt>
                <c:pt idx="10">
                  <c:v>193</c:v>
                </c:pt>
                <c:pt idx="11">
                  <c:v>0</c:v>
                </c:pt>
                <c:pt idx="12">
                  <c:v>304</c:v>
                </c:pt>
                <c:pt idx="13">
                  <c:v>200</c:v>
                </c:pt>
                <c:pt idx="14">
                  <c:v>206</c:v>
                </c:pt>
                <c:pt idx="15">
                  <c:v>178</c:v>
                </c:pt>
                <c:pt idx="16">
                  <c:v>180</c:v>
                </c:pt>
                <c:pt idx="17">
                  <c:v>117</c:v>
                </c:pt>
                <c:pt idx="18">
                  <c:v>0</c:v>
                </c:pt>
                <c:pt idx="19">
                  <c:v>227</c:v>
                </c:pt>
                <c:pt idx="20">
                  <c:v>192</c:v>
                </c:pt>
                <c:pt idx="21">
                  <c:v>180</c:v>
                </c:pt>
                <c:pt idx="22">
                  <c:v>213</c:v>
                </c:pt>
                <c:pt idx="23">
                  <c:v>219</c:v>
                </c:pt>
                <c:pt idx="24">
                  <c:v>140</c:v>
                </c:pt>
                <c:pt idx="25">
                  <c:v>0</c:v>
                </c:pt>
                <c:pt idx="26">
                  <c:v>261</c:v>
                </c:pt>
                <c:pt idx="27">
                  <c:v>267</c:v>
                </c:pt>
                <c:pt idx="28">
                  <c:v>211</c:v>
                </c:pt>
                <c:pt idx="29">
                  <c:v>230</c:v>
                </c:pt>
                <c:pt idx="30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1-4E0D-8B41-CAA28E17FCE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Monthly'!chart_calls_ans_GUY</c:f>
              <c:numCache>
                <c:formatCode>General</c:formatCode>
                <c:ptCount val="31"/>
                <c:pt idx="0">
                  <c:v>210</c:v>
                </c:pt>
                <c:pt idx="1">
                  <c:v>221</c:v>
                </c:pt>
                <c:pt idx="2">
                  <c:v>204</c:v>
                </c:pt>
                <c:pt idx="3">
                  <c:v>133</c:v>
                </c:pt>
                <c:pt idx="4">
                  <c:v>0</c:v>
                </c:pt>
                <c:pt idx="5">
                  <c:v>243</c:v>
                </c:pt>
                <c:pt idx="6">
                  <c:v>0</c:v>
                </c:pt>
                <c:pt idx="7">
                  <c:v>229</c:v>
                </c:pt>
                <c:pt idx="8">
                  <c:v>251</c:v>
                </c:pt>
                <c:pt idx="9">
                  <c:v>181</c:v>
                </c:pt>
                <c:pt idx="10">
                  <c:v>192</c:v>
                </c:pt>
                <c:pt idx="11">
                  <c:v>0</c:v>
                </c:pt>
                <c:pt idx="12">
                  <c:v>289</c:v>
                </c:pt>
                <c:pt idx="13">
                  <c:v>195</c:v>
                </c:pt>
                <c:pt idx="14">
                  <c:v>191</c:v>
                </c:pt>
                <c:pt idx="15">
                  <c:v>169</c:v>
                </c:pt>
                <c:pt idx="16">
                  <c:v>175</c:v>
                </c:pt>
                <c:pt idx="17">
                  <c:v>116</c:v>
                </c:pt>
                <c:pt idx="18">
                  <c:v>0</c:v>
                </c:pt>
                <c:pt idx="19">
                  <c:v>221</c:v>
                </c:pt>
                <c:pt idx="20">
                  <c:v>185</c:v>
                </c:pt>
                <c:pt idx="21">
                  <c:v>178</c:v>
                </c:pt>
                <c:pt idx="22">
                  <c:v>202</c:v>
                </c:pt>
                <c:pt idx="23">
                  <c:v>208</c:v>
                </c:pt>
                <c:pt idx="24">
                  <c:v>138</c:v>
                </c:pt>
                <c:pt idx="25">
                  <c:v>0</c:v>
                </c:pt>
                <c:pt idx="26">
                  <c:v>252</c:v>
                </c:pt>
                <c:pt idx="27">
                  <c:v>264</c:v>
                </c:pt>
                <c:pt idx="28">
                  <c:v>200</c:v>
                </c:pt>
                <c:pt idx="29">
                  <c:v>219</c:v>
                </c:pt>
                <c:pt idx="30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1-4E0D-8B41-CAA28E17F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70960"/>
        <c:axId val="9860976"/>
      </c:barChart>
      <c:dateAx>
        <c:axId val="987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0976"/>
        <c:crosses val="autoZero"/>
        <c:auto val="1"/>
        <c:lblOffset val="100"/>
        <c:baseTimeUnit val="days"/>
      </c:dateAx>
      <c:valAx>
        <c:axId val="986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GUY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%WoW calls Off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Monthly'!chart_WoW_off_GUY_percent</c:f>
              <c:numCache>
                <c:formatCode>0.00%</c:formatCode>
                <c:ptCount val="31"/>
                <c:pt idx="0">
                  <c:v>-0.27303754266211605</c:v>
                </c:pt>
                <c:pt idx="1">
                  <c:v>0</c:v>
                </c:pt>
                <c:pt idx="2">
                  <c:v>-0.12236286919831224</c:v>
                </c:pt>
                <c:pt idx="3">
                  <c:v>-7.8947368421052627E-2</c:v>
                </c:pt>
                <c:pt idx="4" formatCode="General">
                  <c:v>0</c:v>
                </c:pt>
                <c:pt idx="5">
                  <c:v>-0.14726027397260275</c:v>
                </c:pt>
                <c:pt idx="6">
                  <c:v>-1</c:v>
                </c:pt>
                <c:pt idx="7">
                  <c:v>0.13145539906103287</c:v>
                </c:pt>
                <c:pt idx="8">
                  <c:v>9.9137931034482762E-2</c:v>
                </c:pt>
                <c:pt idx="9">
                  <c:v>-9.1346153846153841E-2</c:v>
                </c:pt>
                <c:pt idx="10">
                  <c:v>0.37857142857142856</c:v>
                </c:pt>
                <c:pt idx="11" formatCode="General">
                  <c:v>0</c:v>
                </c:pt>
                <c:pt idx="12">
                  <c:v>0.22088353413654618</c:v>
                </c:pt>
                <c:pt idx="13">
                  <c:v>0</c:v>
                </c:pt>
                <c:pt idx="14">
                  <c:v>-0.14522821576763487</c:v>
                </c:pt>
                <c:pt idx="15">
                  <c:v>-0.30196078431372547</c:v>
                </c:pt>
                <c:pt idx="16">
                  <c:v>-4.7619047619047616E-2</c:v>
                </c:pt>
                <c:pt idx="17">
                  <c:v>-0.39378238341968913</c:v>
                </c:pt>
                <c:pt idx="18" formatCode="General">
                  <c:v>0</c:v>
                </c:pt>
                <c:pt idx="19">
                  <c:v>-0.25328947368421051</c:v>
                </c:pt>
                <c:pt idx="20">
                  <c:v>-0.04</c:v>
                </c:pt>
                <c:pt idx="21">
                  <c:v>-0.12621359223300971</c:v>
                </c:pt>
                <c:pt idx="22">
                  <c:v>0.19662921348314608</c:v>
                </c:pt>
                <c:pt idx="23">
                  <c:v>0.21666666666666667</c:v>
                </c:pt>
                <c:pt idx="24">
                  <c:v>0.19658119658119658</c:v>
                </c:pt>
                <c:pt idx="25" formatCode="General">
                  <c:v>0</c:v>
                </c:pt>
                <c:pt idx="26">
                  <c:v>0.14977973568281938</c:v>
                </c:pt>
                <c:pt idx="27">
                  <c:v>0.390625</c:v>
                </c:pt>
                <c:pt idx="28">
                  <c:v>0.17222222222222222</c:v>
                </c:pt>
                <c:pt idx="29">
                  <c:v>7.9812206572769953E-2</c:v>
                </c:pt>
                <c:pt idx="30">
                  <c:v>4.5662100456621002E-2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C0-446F-BA02-6BA31256E86C}"/>
            </c:ext>
          </c:extLst>
        </c:ser>
        <c:ser>
          <c:idx val="0"/>
          <c:order val="1"/>
          <c:tx>
            <c:v>%WoW 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Monthly'!chart_WoW_ans_GUY_percent</c:f>
              <c:numCache>
                <c:formatCode>0.00%</c:formatCode>
                <c:ptCount val="31"/>
                <c:pt idx="0">
                  <c:v>-0.21933085501858737</c:v>
                </c:pt>
                <c:pt idx="1">
                  <c:v>0</c:v>
                </c:pt>
                <c:pt idx="2">
                  <c:v>-9.7345132743362831E-2</c:v>
                </c:pt>
                <c:pt idx="3">
                  <c:v>-3.6231884057971016E-2</c:v>
                </c:pt>
                <c:pt idx="4" formatCode="General">
                  <c:v>0</c:v>
                </c:pt>
                <c:pt idx="5">
                  <c:v>-0.14436619718309859</c:v>
                </c:pt>
                <c:pt idx="6">
                  <c:v>-1</c:v>
                </c:pt>
                <c:pt idx="7">
                  <c:v>9.0476190476190474E-2</c:v>
                </c:pt>
                <c:pt idx="8">
                  <c:v>0.13574660633484162</c:v>
                </c:pt>
                <c:pt idx="9">
                  <c:v>-0.11274509803921569</c:v>
                </c:pt>
                <c:pt idx="10">
                  <c:v>0.44360902255639095</c:v>
                </c:pt>
                <c:pt idx="11" formatCode="General">
                  <c:v>0</c:v>
                </c:pt>
                <c:pt idx="12">
                  <c:v>0.18930041152263374</c:v>
                </c:pt>
                <c:pt idx="13">
                  <c:v>0</c:v>
                </c:pt>
                <c:pt idx="14">
                  <c:v>-0.16593886462882096</c:v>
                </c:pt>
                <c:pt idx="15">
                  <c:v>-0.32669322709163345</c:v>
                </c:pt>
                <c:pt idx="16">
                  <c:v>-3.3149171270718231E-2</c:v>
                </c:pt>
                <c:pt idx="17">
                  <c:v>-0.39583333333333331</c:v>
                </c:pt>
                <c:pt idx="18" formatCode="General">
                  <c:v>0</c:v>
                </c:pt>
                <c:pt idx="19">
                  <c:v>-0.23529411764705882</c:v>
                </c:pt>
                <c:pt idx="20">
                  <c:v>-5.128205128205128E-2</c:v>
                </c:pt>
                <c:pt idx="21">
                  <c:v>-6.8062827225130892E-2</c:v>
                </c:pt>
                <c:pt idx="22">
                  <c:v>0.19526627218934911</c:v>
                </c:pt>
                <c:pt idx="23">
                  <c:v>0.18857142857142858</c:v>
                </c:pt>
                <c:pt idx="24">
                  <c:v>0.18965517241379309</c:v>
                </c:pt>
                <c:pt idx="25" formatCode="General">
                  <c:v>0</c:v>
                </c:pt>
                <c:pt idx="26">
                  <c:v>0.14027149321266968</c:v>
                </c:pt>
                <c:pt idx="27">
                  <c:v>0.42702702702702705</c:v>
                </c:pt>
                <c:pt idx="28">
                  <c:v>0.12359550561797752</c:v>
                </c:pt>
                <c:pt idx="29">
                  <c:v>8.4158415841584164E-2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B2-462F-A7C6-6CBAB6532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49568"/>
        <c:axId val="148949984"/>
      </c:barChart>
      <c:dateAx>
        <c:axId val="14894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9984"/>
        <c:crosses val="autoZero"/>
        <c:auto val="1"/>
        <c:lblOffset val="100"/>
        <c:baseTimeUnit val="days"/>
      </c:dateAx>
      <c:valAx>
        <c:axId val="1489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 of call</a:t>
                </a:r>
                <a:r>
                  <a:rPr lang="en-JM" sz="1400" baseline="0"/>
                  <a:t> volume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GUY</a:t>
            </a:r>
            <a:endParaRPr lang="en-JM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Monthly'!chart_AU_GUY</c:f>
              <c:numCache>
                <c:formatCode>0%</c:formatCode>
                <c:ptCount val="31"/>
                <c:pt idx="0">
                  <c:v>0.66</c:v>
                </c:pt>
                <c:pt idx="1">
                  <c:v>0.7</c:v>
                </c:pt>
                <c:pt idx="2">
                  <c:v>0.68</c:v>
                </c:pt>
                <c:pt idx="3">
                  <c:v>0.62</c:v>
                </c:pt>
                <c:pt idx="4">
                  <c:v>0</c:v>
                </c:pt>
                <c:pt idx="5">
                  <c:v>0.75</c:v>
                </c:pt>
                <c:pt idx="6">
                  <c:v>0</c:v>
                </c:pt>
                <c:pt idx="7">
                  <c:v>0.67</c:v>
                </c:pt>
                <c:pt idx="8">
                  <c:v>0.67</c:v>
                </c:pt>
                <c:pt idx="9">
                  <c:v>0.75</c:v>
                </c:pt>
                <c:pt idx="10">
                  <c:v>0.68</c:v>
                </c:pt>
                <c:pt idx="11">
                  <c:v>0</c:v>
                </c:pt>
                <c:pt idx="12">
                  <c:v>0.79</c:v>
                </c:pt>
                <c:pt idx="13">
                  <c:v>0.67</c:v>
                </c:pt>
                <c:pt idx="14">
                  <c:v>0.67</c:v>
                </c:pt>
                <c:pt idx="15">
                  <c:v>0.77</c:v>
                </c:pt>
                <c:pt idx="16">
                  <c:v>0.66</c:v>
                </c:pt>
                <c:pt idx="17">
                  <c:v>0.99</c:v>
                </c:pt>
                <c:pt idx="18">
                  <c:v>0</c:v>
                </c:pt>
                <c:pt idx="19">
                  <c:v>0.88</c:v>
                </c:pt>
                <c:pt idx="20">
                  <c:v>0.64</c:v>
                </c:pt>
                <c:pt idx="21">
                  <c:v>0.69</c:v>
                </c:pt>
                <c:pt idx="22">
                  <c:v>0.66</c:v>
                </c:pt>
                <c:pt idx="23">
                  <c:v>0.92</c:v>
                </c:pt>
                <c:pt idx="24">
                  <c:v>0.62</c:v>
                </c:pt>
                <c:pt idx="25">
                  <c:v>0</c:v>
                </c:pt>
                <c:pt idx="26">
                  <c:v>0.74</c:v>
                </c:pt>
                <c:pt idx="27">
                  <c:v>0.76</c:v>
                </c:pt>
                <c:pt idx="28">
                  <c:v>0.67</c:v>
                </c:pt>
                <c:pt idx="29">
                  <c:v>0.71</c:v>
                </c:pt>
                <c:pt idx="30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C8-4BB0-BD45-312DFD54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8252832"/>
        <c:axId val="638253248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Monthly'!chart_SL_GUY</c:f>
              <c:numCache>
                <c:formatCode>0%</c:formatCode>
                <c:ptCount val="31"/>
                <c:pt idx="0">
                  <c:v>0.96</c:v>
                </c:pt>
                <c:pt idx="1">
                  <c:v>0.86</c:v>
                </c:pt>
                <c:pt idx="2">
                  <c:v>0.95</c:v>
                </c:pt>
                <c:pt idx="3">
                  <c:v>0.83</c:v>
                </c:pt>
                <c:pt idx="4">
                  <c:v>0</c:v>
                </c:pt>
                <c:pt idx="5">
                  <c:v>0.92</c:v>
                </c:pt>
                <c:pt idx="6">
                  <c:v>0</c:v>
                </c:pt>
                <c:pt idx="7">
                  <c:v>0.88</c:v>
                </c:pt>
                <c:pt idx="8">
                  <c:v>0.88</c:v>
                </c:pt>
                <c:pt idx="9">
                  <c:v>0.9</c:v>
                </c:pt>
                <c:pt idx="10">
                  <c:v>0.95</c:v>
                </c:pt>
                <c:pt idx="11">
                  <c:v>0</c:v>
                </c:pt>
                <c:pt idx="12">
                  <c:v>0.86</c:v>
                </c:pt>
                <c:pt idx="13">
                  <c:v>0.9</c:v>
                </c:pt>
                <c:pt idx="14">
                  <c:v>0.81</c:v>
                </c:pt>
                <c:pt idx="15">
                  <c:v>0.94</c:v>
                </c:pt>
                <c:pt idx="16">
                  <c:v>0.89</c:v>
                </c:pt>
                <c:pt idx="17">
                  <c:v>0.99</c:v>
                </c:pt>
                <c:pt idx="18">
                  <c:v>0</c:v>
                </c:pt>
                <c:pt idx="19">
                  <c:v>0.9</c:v>
                </c:pt>
                <c:pt idx="20">
                  <c:v>0.93</c:v>
                </c:pt>
                <c:pt idx="21">
                  <c:v>0.89</c:v>
                </c:pt>
                <c:pt idx="22">
                  <c:v>0.83</c:v>
                </c:pt>
                <c:pt idx="23">
                  <c:v>0.81</c:v>
                </c:pt>
                <c:pt idx="24">
                  <c:v>0.98</c:v>
                </c:pt>
                <c:pt idx="25">
                  <c:v>0</c:v>
                </c:pt>
                <c:pt idx="26">
                  <c:v>0.9</c:v>
                </c:pt>
                <c:pt idx="27">
                  <c:v>0.94</c:v>
                </c:pt>
                <c:pt idx="28">
                  <c:v>0.86</c:v>
                </c:pt>
                <c:pt idx="29">
                  <c:v>0.88</c:v>
                </c:pt>
                <c:pt idx="30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8-4BB0-BD45-312DFD54816A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Monthly'!chart_period_GUY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Monthly'!chart_ABR_GUY</c:f>
              <c:numCache>
                <c:formatCode>0%</c:formatCode>
                <c:ptCount val="31"/>
                <c:pt idx="0">
                  <c:v>0.01</c:v>
                </c:pt>
                <c:pt idx="1">
                  <c:v>0.05</c:v>
                </c:pt>
                <c:pt idx="2">
                  <c:v>0.02</c:v>
                </c:pt>
                <c:pt idx="3">
                  <c:v>0.05</c:v>
                </c:pt>
                <c:pt idx="4">
                  <c:v>0</c:v>
                </c:pt>
                <c:pt idx="5">
                  <c:v>0.02</c:v>
                </c:pt>
                <c:pt idx="6">
                  <c:v>0</c:v>
                </c:pt>
                <c:pt idx="7">
                  <c:v>0.05</c:v>
                </c:pt>
                <c:pt idx="8">
                  <c:v>0.02</c:v>
                </c:pt>
                <c:pt idx="9">
                  <c:v>0.04</c:v>
                </c:pt>
                <c:pt idx="10">
                  <c:v>0.01</c:v>
                </c:pt>
                <c:pt idx="11">
                  <c:v>0</c:v>
                </c:pt>
                <c:pt idx="12">
                  <c:v>0.05</c:v>
                </c:pt>
                <c:pt idx="13">
                  <c:v>0.03</c:v>
                </c:pt>
                <c:pt idx="14">
                  <c:v>7.2800000000000004E-2</c:v>
                </c:pt>
                <c:pt idx="15">
                  <c:v>0.05</c:v>
                </c:pt>
                <c:pt idx="16">
                  <c:v>0.03</c:v>
                </c:pt>
                <c:pt idx="17">
                  <c:v>0.99</c:v>
                </c:pt>
                <c:pt idx="18">
                  <c:v>0</c:v>
                </c:pt>
                <c:pt idx="19">
                  <c:v>0.03</c:v>
                </c:pt>
                <c:pt idx="20">
                  <c:v>0.04</c:v>
                </c:pt>
                <c:pt idx="21">
                  <c:v>0.01</c:v>
                </c:pt>
                <c:pt idx="22">
                  <c:v>0.05</c:v>
                </c:pt>
                <c:pt idx="23">
                  <c:v>0.05</c:v>
                </c:pt>
                <c:pt idx="24">
                  <c:v>0.01</c:v>
                </c:pt>
                <c:pt idx="25">
                  <c:v>0</c:v>
                </c:pt>
                <c:pt idx="26">
                  <c:v>0.03</c:v>
                </c:pt>
                <c:pt idx="27">
                  <c:v>0.01</c:v>
                </c:pt>
                <c:pt idx="28">
                  <c:v>0.05</c:v>
                </c:pt>
                <c:pt idx="29">
                  <c:v>0.05</c:v>
                </c:pt>
                <c:pt idx="30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C8-4BB0-BD45-312DFD54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252832"/>
        <c:axId val="638253248"/>
      </c:lineChart>
      <c:dateAx>
        <c:axId val="63825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53248"/>
        <c:crosses val="autoZero"/>
        <c:auto val="1"/>
        <c:lblOffset val="100"/>
        <c:baseTimeUnit val="days"/>
      </c:dateAx>
      <c:valAx>
        <c:axId val="63825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</a:t>
                </a:r>
                <a:r>
                  <a:rPr lang="en-JM" sz="1400" baseline="0"/>
                  <a:t>of Metric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5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GUY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Guyana!$U$7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Guyana!$T$8:$T$59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Guyana!$U$8:$U$59</c:f>
              <c:numCache>
                <c:formatCode>General</c:formatCode>
                <c:ptCount val="52"/>
                <c:pt idx="0">
                  <c:v>1584</c:v>
                </c:pt>
                <c:pt idx="1">
                  <c:v>1234</c:v>
                </c:pt>
                <c:pt idx="2">
                  <c:v>1327</c:v>
                </c:pt>
                <c:pt idx="3">
                  <c:v>1888</c:v>
                </c:pt>
                <c:pt idx="4">
                  <c:v>1219</c:v>
                </c:pt>
                <c:pt idx="5">
                  <c:v>1699</c:v>
                </c:pt>
                <c:pt idx="6">
                  <c:v>1812</c:v>
                </c:pt>
                <c:pt idx="7">
                  <c:v>1782</c:v>
                </c:pt>
                <c:pt idx="8">
                  <c:v>1923</c:v>
                </c:pt>
                <c:pt idx="9">
                  <c:v>1523</c:v>
                </c:pt>
                <c:pt idx="10">
                  <c:v>1710</c:v>
                </c:pt>
                <c:pt idx="11">
                  <c:v>1990</c:v>
                </c:pt>
                <c:pt idx="12">
                  <c:v>1881</c:v>
                </c:pt>
                <c:pt idx="13">
                  <c:v>1307</c:v>
                </c:pt>
                <c:pt idx="14">
                  <c:v>1909</c:v>
                </c:pt>
                <c:pt idx="15">
                  <c:v>2040</c:v>
                </c:pt>
                <c:pt idx="16">
                  <c:v>2049</c:v>
                </c:pt>
                <c:pt idx="17">
                  <c:v>1624</c:v>
                </c:pt>
                <c:pt idx="18">
                  <c:v>2170</c:v>
                </c:pt>
                <c:pt idx="19">
                  <c:v>2014</c:v>
                </c:pt>
                <c:pt idx="20">
                  <c:v>2432</c:v>
                </c:pt>
                <c:pt idx="21">
                  <c:v>2671</c:v>
                </c:pt>
                <c:pt idx="22">
                  <c:v>2459</c:v>
                </c:pt>
                <c:pt idx="23">
                  <c:v>2766</c:v>
                </c:pt>
                <c:pt idx="24">
                  <c:v>2604</c:v>
                </c:pt>
                <c:pt idx="25">
                  <c:v>2573</c:v>
                </c:pt>
                <c:pt idx="26">
                  <c:v>2246</c:v>
                </c:pt>
                <c:pt idx="27">
                  <c:v>2164</c:v>
                </c:pt>
                <c:pt idx="28">
                  <c:v>2769</c:v>
                </c:pt>
                <c:pt idx="29">
                  <c:v>2291</c:v>
                </c:pt>
                <c:pt idx="30">
                  <c:v>3024</c:v>
                </c:pt>
                <c:pt idx="31">
                  <c:v>2765</c:v>
                </c:pt>
                <c:pt idx="32">
                  <c:v>2959</c:v>
                </c:pt>
                <c:pt idx="33">
                  <c:v>4809</c:v>
                </c:pt>
                <c:pt idx="34">
                  <c:v>7406</c:v>
                </c:pt>
                <c:pt idx="35">
                  <c:v>4752</c:v>
                </c:pt>
                <c:pt idx="36">
                  <c:v>4720</c:v>
                </c:pt>
                <c:pt idx="37">
                  <c:v>4457</c:v>
                </c:pt>
                <c:pt idx="38">
                  <c:v>1835</c:v>
                </c:pt>
                <c:pt idx="39">
                  <c:v>1880</c:v>
                </c:pt>
                <c:pt idx="40">
                  <c:v>2262</c:v>
                </c:pt>
                <c:pt idx="41">
                  <c:v>1633</c:v>
                </c:pt>
                <c:pt idx="42">
                  <c:v>1398</c:v>
                </c:pt>
                <c:pt idx="43">
                  <c:v>1226</c:v>
                </c:pt>
                <c:pt idx="44">
                  <c:v>1093</c:v>
                </c:pt>
                <c:pt idx="45">
                  <c:v>1031</c:v>
                </c:pt>
                <c:pt idx="46">
                  <c:v>1147</c:v>
                </c:pt>
                <c:pt idx="47">
                  <c:v>1346</c:v>
                </c:pt>
                <c:pt idx="48">
                  <c:v>1127</c:v>
                </c:pt>
                <c:pt idx="49">
                  <c:v>1185</c:v>
                </c:pt>
                <c:pt idx="50">
                  <c:v>1171</c:v>
                </c:pt>
                <c:pt idx="51">
                  <c:v>1198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D-4204-955C-FADE21775B6F}"/>
            </c:ext>
          </c:extLst>
        </c:ser>
        <c:ser>
          <c:idx val="1"/>
          <c:order val="1"/>
          <c:tx>
            <c:strRef>
              <c:f>Guyana!$V$7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Guyana!$T$8:$T$59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Guyana!$V$8:$V$59</c:f>
              <c:numCache>
                <c:formatCode>General</c:formatCode>
                <c:ptCount val="52"/>
                <c:pt idx="0">
                  <c:v>1531</c:v>
                </c:pt>
                <c:pt idx="1">
                  <c:v>1219</c:v>
                </c:pt>
                <c:pt idx="2">
                  <c:v>1300</c:v>
                </c:pt>
                <c:pt idx="3">
                  <c:v>1792</c:v>
                </c:pt>
                <c:pt idx="4">
                  <c:v>1181</c:v>
                </c:pt>
                <c:pt idx="5">
                  <c:v>1612</c:v>
                </c:pt>
                <c:pt idx="6">
                  <c:v>1731</c:v>
                </c:pt>
                <c:pt idx="7">
                  <c:v>1724</c:v>
                </c:pt>
                <c:pt idx="8">
                  <c:v>1846</c:v>
                </c:pt>
                <c:pt idx="9">
                  <c:v>1484</c:v>
                </c:pt>
                <c:pt idx="10">
                  <c:v>1647</c:v>
                </c:pt>
                <c:pt idx="11">
                  <c:v>1947</c:v>
                </c:pt>
                <c:pt idx="12">
                  <c:v>1825</c:v>
                </c:pt>
                <c:pt idx="13">
                  <c:v>1270</c:v>
                </c:pt>
                <c:pt idx="14">
                  <c:v>1869</c:v>
                </c:pt>
                <c:pt idx="15">
                  <c:v>1970</c:v>
                </c:pt>
                <c:pt idx="16">
                  <c:v>1989</c:v>
                </c:pt>
                <c:pt idx="17">
                  <c:v>1569</c:v>
                </c:pt>
                <c:pt idx="18">
                  <c:v>2074</c:v>
                </c:pt>
                <c:pt idx="19">
                  <c:v>1937</c:v>
                </c:pt>
                <c:pt idx="20">
                  <c:v>2331</c:v>
                </c:pt>
                <c:pt idx="21">
                  <c:v>2573</c:v>
                </c:pt>
                <c:pt idx="22">
                  <c:v>2352</c:v>
                </c:pt>
                <c:pt idx="23">
                  <c:v>2625</c:v>
                </c:pt>
                <c:pt idx="24">
                  <c:v>2496</c:v>
                </c:pt>
                <c:pt idx="25">
                  <c:v>2462</c:v>
                </c:pt>
                <c:pt idx="26">
                  <c:v>2137</c:v>
                </c:pt>
                <c:pt idx="27">
                  <c:v>2073</c:v>
                </c:pt>
                <c:pt idx="28">
                  <c:v>2583</c:v>
                </c:pt>
                <c:pt idx="29">
                  <c:v>2184</c:v>
                </c:pt>
                <c:pt idx="30">
                  <c:v>2808</c:v>
                </c:pt>
                <c:pt idx="31">
                  <c:v>2649</c:v>
                </c:pt>
                <c:pt idx="32">
                  <c:v>2848</c:v>
                </c:pt>
                <c:pt idx="33">
                  <c:v>4022</c:v>
                </c:pt>
                <c:pt idx="34">
                  <c:v>4286</c:v>
                </c:pt>
                <c:pt idx="35">
                  <c:v>3415</c:v>
                </c:pt>
                <c:pt idx="36">
                  <c:v>3758</c:v>
                </c:pt>
                <c:pt idx="37">
                  <c:v>3417</c:v>
                </c:pt>
                <c:pt idx="38">
                  <c:v>1462</c:v>
                </c:pt>
                <c:pt idx="39">
                  <c:v>1537</c:v>
                </c:pt>
                <c:pt idx="40">
                  <c:v>2117</c:v>
                </c:pt>
                <c:pt idx="41">
                  <c:v>1573</c:v>
                </c:pt>
                <c:pt idx="42">
                  <c:v>1333</c:v>
                </c:pt>
                <c:pt idx="43">
                  <c:v>1197</c:v>
                </c:pt>
                <c:pt idx="44">
                  <c:v>1058</c:v>
                </c:pt>
                <c:pt idx="45">
                  <c:v>988</c:v>
                </c:pt>
                <c:pt idx="46">
                  <c:v>1066</c:v>
                </c:pt>
                <c:pt idx="47">
                  <c:v>1303</c:v>
                </c:pt>
                <c:pt idx="48">
                  <c:v>1096</c:v>
                </c:pt>
                <c:pt idx="49">
                  <c:v>1135</c:v>
                </c:pt>
                <c:pt idx="50">
                  <c:v>1132</c:v>
                </c:pt>
                <c:pt idx="51">
                  <c:v>1143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D-4204-955C-FADE21775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398751"/>
        <c:axId val="1434402079"/>
      </c:lineChart>
      <c:dateAx>
        <c:axId val="143439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02079"/>
        <c:crosses val="autoZero"/>
        <c:auto val="1"/>
        <c:lblOffset val="100"/>
        <c:baseTimeUnit val="days"/>
      </c:dateAx>
      <c:valAx>
        <c:axId val="143440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39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Guyana!$U$135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Guyana!$V$135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4F-4F32-A98E-80661E610016}"/>
            </c:ext>
          </c:extLst>
        </c:ser>
        <c:ser>
          <c:idx val="1"/>
          <c:order val="1"/>
          <c:tx>
            <c:strRef>
              <c:f>Guyana!$U$136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Guyana!$V$136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4F-4F32-A98E-80661E610016}"/>
            </c:ext>
          </c:extLst>
        </c:ser>
        <c:ser>
          <c:idx val="2"/>
          <c:order val="2"/>
          <c:tx>
            <c:strRef>
              <c:f>Guyana!$U$137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Guyana!$V$137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4F-4F32-A98E-80661E610016}"/>
            </c:ext>
          </c:extLst>
        </c:ser>
        <c:ser>
          <c:idx val="3"/>
          <c:order val="3"/>
          <c:tx>
            <c:strRef>
              <c:f>Guyana!$U$138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Guyana!$V$138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4F-4F32-A98E-80661E610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051619887"/>
        <c:axId val="2051619471"/>
      </c:barChart>
      <c:lineChart>
        <c:grouping val="standard"/>
        <c:varyColors val="0"/>
        <c:ser>
          <c:idx val="4"/>
          <c:order val="4"/>
          <c:tx>
            <c:strRef>
              <c:f>Guyana!$U$139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6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dash"/>
              <c:size val="46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04F-4F32-A98E-80661E610016}"/>
              </c:ext>
            </c:extLst>
          </c:dPt>
          <c:dLbls>
            <c:dLbl>
              <c:idx val="0"/>
              <c:layout>
                <c:manualLayout>
                  <c:x val="-0.16897585552342601"/>
                  <c:y val="-5.6824372217265197E-2"/>
                </c:manualLayout>
              </c:layout>
              <c:numFmt formatCode="[mm]:ss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410230316792437"/>
                      <c:h val="0.108771676015002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204F-4F32-A98E-80661E610016}"/>
                </c:ext>
              </c:extLst>
            </c:dLbl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Guyana!$V$139</c:f>
              <c:numCache>
                <c:formatCode>[mm]:ss</c:formatCode>
                <c:ptCount val="1"/>
                <c:pt idx="0">
                  <c:v>1.204594017094017E-3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4F-4F32-A98E-80661E610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619887"/>
        <c:axId val="2051619471"/>
      </c:lineChart>
      <c:catAx>
        <c:axId val="2051619887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619471"/>
        <c:crosses val="autoZero"/>
        <c:auto val="1"/>
        <c:lblAlgn val="ctr"/>
        <c:lblOffset val="100"/>
        <c:noMultiLvlLbl val="0"/>
      </c:catAx>
      <c:valAx>
        <c:axId val="2051619471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19887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Call Volume - TT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Monthly'!chart_calls_off_TT</c:f>
              <c:numCache>
                <c:formatCode>General</c:formatCode>
                <c:ptCount val="31"/>
                <c:pt idx="0">
                  <c:v>839</c:v>
                </c:pt>
                <c:pt idx="1">
                  <c:v>785</c:v>
                </c:pt>
                <c:pt idx="2">
                  <c:v>761</c:v>
                </c:pt>
                <c:pt idx="3">
                  <c:v>408</c:v>
                </c:pt>
                <c:pt idx="4">
                  <c:v>0</c:v>
                </c:pt>
                <c:pt idx="5">
                  <c:v>817</c:v>
                </c:pt>
                <c:pt idx="6">
                  <c:v>663</c:v>
                </c:pt>
                <c:pt idx="7">
                  <c:v>626</c:v>
                </c:pt>
                <c:pt idx="8">
                  <c:v>625</c:v>
                </c:pt>
                <c:pt idx="9">
                  <c:v>614</c:v>
                </c:pt>
                <c:pt idx="10">
                  <c:v>353</c:v>
                </c:pt>
                <c:pt idx="11">
                  <c:v>0</c:v>
                </c:pt>
                <c:pt idx="12">
                  <c:v>748</c:v>
                </c:pt>
                <c:pt idx="13">
                  <c:v>600</c:v>
                </c:pt>
                <c:pt idx="14">
                  <c:v>627</c:v>
                </c:pt>
                <c:pt idx="15">
                  <c:v>608</c:v>
                </c:pt>
                <c:pt idx="16">
                  <c:v>587</c:v>
                </c:pt>
                <c:pt idx="17">
                  <c:v>321</c:v>
                </c:pt>
                <c:pt idx="18">
                  <c:v>0</c:v>
                </c:pt>
                <c:pt idx="19">
                  <c:v>711</c:v>
                </c:pt>
                <c:pt idx="20">
                  <c:v>658</c:v>
                </c:pt>
                <c:pt idx="21">
                  <c:v>616</c:v>
                </c:pt>
                <c:pt idx="22">
                  <c:v>617</c:v>
                </c:pt>
                <c:pt idx="23">
                  <c:v>611</c:v>
                </c:pt>
                <c:pt idx="24">
                  <c:v>341</c:v>
                </c:pt>
                <c:pt idx="25">
                  <c:v>0</c:v>
                </c:pt>
                <c:pt idx="26">
                  <c:v>717</c:v>
                </c:pt>
                <c:pt idx="27">
                  <c:v>674</c:v>
                </c:pt>
                <c:pt idx="28">
                  <c:v>719</c:v>
                </c:pt>
                <c:pt idx="29">
                  <c:v>0</c:v>
                </c:pt>
                <c:pt idx="30">
                  <c:v>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7-4091-A5DE-797DFAFBA8C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Monthly'!chart_calls_ans_TT</c:f>
              <c:numCache>
                <c:formatCode>General</c:formatCode>
                <c:ptCount val="31"/>
                <c:pt idx="0">
                  <c:v>789</c:v>
                </c:pt>
                <c:pt idx="1">
                  <c:v>645</c:v>
                </c:pt>
                <c:pt idx="2">
                  <c:v>722</c:v>
                </c:pt>
                <c:pt idx="3">
                  <c:v>395</c:v>
                </c:pt>
                <c:pt idx="4">
                  <c:v>0</c:v>
                </c:pt>
                <c:pt idx="5">
                  <c:v>797</c:v>
                </c:pt>
                <c:pt idx="6">
                  <c:v>643</c:v>
                </c:pt>
                <c:pt idx="7">
                  <c:v>607</c:v>
                </c:pt>
                <c:pt idx="8">
                  <c:v>588</c:v>
                </c:pt>
                <c:pt idx="9">
                  <c:v>554</c:v>
                </c:pt>
                <c:pt idx="10">
                  <c:v>339</c:v>
                </c:pt>
                <c:pt idx="11">
                  <c:v>0</c:v>
                </c:pt>
                <c:pt idx="12">
                  <c:v>734</c:v>
                </c:pt>
                <c:pt idx="13">
                  <c:v>581</c:v>
                </c:pt>
                <c:pt idx="14">
                  <c:v>614</c:v>
                </c:pt>
                <c:pt idx="15">
                  <c:v>593</c:v>
                </c:pt>
                <c:pt idx="16">
                  <c:v>561</c:v>
                </c:pt>
                <c:pt idx="17">
                  <c:v>299</c:v>
                </c:pt>
                <c:pt idx="18">
                  <c:v>0</c:v>
                </c:pt>
                <c:pt idx="19">
                  <c:v>673</c:v>
                </c:pt>
                <c:pt idx="20">
                  <c:v>593</c:v>
                </c:pt>
                <c:pt idx="21">
                  <c:v>536</c:v>
                </c:pt>
                <c:pt idx="22">
                  <c:v>594</c:v>
                </c:pt>
                <c:pt idx="23">
                  <c:v>561</c:v>
                </c:pt>
                <c:pt idx="24">
                  <c:v>325</c:v>
                </c:pt>
                <c:pt idx="25">
                  <c:v>0</c:v>
                </c:pt>
                <c:pt idx="26">
                  <c:v>628</c:v>
                </c:pt>
                <c:pt idx="27">
                  <c:v>657</c:v>
                </c:pt>
                <c:pt idx="28">
                  <c:v>679</c:v>
                </c:pt>
                <c:pt idx="29">
                  <c:v>0</c:v>
                </c:pt>
                <c:pt idx="30">
                  <c:v>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7-4091-A5DE-797DFAFBA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6681072"/>
        <c:axId val="483179440"/>
      </c:barChart>
      <c:dateAx>
        <c:axId val="52668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79440"/>
        <c:crosses val="autoZero"/>
        <c:auto val="1"/>
        <c:lblOffset val="100"/>
        <c:baseTimeUnit val="days"/>
      </c:dateAx>
      <c:valAx>
        <c:axId val="4831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layout>
            <c:manualLayout>
              <c:xMode val="edge"/>
              <c:yMode val="edge"/>
              <c:x val="1.3427602729811451E-2"/>
              <c:y val="0.361853716262345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8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TT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 Calls Offered WoW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Monthly'!chart_WoW_off_TT_percent</c:f>
              <c:numCache>
                <c:formatCode>0.00%</c:formatCode>
                <c:ptCount val="31"/>
                <c:pt idx="0">
                  <c:v>-6.9844789356984474E-2</c:v>
                </c:pt>
                <c:pt idx="1">
                  <c:v>-1.0088272383354351E-2</c:v>
                </c:pt>
                <c:pt idx="2">
                  <c:v>5.6944444444444443E-2</c:v>
                </c:pt>
                <c:pt idx="3">
                  <c:v>0.10869565217391304</c:v>
                </c:pt>
                <c:pt idx="4" formatCode="General">
                  <c:v>0</c:v>
                </c:pt>
                <c:pt idx="5">
                  <c:v>-5.2204176334106726E-2</c:v>
                </c:pt>
                <c:pt idx="6">
                  <c:v>-0.24315068493150685</c:v>
                </c:pt>
                <c:pt idx="7">
                  <c:v>-0.25387365911799764</c:v>
                </c:pt>
                <c:pt idx="8">
                  <c:v>-0.20382165605095542</c:v>
                </c:pt>
                <c:pt idx="9">
                  <c:v>-0.19316688567674112</c:v>
                </c:pt>
                <c:pt idx="10">
                  <c:v>-0.13480392156862744</c:v>
                </c:pt>
                <c:pt idx="11" formatCode="General">
                  <c:v>0</c:v>
                </c:pt>
                <c:pt idx="12">
                  <c:v>-8.4455324357405145E-2</c:v>
                </c:pt>
                <c:pt idx="13">
                  <c:v>-9.5022624434389136E-2</c:v>
                </c:pt>
                <c:pt idx="14">
                  <c:v>1.5974440894568689E-3</c:v>
                </c:pt>
                <c:pt idx="15">
                  <c:v>-2.7199999999999998E-2</c:v>
                </c:pt>
                <c:pt idx="16">
                  <c:v>-4.3973941368078175E-2</c:v>
                </c:pt>
                <c:pt idx="17">
                  <c:v>-9.0651558073654395E-2</c:v>
                </c:pt>
                <c:pt idx="18" formatCode="General">
                  <c:v>0</c:v>
                </c:pt>
                <c:pt idx="19">
                  <c:v>-4.9465240641711233E-2</c:v>
                </c:pt>
                <c:pt idx="20">
                  <c:v>9.6666666666666665E-2</c:v>
                </c:pt>
                <c:pt idx="21">
                  <c:v>-1.7543859649122806E-2</c:v>
                </c:pt>
                <c:pt idx="22">
                  <c:v>1.4802631578947368E-2</c:v>
                </c:pt>
                <c:pt idx="23">
                  <c:v>4.0885860306643949E-2</c:v>
                </c:pt>
                <c:pt idx="24">
                  <c:v>6.2305295950155763E-2</c:v>
                </c:pt>
                <c:pt idx="25" formatCode="General">
                  <c:v>0</c:v>
                </c:pt>
                <c:pt idx="26">
                  <c:v>8.4388185654008432E-3</c:v>
                </c:pt>
                <c:pt idx="27">
                  <c:v>2.4316109422492401E-2</c:v>
                </c:pt>
                <c:pt idx="28">
                  <c:v>0.16720779220779219</c:v>
                </c:pt>
                <c:pt idx="29" formatCode="General">
                  <c:v>0</c:v>
                </c:pt>
                <c:pt idx="30">
                  <c:v>0.24058919803600654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44-48E7-840B-814B7ECC2E2F}"/>
            </c:ext>
          </c:extLst>
        </c:ser>
        <c:ser>
          <c:idx val="1"/>
          <c:order val="1"/>
          <c:tx>
            <c:v>% Calls Ans WoW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Monthly'!chart_WoW_ans_TT_percent</c:f>
              <c:numCache>
                <c:formatCode>0.00%</c:formatCode>
                <c:ptCount val="31"/>
                <c:pt idx="0">
                  <c:v>-4.8250904704463207E-2</c:v>
                </c:pt>
                <c:pt idx="1">
                  <c:v>-6.9264069264069264E-2</c:v>
                </c:pt>
                <c:pt idx="2">
                  <c:v>4.3352601156069363E-2</c:v>
                </c:pt>
                <c:pt idx="3">
                  <c:v>0.10644257703081232</c:v>
                </c:pt>
                <c:pt idx="4" formatCode="General">
                  <c:v>0</c:v>
                </c:pt>
                <c:pt idx="5">
                  <c:v>2.4421593830334189E-2</c:v>
                </c:pt>
                <c:pt idx="6">
                  <c:v>-0.21776155717761558</c:v>
                </c:pt>
                <c:pt idx="7">
                  <c:v>-0.23067173637515842</c:v>
                </c:pt>
                <c:pt idx="8">
                  <c:v>-8.8372093023255813E-2</c:v>
                </c:pt>
                <c:pt idx="9">
                  <c:v>-0.23268698060941828</c:v>
                </c:pt>
                <c:pt idx="10">
                  <c:v>-0.14177215189873418</c:v>
                </c:pt>
                <c:pt idx="11" formatCode="General">
                  <c:v>0</c:v>
                </c:pt>
                <c:pt idx="12">
                  <c:v>-7.9046424090338768E-2</c:v>
                </c:pt>
                <c:pt idx="13">
                  <c:v>-9.6423017107309481E-2</c:v>
                </c:pt>
                <c:pt idx="14">
                  <c:v>1.1532125205930808E-2</c:v>
                </c:pt>
                <c:pt idx="15">
                  <c:v>8.5034013605442185E-3</c:v>
                </c:pt>
                <c:pt idx="16">
                  <c:v>1.263537906137184E-2</c:v>
                </c:pt>
                <c:pt idx="17">
                  <c:v>-0.11799410029498525</c:v>
                </c:pt>
                <c:pt idx="18" formatCode="General">
                  <c:v>0</c:v>
                </c:pt>
                <c:pt idx="19">
                  <c:v>-8.3106267029972758E-2</c:v>
                </c:pt>
                <c:pt idx="20">
                  <c:v>2.0654044750430294E-2</c:v>
                </c:pt>
                <c:pt idx="21">
                  <c:v>-0.12703583061889251</c:v>
                </c:pt>
                <c:pt idx="22">
                  <c:v>1.6863406408094434E-3</c:v>
                </c:pt>
                <c:pt idx="23">
                  <c:v>0</c:v>
                </c:pt>
                <c:pt idx="24">
                  <c:v>8.6956521739130432E-2</c:v>
                </c:pt>
                <c:pt idx="25" formatCode="General">
                  <c:v>0</c:v>
                </c:pt>
                <c:pt idx="26">
                  <c:v>-6.6864784546805348E-2</c:v>
                </c:pt>
                <c:pt idx="27">
                  <c:v>0.10792580101180438</c:v>
                </c:pt>
                <c:pt idx="28">
                  <c:v>0.26679104477611942</c:v>
                </c:pt>
                <c:pt idx="29" formatCode="General">
                  <c:v>0</c:v>
                </c:pt>
                <c:pt idx="30">
                  <c:v>0.21746880570409982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44-48E7-840B-814B7ECC2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961072"/>
        <c:axId val="599963984"/>
      </c:barChart>
      <c:dateAx>
        <c:axId val="59996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63984"/>
        <c:crosses val="autoZero"/>
        <c:auto val="1"/>
        <c:lblOffset val="100"/>
        <c:baseTimeUnit val="days"/>
      </c:dateAx>
      <c:valAx>
        <c:axId val="5999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change</a:t>
                </a:r>
                <a:r>
                  <a:rPr lang="en-JM" sz="1400" baseline="0"/>
                  <a:t> of call volume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6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TT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Monthly'!chart_AU_TT</c:f>
              <c:numCache>
                <c:formatCode>0%</c:formatCode>
                <c:ptCount val="31"/>
                <c:pt idx="0">
                  <c:v>0.63</c:v>
                </c:pt>
                <c:pt idx="1">
                  <c:v>0.55000000000000004</c:v>
                </c:pt>
                <c:pt idx="2">
                  <c:v>0.45</c:v>
                </c:pt>
                <c:pt idx="3">
                  <c:v>0.31</c:v>
                </c:pt>
                <c:pt idx="4" formatCode="General">
                  <c:v>0</c:v>
                </c:pt>
                <c:pt idx="5">
                  <c:v>0.54</c:v>
                </c:pt>
                <c:pt idx="6">
                  <c:v>0.46</c:v>
                </c:pt>
                <c:pt idx="7">
                  <c:v>0.5</c:v>
                </c:pt>
                <c:pt idx="8">
                  <c:v>0.45</c:v>
                </c:pt>
                <c:pt idx="9">
                  <c:v>0.28999999999999998</c:v>
                </c:pt>
                <c:pt idx="10">
                  <c:v>0.5</c:v>
                </c:pt>
                <c:pt idx="11" formatCode="General">
                  <c:v>0</c:v>
                </c:pt>
                <c:pt idx="12">
                  <c:v>0.51</c:v>
                </c:pt>
                <c:pt idx="13">
                  <c:v>0.33</c:v>
                </c:pt>
                <c:pt idx="14">
                  <c:v>0.44</c:v>
                </c:pt>
                <c:pt idx="15">
                  <c:v>0.45</c:v>
                </c:pt>
                <c:pt idx="16">
                  <c:v>0.42</c:v>
                </c:pt>
                <c:pt idx="17">
                  <c:v>0.13</c:v>
                </c:pt>
                <c:pt idx="18" formatCode="General">
                  <c:v>0</c:v>
                </c:pt>
                <c:pt idx="19">
                  <c:v>0.52</c:v>
                </c:pt>
                <c:pt idx="20">
                  <c:v>0.5</c:v>
                </c:pt>
                <c:pt idx="21">
                  <c:v>0.48</c:v>
                </c:pt>
                <c:pt idx="22">
                  <c:v>0.46</c:v>
                </c:pt>
                <c:pt idx="23">
                  <c:v>0.48</c:v>
                </c:pt>
                <c:pt idx="24">
                  <c:v>0.31</c:v>
                </c:pt>
                <c:pt idx="25" formatCode="General">
                  <c:v>0</c:v>
                </c:pt>
                <c:pt idx="26">
                  <c:v>0.61</c:v>
                </c:pt>
                <c:pt idx="27">
                  <c:v>0.4</c:v>
                </c:pt>
                <c:pt idx="28">
                  <c:v>0.56000000000000005</c:v>
                </c:pt>
                <c:pt idx="29" formatCode="General">
                  <c:v>0</c:v>
                </c:pt>
                <c:pt idx="30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7E-484D-9A06-5D10764D7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217200"/>
        <c:axId val="149226768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Monthly'!chart_SL_TT</c:f>
              <c:numCache>
                <c:formatCode>0%</c:formatCode>
                <c:ptCount val="31"/>
                <c:pt idx="0">
                  <c:v>0.79</c:v>
                </c:pt>
                <c:pt idx="1">
                  <c:v>0.59</c:v>
                </c:pt>
                <c:pt idx="2">
                  <c:v>0.84</c:v>
                </c:pt>
                <c:pt idx="3">
                  <c:v>0.92</c:v>
                </c:pt>
                <c:pt idx="4" formatCode="General">
                  <c:v>0</c:v>
                </c:pt>
                <c:pt idx="5">
                  <c:v>0.92</c:v>
                </c:pt>
                <c:pt idx="6">
                  <c:v>0.89</c:v>
                </c:pt>
                <c:pt idx="7">
                  <c:v>0.89</c:v>
                </c:pt>
                <c:pt idx="8">
                  <c:v>0.82</c:v>
                </c:pt>
                <c:pt idx="9">
                  <c:v>0.86</c:v>
                </c:pt>
                <c:pt idx="10">
                  <c:v>0.87</c:v>
                </c:pt>
                <c:pt idx="11" formatCode="General">
                  <c:v>0</c:v>
                </c:pt>
                <c:pt idx="12">
                  <c:v>0.95</c:v>
                </c:pt>
                <c:pt idx="13">
                  <c:v>0.93</c:v>
                </c:pt>
                <c:pt idx="14">
                  <c:v>0.94</c:v>
                </c:pt>
                <c:pt idx="15">
                  <c:v>0.91</c:v>
                </c:pt>
                <c:pt idx="16">
                  <c:v>0.88</c:v>
                </c:pt>
                <c:pt idx="17">
                  <c:v>0.94</c:v>
                </c:pt>
                <c:pt idx="18" formatCode="General">
                  <c:v>0</c:v>
                </c:pt>
                <c:pt idx="19">
                  <c:v>0.8</c:v>
                </c:pt>
                <c:pt idx="20">
                  <c:v>0.71</c:v>
                </c:pt>
                <c:pt idx="21">
                  <c:v>0.65</c:v>
                </c:pt>
                <c:pt idx="22">
                  <c:v>0.86</c:v>
                </c:pt>
                <c:pt idx="23">
                  <c:v>0.75</c:v>
                </c:pt>
                <c:pt idx="24">
                  <c:v>0.85</c:v>
                </c:pt>
                <c:pt idx="25" formatCode="General">
                  <c:v>0</c:v>
                </c:pt>
                <c:pt idx="26">
                  <c:v>0.56000000000000005</c:v>
                </c:pt>
                <c:pt idx="27">
                  <c:v>0.91</c:v>
                </c:pt>
                <c:pt idx="28">
                  <c:v>0.82</c:v>
                </c:pt>
                <c:pt idx="29" formatCode="General">
                  <c:v>0</c:v>
                </c:pt>
                <c:pt idx="30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E-484D-9A06-5D10764D71CA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Monthly'!chart_ABR_TT</c:f>
              <c:numCache>
                <c:formatCode>0%</c:formatCode>
                <c:ptCount val="31"/>
                <c:pt idx="0">
                  <c:v>0.06</c:v>
                </c:pt>
                <c:pt idx="1">
                  <c:v>0.08</c:v>
                </c:pt>
                <c:pt idx="2">
                  <c:v>0.05</c:v>
                </c:pt>
                <c:pt idx="3">
                  <c:v>0.03</c:v>
                </c:pt>
                <c:pt idx="4" formatCode="General">
                  <c:v>0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0.06</c:v>
                </c:pt>
                <c:pt idx="9">
                  <c:v>0.1</c:v>
                </c:pt>
                <c:pt idx="10">
                  <c:v>0.04</c:v>
                </c:pt>
                <c:pt idx="11" formatCode="General">
                  <c:v>0</c:v>
                </c:pt>
                <c:pt idx="12">
                  <c:v>0.02</c:v>
                </c:pt>
                <c:pt idx="13">
                  <c:v>0.03</c:v>
                </c:pt>
                <c:pt idx="14">
                  <c:v>0.02</c:v>
                </c:pt>
                <c:pt idx="15">
                  <c:v>0.02</c:v>
                </c:pt>
                <c:pt idx="16">
                  <c:v>0.04</c:v>
                </c:pt>
                <c:pt idx="17">
                  <c:v>7.0000000000000007E-2</c:v>
                </c:pt>
                <c:pt idx="18" formatCode="General">
                  <c:v>0</c:v>
                </c:pt>
                <c:pt idx="19">
                  <c:v>0.05</c:v>
                </c:pt>
                <c:pt idx="20">
                  <c:v>0.1</c:v>
                </c:pt>
                <c:pt idx="21">
                  <c:v>0.13</c:v>
                </c:pt>
                <c:pt idx="22">
                  <c:v>0.04</c:v>
                </c:pt>
                <c:pt idx="23">
                  <c:v>0.08</c:v>
                </c:pt>
                <c:pt idx="24">
                  <c:v>0.05</c:v>
                </c:pt>
                <c:pt idx="25" formatCode="General">
                  <c:v>0</c:v>
                </c:pt>
                <c:pt idx="26">
                  <c:v>0.12</c:v>
                </c:pt>
                <c:pt idx="27">
                  <c:v>0.03</c:v>
                </c:pt>
                <c:pt idx="28">
                  <c:v>0.06</c:v>
                </c:pt>
                <c:pt idx="29" formatCode="General">
                  <c:v>0</c:v>
                </c:pt>
                <c:pt idx="30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7E-484D-9A06-5D10764D7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17200"/>
        <c:axId val="149226768"/>
      </c:lineChart>
      <c:dateAx>
        <c:axId val="14921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6768"/>
        <c:crosses val="autoZero"/>
        <c:auto val="1"/>
        <c:lblOffset val="100"/>
        <c:baseTimeUnit val="days"/>
      </c:dateAx>
      <c:valAx>
        <c:axId val="14922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</a:t>
                </a:r>
                <a:r>
                  <a:rPr lang="en-JM" sz="1400" baseline="0"/>
                  <a:t> of Metric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1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WoW</a:t>
            </a:r>
            <a:r>
              <a:rPr lang="en-JM" baseline="0"/>
              <a:t> Analysis of Calls Offered and Calls Answered - 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'Trinidad and Tobago'!$W$13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'Trinidad and Tobago'!$V$14:$V$65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'Trinidad and Tobago'!$W$14:$W$65</c:f>
              <c:numCache>
                <c:formatCode>General</c:formatCode>
                <c:ptCount val="52"/>
                <c:pt idx="0">
                  <c:v>5036</c:v>
                </c:pt>
                <c:pt idx="1">
                  <c:v>4269</c:v>
                </c:pt>
                <c:pt idx="2">
                  <c:v>4292</c:v>
                </c:pt>
                <c:pt idx="3">
                  <c:v>6024</c:v>
                </c:pt>
                <c:pt idx="4">
                  <c:v>5575</c:v>
                </c:pt>
                <c:pt idx="5">
                  <c:v>5827</c:v>
                </c:pt>
                <c:pt idx="6">
                  <c:v>5291</c:v>
                </c:pt>
                <c:pt idx="7">
                  <c:v>4602</c:v>
                </c:pt>
                <c:pt idx="8">
                  <c:v>3903</c:v>
                </c:pt>
                <c:pt idx="9">
                  <c:v>4680</c:v>
                </c:pt>
                <c:pt idx="10">
                  <c:v>4193</c:v>
                </c:pt>
                <c:pt idx="11">
                  <c:v>4591</c:v>
                </c:pt>
                <c:pt idx="12">
                  <c:v>5254</c:v>
                </c:pt>
                <c:pt idx="13">
                  <c:v>5465</c:v>
                </c:pt>
                <c:pt idx="14">
                  <c:v>5693</c:v>
                </c:pt>
                <c:pt idx="15">
                  <c:v>5608</c:v>
                </c:pt>
                <c:pt idx="16">
                  <c:v>5460</c:v>
                </c:pt>
                <c:pt idx="17">
                  <c:v>4913</c:v>
                </c:pt>
                <c:pt idx="18">
                  <c:v>5022</c:v>
                </c:pt>
                <c:pt idx="19">
                  <c:v>4587</c:v>
                </c:pt>
                <c:pt idx="20">
                  <c:v>4713</c:v>
                </c:pt>
                <c:pt idx="21">
                  <c:v>5271</c:v>
                </c:pt>
                <c:pt idx="22">
                  <c:v>5544</c:v>
                </c:pt>
                <c:pt idx="23">
                  <c:v>5111</c:v>
                </c:pt>
                <c:pt idx="24">
                  <c:v>4647</c:v>
                </c:pt>
                <c:pt idx="25">
                  <c:v>6325</c:v>
                </c:pt>
                <c:pt idx="26">
                  <c:v>5972</c:v>
                </c:pt>
                <c:pt idx="27">
                  <c:v>5039</c:v>
                </c:pt>
                <c:pt idx="28">
                  <c:v>5135</c:v>
                </c:pt>
                <c:pt idx="29">
                  <c:v>5713</c:v>
                </c:pt>
                <c:pt idx="30">
                  <c:v>5727</c:v>
                </c:pt>
                <c:pt idx="31">
                  <c:v>5593</c:v>
                </c:pt>
                <c:pt idx="32">
                  <c:v>5775</c:v>
                </c:pt>
                <c:pt idx="33">
                  <c:v>7355</c:v>
                </c:pt>
                <c:pt idx="34">
                  <c:v>8516</c:v>
                </c:pt>
                <c:pt idx="35">
                  <c:v>7466</c:v>
                </c:pt>
                <c:pt idx="36">
                  <c:v>7492</c:v>
                </c:pt>
                <c:pt idx="37">
                  <c:v>7764</c:v>
                </c:pt>
                <c:pt idx="38">
                  <c:v>3538</c:v>
                </c:pt>
                <c:pt idx="39">
                  <c:v>3868</c:v>
                </c:pt>
                <c:pt idx="40">
                  <c:v>4375</c:v>
                </c:pt>
                <c:pt idx="41">
                  <c:v>4157</c:v>
                </c:pt>
                <c:pt idx="42">
                  <c:v>4157</c:v>
                </c:pt>
                <c:pt idx="43">
                  <c:v>4126</c:v>
                </c:pt>
                <c:pt idx="44">
                  <c:v>4133</c:v>
                </c:pt>
                <c:pt idx="45">
                  <c:v>3568</c:v>
                </c:pt>
                <c:pt idx="46">
                  <c:v>2783</c:v>
                </c:pt>
                <c:pt idx="47">
                  <c:v>4531</c:v>
                </c:pt>
                <c:pt idx="48">
                  <c:v>3698</c:v>
                </c:pt>
                <c:pt idx="49">
                  <c:v>3491</c:v>
                </c:pt>
                <c:pt idx="50">
                  <c:v>3554</c:v>
                </c:pt>
                <c:pt idx="51">
                  <c:v>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0-4F0F-A588-14C874430227}"/>
            </c:ext>
          </c:extLst>
        </c:ser>
        <c:ser>
          <c:idx val="1"/>
          <c:order val="1"/>
          <c:tx>
            <c:strRef>
              <c:f>'Trinidad and Tobago'!$X$13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'Trinidad and Tobago'!$V$14:$V$65</c:f>
              <c:numCache>
                <c:formatCode>d\-mmm</c:formatCode>
                <c:ptCount val="52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</c:numCache>
            </c:numRef>
          </c:cat>
          <c:val>
            <c:numRef>
              <c:f>'Trinidad and Tobago'!$X$14:$X$65</c:f>
              <c:numCache>
                <c:formatCode>General</c:formatCode>
                <c:ptCount val="52"/>
                <c:pt idx="0">
                  <c:v>4570</c:v>
                </c:pt>
                <c:pt idx="1">
                  <c:v>3532</c:v>
                </c:pt>
                <c:pt idx="2">
                  <c:v>3683</c:v>
                </c:pt>
                <c:pt idx="3">
                  <c:v>3923</c:v>
                </c:pt>
                <c:pt idx="4">
                  <c:v>2218</c:v>
                </c:pt>
                <c:pt idx="5">
                  <c:v>3805</c:v>
                </c:pt>
                <c:pt idx="6">
                  <c:v>3613</c:v>
                </c:pt>
                <c:pt idx="7">
                  <c:v>4127</c:v>
                </c:pt>
                <c:pt idx="8">
                  <c:v>3511</c:v>
                </c:pt>
                <c:pt idx="9">
                  <c:v>4092</c:v>
                </c:pt>
                <c:pt idx="10">
                  <c:v>3339</c:v>
                </c:pt>
                <c:pt idx="11">
                  <c:v>3315</c:v>
                </c:pt>
                <c:pt idx="12">
                  <c:v>3321</c:v>
                </c:pt>
                <c:pt idx="13">
                  <c:v>3427</c:v>
                </c:pt>
                <c:pt idx="14">
                  <c:v>3642</c:v>
                </c:pt>
                <c:pt idx="15">
                  <c:v>3857</c:v>
                </c:pt>
                <c:pt idx="16">
                  <c:v>3243</c:v>
                </c:pt>
                <c:pt idx="17">
                  <c:v>2497</c:v>
                </c:pt>
                <c:pt idx="18">
                  <c:v>3168</c:v>
                </c:pt>
                <c:pt idx="19">
                  <c:v>3428</c:v>
                </c:pt>
                <c:pt idx="20">
                  <c:v>3871</c:v>
                </c:pt>
                <c:pt idx="21">
                  <c:v>2195</c:v>
                </c:pt>
                <c:pt idx="22">
                  <c:v>2993</c:v>
                </c:pt>
                <c:pt idx="23">
                  <c:v>3087</c:v>
                </c:pt>
                <c:pt idx="24">
                  <c:v>3146</c:v>
                </c:pt>
                <c:pt idx="25">
                  <c:v>3116</c:v>
                </c:pt>
                <c:pt idx="26">
                  <c:v>2372</c:v>
                </c:pt>
                <c:pt idx="27">
                  <c:v>3973</c:v>
                </c:pt>
                <c:pt idx="28">
                  <c:v>4042</c:v>
                </c:pt>
                <c:pt idx="29">
                  <c:v>1913</c:v>
                </c:pt>
                <c:pt idx="30">
                  <c:v>3696</c:v>
                </c:pt>
                <c:pt idx="31">
                  <c:v>3572</c:v>
                </c:pt>
                <c:pt idx="32">
                  <c:v>4203</c:v>
                </c:pt>
                <c:pt idx="33">
                  <c:v>4620</c:v>
                </c:pt>
                <c:pt idx="34">
                  <c:v>4607</c:v>
                </c:pt>
                <c:pt idx="35">
                  <c:v>5023</c:v>
                </c:pt>
                <c:pt idx="36">
                  <c:v>5333</c:v>
                </c:pt>
                <c:pt idx="37">
                  <c:v>4576</c:v>
                </c:pt>
                <c:pt idx="38">
                  <c:v>2719</c:v>
                </c:pt>
                <c:pt idx="39">
                  <c:v>3273</c:v>
                </c:pt>
                <c:pt idx="40">
                  <c:v>3856</c:v>
                </c:pt>
                <c:pt idx="41">
                  <c:v>3932</c:v>
                </c:pt>
                <c:pt idx="42">
                  <c:v>3914</c:v>
                </c:pt>
                <c:pt idx="43">
                  <c:v>4022</c:v>
                </c:pt>
                <c:pt idx="44">
                  <c:v>4015</c:v>
                </c:pt>
                <c:pt idx="45">
                  <c:v>3350</c:v>
                </c:pt>
                <c:pt idx="46">
                  <c:v>2571</c:v>
                </c:pt>
                <c:pt idx="47">
                  <c:v>4151</c:v>
                </c:pt>
                <c:pt idx="48">
                  <c:v>3528</c:v>
                </c:pt>
                <c:pt idx="49">
                  <c:v>3382</c:v>
                </c:pt>
                <c:pt idx="50">
                  <c:v>3282</c:v>
                </c:pt>
                <c:pt idx="51">
                  <c:v>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0-4F0F-A588-14C874430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333087"/>
        <c:axId val="1438340991"/>
      </c:lineChart>
      <c:dateAx>
        <c:axId val="143833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40991"/>
        <c:crosses val="autoZero"/>
        <c:auto val="1"/>
        <c:lblOffset val="100"/>
        <c:baseTimeUnit val="days"/>
      </c:dateAx>
      <c:valAx>
        <c:axId val="143834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3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 Agents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TT_SVL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Monthly'!chart_SL_TT</c:f>
              <c:numCache>
                <c:formatCode>0%</c:formatCode>
                <c:ptCount val="31"/>
                <c:pt idx="0">
                  <c:v>0.79</c:v>
                </c:pt>
                <c:pt idx="1">
                  <c:v>0.59</c:v>
                </c:pt>
                <c:pt idx="2">
                  <c:v>0.84</c:v>
                </c:pt>
                <c:pt idx="3">
                  <c:v>0.92</c:v>
                </c:pt>
                <c:pt idx="4" formatCode="General">
                  <c:v>0</c:v>
                </c:pt>
                <c:pt idx="5">
                  <c:v>0.92</c:v>
                </c:pt>
                <c:pt idx="6">
                  <c:v>0.89</c:v>
                </c:pt>
                <c:pt idx="7">
                  <c:v>0.89</c:v>
                </c:pt>
                <c:pt idx="8">
                  <c:v>0.82</c:v>
                </c:pt>
                <c:pt idx="9">
                  <c:v>0.86</c:v>
                </c:pt>
                <c:pt idx="10">
                  <c:v>0.87</c:v>
                </c:pt>
                <c:pt idx="11" formatCode="General">
                  <c:v>0</c:v>
                </c:pt>
                <c:pt idx="12">
                  <c:v>0.95</c:v>
                </c:pt>
                <c:pt idx="13">
                  <c:v>0.93</c:v>
                </c:pt>
                <c:pt idx="14">
                  <c:v>0.94</c:v>
                </c:pt>
                <c:pt idx="15">
                  <c:v>0.91</c:v>
                </c:pt>
                <c:pt idx="16">
                  <c:v>0.88</c:v>
                </c:pt>
                <c:pt idx="17">
                  <c:v>0.94</c:v>
                </c:pt>
                <c:pt idx="18" formatCode="General">
                  <c:v>0</c:v>
                </c:pt>
                <c:pt idx="19">
                  <c:v>0.8</c:v>
                </c:pt>
                <c:pt idx="20">
                  <c:v>0.71</c:v>
                </c:pt>
                <c:pt idx="21">
                  <c:v>0.65</c:v>
                </c:pt>
                <c:pt idx="22">
                  <c:v>0.86</c:v>
                </c:pt>
                <c:pt idx="23">
                  <c:v>0.75</c:v>
                </c:pt>
                <c:pt idx="24">
                  <c:v>0.85</c:v>
                </c:pt>
                <c:pt idx="25" formatCode="General">
                  <c:v>0</c:v>
                </c:pt>
                <c:pt idx="26">
                  <c:v>0.56000000000000005</c:v>
                </c:pt>
                <c:pt idx="27">
                  <c:v>0.91</c:v>
                </c:pt>
                <c:pt idx="28">
                  <c:v>0.82</c:v>
                </c:pt>
                <c:pt idx="29" formatCode="General">
                  <c:v>0</c:v>
                </c:pt>
                <c:pt idx="30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0-419A-9C40-92CC7D88E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387039"/>
        <c:axId val="1498388703"/>
      </c:barChart>
      <c:lineChart>
        <c:grouping val="standard"/>
        <c:varyColors val="0"/>
        <c:ser>
          <c:idx val="1"/>
          <c:order val="1"/>
          <c:tx>
            <c:v>TT_Agents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Monthly'!chart_period_TT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Monthly'!chart_WFM_TTO</c:f>
              <c:numCache>
                <c:formatCode>General</c:formatCode>
                <c:ptCount val="31"/>
                <c:pt idx="0">
                  <c:v>9</c:v>
                </c:pt>
                <c:pt idx="1">
                  <c:v>9</c:v>
                </c:pt>
                <c:pt idx="2">
                  <c:v>10</c:v>
                </c:pt>
                <c:pt idx="3">
                  <c:v>8</c:v>
                </c:pt>
                <c:pt idx="4">
                  <c:v>0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8</c:v>
                </c:pt>
                <c:pt idx="11">
                  <c:v>0</c:v>
                </c:pt>
                <c:pt idx="12">
                  <c:v>11</c:v>
                </c:pt>
                <c:pt idx="13">
                  <c:v>10</c:v>
                </c:pt>
                <c:pt idx="14">
                  <c:v>12</c:v>
                </c:pt>
                <c:pt idx="15">
                  <c:v>10</c:v>
                </c:pt>
                <c:pt idx="16">
                  <c:v>10</c:v>
                </c:pt>
                <c:pt idx="17">
                  <c:v>9</c:v>
                </c:pt>
                <c:pt idx="18">
                  <c:v>0</c:v>
                </c:pt>
                <c:pt idx="19">
                  <c:v>11</c:v>
                </c:pt>
                <c:pt idx="20">
                  <c:v>9</c:v>
                </c:pt>
                <c:pt idx="21">
                  <c:v>8</c:v>
                </c:pt>
                <c:pt idx="22">
                  <c:v>10</c:v>
                </c:pt>
                <c:pt idx="23">
                  <c:v>10</c:v>
                </c:pt>
                <c:pt idx="24">
                  <c:v>7</c:v>
                </c:pt>
                <c:pt idx="25">
                  <c:v>0</c:v>
                </c:pt>
                <c:pt idx="26">
                  <c:v>9</c:v>
                </c:pt>
                <c:pt idx="27">
                  <c:v>11</c:v>
                </c:pt>
                <c:pt idx="28">
                  <c:v>10</c:v>
                </c:pt>
                <c:pt idx="29">
                  <c:v>0</c:v>
                </c:pt>
                <c:pt idx="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0-419A-9C40-92CC7D88E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389119"/>
        <c:axId val="1498382879"/>
      </c:lineChart>
      <c:dateAx>
        <c:axId val="1498387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88703"/>
        <c:crosses val="autoZero"/>
        <c:auto val="1"/>
        <c:lblOffset val="100"/>
        <c:baseTimeUnit val="days"/>
      </c:dateAx>
      <c:valAx>
        <c:axId val="14983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</a:t>
                </a:r>
                <a:r>
                  <a:rPr lang="en-JM" baseline="0"/>
                  <a:t> Level Achieved</a:t>
                </a:r>
                <a:endParaRPr lang="en-JM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87039"/>
        <c:crosses val="autoZero"/>
        <c:crossBetween val="between"/>
      </c:valAx>
      <c:valAx>
        <c:axId val="14983828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Agents</a:t>
                </a:r>
                <a:r>
                  <a:rPr lang="en-JM" baseline="0"/>
                  <a:t> </a:t>
                </a:r>
                <a:r>
                  <a:rPr lang="en-JM"/>
                  <a:t>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89119"/>
        <c:crosses val="max"/>
        <c:crossBetween val="between"/>
      </c:valAx>
      <c:dateAx>
        <c:axId val="149838911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498382879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'Trinidad and Tobago'!$W$143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'Trinidad and Tobago'!$X$143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B-406C-B412-98981414E136}"/>
            </c:ext>
          </c:extLst>
        </c:ser>
        <c:ser>
          <c:idx val="1"/>
          <c:order val="1"/>
          <c:tx>
            <c:strRef>
              <c:f>'Trinidad and Tobago'!$W$144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'Trinidad and Tobago'!$X$144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B-406C-B412-98981414E136}"/>
            </c:ext>
          </c:extLst>
        </c:ser>
        <c:ser>
          <c:idx val="2"/>
          <c:order val="2"/>
          <c:tx>
            <c:strRef>
              <c:f>'Trinidad and Tobago'!$W$145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'Trinidad and Tobago'!$X$145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CB-406C-B412-98981414E136}"/>
            </c:ext>
          </c:extLst>
        </c:ser>
        <c:ser>
          <c:idx val="3"/>
          <c:order val="3"/>
          <c:tx>
            <c:strRef>
              <c:f>'Trinidad and Tobago'!$W$146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'Trinidad and Tobago'!$X$146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CB-406C-B412-98981414E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96179663"/>
        <c:axId val="1896199631"/>
      </c:barChart>
      <c:lineChart>
        <c:grouping val="standard"/>
        <c:varyColors val="0"/>
        <c:ser>
          <c:idx val="4"/>
          <c:order val="4"/>
          <c:tx>
            <c:strRef>
              <c:f>'Trinidad and Tobago'!$W$147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52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5064413088629411"/>
                  <c:y val="-4.62962962962962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59299988827004"/>
                      <c:h val="0.1248611111111111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94CB-406C-B412-98981414E1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'Trinidad and Tobago'!$X$147</c:f>
              <c:numCache>
                <c:formatCode>[mm]:ss</c:formatCode>
                <c:ptCount val="1"/>
                <c:pt idx="0">
                  <c:v>2.0815527065527065E-3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CB-406C-B412-98981414E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6179663"/>
        <c:axId val="1896199631"/>
      </c:lineChart>
      <c:catAx>
        <c:axId val="1896179663"/>
        <c:scaling>
          <c:orientation val="minMax"/>
        </c:scaling>
        <c:delete val="1"/>
        <c:axPos val="b"/>
        <c:majorTickMark val="none"/>
        <c:minorTickMark val="none"/>
        <c:tickLblPos val="nextTo"/>
        <c:crossAx val="1896199631"/>
        <c:crosses val="autoZero"/>
        <c:auto val="1"/>
        <c:lblAlgn val="ctr"/>
        <c:lblOffset val="100"/>
        <c:noMultiLvlLbl val="0"/>
      </c:catAx>
      <c:valAx>
        <c:axId val="1896199631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17966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Call Volume - BAR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Calls Off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Monthly'!chart_calls_off_BAR</c:f>
              <c:numCache>
                <c:formatCode>General</c:formatCode>
                <c:ptCount val="31"/>
                <c:pt idx="0">
                  <c:v>415</c:v>
                </c:pt>
                <c:pt idx="1">
                  <c:v>442</c:v>
                </c:pt>
                <c:pt idx="2">
                  <c:v>311</c:v>
                </c:pt>
                <c:pt idx="3">
                  <c:v>230</c:v>
                </c:pt>
                <c:pt idx="4">
                  <c:v>0</c:v>
                </c:pt>
                <c:pt idx="5">
                  <c:v>439</c:v>
                </c:pt>
                <c:pt idx="6">
                  <c:v>402</c:v>
                </c:pt>
                <c:pt idx="7">
                  <c:v>343</c:v>
                </c:pt>
                <c:pt idx="8">
                  <c:v>334</c:v>
                </c:pt>
                <c:pt idx="9">
                  <c:v>395</c:v>
                </c:pt>
                <c:pt idx="10">
                  <c:v>175</c:v>
                </c:pt>
                <c:pt idx="11">
                  <c:v>0</c:v>
                </c:pt>
                <c:pt idx="12">
                  <c:v>434</c:v>
                </c:pt>
                <c:pt idx="13">
                  <c:v>415</c:v>
                </c:pt>
                <c:pt idx="14">
                  <c:v>438</c:v>
                </c:pt>
                <c:pt idx="15">
                  <c:v>424</c:v>
                </c:pt>
                <c:pt idx="16">
                  <c:v>400</c:v>
                </c:pt>
                <c:pt idx="17">
                  <c:v>255</c:v>
                </c:pt>
                <c:pt idx="18">
                  <c:v>0</c:v>
                </c:pt>
                <c:pt idx="19">
                  <c:v>374</c:v>
                </c:pt>
                <c:pt idx="20">
                  <c:v>333</c:v>
                </c:pt>
                <c:pt idx="21">
                  <c:v>471</c:v>
                </c:pt>
                <c:pt idx="22">
                  <c:v>355</c:v>
                </c:pt>
                <c:pt idx="23">
                  <c:v>328</c:v>
                </c:pt>
                <c:pt idx="24">
                  <c:v>297</c:v>
                </c:pt>
                <c:pt idx="25">
                  <c:v>0</c:v>
                </c:pt>
                <c:pt idx="26">
                  <c:v>450</c:v>
                </c:pt>
                <c:pt idx="27">
                  <c:v>420</c:v>
                </c:pt>
                <c:pt idx="28">
                  <c:v>416</c:v>
                </c:pt>
                <c:pt idx="29">
                  <c:v>341</c:v>
                </c:pt>
                <c:pt idx="30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0-4A89-AF0E-430D5D04B1B7}"/>
            </c:ext>
          </c:extLst>
        </c:ser>
        <c:ser>
          <c:idx val="1"/>
          <c:order val="1"/>
          <c:tx>
            <c:v>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Monthly'!chart_calls_ans_BAR</c:f>
              <c:numCache>
                <c:formatCode>General</c:formatCode>
                <c:ptCount val="31"/>
                <c:pt idx="0">
                  <c:v>352</c:v>
                </c:pt>
                <c:pt idx="1">
                  <c:v>416</c:v>
                </c:pt>
                <c:pt idx="2">
                  <c:v>297</c:v>
                </c:pt>
                <c:pt idx="3">
                  <c:v>219</c:v>
                </c:pt>
                <c:pt idx="4">
                  <c:v>0</c:v>
                </c:pt>
                <c:pt idx="5">
                  <c:v>401</c:v>
                </c:pt>
                <c:pt idx="6">
                  <c:v>380</c:v>
                </c:pt>
                <c:pt idx="7">
                  <c:v>335</c:v>
                </c:pt>
                <c:pt idx="8">
                  <c:v>321</c:v>
                </c:pt>
                <c:pt idx="9">
                  <c:v>380</c:v>
                </c:pt>
                <c:pt idx="10">
                  <c:v>166</c:v>
                </c:pt>
                <c:pt idx="11">
                  <c:v>0</c:v>
                </c:pt>
                <c:pt idx="12">
                  <c:v>382</c:v>
                </c:pt>
                <c:pt idx="13">
                  <c:v>353</c:v>
                </c:pt>
                <c:pt idx="14">
                  <c:v>406</c:v>
                </c:pt>
                <c:pt idx="15">
                  <c:v>405</c:v>
                </c:pt>
                <c:pt idx="16">
                  <c:v>381</c:v>
                </c:pt>
                <c:pt idx="17">
                  <c:v>231</c:v>
                </c:pt>
                <c:pt idx="18">
                  <c:v>0</c:v>
                </c:pt>
                <c:pt idx="19">
                  <c:v>310</c:v>
                </c:pt>
                <c:pt idx="20">
                  <c:v>322</c:v>
                </c:pt>
                <c:pt idx="21">
                  <c:v>431</c:v>
                </c:pt>
                <c:pt idx="22">
                  <c:v>340</c:v>
                </c:pt>
                <c:pt idx="23">
                  <c:v>313</c:v>
                </c:pt>
                <c:pt idx="24">
                  <c:v>247</c:v>
                </c:pt>
                <c:pt idx="25">
                  <c:v>0</c:v>
                </c:pt>
                <c:pt idx="26">
                  <c:v>406</c:v>
                </c:pt>
                <c:pt idx="27">
                  <c:v>395</c:v>
                </c:pt>
                <c:pt idx="28">
                  <c:v>388</c:v>
                </c:pt>
                <c:pt idx="29">
                  <c:v>328</c:v>
                </c:pt>
                <c:pt idx="30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90-4A89-AF0E-430D5D04B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8448"/>
        <c:axId val="14277584"/>
      </c:barChart>
      <c:dateAx>
        <c:axId val="1425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7584"/>
        <c:crosses val="autoZero"/>
        <c:auto val="1"/>
        <c:lblOffset val="100"/>
        <c:baseTimeUnit val="days"/>
      </c:dateAx>
      <c:valAx>
        <c:axId val="142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% Change WoW Call Stats - BAR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%WoW Calls Offered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Monthly'!chart_WoW_off_BAR_percent</c:f>
              <c:numCache>
                <c:formatCode>0.00%</c:formatCode>
                <c:ptCount val="31"/>
                <c:pt idx="0">
                  <c:v>2.9776674937965261E-2</c:v>
                </c:pt>
                <c:pt idx="1">
                  <c:v>8.0684596577017112E-2</c:v>
                </c:pt>
                <c:pt idx="2">
                  <c:v>-0.14794520547945206</c:v>
                </c:pt>
                <c:pt idx="3">
                  <c:v>5.9907834101382486E-2</c:v>
                </c:pt>
                <c:pt idx="4">
                  <c:v>0</c:v>
                </c:pt>
                <c:pt idx="5">
                  <c:v>-1.3483146067415731E-2</c:v>
                </c:pt>
                <c:pt idx="6">
                  <c:v>-9.8654708520179366E-2</c:v>
                </c:pt>
                <c:pt idx="7">
                  <c:v>-0.17349397590361446</c:v>
                </c:pt>
                <c:pt idx="8">
                  <c:v>-0.24434389140271492</c:v>
                </c:pt>
                <c:pt idx="9">
                  <c:v>0.27009646302250806</c:v>
                </c:pt>
                <c:pt idx="10">
                  <c:v>-0.2391304347826087</c:v>
                </c:pt>
                <c:pt idx="11">
                  <c:v>0</c:v>
                </c:pt>
                <c:pt idx="12">
                  <c:v>-1.1389521640091117E-2</c:v>
                </c:pt>
                <c:pt idx="13">
                  <c:v>3.2338308457711441E-2</c:v>
                </c:pt>
                <c:pt idx="14">
                  <c:v>0.27696793002915454</c:v>
                </c:pt>
                <c:pt idx="15">
                  <c:v>0.26946107784431139</c:v>
                </c:pt>
                <c:pt idx="16">
                  <c:v>1.2658227848101266E-2</c:v>
                </c:pt>
                <c:pt idx="17">
                  <c:v>0.45714285714285713</c:v>
                </c:pt>
                <c:pt idx="18">
                  <c:v>0</c:v>
                </c:pt>
                <c:pt idx="19">
                  <c:v>-0.13824884792626729</c:v>
                </c:pt>
                <c:pt idx="20">
                  <c:v>-0.19759036144578312</c:v>
                </c:pt>
                <c:pt idx="21">
                  <c:v>7.5342465753424653E-2</c:v>
                </c:pt>
                <c:pt idx="22">
                  <c:v>-0.16273584905660377</c:v>
                </c:pt>
                <c:pt idx="23">
                  <c:v>-0.18</c:v>
                </c:pt>
                <c:pt idx="24">
                  <c:v>0.16470588235294117</c:v>
                </c:pt>
                <c:pt idx="25">
                  <c:v>0</c:v>
                </c:pt>
                <c:pt idx="26">
                  <c:v>0.20320855614973263</c:v>
                </c:pt>
                <c:pt idx="27">
                  <c:v>0.26126126126126126</c:v>
                </c:pt>
                <c:pt idx="28">
                  <c:v>-0.11677282377919321</c:v>
                </c:pt>
                <c:pt idx="29">
                  <c:v>-3.9436619718309862E-2</c:v>
                </c:pt>
                <c:pt idx="30">
                  <c:v>-0.1524390243902439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D-4256-B8E6-6C7BAA815040}"/>
            </c:ext>
          </c:extLst>
        </c:ser>
        <c:ser>
          <c:idx val="1"/>
          <c:order val="1"/>
          <c:tx>
            <c:v>%WoW Calls 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Monthly'!chart_WoW_ans_BAR_percent</c:f>
              <c:numCache>
                <c:formatCode>0.00%</c:formatCode>
                <c:ptCount val="31"/>
                <c:pt idx="0">
                  <c:v>-4.0871934604904632E-2</c:v>
                </c:pt>
                <c:pt idx="1">
                  <c:v>8.3333333333333329E-2</c:v>
                </c:pt>
                <c:pt idx="2">
                  <c:v>-0.13662790697674418</c:v>
                </c:pt>
                <c:pt idx="3">
                  <c:v>0.15873015873015872</c:v>
                </c:pt>
                <c:pt idx="4">
                  <c:v>0</c:v>
                </c:pt>
                <c:pt idx="5">
                  <c:v>-3.140096618357488E-2</c:v>
                </c:pt>
                <c:pt idx="6">
                  <c:v>-2.8132992327365727E-2</c:v>
                </c:pt>
                <c:pt idx="7">
                  <c:v>-4.8295454545454544E-2</c:v>
                </c:pt>
                <c:pt idx="8">
                  <c:v>-0.22836538461538461</c:v>
                </c:pt>
                <c:pt idx="9">
                  <c:v>0.27946127946127947</c:v>
                </c:pt>
                <c:pt idx="10">
                  <c:v>-0.24200913242009131</c:v>
                </c:pt>
                <c:pt idx="11">
                  <c:v>0</c:v>
                </c:pt>
                <c:pt idx="12">
                  <c:v>-4.738154613466334E-2</c:v>
                </c:pt>
                <c:pt idx="13">
                  <c:v>-7.1052631578947367E-2</c:v>
                </c:pt>
                <c:pt idx="14">
                  <c:v>0.21194029850746268</c:v>
                </c:pt>
                <c:pt idx="15">
                  <c:v>0.26168224299065418</c:v>
                </c:pt>
                <c:pt idx="16">
                  <c:v>2.631578947368421E-3</c:v>
                </c:pt>
                <c:pt idx="17">
                  <c:v>0.39156626506024095</c:v>
                </c:pt>
                <c:pt idx="18">
                  <c:v>0</c:v>
                </c:pt>
                <c:pt idx="19">
                  <c:v>-0.18848167539267016</c:v>
                </c:pt>
                <c:pt idx="20">
                  <c:v>-8.7818696883852687E-2</c:v>
                </c:pt>
                <c:pt idx="21">
                  <c:v>6.1576354679802957E-2</c:v>
                </c:pt>
                <c:pt idx="22">
                  <c:v>-0.16049382716049382</c:v>
                </c:pt>
                <c:pt idx="23">
                  <c:v>-0.17847769028871391</c:v>
                </c:pt>
                <c:pt idx="24">
                  <c:v>6.9264069264069264E-2</c:v>
                </c:pt>
                <c:pt idx="25">
                  <c:v>0</c:v>
                </c:pt>
                <c:pt idx="26">
                  <c:v>0.30967741935483872</c:v>
                </c:pt>
                <c:pt idx="27">
                  <c:v>0.2267080745341615</c:v>
                </c:pt>
                <c:pt idx="28">
                  <c:v>-9.9767981438515077E-2</c:v>
                </c:pt>
                <c:pt idx="29">
                  <c:v>-3.5294117647058823E-2</c:v>
                </c:pt>
                <c:pt idx="30">
                  <c:v>-0.12779552715654952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3D-4256-B8E6-6C7BAA815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207584"/>
        <c:axId val="645202176"/>
      </c:barChart>
      <c:dateAx>
        <c:axId val="64520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02176"/>
        <c:crosses val="autoZero"/>
        <c:auto val="1"/>
        <c:lblOffset val="100"/>
        <c:baseTimeUnit val="days"/>
      </c:dateAx>
      <c:valAx>
        <c:axId val="6452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</a:t>
                </a:r>
                <a:r>
                  <a:rPr lang="en-JM" sz="1400" baseline="0"/>
                  <a:t> change of call volumes</a:t>
                </a:r>
                <a:endParaRPr lang="en-JM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0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Service Level vs ABR vs AU - BAR</a:t>
            </a:r>
            <a:endParaRPr lang="en-JM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Monthly'!chart_AU_BAR</c:f>
              <c:numCache>
                <c:formatCode>0%</c:formatCode>
                <c:ptCount val="31"/>
                <c:pt idx="0">
                  <c:v>0.49</c:v>
                </c:pt>
                <c:pt idx="1">
                  <c:v>0.48</c:v>
                </c:pt>
                <c:pt idx="2">
                  <c:v>0.51</c:v>
                </c:pt>
                <c:pt idx="3">
                  <c:v>0.47</c:v>
                </c:pt>
                <c:pt idx="4">
                  <c:v>0</c:v>
                </c:pt>
                <c:pt idx="5">
                  <c:v>0.53</c:v>
                </c:pt>
                <c:pt idx="6">
                  <c:v>0.44</c:v>
                </c:pt>
                <c:pt idx="7">
                  <c:v>0.46</c:v>
                </c:pt>
                <c:pt idx="8">
                  <c:v>0.37</c:v>
                </c:pt>
                <c:pt idx="9">
                  <c:v>0.44</c:v>
                </c:pt>
                <c:pt idx="10">
                  <c:v>0.5</c:v>
                </c:pt>
                <c:pt idx="11">
                  <c:v>0</c:v>
                </c:pt>
                <c:pt idx="12">
                  <c:v>0.57999999999999996</c:v>
                </c:pt>
                <c:pt idx="13">
                  <c:v>0.61</c:v>
                </c:pt>
                <c:pt idx="14">
                  <c:v>0.7</c:v>
                </c:pt>
                <c:pt idx="15">
                  <c:v>0.7</c:v>
                </c:pt>
                <c:pt idx="16">
                  <c:v>0.69</c:v>
                </c:pt>
                <c:pt idx="17">
                  <c:v>0.57999999999999996</c:v>
                </c:pt>
                <c:pt idx="18">
                  <c:v>0</c:v>
                </c:pt>
                <c:pt idx="19">
                  <c:v>0.43</c:v>
                </c:pt>
                <c:pt idx="20">
                  <c:v>0.56000000000000005</c:v>
                </c:pt>
                <c:pt idx="21">
                  <c:v>0.74</c:v>
                </c:pt>
                <c:pt idx="22">
                  <c:v>0.59</c:v>
                </c:pt>
                <c:pt idx="23">
                  <c:v>0.43</c:v>
                </c:pt>
                <c:pt idx="24">
                  <c:v>0.56999999999999995</c:v>
                </c:pt>
                <c:pt idx="25">
                  <c:v>0</c:v>
                </c:pt>
                <c:pt idx="26">
                  <c:v>0.47</c:v>
                </c:pt>
                <c:pt idx="27">
                  <c:v>0.68</c:v>
                </c:pt>
                <c:pt idx="28">
                  <c:v>0.67</c:v>
                </c:pt>
                <c:pt idx="29">
                  <c:v>0.45</c:v>
                </c:pt>
                <c:pt idx="30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04-4226-BBC9-D5F0B2779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09136"/>
        <c:axId val="477198736"/>
      </c:barChart>
      <c:lineChart>
        <c:grouping val="standard"/>
        <c:varyColors val="0"/>
        <c:ser>
          <c:idx val="0"/>
          <c:order val="0"/>
          <c:tx>
            <c:v>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Monthly'!chart_SL_BAR</c:f>
              <c:numCache>
                <c:formatCode>0%</c:formatCode>
                <c:ptCount val="31"/>
                <c:pt idx="0">
                  <c:v>0.63</c:v>
                </c:pt>
                <c:pt idx="1">
                  <c:v>0.84</c:v>
                </c:pt>
                <c:pt idx="2">
                  <c:v>0.9</c:v>
                </c:pt>
                <c:pt idx="3">
                  <c:v>0.89</c:v>
                </c:pt>
                <c:pt idx="4">
                  <c:v>0</c:v>
                </c:pt>
                <c:pt idx="5">
                  <c:v>0.75</c:v>
                </c:pt>
                <c:pt idx="6">
                  <c:v>0.89</c:v>
                </c:pt>
                <c:pt idx="7">
                  <c:v>0.9</c:v>
                </c:pt>
                <c:pt idx="8">
                  <c:v>0.91</c:v>
                </c:pt>
                <c:pt idx="9">
                  <c:v>0.9</c:v>
                </c:pt>
                <c:pt idx="10">
                  <c:v>0.87</c:v>
                </c:pt>
                <c:pt idx="11">
                  <c:v>0</c:v>
                </c:pt>
                <c:pt idx="12">
                  <c:v>0.66</c:v>
                </c:pt>
                <c:pt idx="13">
                  <c:v>0.6</c:v>
                </c:pt>
                <c:pt idx="14">
                  <c:v>0.77</c:v>
                </c:pt>
                <c:pt idx="15">
                  <c:v>0.89</c:v>
                </c:pt>
                <c:pt idx="16">
                  <c:v>0.85</c:v>
                </c:pt>
                <c:pt idx="17">
                  <c:v>0.73</c:v>
                </c:pt>
                <c:pt idx="18">
                  <c:v>0</c:v>
                </c:pt>
                <c:pt idx="19">
                  <c:v>0.66</c:v>
                </c:pt>
                <c:pt idx="20">
                  <c:v>0.89</c:v>
                </c:pt>
                <c:pt idx="21">
                  <c:v>0.75</c:v>
                </c:pt>
                <c:pt idx="22">
                  <c:v>0.85</c:v>
                </c:pt>
                <c:pt idx="23">
                  <c:v>0.92</c:v>
                </c:pt>
                <c:pt idx="24">
                  <c:v>0.56000000000000005</c:v>
                </c:pt>
                <c:pt idx="25">
                  <c:v>0</c:v>
                </c:pt>
                <c:pt idx="26">
                  <c:v>0.82</c:v>
                </c:pt>
                <c:pt idx="27">
                  <c:v>0.78</c:v>
                </c:pt>
                <c:pt idx="28">
                  <c:v>0.79</c:v>
                </c:pt>
                <c:pt idx="29">
                  <c:v>0.89</c:v>
                </c:pt>
                <c:pt idx="30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4-4226-BBC9-D5F0B2779B06}"/>
            </c:ext>
          </c:extLst>
        </c:ser>
        <c:ser>
          <c:idx val="1"/>
          <c:order val="1"/>
          <c:tx>
            <c:v>ABR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Monthly'!chart_ABR_BAR</c:f>
              <c:numCache>
                <c:formatCode>0%</c:formatCode>
                <c:ptCount val="31"/>
                <c:pt idx="0">
                  <c:v>0.15</c:v>
                </c:pt>
                <c:pt idx="1">
                  <c:v>0.05</c:v>
                </c:pt>
                <c:pt idx="2">
                  <c:v>0.04</c:v>
                </c:pt>
                <c:pt idx="3">
                  <c:v>0.04</c:v>
                </c:pt>
                <c:pt idx="4">
                  <c:v>0</c:v>
                </c:pt>
                <c:pt idx="5">
                  <c:v>0.09</c:v>
                </c:pt>
                <c:pt idx="6">
                  <c:v>0.05</c:v>
                </c:pt>
                <c:pt idx="7">
                  <c:v>0.02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</c:v>
                </c:pt>
                <c:pt idx="12">
                  <c:v>0.12</c:v>
                </c:pt>
                <c:pt idx="13">
                  <c:v>0.15</c:v>
                </c:pt>
                <c:pt idx="14">
                  <c:v>7.0000000000000007E-2</c:v>
                </c:pt>
                <c:pt idx="15">
                  <c:v>0.04</c:v>
                </c:pt>
                <c:pt idx="16">
                  <c:v>0.05</c:v>
                </c:pt>
                <c:pt idx="17">
                  <c:v>0.09</c:v>
                </c:pt>
                <c:pt idx="18">
                  <c:v>0</c:v>
                </c:pt>
                <c:pt idx="19">
                  <c:v>0.17</c:v>
                </c:pt>
                <c:pt idx="20">
                  <c:v>0.03</c:v>
                </c:pt>
                <c:pt idx="21">
                  <c:v>0.08</c:v>
                </c:pt>
                <c:pt idx="22">
                  <c:v>0.04</c:v>
                </c:pt>
                <c:pt idx="23">
                  <c:v>0.04</c:v>
                </c:pt>
                <c:pt idx="24">
                  <c:v>0.17</c:v>
                </c:pt>
                <c:pt idx="25">
                  <c:v>0</c:v>
                </c:pt>
                <c:pt idx="26">
                  <c:v>0.1</c:v>
                </c:pt>
                <c:pt idx="27">
                  <c:v>0.06</c:v>
                </c:pt>
                <c:pt idx="28">
                  <c:v>0.06</c:v>
                </c:pt>
                <c:pt idx="29">
                  <c:v>0.04</c:v>
                </c:pt>
                <c:pt idx="30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04-4226-BBC9-D5F0B2779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09136"/>
        <c:axId val="477198736"/>
      </c:lineChart>
      <c:dateAx>
        <c:axId val="47720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98736"/>
        <c:crosses val="autoZero"/>
        <c:auto val="1"/>
        <c:lblOffset val="100"/>
        <c:baseTimeUnit val="days"/>
      </c:dateAx>
      <c:valAx>
        <c:axId val="47719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% value of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0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JM" sz="1800" b="0" i="0" baseline="0">
                <a:effectLst/>
              </a:rPr>
              <a:t>WoW Analysis of Calls Offered and Calls Answered - BAR</a:t>
            </a:r>
            <a:endParaRPr lang="en-JM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JM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Barbados!$V$3</c:f>
              <c:strCache>
                <c:ptCount val="1"/>
                <c:pt idx="0">
                  <c:v>Sum of Calls - Offered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Barbados!$U$4:$U$56</c:f>
              <c:numCache>
                <c:formatCode>d\-mmm</c:formatCode>
                <c:ptCount val="53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  <c:pt idx="52">
                  <c:v>45019</c:v>
                </c:pt>
              </c:numCache>
            </c:numRef>
          </c:cat>
          <c:val>
            <c:numRef>
              <c:f>Barbados!$V$4:$V$56</c:f>
              <c:numCache>
                <c:formatCode>General</c:formatCode>
                <c:ptCount val="53"/>
                <c:pt idx="0">
                  <c:v>2421</c:v>
                </c:pt>
                <c:pt idx="1">
                  <c:v>2421</c:v>
                </c:pt>
                <c:pt idx="2">
                  <c:v>2580</c:v>
                </c:pt>
                <c:pt idx="3">
                  <c:v>2930</c:v>
                </c:pt>
                <c:pt idx="4">
                  <c:v>2363</c:v>
                </c:pt>
                <c:pt idx="5">
                  <c:v>2810</c:v>
                </c:pt>
                <c:pt idx="6">
                  <c:v>3123</c:v>
                </c:pt>
                <c:pt idx="7">
                  <c:v>2538</c:v>
                </c:pt>
                <c:pt idx="8">
                  <c:v>2284</c:v>
                </c:pt>
                <c:pt idx="9">
                  <c:v>2285</c:v>
                </c:pt>
                <c:pt idx="10">
                  <c:v>2160</c:v>
                </c:pt>
                <c:pt idx="11">
                  <c:v>3021</c:v>
                </c:pt>
                <c:pt idx="12">
                  <c:v>2787</c:v>
                </c:pt>
                <c:pt idx="13">
                  <c:v>2109</c:v>
                </c:pt>
                <c:pt idx="14">
                  <c:v>2404</c:v>
                </c:pt>
                <c:pt idx="15">
                  <c:v>3228</c:v>
                </c:pt>
                <c:pt idx="16">
                  <c:v>3338</c:v>
                </c:pt>
                <c:pt idx="17">
                  <c:v>1392</c:v>
                </c:pt>
                <c:pt idx="18">
                  <c:v>2818</c:v>
                </c:pt>
                <c:pt idx="19">
                  <c:v>3027</c:v>
                </c:pt>
                <c:pt idx="20">
                  <c:v>3694</c:v>
                </c:pt>
                <c:pt idx="21">
                  <c:v>4172</c:v>
                </c:pt>
                <c:pt idx="22">
                  <c:v>3787</c:v>
                </c:pt>
                <c:pt idx="23">
                  <c:v>3183</c:v>
                </c:pt>
                <c:pt idx="24">
                  <c:v>2661</c:v>
                </c:pt>
                <c:pt idx="25">
                  <c:v>3740</c:v>
                </c:pt>
                <c:pt idx="26">
                  <c:v>3641</c:v>
                </c:pt>
                <c:pt idx="27">
                  <c:v>3825</c:v>
                </c:pt>
                <c:pt idx="28">
                  <c:v>3193</c:v>
                </c:pt>
                <c:pt idx="29">
                  <c:v>3593</c:v>
                </c:pt>
                <c:pt idx="30">
                  <c:v>3660</c:v>
                </c:pt>
                <c:pt idx="31">
                  <c:v>3804</c:v>
                </c:pt>
                <c:pt idx="32">
                  <c:v>3395</c:v>
                </c:pt>
                <c:pt idx="33">
                  <c:v>4531</c:v>
                </c:pt>
                <c:pt idx="34">
                  <c:v>4553</c:v>
                </c:pt>
                <c:pt idx="35">
                  <c:v>4871</c:v>
                </c:pt>
                <c:pt idx="36">
                  <c:v>4889</c:v>
                </c:pt>
                <c:pt idx="37">
                  <c:v>6856</c:v>
                </c:pt>
                <c:pt idx="38">
                  <c:v>2889</c:v>
                </c:pt>
                <c:pt idx="39">
                  <c:v>2480</c:v>
                </c:pt>
                <c:pt idx="40">
                  <c:v>2146</c:v>
                </c:pt>
                <c:pt idx="41">
                  <c:v>2371</c:v>
                </c:pt>
                <c:pt idx="42">
                  <c:v>2442</c:v>
                </c:pt>
                <c:pt idx="43">
                  <c:v>0</c:v>
                </c:pt>
                <c:pt idx="44">
                  <c:v>1490</c:v>
                </c:pt>
                <c:pt idx="45">
                  <c:v>2275</c:v>
                </c:pt>
                <c:pt idx="46">
                  <c:v>2224</c:v>
                </c:pt>
                <c:pt idx="47">
                  <c:v>2289</c:v>
                </c:pt>
                <c:pt idx="48">
                  <c:v>2088</c:v>
                </c:pt>
                <c:pt idx="49">
                  <c:v>2366</c:v>
                </c:pt>
                <c:pt idx="50">
                  <c:v>2158</c:v>
                </c:pt>
                <c:pt idx="51">
                  <c:v>1905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A-4C69-B387-C2B6FB032536}"/>
            </c:ext>
          </c:extLst>
        </c:ser>
        <c:ser>
          <c:idx val="1"/>
          <c:order val="1"/>
          <c:tx>
            <c:strRef>
              <c:f>Barbados!$W$3</c:f>
              <c:strCache>
                <c:ptCount val="1"/>
                <c:pt idx="0">
                  <c:v>Sum of Calls - Answered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Barbados!$U$4:$U$56</c:f>
              <c:numCache>
                <c:formatCode>d\-mmm</c:formatCode>
                <c:ptCount val="53"/>
                <c:pt idx="0">
                  <c:v>44655</c:v>
                </c:pt>
                <c:pt idx="1">
                  <c:v>44662</c:v>
                </c:pt>
                <c:pt idx="2">
                  <c:v>44669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44697</c:v>
                </c:pt>
                <c:pt idx="7">
                  <c:v>44704</c:v>
                </c:pt>
                <c:pt idx="8">
                  <c:v>44711</c:v>
                </c:pt>
                <c:pt idx="9">
                  <c:v>44718</c:v>
                </c:pt>
                <c:pt idx="10">
                  <c:v>44725</c:v>
                </c:pt>
                <c:pt idx="11">
                  <c:v>44732</c:v>
                </c:pt>
                <c:pt idx="12">
                  <c:v>44739</c:v>
                </c:pt>
                <c:pt idx="13">
                  <c:v>44746</c:v>
                </c:pt>
                <c:pt idx="14">
                  <c:v>44753</c:v>
                </c:pt>
                <c:pt idx="15">
                  <c:v>44760</c:v>
                </c:pt>
                <c:pt idx="16">
                  <c:v>44767</c:v>
                </c:pt>
                <c:pt idx="17">
                  <c:v>44774</c:v>
                </c:pt>
                <c:pt idx="18">
                  <c:v>44781</c:v>
                </c:pt>
                <c:pt idx="19">
                  <c:v>44788</c:v>
                </c:pt>
                <c:pt idx="20">
                  <c:v>44795</c:v>
                </c:pt>
                <c:pt idx="21">
                  <c:v>44802</c:v>
                </c:pt>
                <c:pt idx="22">
                  <c:v>44809</c:v>
                </c:pt>
                <c:pt idx="23">
                  <c:v>44816</c:v>
                </c:pt>
                <c:pt idx="24">
                  <c:v>44823</c:v>
                </c:pt>
                <c:pt idx="25">
                  <c:v>44830</c:v>
                </c:pt>
                <c:pt idx="26">
                  <c:v>44837</c:v>
                </c:pt>
                <c:pt idx="27">
                  <c:v>44844</c:v>
                </c:pt>
                <c:pt idx="28">
                  <c:v>44851</c:v>
                </c:pt>
                <c:pt idx="29">
                  <c:v>44858</c:v>
                </c:pt>
                <c:pt idx="30">
                  <c:v>44865</c:v>
                </c:pt>
                <c:pt idx="31">
                  <c:v>44872</c:v>
                </c:pt>
                <c:pt idx="32">
                  <c:v>44879</c:v>
                </c:pt>
                <c:pt idx="33">
                  <c:v>44886</c:v>
                </c:pt>
                <c:pt idx="34">
                  <c:v>44893</c:v>
                </c:pt>
                <c:pt idx="35">
                  <c:v>44900</c:v>
                </c:pt>
                <c:pt idx="36">
                  <c:v>44907</c:v>
                </c:pt>
                <c:pt idx="37">
                  <c:v>44914</c:v>
                </c:pt>
                <c:pt idx="38">
                  <c:v>44921</c:v>
                </c:pt>
                <c:pt idx="39">
                  <c:v>44928</c:v>
                </c:pt>
                <c:pt idx="40">
                  <c:v>44935</c:v>
                </c:pt>
                <c:pt idx="41">
                  <c:v>44942</c:v>
                </c:pt>
                <c:pt idx="42">
                  <c:v>44949</c:v>
                </c:pt>
                <c:pt idx="43">
                  <c:v>44956</c:v>
                </c:pt>
                <c:pt idx="44">
                  <c:v>44963</c:v>
                </c:pt>
                <c:pt idx="45">
                  <c:v>44970</c:v>
                </c:pt>
                <c:pt idx="46">
                  <c:v>44977</c:v>
                </c:pt>
                <c:pt idx="47">
                  <c:v>44984</c:v>
                </c:pt>
                <c:pt idx="48">
                  <c:v>44991</c:v>
                </c:pt>
                <c:pt idx="49">
                  <c:v>44998</c:v>
                </c:pt>
                <c:pt idx="50">
                  <c:v>45005</c:v>
                </c:pt>
                <c:pt idx="51">
                  <c:v>45012</c:v>
                </c:pt>
                <c:pt idx="52">
                  <c:v>45019</c:v>
                </c:pt>
              </c:numCache>
            </c:numRef>
          </c:cat>
          <c:val>
            <c:numRef>
              <c:f>Barbados!$W$4:$W$56</c:f>
              <c:numCache>
                <c:formatCode>General</c:formatCode>
                <c:ptCount val="53"/>
                <c:pt idx="0">
                  <c:v>2281</c:v>
                </c:pt>
                <c:pt idx="1">
                  <c:v>2254</c:v>
                </c:pt>
                <c:pt idx="2">
                  <c:v>2331</c:v>
                </c:pt>
                <c:pt idx="3">
                  <c:v>2551</c:v>
                </c:pt>
                <c:pt idx="4">
                  <c:v>2162</c:v>
                </c:pt>
                <c:pt idx="5">
                  <c:v>2561</c:v>
                </c:pt>
                <c:pt idx="6">
                  <c:v>2934</c:v>
                </c:pt>
                <c:pt idx="7">
                  <c:v>2402</c:v>
                </c:pt>
                <c:pt idx="8">
                  <c:v>2202</c:v>
                </c:pt>
                <c:pt idx="9">
                  <c:v>2180</c:v>
                </c:pt>
                <c:pt idx="10">
                  <c:v>2075</c:v>
                </c:pt>
                <c:pt idx="11">
                  <c:v>2748</c:v>
                </c:pt>
                <c:pt idx="12">
                  <c:v>2525</c:v>
                </c:pt>
                <c:pt idx="13">
                  <c:v>1661</c:v>
                </c:pt>
                <c:pt idx="14">
                  <c:v>2134</c:v>
                </c:pt>
                <c:pt idx="15">
                  <c:v>2728</c:v>
                </c:pt>
                <c:pt idx="16">
                  <c:v>2533</c:v>
                </c:pt>
                <c:pt idx="17">
                  <c:v>1026</c:v>
                </c:pt>
                <c:pt idx="18">
                  <c:v>2275</c:v>
                </c:pt>
                <c:pt idx="19">
                  <c:v>2272</c:v>
                </c:pt>
                <c:pt idx="20">
                  <c:v>2854</c:v>
                </c:pt>
                <c:pt idx="21">
                  <c:v>2014</c:v>
                </c:pt>
                <c:pt idx="22">
                  <c:v>2158</c:v>
                </c:pt>
                <c:pt idx="23">
                  <c:v>2084</c:v>
                </c:pt>
                <c:pt idx="24">
                  <c:v>1928</c:v>
                </c:pt>
                <c:pt idx="25">
                  <c:v>2056</c:v>
                </c:pt>
                <c:pt idx="26">
                  <c:v>2042</c:v>
                </c:pt>
                <c:pt idx="27">
                  <c:v>2582</c:v>
                </c:pt>
                <c:pt idx="28">
                  <c:v>2521</c:v>
                </c:pt>
                <c:pt idx="29">
                  <c:v>3119</c:v>
                </c:pt>
                <c:pt idx="30">
                  <c:v>3093</c:v>
                </c:pt>
                <c:pt idx="31">
                  <c:v>2856</c:v>
                </c:pt>
                <c:pt idx="32">
                  <c:v>3193</c:v>
                </c:pt>
                <c:pt idx="33">
                  <c:v>3948</c:v>
                </c:pt>
                <c:pt idx="34">
                  <c:v>3562</c:v>
                </c:pt>
                <c:pt idx="35">
                  <c:v>3852</c:v>
                </c:pt>
                <c:pt idx="36">
                  <c:v>3832</c:v>
                </c:pt>
                <c:pt idx="37">
                  <c:v>4037</c:v>
                </c:pt>
                <c:pt idx="38">
                  <c:v>2412</c:v>
                </c:pt>
                <c:pt idx="39">
                  <c:v>1973</c:v>
                </c:pt>
                <c:pt idx="40">
                  <c:v>1989</c:v>
                </c:pt>
                <c:pt idx="41">
                  <c:v>1941</c:v>
                </c:pt>
                <c:pt idx="42">
                  <c:v>2302</c:v>
                </c:pt>
                <c:pt idx="43">
                  <c:v>0</c:v>
                </c:pt>
                <c:pt idx="44">
                  <c:v>1213</c:v>
                </c:pt>
                <c:pt idx="45">
                  <c:v>1950</c:v>
                </c:pt>
                <c:pt idx="46">
                  <c:v>2045</c:v>
                </c:pt>
                <c:pt idx="47">
                  <c:v>2089</c:v>
                </c:pt>
                <c:pt idx="48">
                  <c:v>1983</c:v>
                </c:pt>
                <c:pt idx="49">
                  <c:v>2158</c:v>
                </c:pt>
                <c:pt idx="50">
                  <c:v>1963</c:v>
                </c:pt>
                <c:pt idx="51">
                  <c:v>1790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A-4C69-B387-C2B6FB032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814975"/>
        <c:axId val="381817887"/>
      </c:lineChart>
      <c:dateAx>
        <c:axId val="38181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17887"/>
        <c:crosses val="autoZero"/>
        <c:auto val="1"/>
        <c:lblOffset val="100"/>
        <c:baseTimeUnit val="days"/>
      </c:dateAx>
      <c:valAx>
        <c:axId val="3818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 sz="1400"/>
                  <a:t>Call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Service Level vs Agents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BAR_SL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Monthly'!chart_SL_BAR</c:f>
              <c:numCache>
                <c:formatCode>0%</c:formatCode>
                <c:ptCount val="31"/>
                <c:pt idx="0">
                  <c:v>0.63</c:v>
                </c:pt>
                <c:pt idx="1">
                  <c:v>0.84</c:v>
                </c:pt>
                <c:pt idx="2">
                  <c:v>0.9</c:v>
                </c:pt>
                <c:pt idx="3">
                  <c:v>0.89</c:v>
                </c:pt>
                <c:pt idx="4">
                  <c:v>0</c:v>
                </c:pt>
                <c:pt idx="5">
                  <c:v>0.75</c:v>
                </c:pt>
                <c:pt idx="6">
                  <c:v>0.89</c:v>
                </c:pt>
                <c:pt idx="7">
                  <c:v>0.9</c:v>
                </c:pt>
                <c:pt idx="8">
                  <c:v>0.91</c:v>
                </c:pt>
                <c:pt idx="9">
                  <c:v>0.9</c:v>
                </c:pt>
                <c:pt idx="10">
                  <c:v>0.87</c:v>
                </c:pt>
                <c:pt idx="11">
                  <c:v>0</c:v>
                </c:pt>
                <c:pt idx="12">
                  <c:v>0.66</c:v>
                </c:pt>
                <c:pt idx="13">
                  <c:v>0.6</c:v>
                </c:pt>
                <c:pt idx="14">
                  <c:v>0.77</c:v>
                </c:pt>
                <c:pt idx="15">
                  <c:v>0.89</c:v>
                </c:pt>
                <c:pt idx="16">
                  <c:v>0.85</c:v>
                </c:pt>
                <c:pt idx="17">
                  <c:v>0.73</c:v>
                </c:pt>
                <c:pt idx="18">
                  <c:v>0</c:v>
                </c:pt>
                <c:pt idx="19">
                  <c:v>0.66</c:v>
                </c:pt>
                <c:pt idx="20">
                  <c:v>0.89</c:v>
                </c:pt>
                <c:pt idx="21">
                  <c:v>0.75</c:v>
                </c:pt>
                <c:pt idx="22">
                  <c:v>0.85</c:v>
                </c:pt>
                <c:pt idx="23">
                  <c:v>0.92</c:v>
                </c:pt>
                <c:pt idx="24">
                  <c:v>0.56000000000000005</c:v>
                </c:pt>
                <c:pt idx="25">
                  <c:v>0</c:v>
                </c:pt>
                <c:pt idx="26">
                  <c:v>0.82</c:v>
                </c:pt>
                <c:pt idx="27">
                  <c:v>0.78</c:v>
                </c:pt>
                <c:pt idx="28">
                  <c:v>0.79</c:v>
                </c:pt>
                <c:pt idx="29">
                  <c:v>0.89</c:v>
                </c:pt>
                <c:pt idx="3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C-41E6-8183-B55263CD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5131951"/>
        <c:axId val="1625132367"/>
      </c:barChart>
      <c:lineChart>
        <c:grouping val="standard"/>
        <c:varyColors val="0"/>
        <c:ser>
          <c:idx val="1"/>
          <c:order val="1"/>
          <c:tx>
            <c:v>BAR_Agents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 Chat KPIs - Monthly'!chart_period_BAR</c:f>
              <c:numCache>
                <c:formatCode>d\-mmm</c:formatCode>
                <c:ptCount val="3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</c:numCache>
            </c:numRef>
          </c:cat>
          <c:val>
            <c:numRef>
              <c:f>'Live Chat KPIs - Monthly'!chart_WFM_BAR</c:f>
              <c:numCache>
                <c:formatCode>0.00</c:formatCode>
                <c:ptCount val="31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0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0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0</c:v>
                </c:pt>
                <c:pt idx="26">
                  <c:v>6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0C-41E6-8183-B55263CD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133199"/>
        <c:axId val="1625132783"/>
      </c:lineChart>
      <c:dateAx>
        <c:axId val="1625131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32367"/>
        <c:crosses val="autoZero"/>
        <c:auto val="1"/>
        <c:lblOffset val="100"/>
        <c:baseTimeUnit val="days"/>
      </c:dateAx>
      <c:valAx>
        <c:axId val="162513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Service Level Achieved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31951"/>
        <c:crosses val="autoZero"/>
        <c:crossBetween val="between"/>
      </c:valAx>
      <c:valAx>
        <c:axId val="16251327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Agents</a:t>
                </a:r>
                <a:r>
                  <a:rPr lang="en-JM" baseline="0"/>
                  <a:t> </a:t>
                </a:r>
                <a:r>
                  <a:rPr lang="en-JM"/>
                  <a:t>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33199"/>
        <c:crosses val="max"/>
        <c:crossBetween val="between"/>
      </c:valAx>
      <c:dateAx>
        <c:axId val="162513319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625132783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Barbados!$V$155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Barbados!$W$155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F-43D0-8A15-DE7D105C92CE}"/>
            </c:ext>
          </c:extLst>
        </c:ser>
        <c:ser>
          <c:idx val="1"/>
          <c:order val="1"/>
          <c:tx>
            <c:strRef>
              <c:f>Barbados!$V$156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Barbados!$W$156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1F-43D0-8A15-DE7D105C92CE}"/>
            </c:ext>
          </c:extLst>
        </c:ser>
        <c:ser>
          <c:idx val="2"/>
          <c:order val="2"/>
          <c:tx>
            <c:strRef>
              <c:f>Barbados!$V$157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Barbados!$W$157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1F-43D0-8A15-DE7D105C92CE}"/>
            </c:ext>
          </c:extLst>
        </c:ser>
        <c:ser>
          <c:idx val="3"/>
          <c:order val="3"/>
          <c:tx>
            <c:strRef>
              <c:f>Barbados!$V$158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Barbados!$W$158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1F-43D0-8A15-DE7D105C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5406127"/>
        <c:axId val="295406543"/>
      </c:barChart>
      <c:lineChart>
        <c:grouping val="standard"/>
        <c:varyColors val="0"/>
        <c:ser>
          <c:idx val="4"/>
          <c:order val="4"/>
          <c:tx>
            <c:strRef>
              <c:f>Barbados!$V$159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6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3926401273002659"/>
                  <c:y val="-4.8096220939966641E-2"/>
                </c:manualLayout>
              </c:layout>
              <c:numFmt formatCode="[mm]:ss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772887062072826"/>
                      <c:h val="0.169275859320363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3C1F-43D0-8A15-DE7D105C92CE}"/>
                </c:ext>
              </c:extLst>
            </c:dLbl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Barbados!$W$159</c:f>
              <c:numCache>
                <c:formatCode>[mm]:ss</c:formatCode>
                <c:ptCount val="1"/>
                <c:pt idx="0">
                  <c:v>1.8814300411522631E-3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1F-43D0-8A15-DE7D105C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406127"/>
        <c:axId val="295406543"/>
      </c:lineChart>
      <c:catAx>
        <c:axId val="295406127"/>
        <c:scaling>
          <c:orientation val="minMax"/>
        </c:scaling>
        <c:delete val="1"/>
        <c:axPos val="b"/>
        <c:majorTickMark val="none"/>
        <c:minorTickMark val="none"/>
        <c:tickLblPos val="nextTo"/>
        <c:crossAx val="295406543"/>
        <c:crosses val="autoZero"/>
        <c:auto val="1"/>
        <c:lblAlgn val="ctr"/>
        <c:lblOffset val="100"/>
        <c:noMultiLvlLbl val="0"/>
      </c:catAx>
      <c:valAx>
        <c:axId val="295406543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06127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113722</xdr:colOff>
      <xdr:row>68</xdr:row>
      <xdr:rowOff>168998</xdr:rowOff>
    </xdr:from>
    <xdr:to>
      <xdr:col>29</xdr:col>
      <xdr:colOff>442767</xdr:colOff>
      <xdr:row>83</xdr:row>
      <xdr:rowOff>101602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25176E-85B5-4572-B6C5-C889D2839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269224</xdr:colOff>
      <xdr:row>84</xdr:row>
      <xdr:rowOff>1906</xdr:rowOff>
    </xdr:from>
    <xdr:to>
      <xdr:col>28</xdr:col>
      <xdr:colOff>1658</xdr:colOff>
      <xdr:row>98</xdr:row>
      <xdr:rowOff>119453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F60AF5-107B-4B3B-BC7B-9D1630179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64944</xdr:colOff>
      <xdr:row>109</xdr:row>
      <xdr:rowOff>30739</xdr:rowOff>
    </xdr:from>
    <xdr:to>
      <xdr:col>34</xdr:col>
      <xdr:colOff>31750</xdr:colOff>
      <xdr:row>126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AA7B84-4883-40D7-9E25-D7044E99A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341475</xdr:colOff>
      <xdr:row>6</xdr:row>
      <xdr:rowOff>131665</xdr:rowOff>
    </xdr:from>
    <xdr:to>
      <xdr:col>37</xdr:col>
      <xdr:colOff>7937</xdr:colOff>
      <xdr:row>20</xdr:row>
      <xdr:rowOff>206375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E9F4F9-192E-485D-9149-129F88DA6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492327</xdr:colOff>
      <xdr:row>83</xdr:row>
      <xdr:rowOff>133414</xdr:rowOff>
    </xdr:from>
    <xdr:to>
      <xdr:col>42</xdr:col>
      <xdr:colOff>388778</xdr:colOff>
      <xdr:row>99</xdr:row>
      <xdr:rowOff>58316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7A17F4-2201-4255-9E67-24497CD5A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59532</xdr:colOff>
      <xdr:row>311</xdr:row>
      <xdr:rowOff>84931</xdr:rowOff>
    </xdr:from>
    <xdr:to>
      <xdr:col>25</xdr:col>
      <xdr:colOff>31751</xdr:colOff>
      <xdr:row>326</xdr:row>
      <xdr:rowOff>89694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85D02C-D0EB-4ED8-A0E4-866DFE7C0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15004</xdr:colOff>
      <xdr:row>101</xdr:row>
      <xdr:rowOff>2927</xdr:rowOff>
    </xdr:from>
    <xdr:to>
      <xdr:col>32</xdr:col>
      <xdr:colOff>613210</xdr:colOff>
      <xdr:row>115</xdr:row>
      <xdr:rowOff>124572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21B8EB-EF4F-4D6A-AACB-C4C876A48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590862</xdr:colOff>
      <xdr:row>117</xdr:row>
      <xdr:rowOff>6784</xdr:rowOff>
    </xdr:from>
    <xdr:to>
      <xdr:col>33</xdr:col>
      <xdr:colOff>0</xdr:colOff>
      <xdr:row>132</xdr:row>
      <xdr:rowOff>10583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D5F319-DCB2-4031-92B7-06AD8762C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610099</xdr:colOff>
      <xdr:row>133</xdr:row>
      <xdr:rowOff>11704</xdr:rowOff>
    </xdr:from>
    <xdr:to>
      <xdr:col>32</xdr:col>
      <xdr:colOff>597647</xdr:colOff>
      <xdr:row>146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A8FA09-33AD-4828-B897-123493B77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7470</xdr:colOff>
      <xdr:row>14</xdr:row>
      <xdr:rowOff>1806</xdr:rowOff>
    </xdr:from>
    <xdr:to>
      <xdr:col>35</xdr:col>
      <xdr:colOff>23813</xdr:colOff>
      <xdr:row>29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03131-4C97-438D-A727-6055CDFCE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391583</xdr:colOff>
      <xdr:row>115</xdr:row>
      <xdr:rowOff>101598</xdr:rowOff>
    </xdr:from>
    <xdr:to>
      <xdr:col>41</xdr:col>
      <xdr:colOff>59266</xdr:colOff>
      <xdr:row>130</xdr:row>
      <xdr:rowOff>149223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A1B912-464B-430A-AA0E-9B001C521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190501</xdr:colOff>
      <xdr:row>131</xdr:row>
      <xdr:rowOff>37304</xdr:rowOff>
    </xdr:from>
    <xdr:to>
      <xdr:col>35</xdr:col>
      <xdr:colOff>190501</xdr:colOff>
      <xdr:row>146</xdr:row>
      <xdr:rowOff>55563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4E60A-6732-47D8-826D-904D6EF8F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552824</xdr:colOff>
      <xdr:row>77</xdr:row>
      <xdr:rowOff>11019</xdr:rowOff>
    </xdr:from>
    <xdr:to>
      <xdr:col>30</xdr:col>
      <xdr:colOff>590177</xdr:colOff>
      <xdr:row>91</xdr:row>
      <xdr:rowOff>145863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A5C04E-E0CE-4979-9CAE-E4E48B618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672352</xdr:colOff>
      <xdr:row>92</xdr:row>
      <xdr:rowOff>122518</xdr:rowOff>
    </xdr:from>
    <xdr:to>
      <xdr:col>32</xdr:col>
      <xdr:colOff>268940</xdr:colOff>
      <xdr:row>107</xdr:row>
      <xdr:rowOff>64247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664BBD-C50F-4008-B531-FC4035EC0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111</xdr:row>
      <xdr:rowOff>55283</xdr:rowOff>
    </xdr:from>
    <xdr:to>
      <xdr:col>29</xdr:col>
      <xdr:colOff>149412</xdr:colOff>
      <xdr:row>125</xdr:row>
      <xdr:rowOff>183777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29B011-38AC-4801-8CEC-A0206F3BC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306291</xdr:colOff>
      <xdr:row>6</xdr:row>
      <xdr:rowOff>152401</xdr:rowOff>
    </xdr:from>
    <xdr:to>
      <xdr:col>36</xdr:col>
      <xdr:colOff>46181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464C5-3E29-4B63-8B75-6FAB37816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7470</xdr:colOff>
      <xdr:row>127</xdr:row>
      <xdr:rowOff>14943</xdr:rowOff>
    </xdr:from>
    <xdr:to>
      <xdr:col>26</xdr:col>
      <xdr:colOff>22411</xdr:colOff>
      <xdr:row>141</xdr:row>
      <xdr:rowOff>82176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9C97CA-851C-4107-A897-89478B9BE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288426</xdr:colOff>
      <xdr:row>72</xdr:row>
      <xdr:rowOff>101141</xdr:rowOff>
    </xdr:from>
    <xdr:to>
      <xdr:col>32</xdr:col>
      <xdr:colOff>528543</xdr:colOff>
      <xdr:row>87</xdr:row>
      <xdr:rowOff>93299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52B02A-FD91-4F1B-8A02-086794E8A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453024</xdr:colOff>
      <xdr:row>99</xdr:row>
      <xdr:rowOff>42451</xdr:rowOff>
    </xdr:from>
    <xdr:to>
      <xdr:col>37</xdr:col>
      <xdr:colOff>603528</xdr:colOff>
      <xdr:row>114</xdr:row>
      <xdr:rowOff>31434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C0C6D5-45F5-4869-A8EB-B8E9945DA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769651</xdr:colOff>
      <xdr:row>121</xdr:row>
      <xdr:rowOff>102671</xdr:rowOff>
    </xdr:from>
    <xdr:to>
      <xdr:col>38</xdr:col>
      <xdr:colOff>340999</xdr:colOff>
      <xdr:row>136</xdr:row>
      <xdr:rowOff>91654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012DCF-AC54-4FB3-A82F-165C38C7E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106114</xdr:colOff>
      <xdr:row>11</xdr:row>
      <xdr:rowOff>118317</xdr:rowOff>
    </xdr:from>
    <xdr:to>
      <xdr:col>38</xdr:col>
      <xdr:colOff>136071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FF2C-380D-4BDB-90F6-0F53C56ED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103512</xdr:colOff>
      <xdr:row>117</xdr:row>
      <xdr:rowOff>152130</xdr:rowOff>
    </xdr:from>
    <xdr:to>
      <xdr:col>46</xdr:col>
      <xdr:colOff>550843</xdr:colOff>
      <xdr:row>133</xdr:row>
      <xdr:rowOff>11474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6D1DC4-5501-4015-926B-AD328617A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437616</xdr:colOff>
      <xdr:row>133</xdr:row>
      <xdr:rowOff>28461</xdr:rowOff>
    </xdr:from>
    <xdr:to>
      <xdr:col>21</xdr:col>
      <xdr:colOff>520241</xdr:colOff>
      <xdr:row>148</xdr:row>
      <xdr:rowOff>17444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14578B-84E7-46A8-ACF6-F133B8F16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854075</xdr:colOff>
      <xdr:row>81</xdr:row>
      <xdr:rowOff>71526</xdr:rowOff>
    </xdr:from>
    <xdr:to>
      <xdr:col>33</xdr:col>
      <xdr:colOff>551745</xdr:colOff>
      <xdr:row>96</xdr:row>
      <xdr:rowOff>56445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B9FE08-F9F5-4316-BFDF-DF4746C23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1516063</xdr:colOff>
      <xdr:row>96</xdr:row>
      <xdr:rowOff>108743</xdr:rowOff>
    </xdr:from>
    <xdr:to>
      <xdr:col>33</xdr:col>
      <xdr:colOff>150812</xdr:colOff>
      <xdr:row>111</xdr:row>
      <xdr:rowOff>113506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D01B15-5EEF-4702-9DCD-52BEF8449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28575</xdr:colOff>
      <xdr:row>112</xdr:row>
      <xdr:rowOff>145254</xdr:rowOff>
    </xdr:from>
    <xdr:to>
      <xdr:col>27</xdr:col>
      <xdr:colOff>452437</xdr:colOff>
      <xdr:row>128</xdr:row>
      <xdr:rowOff>107155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422F92-58C0-4F28-943D-548433C22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550068</xdr:colOff>
      <xdr:row>4</xdr:row>
      <xdr:rowOff>151604</xdr:rowOff>
    </xdr:from>
    <xdr:to>
      <xdr:col>35</xdr:col>
      <xdr:colOff>392545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5F434B-A6BF-42B5-B8D2-76C0CEDC1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7410</xdr:colOff>
      <xdr:row>113</xdr:row>
      <xdr:rowOff>2115</xdr:rowOff>
    </xdr:from>
    <xdr:to>
      <xdr:col>38</xdr:col>
      <xdr:colOff>0</xdr:colOff>
      <xdr:row>128</xdr:row>
      <xdr:rowOff>42334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2C91E4-ED90-485B-8832-EA589253B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601084</xdr:colOff>
      <xdr:row>139</xdr:row>
      <xdr:rowOff>144822</xdr:rowOff>
    </xdr:from>
    <xdr:to>
      <xdr:col>28</xdr:col>
      <xdr:colOff>603972</xdr:colOff>
      <xdr:row>154</xdr:row>
      <xdr:rowOff>181119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1F6F09-1C1A-48C0-ABB2-644B2D7B9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8988-7BE6-4CED-BC60-37DB2712FAE0}" name="Table32" displayName="Table32" ref="A3:H12" totalsRowShown="0" headerRowDxfId="290" dataDxfId="288" headerRowBorderDxfId="289" tableBorderDxfId="287" totalsRowBorderDxfId="286">
  <autoFilter ref="A3:H12" xr:uid="{521D8988-7BE6-4CED-BC60-37DB2712FAE0}"/>
  <tableColumns count="8">
    <tableColumn id="1" xr3:uid="{ABF25065-B947-4726-9538-F4FA1237CC05}" name="KPIs" dataDxfId="285"/>
    <tableColumn id="2" xr3:uid="{01670FA7-34AE-4FF9-AD72-8B46DD3D10C1}" name="Targets" dataDxfId="284"/>
    <tableColumn id="3" xr3:uid="{CE000B4A-0E8D-42FE-BCE1-DF6C53D0955D}" name="TTO" dataDxfId="283"/>
    <tableColumn id="4" xr3:uid="{9BB2FA1F-BBDD-4545-87A2-57076DD3513D}" name="JAM" dataDxfId="282"/>
    <tableColumn id="5" xr3:uid="{D2270F34-DE5E-4388-A446-513CF993B39C}" name="BAR" dataDxfId="281"/>
    <tableColumn id="6" xr3:uid="{55ADC9AD-3B00-4C0E-801B-63E27DABAB33}" name="OECS" dataDxfId="280"/>
    <tableColumn id="7" xr3:uid="{A394CC33-52E0-4FA4-83A8-B3E8C6A852B5}" name="GUY" dataDxfId="279"/>
    <tableColumn id="8" xr3:uid="{5CF751FF-2D7C-4276-A835-7ADA0D40426D}" name="BEL" dataDxfId="2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FD32FF-EA43-49E3-84B7-28B554A76C00}" name="Table26" displayName="Table26" ref="A15:G22" totalsRowShown="0" headerRowDxfId="277" headerRowBorderDxfId="276" tableBorderDxfId="275" totalsRowBorderDxfId="274">
  <autoFilter ref="A15:G22" xr:uid="{B5FD32FF-EA43-49E3-84B7-28B554A76C00}"/>
  <tableColumns count="7">
    <tableColumn id="1" xr3:uid="{0FC8DA96-050E-40AD-997E-8647DF0DE2CC}" name="KPIs" dataDxfId="273"/>
    <tableColumn id="2" xr3:uid="{668A1404-49CA-4661-918F-80E91B9883BD}" name="TTO"/>
    <tableColumn id="3" xr3:uid="{42D7ACF3-53F4-4663-B108-6B8B5CD02FE8}" name="JAM"/>
    <tableColumn id="4" xr3:uid="{54D241E7-7945-4D3F-BF63-9D359CB7FBB0}" name="BAR" dataDxfId="272"/>
    <tableColumn id="5" xr3:uid="{405E4939-0C4B-4909-A73F-5790B3842DF6}" name="OECS" dataDxfId="271"/>
    <tableColumn id="6" xr3:uid="{2E1403DA-B155-4BE4-B5D9-186A5DE9764D}" name="GUY" dataDxfId="270"/>
    <tableColumn id="7" xr3:uid="{10B0A785-E7E5-458C-AEAA-D830EB774FF7}" name="BEL" dataDxfId="2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A5A66-678E-41C6-82F5-B4E9F28966E6}" name="Table3212" displayName="Table3212" ref="A3:H12" totalsRowShown="0" headerRowDxfId="268" dataDxfId="266" headerRowBorderDxfId="267" tableBorderDxfId="265" totalsRowBorderDxfId="264">
  <autoFilter ref="A3:H12" xr:uid="{521D8988-7BE6-4CED-BC60-37DB2712FAE0}"/>
  <tableColumns count="8">
    <tableColumn id="1" xr3:uid="{456B2C02-174B-45B0-A0B7-84B0B0BF568E}" name="KPIs" dataDxfId="263"/>
    <tableColumn id="2" xr3:uid="{79AB5D98-D4A0-44D1-842E-2E66BA661B9B}" name="Targets" dataDxfId="262"/>
    <tableColumn id="3" xr3:uid="{3D76E84B-4D5C-451B-94A7-7F92E80888D1}" name="TTO" dataDxfId="261"/>
    <tableColumn id="4" xr3:uid="{B8DA72B1-C1A0-4F8B-961F-20DCBB35765C}" name="JAM" dataDxfId="260"/>
    <tableColumn id="5" xr3:uid="{BCCE6BAB-42A2-42A0-BEB4-F158A249DB84}" name="BAR" dataDxfId="259"/>
    <tableColumn id="6" xr3:uid="{9AAE3E2A-9C50-4EA1-AA88-82B4B39E6932}" name="OECS" dataDxfId="258"/>
    <tableColumn id="7" xr3:uid="{B6AD5F0D-C31C-469F-9927-B5FA956517F3}" name="GUY" dataDxfId="257"/>
    <tableColumn id="8" xr3:uid="{E5A1A957-6C58-487E-A94F-9A211B43668B}" name="BEL" dataDxfId="2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3DAAA5-BAC8-4410-B15E-951BD7681639}" name="Table2613" displayName="Table2613" ref="A15:G22" totalsRowShown="0" headerRowDxfId="255" headerRowBorderDxfId="254" tableBorderDxfId="253" totalsRowBorderDxfId="252">
  <autoFilter ref="A15:G22" xr:uid="{B5FD32FF-EA43-49E3-84B7-28B554A76C00}"/>
  <tableColumns count="7">
    <tableColumn id="1" xr3:uid="{4BE5302D-6200-4272-860B-0FAEAC7158FE}" name="KPIs" dataDxfId="251"/>
    <tableColumn id="2" xr3:uid="{E1CE0F82-906B-414F-AFF4-FBEB78C44086}" name="TTO"/>
    <tableColumn id="3" xr3:uid="{F5F62F16-FA17-4720-BE40-169CE3ED5FA6}" name="JAM"/>
    <tableColumn id="4" xr3:uid="{2AD57CA2-1433-49C0-B7E5-828831D12E50}" name="BAR" dataDxfId="250"/>
    <tableColumn id="5" xr3:uid="{CF9DD4B6-07E6-4668-822E-29495BF495E4}" name="OECS" dataDxfId="249"/>
    <tableColumn id="6" xr3:uid="{DF73CB00-15FC-461E-9265-BFD6A4246602}" name="GUY" dataDxfId="248"/>
    <tableColumn id="7" xr3:uid="{59715729-6CCA-4E40-BCC1-DDC840A909FC}" name="BEL" dataDxfId="2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43AE2B-41E6-4BBF-B078-6C490F9AE5B4}" name="Table11821" displayName="Table11821" ref="B3:K11" totalsRowShown="0" headerRowDxfId="246" headerRowBorderDxfId="245" tableBorderDxfId="244" totalsRowBorderDxfId="243">
  <autoFilter ref="B3:K11" xr:uid="{5543AE2B-41E6-4BBF-B078-6C490F9AE5B4}"/>
  <tableColumns count="10">
    <tableColumn id="1" xr3:uid="{451F5A9D-D76F-4F59-BDB9-3AEEC940D4A7}" name="Country " dataDxfId="242"/>
    <tableColumn id="2" xr3:uid="{9930CC33-1271-450D-85A7-103236B34507}" name="Calls Presented"/>
    <tableColumn id="3" xr3:uid="{2651B912-BB21-42F0-BFBD-07EA4CEDCEE6}" name="Calls Handled"/>
    <tableColumn id="9" xr3:uid="{3A538D5A-375D-48E0-B15F-66DF27F371E9}" name="Avg Percent Change Calls Offered (Week over Week)"/>
    <tableColumn id="10" xr3:uid="{D15F439B-C39B-4B2B-817C-C4B526002E06}" name=" Avg Percent Change Calls Ans (Week over Week)"/>
    <tableColumn id="4" xr3:uid="{67B16908-25DC-459C-BCFA-879826143DD6}" name="SVL"/>
    <tableColumn id="5" xr3:uid="{35FDDE83-0F51-4177-9268-227A715F44A9}" name="ANS"/>
    <tableColumn id="6" xr3:uid="{538AA387-AE07-4C86-B497-DD6820E34CFE}" name="ABR" dataDxfId="241"/>
    <tableColumn id="7" xr3:uid="{94ECD204-4146-49AF-9DBE-24989AEA8D57}" name="AU/AO" dataDxfId="240"/>
    <tableColumn id="8" xr3:uid="{9D4D4738-B6F6-4F6A-9FDF-4A3A9BC2B249}" name="A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B1C2832-819F-48D5-B925-9FAD0D06AC33}" name="Table1182122" displayName="Table1182122" ref="B17:K25" totalsRowShown="0" headerRowDxfId="239" headerRowBorderDxfId="238" tableBorderDxfId="237" totalsRowBorderDxfId="236">
  <autoFilter ref="B17:K25" xr:uid="{2B1C2832-819F-48D5-B925-9FAD0D06AC33}"/>
  <tableColumns count="10">
    <tableColumn id="1" xr3:uid="{6ED3D2DE-80E4-4C1B-969F-ACA2CA92D7C2}" name="Country " dataDxfId="235"/>
    <tableColumn id="2" xr3:uid="{897639BD-2821-46B9-ADA4-2682E385013C}" name="Calls Presented"/>
    <tableColumn id="3" xr3:uid="{E8E842B1-9430-43B0-A9E5-4255C4EBCDE8}" name="Calls Handled"/>
    <tableColumn id="9" xr3:uid="{7BBC6B2A-DF41-426B-B4C3-E008F3C3744D}" name="Avg Percent Change Calls Offered (Week over Week)"/>
    <tableColumn id="10" xr3:uid="{B8D115A6-CC49-4AE0-B9D9-3E9AE4210E6F}" name=" Avg Percent Change Calls Ans (Week over Week)"/>
    <tableColumn id="4" xr3:uid="{BBDB0A32-DB01-43D7-AF73-F688356D9B68}" name="SVL"/>
    <tableColumn id="5" xr3:uid="{1A6FDE04-7566-41CB-8655-0C8C12257685}" name="ANS"/>
    <tableColumn id="6" xr3:uid="{3AE8C4FD-11C8-4F08-A3BB-0C11D150A8B3}" name="ABR" dataDxfId="234"/>
    <tableColumn id="7" xr3:uid="{B2A1FD9D-3780-4FB1-B1FC-F862CC981374}" name="AU/AO" dataDxfId="233"/>
    <tableColumn id="8" xr3:uid="{A916088B-D46A-466A-847E-3647BC92B80A}" name="A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AFA85B-BEA0-4087-80FD-7DBCFC1BC005}" name="Table11617" displayName="Table11617" ref="B3:I11" totalsRowShown="0" headerRowDxfId="232" headerRowBorderDxfId="231" tableBorderDxfId="230" totalsRowBorderDxfId="229">
  <autoFilter ref="B3:I11" xr:uid="{09AFA85B-BEA0-4087-80FD-7DBCFC1BC005}"/>
  <tableColumns count="8">
    <tableColumn id="1" xr3:uid="{A683B96A-2B09-4B74-BB6F-783E0002EFA4}" name="Country " dataDxfId="228"/>
    <tableColumn id="2" xr3:uid="{9A71779A-F8FB-438A-8B9B-84012181646F}" name="Calls Presented"/>
    <tableColumn id="3" xr3:uid="{4E22A933-3FBA-45D1-A40C-2FA79486CCAC}" name="Calls Handled"/>
    <tableColumn id="4" xr3:uid="{E9E3875E-357D-4BCA-AD2C-0761719FE5B4}" name="SVL"/>
    <tableColumn id="5" xr3:uid="{A0EEDCF8-7F34-4997-B4F5-0B3CBAAE2EBF}" name="ANS"/>
    <tableColumn id="6" xr3:uid="{7C85EC14-005E-4764-9C8E-097F052CACC6}" name="ABR" dataDxfId="227"/>
    <tableColumn id="7" xr3:uid="{45699FA6-CF8F-4EBD-94CF-709D86985479}" name="AU/AO" dataDxfId="226"/>
    <tableColumn id="8" xr3:uid="{DF9A2ACB-660D-4DCE-99F9-A0958C6478BB}" name="A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43A536-7EB7-4733-A073-B66A8A06F4DA}" name="Table1161720" displayName="Table1161720" ref="L3:U11" totalsRowShown="0" headerRowDxfId="225" headerRowBorderDxfId="224" tableBorderDxfId="223" totalsRowBorderDxfId="222">
  <autoFilter ref="L3:U11" xr:uid="{A343A536-7EB7-4733-A073-B66A8A06F4DA}"/>
  <tableColumns count="10">
    <tableColumn id="1" xr3:uid="{67E23DA5-D648-4799-AEB7-DEAFEC227F77}" name="Country " dataDxfId="221"/>
    <tableColumn id="2" xr3:uid="{A3665C4D-62B0-4DDE-93C5-AE6A937A999F}" name="Calls Presented"/>
    <tableColumn id="3" xr3:uid="{DC5B3947-F0D1-434E-8DDC-111F881A86EE}" name="Calls Handled"/>
    <tableColumn id="9" xr3:uid="{2C821F28-4E4F-43EB-BD35-B13BF74D759D}" name="Percentage Change Calls Offered (MoM)"/>
    <tableColumn id="10" xr3:uid="{565963B1-B282-4EAB-9E2C-AF5B7C61496E}" name="Percentage Change Calls Answered (MoM)"/>
    <tableColumn id="4" xr3:uid="{C8178365-BD0A-4E41-83B6-B58ACE1051BE}" name="SVL"/>
    <tableColumn id="5" xr3:uid="{73F350C5-0485-44AA-9CDA-89AFFC75585D}" name="ANS"/>
    <tableColumn id="6" xr3:uid="{0A22FDDE-B11A-45BB-BAEB-84AF06C77658}" name="ABR" dataDxfId="220"/>
    <tableColumn id="7" xr3:uid="{87CCC65D-8D87-467B-91F4-251868B16581}" name="AU/AO" dataDxfId="219"/>
    <tableColumn id="8" xr3:uid="{33394499-FCA3-4BA4-85A7-80573DBEFF5E}" name="A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289AA0-2E8F-4A8B-BC02-648DF9705DCE}" name="Table116172016" displayName="Table116172016" ref="A15:J23" totalsRowShown="0" headerRowDxfId="218" headerRowBorderDxfId="217" tableBorderDxfId="216" totalsRowBorderDxfId="215">
  <autoFilter ref="A15:J23" xr:uid="{C3289AA0-2E8F-4A8B-BC02-648DF9705DCE}"/>
  <tableColumns count="10">
    <tableColumn id="1" xr3:uid="{59592756-BDC1-4029-AD92-6FD3C8CAA56E}" name="Country " dataDxfId="214"/>
    <tableColumn id="2" xr3:uid="{153332B9-91B6-4341-8684-643978325B9A}" name="Calls Presented"/>
    <tableColumn id="3" xr3:uid="{830D4EBC-E5D4-4C9C-8348-720F214FEA86}" name="Calls Handled"/>
    <tableColumn id="9" xr3:uid="{099F5270-9B17-4F99-809D-9A404FBA2410}" name="Percentage Change Calls Offered (MoM)"/>
    <tableColumn id="10" xr3:uid="{98184CEF-FA30-414F-B6FC-2E7FE21D7D28}" name="Percentage Change Calls Answered (MoM)"/>
    <tableColumn id="4" xr3:uid="{87D52633-C134-4A49-94D9-AC8B6100CDB2}" name="SVL"/>
    <tableColumn id="5" xr3:uid="{66AFECBD-5ACF-466C-A0CF-25CA7CFDADF0}" name="ANS"/>
    <tableColumn id="6" xr3:uid="{413572AC-9F22-4AA9-83E7-55BF4F6ACBF8}" name="ABR" dataDxfId="213"/>
    <tableColumn id="7" xr3:uid="{E3703453-BB8B-4D2E-A173-89517DC4B958}" name="AU/AO" dataDxfId="212"/>
    <tableColumn id="8" xr3:uid="{A8702158-0663-4494-AC7B-7D3BD21DF7C3}" name="A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20942D-4CCB-40ED-88D5-E43FAF715349}" name="Table116172019" displayName="Table116172019" ref="L15:U23" totalsRowShown="0" headerRowDxfId="211" headerRowBorderDxfId="210" tableBorderDxfId="209" totalsRowBorderDxfId="208">
  <autoFilter ref="L15:U23" xr:uid="{8920942D-4CCB-40ED-88D5-E43FAF715349}"/>
  <tableColumns count="10">
    <tableColumn id="1" xr3:uid="{58F325AC-39DE-499B-833A-6E20523C1D90}" name="Country " dataDxfId="207"/>
    <tableColumn id="2" xr3:uid="{81AD7983-7D8A-429A-A5CC-89691450686D}" name="Calls Presented"/>
    <tableColumn id="3" xr3:uid="{BD0AB51C-AC52-488C-BC49-1AAC9EB91994}" name="Calls Handled"/>
    <tableColumn id="9" xr3:uid="{D44A1580-CA47-45BB-ACF6-75F80F2B5634}" name="Percentage Change Calls Offered (MoM)"/>
    <tableColumn id="10" xr3:uid="{232BB311-1A39-49F4-9FE5-59FF5EA8C6B3}" name="Percentage Change Calls Answered (MoM)"/>
    <tableColumn id="4" xr3:uid="{819D80B3-3E21-4CC7-8820-1399F724B2BB}" name="SVL"/>
    <tableColumn id="5" xr3:uid="{5C85C2D1-8EB5-4877-A4D3-1D378AE26DA4}" name="ANS"/>
    <tableColumn id="6" xr3:uid="{5CA5C802-0E8C-40E2-9E8E-B5429CCC3450}" name="ABR" dataDxfId="206"/>
    <tableColumn id="7" xr3:uid="{D08B193B-5491-45D3-AB3C-7A5297753FB1}" name="AU/AO" dataDxfId="205"/>
    <tableColumn id="8" xr3:uid="{07E6300A-3A7F-49D4-8FFC-71C46DEA3886}" name="A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20AC36-3948-4F67-B905-C847CA63F525}" name="Table11617201923" displayName="Table11617201923" ref="L27:U35" totalsRowShown="0" headerRowDxfId="204" headerRowBorderDxfId="203" tableBorderDxfId="202" totalsRowBorderDxfId="201">
  <autoFilter ref="L27:U35" xr:uid="{B320AC36-3948-4F67-B905-C847CA63F525}"/>
  <tableColumns count="10">
    <tableColumn id="1" xr3:uid="{7E1CBDA9-B3E5-4B36-9F34-7C6748A8719A}" name="Country " dataDxfId="200"/>
    <tableColumn id="2" xr3:uid="{CF3BAFF1-17F2-4306-B2EC-8C41D2F8A3D4}" name="Calls Presented"/>
    <tableColumn id="3" xr3:uid="{065C8690-A525-48CF-8E35-C3AFA413B05D}" name="Calls Handled"/>
    <tableColumn id="9" xr3:uid="{ED299AB7-DB20-449B-B3F4-D57AB8D55495}" name="Percentage Change Calls Offered (MoM)"/>
    <tableColumn id="10" xr3:uid="{17F61A8E-4CD8-48D6-A018-6E2DF98692FF}" name="Percentage Change Calls Answered (MoM)"/>
    <tableColumn id="4" xr3:uid="{5E4C341E-1A4A-4CF6-84FA-EB92C142201C}" name="SVL"/>
    <tableColumn id="5" xr3:uid="{5353FBEC-2524-4C56-815C-2FBB71BD02D7}" name="ANS"/>
    <tableColumn id="6" xr3:uid="{C29E8375-E38A-4C95-9D41-2FAFCFEC56A3}" name="ABR" dataDxfId="199"/>
    <tableColumn id="7" xr3:uid="{9A7D007C-C8FC-40E9-9810-E910203B56EC}" name="AU/AO" dataDxfId="198"/>
    <tableColumn id="8" xr3:uid="{A50CB434-02CB-4C47-9EA0-8BD2FE7521E6}" name="A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66FCEF4-AA5A-4EF1-A8E1-47AFAD69CD33}" name="Table1161720192324" displayName="Table1161720192324" ref="L39:U47" totalsRowShown="0" headerRowDxfId="197" headerRowBorderDxfId="196" tableBorderDxfId="195" totalsRowBorderDxfId="194">
  <autoFilter ref="L39:U47" xr:uid="{C66FCEF4-AA5A-4EF1-A8E1-47AFAD69CD33}"/>
  <tableColumns count="10">
    <tableColumn id="1" xr3:uid="{5677FF45-617A-400E-ACD7-1A735AFAEDC1}" name="Country " dataDxfId="193"/>
    <tableColumn id="2" xr3:uid="{628D1F7A-7FC6-4153-A687-897596FDA618}" name="Calls Presented"/>
    <tableColumn id="3" xr3:uid="{C6045E5B-7D66-4916-B48F-A0F476D90E96}" name="Calls Handled"/>
    <tableColumn id="9" xr3:uid="{965C118F-D691-437E-AA58-F485AE832CFF}" name="Percentage Change Calls Offered (MoM)"/>
    <tableColumn id="10" xr3:uid="{08391648-B0CB-496C-8DD6-D171E471509A}" name="Percentage Change Calls Answered (MoM)"/>
    <tableColumn id="4" xr3:uid="{D77EEDC8-1C3E-4855-9873-2E0E75D2FC84}" name="SVL"/>
    <tableColumn id="5" xr3:uid="{56FFA124-0869-4C2A-8C86-E9C58147C78E}" name="ANS"/>
    <tableColumn id="6" xr3:uid="{CA6734BF-5657-4BC3-A6F6-B20531D06EB6}" name="ABR" dataDxfId="192"/>
    <tableColumn id="7" xr3:uid="{565D5370-0C31-4882-B7F6-FCF8D7A40C8A}" name="AU/AO" dataDxfId="191"/>
    <tableColumn id="8" xr3:uid="{95CB7142-1874-4646-95A2-E95C0C05F4FA}" name="A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589837-4FA1-4290-ACC9-7A1BA9576ABB}" name="Table6" displayName="Table6" ref="A1:S366" totalsRowShown="0" headerRowDxfId="190" dataDxfId="189" tableBorderDxfId="188">
  <autoFilter ref="A1:S366" xr:uid="{1A589837-4FA1-4290-ACC9-7A1BA9576ABB}"/>
  <tableColumns count="19">
    <tableColumn id="1" xr3:uid="{5B0B2CC6-1EDF-44E8-B015-CDBFA0252EB8}" name="Date" dataDxfId="187"/>
    <tableColumn id="2" xr3:uid="{BE5856E4-FBFB-4C35-A65F-C2D4A4BA9293}" name="Day of the week" dataDxfId="186"/>
    <tableColumn id="14" xr3:uid="{BF5A5395-A12F-4E9E-A647-67A83815DD33}" name="Fiscal" dataDxfId="185"/>
    <tableColumn id="3" xr3:uid="{1FDA9D53-6343-4171-984D-F016DAC3A452}" name="Calls Off" dataDxfId="184"/>
    <tableColumn id="4" xr3:uid="{D7416F57-D8EB-4F89-9398-731CDDF7ABF0}" name="Calls Ans" dataDxfId="183"/>
    <tableColumn id="15" xr3:uid="{D3392110-4913-4772-AC41-5FF4F2D55325}" name="WoW % change (offer)" dataDxfId="182"/>
    <tableColumn id="16" xr3:uid="{4850BBEB-69C5-4C58-8175-16B47FA4DB42}" name="WoW % change (ans)" dataDxfId="181"/>
    <tableColumn id="5" xr3:uid="{345F2D57-222A-465B-ACBF-3E3886251986}" name="MTD Calls Offered" dataDxfId="180"/>
    <tableColumn id="6" xr3:uid="{AFBACC44-8F54-4409-B28C-F2FED98A9AA3}" name="MTD Calls Ans" dataDxfId="179"/>
    <tableColumn id="7" xr3:uid="{46C6239A-72B7-41C8-B156-E8AAA15B8BD5}" name="YTD Calls Offer" dataDxfId="178"/>
    <tableColumn id="8" xr3:uid="{35AE4E71-7FCC-43C6-B930-2816402C25B5}" name="YTD Calls Ans" dataDxfId="177"/>
    <tableColumn id="9" xr3:uid="{4237DCC4-BC67-4247-990C-ED3BB46D6B8A}" name="SL" dataDxfId="176"/>
    <tableColumn id="10" xr3:uid="{FDD78479-64EA-45DB-B8B0-F11600F5296F}" name="ABR" dataDxfId="175"/>
    <tableColumn id="11" xr3:uid="{CD009091-6A29-416D-871F-C316D4C56C97}" name="ANS" dataDxfId="174"/>
    <tableColumn id="12" xr3:uid="{AED37AE2-E9DF-435E-B9DE-0B0072CB8AFB}" name="AO/AU" dataDxfId="173"/>
    <tableColumn id="13" xr3:uid="{825101E1-4A13-4A3E-90D4-618CF733E293}" name="AA" dataDxfId="172"/>
    <tableColumn id="18" xr3:uid="{75DC9B28-E6D4-4080-8C87-0DB0A78152D7}" name="AHT" dataDxfId="171"/>
    <tableColumn id="19" xr3:uid="{8E05AADC-40F1-487F-BA5D-60A431F61BBD}" name="AWT" dataDxfId="170"/>
    <tableColumn id="17" xr3:uid="{A372F43D-ED52-4B5C-8A21-12EF2AFFC659}" name="Agents Log" dataDxfId="16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D0F0DD-8C17-452A-8F8A-E6A11F0F238F}" name="Table13" displayName="Table13" ref="U5:W58" totalsRowShown="0">
  <autoFilter ref="U5:W58" xr:uid="{B9D0F0DD-8C17-452A-8F8A-E6A11F0F238F}"/>
  <tableColumns count="3">
    <tableColumn id="1" xr3:uid="{0590E773-C95C-4F3B-9661-D5B141B064DC}" name="Week of" dataDxfId="168">
      <calculatedColumnFormula>U5+7</calculatedColumnFormula>
    </tableColumn>
    <tableColumn id="2" xr3:uid="{A597A63E-0EFB-4A1C-884E-C7360B0A4FF8}" name="Sum of Calls - Offered" dataDxfId="167">
      <calculatedColumnFormula array="1">SUMIFS(calls_off_JAM,period_JAM,"&gt;="&amp;U6,period_JAM,"&lt;"&amp;U7)</calculatedColumnFormula>
    </tableColumn>
    <tableColumn id="3" xr3:uid="{82B4EE72-438E-4032-9C6F-B39675B9AF4E}" name="Sum of Calls - Answered" dataDxfId="166">
      <calculatedColumnFormula array="1">SUMIFS(calls_ans_JAM,period_JAM,"&gt;="&amp;U6,period_JAM,"&lt;"&amp;U7)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EA32E-4CF4-4942-AC7A-C86A045E15D4}" name="Table2" displayName="Table2" ref="A1:Q366" totalsRowShown="0" headerRowDxfId="165" dataDxfId="164" tableBorderDxfId="163">
  <autoFilter ref="A1:Q366" xr:uid="{0D0EA32E-4CF4-4942-AC7A-C86A045E15D4}"/>
  <tableColumns count="17">
    <tableColumn id="1" xr3:uid="{078F076C-A212-46BB-BFDD-5D5F0E00699F}" name="Date" dataDxfId="162" totalsRowDxfId="161"/>
    <tableColumn id="2" xr3:uid="{002690E0-B1FA-4110-8195-9C3D6CA0F646}" name="Day of the week" dataDxfId="160" totalsRowDxfId="159"/>
    <tableColumn id="3" xr3:uid="{79E08CDC-7DE4-4D41-9365-758CDBD52E9F}" name="Fiscal" dataDxfId="158" totalsRowDxfId="157"/>
    <tableColumn id="4" xr3:uid="{419E9EA2-2E24-4F7D-8D93-62EFFE986929}" name="Calls Off" dataDxfId="156" totalsRowDxfId="155"/>
    <tableColumn id="5" xr3:uid="{1ABBAEB1-FFAB-4450-BB74-0B3D8B2DD354}" name="Calls Ans" dataDxfId="154" totalsRowDxfId="153"/>
    <tableColumn id="6" xr3:uid="{7FE7E079-0ABF-44CA-92F1-7C78C55750DC}" name="WoW % change (offer)" dataDxfId="152" totalsRowDxfId="151"/>
    <tableColumn id="7" xr3:uid="{0EDE91B2-9E54-4788-9989-58B11E7074EA}" name="WoW % change (ans)" dataDxfId="150" totalsRowDxfId="149"/>
    <tableColumn id="8" xr3:uid="{C1B75734-C045-4927-A31F-A083C1692622}" name="MTD Calls Offered" dataDxfId="148" totalsRowDxfId="147"/>
    <tableColumn id="9" xr3:uid="{CF93A49B-E584-4FC3-B287-327859E7F9A1}" name="MTD Calls Ans" dataDxfId="146" totalsRowDxfId="145"/>
    <tableColumn id="10" xr3:uid="{C50CD3D0-A084-4042-AF70-249A679D3753}" name="YTD Calls Offer" dataDxfId="144" totalsRowDxfId="143"/>
    <tableColumn id="11" xr3:uid="{F57373B4-1A20-4415-9FA4-C14574F4964A}" name="YTD Calls Ans" dataDxfId="142" totalsRowDxfId="141"/>
    <tableColumn id="12" xr3:uid="{8C4E032F-6A91-41CF-83C5-BCB63E14A4DB}" name="SL" dataDxfId="140" totalsRowDxfId="139"/>
    <tableColumn id="13" xr3:uid="{E11ABD54-2EE7-4CC3-A0E5-32E98874164F}" name="ABR" dataDxfId="138" totalsRowDxfId="137"/>
    <tableColumn id="14" xr3:uid="{F03AD841-747D-4ACD-84FD-6C99D6677ABC}" name="ANS" dataDxfId="136" totalsRowDxfId="135"/>
    <tableColumn id="15" xr3:uid="{78D2C07D-5A63-4628-9B33-47F2FC54A289}" name="AO/AU" dataDxfId="134" totalsRowDxfId="133"/>
    <tableColumn id="16" xr3:uid="{BAA93BDE-3F39-483D-9AE3-7A35FD3FB6BE}" name="AA" dataDxfId="132" totalsRowDxfId="131"/>
    <tableColumn id="18" xr3:uid="{EEFE7BAF-A4C1-4615-91A5-C9678CD83698}" name="AHT" dataDxfId="130" totalsRowDxfId="12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B41494-2563-4798-8709-D9674739CD81}" name="Table8" displayName="Table8" ref="S7:U60" totalsRowShown="0" headerRowDxfId="128" headerRowBorderDxfId="127" tableBorderDxfId="126" totalsRowBorderDxfId="125">
  <autoFilter ref="S7:U60" xr:uid="{CBB41494-2563-4798-8709-D9674739CD81}"/>
  <tableColumns count="3">
    <tableColumn id="1" xr3:uid="{36199FB1-55FC-4DA5-A945-4B71C0CA6BE9}" name="Week Of" dataDxfId="124">
      <calculatedColumnFormula>S7+7</calculatedColumnFormula>
    </tableColumn>
    <tableColumn id="2" xr3:uid="{4A5CCE66-0C63-4E6E-B22F-9CE91541357B}" name="Sum of Calls - Offered" dataDxfId="123">
      <calculatedColumnFormula array="1">SUMIFS(calls_off_OECS,period_OECS,"&gt;="&amp;S8,period_OECS,"&lt;"&amp;S9)</calculatedColumnFormula>
    </tableColumn>
    <tableColumn id="3" xr3:uid="{6B9C22F2-42C4-4CD0-A709-261823EACAF5}" name="Sum of Calls - Answered" dataDxfId="122">
      <calculatedColumnFormula>SUMIFS(E2:E109,A3:A110,"&gt;="&amp;S8,A2:A109,"&lt;"&amp;S9)</calculatedColumnFormula>
    </tableColumn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815D4A-6205-4F1A-99C1-36BFB03190B0}" name="Table9" displayName="Table9" ref="A1:R366" totalsRowShown="0" headerRowDxfId="121" headerRowBorderDxfId="120" tableBorderDxfId="119" totalsRowBorderDxfId="118">
  <autoFilter ref="A1:R366" xr:uid="{D6815D4A-6205-4F1A-99C1-36BFB03190B0}"/>
  <tableColumns count="18">
    <tableColumn id="1" xr3:uid="{684C2A67-DC9A-4607-B057-0C27865EE6AF}" name="Date" dataDxfId="117"/>
    <tableColumn id="2" xr3:uid="{AF9ECCD9-3DFB-4B6B-9E82-379C59680363}" name="Day of the week" dataDxfId="116"/>
    <tableColumn id="14" xr3:uid="{A7FC41C0-38E6-4020-8156-86D1C5750F29}" name="Fiscal" dataDxfId="115"/>
    <tableColumn id="3" xr3:uid="{667353EE-4623-46F6-938B-1AF956C6933D}" name="Calls Off" dataDxfId="114"/>
    <tableColumn id="4" xr3:uid="{6D51C60B-EBF9-4541-96D4-044D7B91928D}" name="Calls Ans" dataDxfId="113"/>
    <tableColumn id="15" xr3:uid="{BBA78EBE-6FCB-4469-9BE0-8CB7A617D727}" name="WoW % change (offer)" dataDxfId="112"/>
    <tableColumn id="16" xr3:uid="{B328993E-B0F8-4140-BBDF-3C6BE70A92C3}" name="WoW % change (ans)" dataDxfId="111"/>
    <tableColumn id="5" xr3:uid="{EF9450E7-1607-4F24-B7AE-514068BBA7AF}" name="MTD Calls Offered" dataDxfId="110"/>
    <tableColumn id="6" xr3:uid="{6A284087-92E9-4091-BDCA-D08D79A1465A}" name="MTD Calls Ans" dataDxfId="109"/>
    <tableColumn id="7" xr3:uid="{23770DA1-70C8-4924-B4A0-850F881EE83C}" name="YTD Calls Offer" dataDxfId="108"/>
    <tableColumn id="8" xr3:uid="{DA8E0B8C-1F42-481A-91C1-95BF8BE85E8F}" name="YTD Calls Ans" dataDxfId="107"/>
    <tableColumn id="9" xr3:uid="{310A1A03-E23E-4AF4-9192-456C51ED5D13}" name="SL" dataDxfId="106"/>
    <tableColumn id="10" xr3:uid="{840BAABA-5A43-43DC-864C-DE2331E47D36}" name="ABR" dataDxfId="105"/>
    <tableColumn id="11" xr3:uid="{CC24FDFE-E1BE-4D59-B4BF-F38CAAAC48BC}" name="ANS" dataDxfId="104"/>
    <tableColumn id="12" xr3:uid="{05460178-4686-4F94-941B-61A36DEA788A}" name="AO/AU" dataDxfId="103"/>
    <tableColumn id="13" xr3:uid="{4DC4B710-5C41-468E-8254-6F57AC8E4FEC}" name="AA" dataDxfId="102"/>
    <tableColumn id="18" xr3:uid="{86762D67-4433-4B79-A1E8-E5CF80740905}" name="AHT" dataDxfId="101"/>
    <tableColumn id="17" xr3:uid="{17B12E1A-9EE1-4008-80C9-2D2C5D731D33}" name="Agents Log" dataDxfId="100"/>
  </tableColumns>
  <tableStyleInfo name="TableStyleLight1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11EC0F-9B19-4482-852C-5305F9D29AF8}" name="Table10" displayName="Table10" ref="T7:V60" totalsRowShown="0" headerRowDxfId="99" headerRowBorderDxfId="98" tableBorderDxfId="97" totalsRowBorderDxfId="96">
  <autoFilter ref="T7:V60" xr:uid="{4011EC0F-9B19-4482-852C-5305F9D29AF8}"/>
  <tableColumns count="3">
    <tableColumn id="1" xr3:uid="{477AC96E-C096-4AA6-A2B3-776D806D9CCF}" name="Week of" dataDxfId="95">
      <calculatedColumnFormula>T7+7</calculatedColumnFormula>
    </tableColumn>
    <tableColumn id="2" xr3:uid="{6D15E549-8D03-4762-B080-85A90A9D45BA}" name="Sum of Calls - Offered" dataDxfId="94">
      <calculatedColumnFormula array="1">SUMIFS(calls_off_GUY,period_GUY,"&gt;="&amp;T8,period_GUY,"&lt;"&amp;T9)</calculatedColumnFormula>
    </tableColumn>
    <tableColumn id="3" xr3:uid="{7C906D59-B431-456F-B01C-77E96DAFD043}" name="Sum of Calls - Answered" dataDxfId="93">
      <calculatedColumnFormula array="1">SUMIFS(calls_ans_GUY,period_GUY,"&gt;="&amp;T8,period_GUY,"&lt;"&amp;T9)</calculatedColumnFormula>
    </tableColumn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52CFC4-9E28-4DDB-9943-49AC9065DE71}" name="Table7" displayName="Table7" ref="A1:S366" totalsRowShown="0" headerRowDxfId="92" tableBorderDxfId="91">
  <autoFilter ref="A1:S366" xr:uid="{3052CFC4-9E28-4DDB-9943-49AC9065DE71}"/>
  <tableColumns count="19">
    <tableColumn id="1" xr3:uid="{C9188B86-882B-4531-9A7C-9C8E74CF4DCD}" name="Date" dataDxfId="90" totalsRowDxfId="89"/>
    <tableColumn id="2" xr3:uid="{8344D3B9-AC84-4150-B225-34BF77D3592E}" name="Day of the week" dataDxfId="88" totalsRowDxfId="87"/>
    <tableColumn id="14" xr3:uid="{C29776C6-4F85-4204-BBD4-7595D56E4BAD}" name="Fiscal" dataDxfId="86" totalsRowDxfId="85"/>
    <tableColumn id="3" xr3:uid="{36D3F057-C4A6-4ECB-BBA1-0422ED4322C2}" name="Calls Off" dataDxfId="84" totalsRowDxfId="83"/>
    <tableColumn id="4" xr3:uid="{48A00883-2030-48B1-BBC1-6FA1DBF92293}" name="Calls Ans" dataDxfId="82" totalsRowDxfId="81"/>
    <tableColumn id="15" xr3:uid="{9649B7A5-7919-4975-955B-3B6C35464C70}" name="WoW % change (offer)" dataDxfId="80" totalsRowDxfId="79"/>
    <tableColumn id="16" xr3:uid="{1F703A6A-FD49-47C1-BBCC-053F475F8081}" name="WoW % change (ans)" dataDxfId="78" totalsRowDxfId="77"/>
    <tableColumn id="5" xr3:uid="{DFF29B31-8A29-42E7-8A58-A7983425BB1A}" name="MTD Calls Offered" dataDxfId="76" totalsRowDxfId="75"/>
    <tableColumn id="6" xr3:uid="{A6B0FB5C-00D8-4813-BFD7-187C5BBE5F8E}" name="MTD Calls Ans" dataDxfId="74" totalsRowDxfId="73"/>
    <tableColumn id="7" xr3:uid="{BC18EA59-A5AC-49CE-A729-4AEFE9008FDD}" name="YTD Calls Offer" dataDxfId="72" totalsRowDxfId="71"/>
    <tableColumn id="8" xr3:uid="{27E7F2E3-6DBC-405E-B89F-A89D77189D05}" name="YTD Calls Ans" dataDxfId="70" totalsRowDxfId="69"/>
    <tableColumn id="9" xr3:uid="{C78EBBC1-F1A6-46CD-89AF-279BC9A3E4E2}" name="SL" dataDxfId="68" totalsRowDxfId="67"/>
    <tableColumn id="10" xr3:uid="{528632EF-EB19-4A23-A290-B6F67423399C}" name="ABR" dataDxfId="66" totalsRowDxfId="65"/>
    <tableColumn id="11" xr3:uid="{A7B18275-A049-46AD-9864-9406E87B4545}" name="ANS" dataDxfId="64" totalsRowDxfId="63"/>
    <tableColumn id="12" xr3:uid="{F578E4E4-AEB7-4722-BF14-9CB5D4E60521}" name="AO/AU" dataDxfId="62" totalsRowDxfId="61"/>
    <tableColumn id="13" xr3:uid="{25A10A5C-C99C-456C-93AD-D7B33D475788}" name="AA" dataDxfId="60" totalsRowDxfId="59"/>
    <tableColumn id="18" xr3:uid="{BD060F69-631C-43B0-9215-7EEF16A5FFDD}" name="AHT" dataDxfId="58" totalsRowDxfId="57"/>
    <tableColumn id="19" xr3:uid="{EC8CCAD5-DF0F-424B-833F-E80D6B3E991D}" name="AWT" dataDxfId="56" totalsRowDxfId="55"/>
    <tableColumn id="17" xr3:uid="{E8A66EB3-2D71-4752-ADBB-32490072A07A}" name="Agents Log" dataDxfId="54" totalsRowDxfId="5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EB218E-6C20-4792-BEBB-FBC817FA4AA2}" name="Table4" displayName="Table4" ref="V13:X66" totalsRowShown="0">
  <autoFilter ref="V13:X66" xr:uid="{CEEB218E-6C20-4792-BEBB-FBC817FA4AA2}"/>
  <tableColumns count="3">
    <tableColumn id="1" xr3:uid="{2E9E8C8B-6C61-4131-9387-F37B2B5AA83F}" name="Week of" dataDxfId="52">
      <calculatedColumnFormula>V13+7</calculatedColumnFormula>
    </tableColumn>
    <tableColumn id="2" xr3:uid="{2A55958A-8386-4857-AA3A-808DE8D6820D}" name="Sum of Calls - Offered" dataDxfId="51">
      <calculatedColumnFormula>SUMIFS(Table7[Calls Off],Table7[Date],"&gt;="&amp;V14,Table7[Date],"&lt;"&amp;V15)</calculatedColumnFormula>
    </tableColumn>
    <tableColumn id="3" xr3:uid="{4DAF6653-BB52-41A3-A27D-4D70BE79B68B}" name="Sum of Calls - Answered" dataDxfId="50">
      <calculatedColumnFormula>SUMIFS(Table7[Calls Ans],Table7[Date],"&gt;="&amp;V14,Table7[Date],"&lt;"&amp;V15)</calculatedColumnFormula>
    </tableColumn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9B38A-627C-487A-BFA1-3DBDE790FC6F}" name="Table3" displayName="Table3" ref="A1:S366" totalsRowShown="0" headerRowDxfId="49" dataDxfId="47" headerRowBorderDxfId="48" tableBorderDxfId="46" totalsRowBorderDxfId="45" dataCellStyle="Percent">
  <autoFilter ref="A1:S366" xr:uid="{C949B38A-627C-487A-BFA1-3DBDE790FC6F}"/>
  <tableColumns count="19">
    <tableColumn id="1" xr3:uid="{FBC787A4-1197-4204-AEAB-FB44728BBC5A}" name="Date" dataDxfId="44" totalsRowDxfId="43"/>
    <tableColumn id="2" xr3:uid="{1ECDDE43-8A94-474F-9A32-0C8867E5C886}" name="Day of the week" dataDxfId="42" totalsRowDxfId="41"/>
    <tableColumn id="3" xr3:uid="{F252616B-C7F5-4E2C-87B3-2A18B23AF7AE}" name="Fiscal" dataDxfId="40" totalsRowDxfId="39"/>
    <tableColumn id="4" xr3:uid="{4D1E97E3-D23B-4CBB-8416-331578574872}" name="Calls Off" dataDxfId="38" totalsRowDxfId="37"/>
    <tableColumn id="5" xr3:uid="{85E5D003-8598-45E2-B192-48979EE48A09}" name="Calls Ans" dataDxfId="36" totalsRowDxfId="35"/>
    <tableColumn id="6" xr3:uid="{1ED6EC18-D513-4473-AD49-7A75EB9E7FA3}" name="WoW % change (offer)" dataDxfId="34" totalsRowDxfId="33"/>
    <tableColumn id="7" xr3:uid="{C9DAB305-599A-462D-A017-9665B7EB109D}" name="WoW % change (ans)" dataDxfId="32" totalsRowDxfId="31"/>
    <tableColumn id="8" xr3:uid="{3A01DA71-133A-4AAF-B7AE-585A4C3EB4F9}" name="MTD Calls Offered" dataDxfId="30" totalsRowDxfId="29"/>
    <tableColumn id="9" xr3:uid="{66E4ED2D-B541-4E37-9219-591D12D9BA20}" name="MTD Calls Ans" dataDxfId="28" totalsRowDxfId="27"/>
    <tableColumn id="10" xr3:uid="{A3A46A50-4464-44B3-B4E3-8004FCA5B400}" name="YTD Calls Offer" dataDxfId="26" totalsRowDxfId="25"/>
    <tableColumn id="11" xr3:uid="{A96EAF46-43AA-41B5-A8CA-E9CFCEFB9575}" name="YTD Calls Ans" dataDxfId="24" totalsRowDxfId="23"/>
    <tableColumn id="12" xr3:uid="{307F1BDF-DDF2-4681-A9E1-68A99832D08E}" name="SL" dataDxfId="22" totalsRowDxfId="21" dataCellStyle="Percent"/>
    <tableColumn id="13" xr3:uid="{6CC697F2-5181-4D11-BAE7-B262C0DC3C68}" name="ABR" dataDxfId="20" totalsRowDxfId="19" dataCellStyle="Percent"/>
    <tableColumn id="14" xr3:uid="{F57C4767-26F2-4824-92A9-40754F2F8C28}" name="ANS" dataDxfId="18" totalsRowDxfId="17" dataCellStyle="Percent"/>
    <tableColumn id="15" xr3:uid="{BD547FF2-B6B0-4AEE-B983-61B17D7CDD45}" name="AO/AU" dataDxfId="16" totalsRowDxfId="15" dataCellStyle="Percent"/>
    <tableColumn id="16" xr3:uid="{E50FA3FB-F553-449F-8702-69F70B6CAC12}" name="AA" dataDxfId="14" totalsRowDxfId="13" dataCellStyle="Percent"/>
    <tableColumn id="18" xr3:uid="{E8754235-7652-465C-8D9B-A9337A8A56A7}" name="AHT" dataDxfId="12" totalsRowDxfId="11" dataCellStyle="Percent"/>
    <tableColumn id="19" xr3:uid="{0107B893-12D3-4462-8775-0B2DE6319A4E}" name="AWT" dataDxfId="10" totalsRowDxfId="9" dataCellStyle="Percent"/>
    <tableColumn id="17" xr3:uid="{3BB2F00B-07C6-48C3-87E2-1CB96C898F3A}" name="Agents Log" dataDxfId="8" totalsRowDxfId="7" dataCellStyle="Percent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C18D0D-B81D-46F7-BA6A-01D34339BFF7}" name="Table14" displayName="Table14" ref="U3:W56" totalsRowShown="0" headerRowDxfId="6" headerRowBorderDxfId="5" tableBorderDxfId="4" totalsRowBorderDxfId="3">
  <autoFilter ref="U3:W56" xr:uid="{E2C18D0D-B81D-46F7-BA6A-01D34339BFF7}"/>
  <tableColumns count="3">
    <tableColumn id="1" xr3:uid="{898A7E87-679D-4D87-87E2-67BEE8688433}" name="Week of" dataDxfId="2">
      <calculatedColumnFormula>U3+7</calculatedColumnFormula>
    </tableColumn>
    <tableColumn id="2" xr3:uid="{0F792277-7268-424C-8859-56311EB0181F}" name="Sum of Calls - Offered" dataDxfId="1">
      <calculatedColumnFormula>SUMIFS(calls_off_BAR,period_BAR,"&gt;="&amp;U4,period_BAR,"&lt;"&amp;U5)</calculatedColumnFormula>
    </tableColumn>
    <tableColumn id="3" xr3:uid="{2C0EFA03-7E54-491A-ACE9-74D8D6A6C8E9}" name="Sum of Calls - Answered" dataDxfId="0">
      <calculatedColumnFormula>SUMIFS(calls_ans_BAR,period_BAR,"&gt;="&amp;U4,period_BAR,"&lt;"&amp;U5)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2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2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2DC-0223-4254-8F57-6226AFD15B8C}">
  <sheetPr codeName="Sheet3"/>
  <dimension ref="A2:H22"/>
  <sheetViews>
    <sheetView topLeftCell="A2" workbookViewId="0">
      <selection activeCell="E23" sqref="E23"/>
    </sheetView>
  </sheetViews>
  <sheetFormatPr defaultRowHeight="14.5" x14ac:dyDescent="0.35"/>
  <cols>
    <col min="1" max="1" width="32" bestFit="1" customWidth="1"/>
    <col min="2" max="2" width="12.6328125" bestFit="1" customWidth="1"/>
    <col min="3" max="3" width="6.7265625" bestFit="1" customWidth="1"/>
    <col min="4" max="4" width="7.7265625" bestFit="1" customWidth="1"/>
    <col min="5" max="6" width="7.453125" bestFit="1" customWidth="1"/>
    <col min="7" max="7" width="7.1796875" bestFit="1" customWidth="1"/>
    <col min="8" max="8" width="6.7265625" bestFit="1" customWidth="1"/>
  </cols>
  <sheetData>
    <row r="2" spans="1:8" ht="18.5" x14ac:dyDescent="0.4">
      <c r="A2" s="268" t="s">
        <v>110</v>
      </c>
      <c r="B2" s="268"/>
      <c r="C2" s="268"/>
      <c r="D2" s="268"/>
      <c r="E2" s="268"/>
      <c r="F2" s="268"/>
      <c r="G2" s="268"/>
      <c r="H2" s="268"/>
    </row>
    <row r="3" spans="1:8" x14ac:dyDescent="0.35">
      <c r="A3" s="6" t="s">
        <v>17</v>
      </c>
      <c r="B3" s="7" t="s">
        <v>18</v>
      </c>
      <c r="C3" s="7" t="s">
        <v>71</v>
      </c>
      <c r="D3" s="7" t="s">
        <v>35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8" x14ac:dyDescent="0.35">
      <c r="A4" s="4" t="s">
        <v>19</v>
      </c>
      <c r="B4" s="9" t="s">
        <v>26</v>
      </c>
      <c r="C4" s="81" t="s">
        <v>109</v>
      </c>
      <c r="D4" s="81" t="s">
        <v>109</v>
      </c>
      <c r="E4" s="81" t="s">
        <v>121</v>
      </c>
      <c r="F4" s="81" t="s">
        <v>118</v>
      </c>
      <c r="G4" s="227" t="s">
        <v>115</v>
      </c>
      <c r="H4" s="32" t="s">
        <v>108</v>
      </c>
    </row>
    <row r="5" spans="1:8" x14ac:dyDescent="0.35">
      <c r="A5" s="4" t="s">
        <v>20</v>
      </c>
      <c r="B5" s="9" t="s">
        <v>27</v>
      </c>
      <c r="C5" s="160">
        <v>0.75</v>
      </c>
      <c r="D5" s="160">
        <v>0.82</v>
      </c>
      <c r="E5" s="160">
        <v>0.78</v>
      </c>
      <c r="F5" s="61">
        <v>0.85</v>
      </c>
      <c r="G5" s="51">
        <v>0.83</v>
      </c>
      <c r="H5" s="195">
        <v>0.77</v>
      </c>
    </row>
    <row r="6" spans="1:8" x14ac:dyDescent="0.35">
      <c r="A6" s="4" t="s">
        <v>21</v>
      </c>
      <c r="B6" s="9" t="s">
        <v>26</v>
      </c>
      <c r="C6" s="81" t="s">
        <v>111</v>
      </c>
      <c r="D6" s="81" t="s">
        <v>113</v>
      </c>
      <c r="E6" s="81" t="s">
        <v>122</v>
      </c>
      <c r="F6" s="173" t="s">
        <v>119</v>
      </c>
      <c r="G6" s="32" t="s">
        <v>116</v>
      </c>
      <c r="H6" s="32" t="s">
        <v>107</v>
      </c>
    </row>
    <row r="7" spans="1:8" x14ac:dyDescent="0.35">
      <c r="A7" s="4" t="s">
        <v>22</v>
      </c>
      <c r="B7" s="9" t="s">
        <v>27</v>
      </c>
      <c r="C7" s="61">
        <v>0.95</v>
      </c>
      <c r="D7" s="61">
        <v>0.97</v>
      </c>
      <c r="E7" s="61">
        <v>0.89</v>
      </c>
      <c r="F7" s="160">
        <v>0.7</v>
      </c>
      <c r="G7" s="51">
        <v>0.83</v>
      </c>
      <c r="H7" s="195">
        <v>0.92</v>
      </c>
    </row>
    <row r="8" spans="1:8" x14ac:dyDescent="0.35">
      <c r="A8" s="4" t="s">
        <v>23</v>
      </c>
      <c r="B8" s="9" t="s">
        <v>28</v>
      </c>
      <c r="C8" s="81" t="s">
        <v>112</v>
      </c>
      <c r="D8" s="81" t="s">
        <v>114</v>
      </c>
      <c r="E8" s="81" t="s">
        <v>123</v>
      </c>
      <c r="F8" s="81" t="s">
        <v>120</v>
      </c>
      <c r="G8" s="32" t="s">
        <v>117</v>
      </c>
      <c r="H8" s="32" t="s">
        <v>124</v>
      </c>
    </row>
    <row r="9" spans="1:8" x14ac:dyDescent="0.35">
      <c r="A9" s="4" t="s">
        <v>24</v>
      </c>
      <c r="B9" s="9" t="s">
        <v>29</v>
      </c>
      <c r="C9" s="160">
        <v>0.82</v>
      </c>
      <c r="D9" s="160">
        <v>0.73</v>
      </c>
      <c r="E9" s="61">
        <v>0.9</v>
      </c>
      <c r="F9" s="160">
        <v>0.81</v>
      </c>
      <c r="G9" s="195">
        <v>0.88</v>
      </c>
      <c r="H9" s="51">
        <v>0.76</v>
      </c>
    </row>
    <row r="10" spans="1:8" x14ac:dyDescent="0.35">
      <c r="A10" s="4" t="s">
        <v>25</v>
      </c>
      <c r="B10" s="3">
        <v>0.85</v>
      </c>
      <c r="C10" s="61">
        <v>0.73</v>
      </c>
      <c r="D10" s="61">
        <v>0.94</v>
      </c>
      <c r="E10" s="183">
        <v>1</v>
      </c>
      <c r="F10" s="183">
        <v>1</v>
      </c>
      <c r="G10" s="195">
        <v>1</v>
      </c>
      <c r="H10" s="183">
        <v>1</v>
      </c>
    </row>
    <row r="11" spans="1:8" x14ac:dyDescent="0.35">
      <c r="A11" s="4" t="s">
        <v>31</v>
      </c>
      <c r="B11" s="175" t="s">
        <v>16</v>
      </c>
      <c r="C11" s="174">
        <v>11</v>
      </c>
      <c r="D11" s="174">
        <v>32</v>
      </c>
      <c r="E11" s="174">
        <v>4</v>
      </c>
      <c r="F11" s="174">
        <v>3</v>
      </c>
      <c r="G11" s="174">
        <v>5</v>
      </c>
      <c r="H11" s="179">
        <v>1</v>
      </c>
    </row>
    <row r="12" spans="1:8" x14ac:dyDescent="0.35">
      <c r="A12" s="5" t="s">
        <v>76</v>
      </c>
      <c r="B12" s="175" t="s">
        <v>16</v>
      </c>
      <c r="C12" s="176">
        <v>0.13</v>
      </c>
      <c r="D12" s="176">
        <v>0.21</v>
      </c>
      <c r="E12" s="177">
        <v>0.44</v>
      </c>
      <c r="F12" s="177">
        <v>0.15</v>
      </c>
      <c r="G12" s="196">
        <v>0.21</v>
      </c>
      <c r="H12" s="178">
        <v>0.08</v>
      </c>
    </row>
    <row r="14" spans="1:8" ht="18.5" x14ac:dyDescent="0.4">
      <c r="A14" s="269" t="s">
        <v>110</v>
      </c>
      <c r="B14" s="270"/>
      <c r="C14" s="270"/>
      <c r="D14" s="270"/>
      <c r="E14" s="270"/>
      <c r="F14" s="270"/>
      <c r="G14" s="271"/>
      <c r="H14" s="161"/>
    </row>
    <row r="15" spans="1:8" x14ac:dyDescent="0.35">
      <c r="A15" s="6" t="s">
        <v>17</v>
      </c>
      <c r="B15" s="7" t="s">
        <v>71</v>
      </c>
      <c r="C15" s="7" t="s">
        <v>35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8" x14ac:dyDescent="0.35">
      <c r="A16" s="4" t="s">
        <v>37</v>
      </c>
      <c r="B16" s="1">
        <v>88</v>
      </c>
      <c r="C16" s="1">
        <v>154</v>
      </c>
      <c r="D16" s="1">
        <v>9</v>
      </c>
      <c r="E16" s="1">
        <v>20</v>
      </c>
      <c r="F16" s="1">
        <v>24</v>
      </c>
      <c r="G16" s="1">
        <v>13</v>
      </c>
    </row>
    <row r="17" spans="1:7" x14ac:dyDescent="0.35">
      <c r="A17" s="4" t="s">
        <v>38</v>
      </c>
      <c r="B17" s="1">
        <v>0</v>
      </c>
      <c r="C17" s="1">
        <v>0</v>
      </c>
      <c r="D17" s="1">
        <v>0</v>
      </c>
      <c r="E17" s="1">
        <v>2</v>
      </c>
      <c r="F17" s="1">
        <v>3</v>
      </c>
      <c r="G17" s="1">
        <v>4</v>
      </c>
    </row>
    <row r="18" spans="1:7" x14ac:dyDescent="0.35">
      <c r="A18" s="4" t="s">
        <v>39</v>
      </c>
      <c r="B18" s="1">
        <f>3+4+1+6+5+8</f>
        <v>27</v>
      </c>
      <c r="C18" s="1">
        <v>2</v>
      </c>
      <c r="D18" s="1">
        <v>1</v>
      </c>
      <c r="E18" s="1">
        <v>5</v>
      </c>
      <c r="F18" s="1">
        <f>4+1</f>
        <v>5</v>
      </c>
      <c r="G18" s="1">
        <v>0</v>
      </c>
    </row>
    <row r="19" spans="1:7" x14ac:dyDescent="0.35">
      <c r="A19" s="4" t="s">
        <v>40</v>
      </c>
      <c r="B19" s="1">
        <v>115</v>
      </c>
      <c r="C19" s="1">
        <v>156</v>
      </c>
      <c r="D19" s="1">
        <v>10</v>
      </c>
      <c r="E19" s="1">
        <v>27</v>
      </c>
      <c r="F19" s="1">
        <v>32</v>
      </c>
      <c r="G19" s="1">
        <v>17</v>
      </c>
    </row>
    <row r="20" spans="1:7" x14ac:dyDescent="0.35">
      <c r="A20" s="4" t="s">
        <v>41</v>
      </c>
      <c r="B20" s="18">
        <f t="shared" ref="B20:G20" si="0">B16/(B19-B18)</f>
        <v>1</v>
      </c>
      <c r="C20" s="18">
        <f>C16/(C19-C18)</f>
        <v>1</v>
      </c>
      <c r="D20" s="68">
        <f t="shared" si="0"/>
        <v>1</v>
      </c>
      <c r="E20" s="63">
        <f t="shared" si="0"/>
        <v>0.90909090909090906</v>
      </c>
      <c r="F20" s="63">
        <f t="shared" si="0"/>
        <v>0.88888888888888884</v>
      </c>
      <c r="G20" s="63">
        <f t="shared" si="0"/>
        <v>0.76470588235294112</v>
      </c>
    </row>
    <row r="21" spans="1:7" x14ac:dyDescent="0.35">
      <c r="A21" s="4" t="s">
        <v>42</v>
      </c>
      <c r="B21" s="19">
        <f t="shared" ref="B21:G21" si="1">B18/B19</f>
        <v>0.23478260869565218</v>
      </c>
      <c r="C21" s="19">
        <f t="shared" si="1"/>
        <v>1.282051282051282E-2</v>
      </c>
      <c r="D21" s="181">
        <f t="shared" si="1"/>
        <v>0.1</v>
      </c>
      <c r="E21" s="80">
        <f t="shared" si="1"/>
        <v>0.18518518518518517</v>
      </c>
      <c r="F21" s="80">
        <f t="shared" si="1"/>
        <v>0.15625</v>
      </c>
      <c r="G21" s="80">
        <f t="shared" si="1"/>
        <v>0</v>
      </c>
    </row>
    <row r="22" spans="1:7" x14ac:dyDescent="0.35">
      <c r="A22" s="5" t="s">
        <v>43</v>
      </c>
      <c r="B22" s="20">
        <f t="shared" ref="B22:G22" si="2">B17/(B19-B18)</f>
        <v>0</v>
      </c>
      <c r="C22" s="20">
        <f>C17/(C19-C18)</f>
        <v>0</v>
      </c>
      <c r="D22" s="182">
        <f t="shared" si="2"/>
        <v>0</v>
      </c>
      <c r="E22" s="62">
        <f>E17/(E19-E18)</f>
        <v>9.0909090909090912E-2</v>
      </c>
      <c r="F22" s="170">
        <f t="shared" si="2"/>
        <v>0.1111111111111111</v>
      </c>
      <c r="G22" s="62">
        <f t="shared" si="2"/>
        <v>0.23529411764705882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FF09-7496-44BD-868C-ABA675039D7B}">
  <sheetPr codeName="Sheet2"/>
  <dimension ref="A2:H22"/>
  <sheetViews>
    <sheetView workbookViewId="0">
      <selection activeCell="A14" sqref="A14:G22"/>
    </sheetView>
  </sheetViews>
  <sheetFormatPr defaultRowHeight="14.5" x14ac:dyDescent="0.35"/>
  <cols>
    <col min="1" max="1" width="32" bestFit="1" customWidth="1"/>
    <col min="2" max="2" width="12.6328125" bestFit="1" customWidth="1"/>
    <col min="5" max="5" width="11.7265625" bestFit="1" customWidth="1"/>
    <col min="6" max="7" width="15.26953125" bestFit="1" customWidth="1"/>
    <col min="8" max="8" width="14.36328125" bestFit="1" customWidth="1"/>
  </cols>
  <sheetData>
    <row r="2" spans="1:8" ht="18.5" x14ac:dyDescent="0.4">
      <c r="A2" s="268" t="s">
        <v>127</v>
      </c>
      <c r="B2" s="268"/>
      <c r="C2" s="268"/>
      <c r="D2" s="268"/>
      <c r="E2" s="268"/>
      <c r="F2" s="268"/>
      <c r="G2" s="268"/>
      <c r="H2" s="268"/>
    </row>
    <row r="3" spans="1:8" x14ac:dyDescent="0.35">
      <c r="A3" s="6" t="s">
        <v>17</v>
      </c>
      <c r="B3" s="7" t="s">
        <v>18</v>
      </c>
      <c r="C3" s="7" t="s">
        <v>71</v>
      </c>
      <c r="D3" s="7" t="s">
        <v>35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8" x14ac:dyDescent="0.35">
      <c r="A4" s="4" t="s">
        <v>19</v>
      </c>
      <c r="B4" s="9" t="s">
        <v>26</v>
      </c>
      <c r="C4" s="81" t="s">
        <v>130</v>
      </c>
      <c r="D4" s="81" t="s">
        <v>128</v>
      </c>
      <c r="E4" s="81" t="s">
        <v>132</v>
      </c>
      <c r="F4" s="173" t="s">
        <v>135</v>
      </c>
      <c r="G4" s="32" t="s">
        <v>108</v>
      </c>
      <c r="H4" s="32" t="s">
        <v>121</v>
      </c>
    </row>
    <row r="5" spans="1:8" x14ac:dyDescent="0.35">
      <c r="A5" s="4" t="s">
        <v>20</v>
      </c>
      <c r="B5" s="9" t="s">
        <v>27</v>
      </c>
      <c r="C5" s="160">
        <v>0.76</v>
      </c>
      <c r="D5" s="160">
        <v>0.81</v>
      </c>
      <c r="E5" s="160">
        <v>0.83</v>
      </c>
      <c r="F5" s="160">
        <v>0.83</v>
      </c>
      <c r="G5" s="51">
        <v>0.75</v>
      </c>
      <c r="H5" s="195">
        <v>0.87</v>
      </c>
    </row>
    <row r="6" spans="1:8" x14ac:dyDescent="0.35">
      <c r="A6" s="4" t="s">
        <v>21</v>
      </c>
      <c r="B6" s="9" t="s">
        <v>26</v>
      </c>
      <c r="C6" s="81" t="s">
        <v>122</v>
      </c>
      <c r="D6" s="81" t="s">
        <v>113</v>
      </c>
      <c r="E6" s="81" t="s">
        <v>134</v>
      </c>
      <c r="F6" s="173" t="s">
        <v>136</v>
      </c>
      <c r="G6" s="135" t="s">
        <v>135</v>
      </c>
      <c r="H6" s="32" t="s">
        <v>139</v>
      </c>
    </row>
    <row r="7" spans="1:8" x14ac:dyDescent="0.35">
      <c r="A7" s="4" t="s">
        <v>22</v>
      </c>
      <c r="B7" s="9" t="s">
        <v>27</v>
      </c>
      <c r="C7" s="61">
        <v>0.94</v>
      </c>
      <c r="D7" s="61">
        <v>0.98</v>
      </c>
      <c r="E7" s="61">
        <v>0.91</v>
      </c>
      <c r="F7" s="160">
        <v>0.69</v>
      </c>
      <c r="G7" s="51">
        <v>0.77</v>
      </c>
      <c r="H7" s="195">
        <v>0.91</v>
      </c>
    </row>
    <row r="8" spans="1:8" x14ac:dyDescent="0.35">
      <c r="A8" s="4" t="s">
        <v>23</v>
      </c>
      <c r="B8" s="9" t="s">
        <v>28</v>
      </c>
      <c r="C8" s="81" t="s">
        <v>131</v>
      </c>
      <c r="D8" s="226" t="s">
        <v>129</v>
      </c>
      <c r="E8" s="81" t="s">
        <v>133</v>
      </c>
      <c r="F8" s="81" t="s">
        <v>137</v>
      </c>
      <c r="G8" s="32" t="s">
        <v>138</v>
      </c>
      <c r="H8" s="32" t="s">
        <v>140</v>
      </c>
    </row>
    <row r="9" spans="1:8" x14ac:dyDescent="0.35">
      <c r="A9" s="4" t="s">
        <v>24</v>
      </c>
      <c r="B9" s="9" t="s">
        <v>29</v>
      </c>
      <c r="C9" s="160">
        <v>0.81</v>
      </c>
      <c r="D9" s="160">
        <v>0.71</v>
      </c>
      <c r="E9" s="61">
        <v>0.85</v>
      </c>
      <c r="F9" s="160">
        <v>0.78</v>
      </c>
      <c r="G9" s="51">
        <v>0.83</v>
      </c>
      <c r="H9" s="195">
        <v>0.88</v>
      </c>
    </row>
    <row r="10" spans="1:8" x14ac:dyDescent="0.35">
      <c r="A10" s="4" t="s">
        <v>25</v>
      </c>
      <c r="B10" s="3">
        <v>0.85</v>
      </c>
      <c r="C10" s="160">
        <v>0.82</v>
      </c>
      <c r="D10" s="61">
        <v>0.93</v>
      </c>
      <c r="E10" s="183">
        <v>0.91</v>
      </c>
      <c r="F10" s="183">
        <v>1</v>
      </c>
      <c r="G10" s="195">
        <v>0.78</v>
      </c>
      <c r="H10" s="183">
        <v>1</v>
      </c>
    </row>
    <row r="11" spans="1:8" x14ac:dyDescent="0.35">
      <c r="A11" s="4" t="s">
        <v>31</v>
      </c>
      <c r="B11" s="175" t="s">
        <v>16</v>
      </c>
      <c r="C11" s="174">
        <v>55</v>
      </c>
      <c r="D11" s="174">
        <v>172</v>
      </c>
      <c r="E11" s="174">
        <v>11</v>
      </c>
      <c r="F11" s="174">
        <v>25</v>
      </c>
      <c r="G11" s="32">
        <v>32</v>
      </c>
      <c r="H11" s="179">
        <v>11</v>
      </c>
    </row>
    <row r="12" spans="1:8" x14ac:dyDescent="0.35">
      <c r="A12" s="5" t="s">
        <v>76</v>
      </c>
      <c r="B12" s="175" t="s">
        <v>16</v>
      </c>
      <c r="C12" s="176">
        <v>0.14000000000000001</v>
      </c>
      <c r="D12" s="176">
        <v>0.23</v>
      </c>
      <c r="E12" s="177">
        <v>0.19</v>
      </c>
      <c r="F12" s="177">
        <v>0.23</v>
      </c>
      <c r="G12" s="195">
        <v>0.19</v>
      </c>
      <c r="H12" s="178">
        <v>0.16</v>
      </c>
    </row>
    <row r="14" spans="1:8" ht="18.5" x14ac:dyDescent="0.4">
      <c r="A14" s="269" t="s">
        <v>106</v>
      </c>
      <c r="B14" s="270"/>
      <c r="C14" s="270"/>
      <c r="D14" s="270"/>
      <c r="E14" s="270"/>
      <c r="F14" s="270"/>
      <c r="G14" s="271"/>
      <c r="H14" s="161"/>
    </row>
    <row r="15" spans="1:8" x14ac:dyDescent="0.35">
      <c r="A15" s="6" t="s">
        <v>17</v>
      </c>
      <c r="B15" s="7" t="s">
        <v>71</v>
      </c>
      <c r="C15" s="7" t="s">
        <v>35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8" x14ac:dyDescent="0.35">
      <c r="A16" s="4" t="s">
        <v>37</v>
      </c>
      <c r="B16" s="1">
        <v>387</v>
      </c>
      <c r="C16" s="1">
        <v>756</v>
      </c>
      <c r="D16" s="1">
        <v>58</v>
      </c>
      <c r="E16" s="1">
        <v>108</v>
      </c>
      <c r="F16" s="47">
        <v>172</v>
      </c>
      <c r="G16" s="1">
        <v>67</v>
      </c>
    </row>
    <row r="17" spans="1:7" x14ac:dyDescent="0.35">
      <c r="A17" s="4" t="s">
        <v>38</v>
      </c>
      <c r="B17" s="1">
        <v>21</v>
      </c>
      <c r="C17" s="1">
        <v>4</v>
      </c>
      <c r="D17" s="1">
        <v>1</v>
      </c>
      <c r="E17" s="1">
        <v>21</v>
      </c>
      <c r="F17" s="47">
        <v>27</v>
      </c>
      <c r="G17" s="1">
        <v>9</v>
      </c>
    </row>
    <row r="18" spans="1:7" x14ac:dyDescent="0.35">
      <c r="A18" s="4" t="s">
        <v>39</v>
      </c>
      <c r="B18" s="1">
        <f>1+6+3+3+3+3+4+1+6+1+8+2+1+6+4+4+4+7</f>
        <v>67</v>
      </c>
      <c r="C18" s="1">
        <f>2+1</f>
        <v>3</v>
      </c>
      <c r="D18" s="1">
        <f>1</f>
        <v>1</v>
      </c>
      <c r="E18" s="1">
        <f>4+1+2+2+1</f>
        <v>10</v>
      </c>
      <c r="F18" s="47">
        <f>1+1+3+1+1</f>
        <v>7</v>
      </c>
      <c r="G18" s="1">
        <f>1</f>
        <v>1</v>
      </c>
    </row>
    <row r="19" spans="1:7" x14ac:dyDescent="0.35">
      <c r="A19" s="4" t="s">
        <v>40</v>
      </c>
      <c r="B19" s="1">
        <v>475</v>
      </c>
      <c r="C19" s="1">
        <v>763</v>
      </c>
      <c r="D19" s="1">
        <v>60</v>
      </c>
      <c r="E19" s="1">
        <v>139</v>
      </c>
      <c r="F19" s="47">
        <v>206</v>
      </c>
      <c r="G19" s="1">
        <v>77</v>
      </c>
    </row>
    <row r="20" spans="1:7" x14ac:dyDescent="0.35">
      <c r="A20" s="4" t="s">
        <v>41</v>
      </c>
      <c r="B20" s="18">
        <f>B16/(B19-B18)</f>
        <v>0.94852941176470584</v>
      </c>
      <c r="C20" s="68">
        <f>C16/(C19-C18)</f>
        <v>0.99473684210526314</v>
      </c>
      <c r="D20" s="68">
        <f>D16/(D19-D18)</f>
        <v>0.98305084745762716</v>
      </c>
      <c r="E20" s="63">
        <f t="shared" ref="E20:G20" si="0">E16/(E19-E18)</f>
        <v>0.83720930232558144</v>
      </c>
      <c r="F20" s="63">
        <f t="shared" si="0"/>
        <v>0.86432160804020097</v>
      </c>
      <c r="G20" s="68">
        <f t="shared" si="0"/>
        <v>0.88157894736842102</v>
      </c>
    </row>
    <row r="21" spans="1:7" x14ac:dyDescent="0.35">
      <c r="A21" s="4" t="s">
        <v>42</v>
      </c>
      <c r="B21" s="19">
        <f t="shared" ref="B21:G21" si="1">B18/B19</f>
        <v>0.14105263157894737</v>
      </c>
      <c r="C21" s="19">
        <f t="shared" si="1"/>
        <v>3.9318479685452159E-3</v>
      </c>
      <c r="D21" s="181">
        <f t="shared" si="1"/>
        <v>1.6666666666666666E-2</v>
      </c>
      <c r="E21" s="80">
        <f t="shared" si="1"/>
        <v>7.1942446043165464E-2</v>
      </c>
      <c r="F21" s="80">
        <f t="shared" si="1"/>
        <v>3.3980582524271843E-2</v>
      </c>
      <c r="G21" s="80">
        <f t="shared" si="1"/>
        <v>1.2987012987012988E-2</v>
      </c>
    </row>
    <row r="22" spans="1:7" x14ac:dyDescent="0.35">
      <c r="A22" s="5" t="s">
        <v>43</v>
      </c>
      <c r="B22" s="20">
        <f t="shared" ref="B22:G22" si="2">B17/(B19-B18)</f>
        <v>5.1470588235294115E-2</v>
      </c>
      <c r="C22" s="182">
        <f>C17/(C19-C18)</f>
        <v>5.263157894736842E-3</v>
      </c>
      <c r="D22" s="182">
        <f t="shared" si="2"/>
        <v>1.6949152542372881E-2</v>
      </c>
      <c r="E22" s="62">
        <f>E17/(E19-E18)</f>
        <v>0.16279069767441862</v>
      </c>
      <c r="F22" s="62">
        <f t="shared" si="2"/>
        <v>0.135678391959799</v>
      </c>
      <c r="G22" s="170">
        <f t="shared" si="2"/>
        <v>0.11842105263157894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4D96-15C7-422F-A39B-CA2FB433BA3E}">
  <sheetPr codeName="Sheet11"/>
  <dimension ref="B2:K25"/>
  <sheetViews>
    <sheetView topLeftCell="B1" workbookViewId="0">
      <selection activeCell="E13" sqref="E13"/>
    </sheetView>
  </sheetViews>
  <sheetFormatPr defaultRowHeight="14.5" x14ac:dyDescent="0.35"/>
  <cols>
    <col min="2" max="2" width="10" customWidth="1"/>
    <col min="3" max="4" width="18.54296875" bestFit="1" customWidth="1"/>
    <col min="5" max="5" width="32.1796875" bestFit="1" customWidth="1"/>
    <col min="6" max="6" width="28.453125" bestFit="1" customWidth="1"/>
    <col min="7" max="9" width="18.54296875" bestFit="1" customWidth="1"/>
  </cols>
  <sheetData>
    <row r="2" spans="2:11" ht="30.5" customHeight="1" x14ac:dyDescent="0.35">
      <c r="B2" s="272" t="s">
        <v>126</v>
      </c>
      <c r="C2" s="273"/>
      <c r="D2" s="273"/>
      <c r="E2" s="273"/>
      <c r="F2" s="273"/>
      <c r="G2" s="273"/>
      <c r="H2" s="273"/>
      <c r="I2" s="273"/>
      <c r="J2" s="273"/>
      <c r="K2" s="274"/>
    </row>
    <row r="3" spans="2:11" ht="29" x14ac:dyDescent="0.35">
      <c r="B3" s="13" t="s">
        <v>1</v>
      </c>
      <c r="C3" s="14" t="s">
        <v>2</v>
      </c>
      <c r="D3" s="14" t="s">
        <v>15</v>
      </c>
      <c r="E3" s="168" t="s">
        <v>103</v>
      </c>
      <c r="F3" s="168" t="s">
        <v>104</v>
      </c>
      <c r="G3" s="14" t="s">
        <v>3</v>
      </c>
      <c r="H3" s="14" t="s">
        <v>4</v>
      </c>
      <c r="I3" s="14" t="s">
        <v>5</v>
      </c>
      <c r="J3" s="14" t="s">
        <v>6</v>
      </c>
      <c r="K3" s="8" t="s">
        <v>7</v>
      </c>
    </row>
    <row r="4" spans="2:11" x14ac:dyDescent="0.35">
      <c r="B4" s="4" t="s">
        <v>8</v>
      </c>
      <c r="C4" s="1"/>
      <c r="D4" s="1"/>
      <c r="E4" s="72"/>
      <c r="F4" s="72"/>
      <c r="G4" s="2">
        <v>0.86</v>
      </c>
      <c r="H4" s="2">
        <v>0.94</v>
      </c>
      <c r="I4" s="2">
        <v>0.06</v>
      </c>
      <c r="J4" s="2">
        <v>0.65</v>
      </c>
      <c r="K4" s="12">
        <v>0.95</v>
      </c>
    </row>
    <row r="5" spans="2:11" x14ac:dyDescent="0.35">
      <c r="B5" s="4" t="s">
        <v>71</v>
      </c>
      <c r="C5" s="1">
        <v>3491</v>
      </c>
      <c r="D5" s="1">
        <v>3382</v>
      </c>
      <c r="E5" s="224">
        <f>(C5-C19)/C19</f>
        <v>-5.5976203353163875E-2</v>
      </c>
      <c r="F5" s="224">
        <f>(D5-D19)/D19</f>
        <v>-4.1383219954648526E-2</v>
      </c>
      <c r="G5" s="68">
        <v>0.9</v>
      </c>
      <c r="H5" s="68">
        <f>D5/C5</f>
        <v>0.968776854769407</v>
      </c>
      <c r="I5" s="68">
        <f>1-H5</f>
        <v>3.1223145230592997E-2</v>
      </c>
      <c r="J5" s="63">
        <v>0.38</v>
      </c>
      <c r="K5" s="63">
        <v>0.82</v>
      </c>
    </row>
    <row r="6" spans="2:11" x14ac:dyDescent="0.35">
      <c r="B6" s="4" t="s">
        <v>10</v>
      </c>
      <c r="C6" s="1">
        <v>1185</v>
      </c>
      <c r="D6" s="1">
        <v>1135</v>
      </c>
      <c r="E6" s="169">
        <f t="shared" ref="E6:F9" si="0">(C6-C20)/C20</f>
        <v>5.1464063886424133E-2</v>
      </c>
      <c r="F6" s="169">
        <f t="shared" si="0"/>
        <v>3.5583941605839414E-2</v>
      </c>
      <c r="G6" s="68">
        <v>0.91</v>
      </c>
      <c r="H6" s="68">
        <f t="shared" ref="H6:H9" si="1">D6/C6</f>
        <v>0.95780590717299574</v>
      </c>
      <c r="I6" s="68">
        <f t="shared" ref="I6:I9" si="2">1-H6</f>
        <v>4.2194092827004259E-2</v>
      </c>
      <c r="J6" s="68">
        <v>0.77</v>
      </c>
      <c r="K6" s="68">
        <v>1</v>
      </c>
    </row>
    <row r="7" spans="2:11" x14ac:dyDescent="0.35">
      <c r="B7" s="4" t="s">
        <v>11</v>
      </c>
      <c r="C7" s="69">
        <v>1915</v>
      </c>
      <c r="D7" s="69">
        <v>1826</v>
      </c>
      <c r="E7" s="224">
        <f t="shared" si="0"/>
        <v>-0.18162393162393162</v>
      </c>
      <c r="F7" s="224">
        <f t="shared" si="0"/>
        <v>-0.18482142857142858</v>
      </c>
      <c r="G7" s="59">
        <v>0.64</v>
      </c>
      <c r="H7" s="68">
        <f t="shared" si="1"/>
        <v>0.9535248041775457</v>
      </c>
      <c r="I7" s="68">
        <f t="shared" si="2"/>
        <v>4.6475195822454296E-2</v>
      </c>
      <c r="J7" s="50">
        <v>0.8</v>
      </c>
      <c r="K7" s="68">
        <v>1</v>
      </c>
    </row>
    <row r="8" spans="2:11" x14ac:dyDescent="0.35">
      <c r="B8" s="4" t="s">
        <v>35</v>
      </c>
      <c r="C8" s="67">
        <v>4743</v>
      </c>
      <c r="D8" s="67">
        <v>4466</v>
      </c>
      <c r="E8" s="224">
        <f t="shared" si="0"/>
        <v>-0.18617021276595744</v>
      </c>
      <c r="F8" s="224">
        <f t="shared" si="0"/>
        <v>-0.19138149556400508</v>
      </c>
      <c r="G8" s="49">
        <v>0.86</v>
      </c>
      <c r="H8" s="68">
        <f t="shared" si="1"/>
        <v>0.94159814463419778</v>
      </c>
      <c r="I8" s="68">
        <f t="shared" si="2"/>
        <v>5.8401855365802224E-2</v>
      </c>
      <c r="J8" s="180">
        <v>0.56999999999999995</v>
      </c>
      <c r="K8" s="151" t="s">
        <v>16</v>
      </c>
    </row>
    <row r="9" spans="2:11" x14ac:dyDescent="0.35">
      <c r="B9" s="4" t="s">
        <v>13</v>
      </c>
      <c r="C9" s="159">
        <v>2366</v>
      </c>
      <c r="D9" s="66">
        <v>2158</v>
      </c>
      <c r="E9" s="169">
        <f t="shared" si="0"/>
        <v>0.13314176245210729</v>
      </c>
      <c r="F9" s="169">
        <f t="shared" si="0"/>
        <v>8.8250126071608676E-2</v>
      </c>
      <c r="G9" s="65">
        <v>0.75</v>
      </c>
      <c r="H9" s="63">
        <f t="shared" si="1"/>
        <v>0.91208791208791207</v>
      </c>
      <c r="I9" s="63">
        <f t="shared" si="2"/>
        <v>8.7912087912087933E-2</v>
      </c>
      <c r="J9" s="65">
        <v>0.62</v>
      </c>
      <c r="K9" s="64">
        <v>0.97</v>
      </c>
    </row>
    <row r="10" spans="2:11" x14ac:dyDescent="0.35">
      <c r="B10" s="4" t="s">
        <v>14</v>
      </c>
      <c r="C10" s="10"/>
      <c r="D10" s="11"/>
      <c r="E10" s="11"/>
      <c r="F10" s="11"/>
      <c r="G10" s="11"/>
      <c r="H10" s="11"/>
      <c r="I10" s="11"/>
      <c r="J10" s="11"/>
      <c r="K10" s="11"/>
    </row>
    <row r="11" spans="2:11" x14ac:dyDescent="0.35">
      <c r="B11" s="82" t="s">
        <v>0</v>
      </c>
      <c r="C11" s="83">
        <f>SUM(C5:C9)</f>
        <v>13700</v>
      </c>
      <c r="D11" s="83">
        <f>SUM(D5:D9)</f>
        <v>12967</v>
      </c>
      <c r="E11" s="230">
        <f>AVERAGE(E5:E9)</f>
        <v>-4.7832904280904295E-2</v>
      </c>
      <c r="F11" s="230">
        <f>AVERAGE(F5:F9)</f>
        <v>-5.8750415282526822E-2</v>
      </c>
      <c r="G11" s="165">
        <f>AVERAGE(G5:G9)</f>
        <v>0.81200000000000006</v>
      </c>
      <c r="H11" s="225">
        <f t="shared" ref="H11:J11" si="3">AVERAGE(H5:H9)</f>
        <v>0.9467587245684117</v>
      </c>
      <c r="I11" s="225">
        <f t="shared" si="3"/>
        <v>5.3241275431588339E-2</v>
      </c>
      <c r="J11" s="165">
        <f t="shared" si="3"/>
        <v>0.628</v>
      </c>
      <c r="K11" s="231">
        <f>AVERAGEIF(K5:K9,"&lt;&gt;0")</f>
        <v>0.94750000000000001</v>
      </c>
    </row>
    <row r="16" spans="2:11" x14ac:dyDescent="0.35">
      <c r="B16" s="272" t="s">
        <v>125</v>
      </c>
      <c r="C16" s="273"/>
      <c r="D16" s="273"/>
      <c r="E16" s="273"/>
      <c r="F16" s="273"/>
      <c r="G16" s="273"/>
      <c r="H16" s="273"/>
      <c r="I16" s="273"/>
      <c r="J16" s="273"/>
      <c r="K16" s="274"/>
    </row>
    <row r="17" spans="2:11" ht="29" x14ac:dyDescent="0.35">
      <c r="B17" s="13" t="s">
        <v>1</v>
      </c>
      <c r="C17" s="14" t="s">
        <v>2</v>
      </c>
      <c r="D17" s="14" t="s">
        <v>15</v>
      </c>
      <c r="E17" s="168" t="s">
        <v>103</v>
      </c>
      <c r="F17" s="168" t="s">
        <v>104</v>
      </c>
      <c r="G17" s="14" t="s">
        <v>3</v>
      </c>
      <c r="H17" s="14" t="s">
        <v>4</v>
      </c>
      <c r="I17" s="14" t="s">
        <v>5</v>
      </c>
      <c r="J17" s="14" t="s">
        <v>6</v>
      </c>
      <c r="K17" s="8" t="s">
        <v>7</v>
      </c>
    </row>
    <row r="18" spans="2:11" x14ac:dyDescent="0.35">
      <c r="B18" s="4" t="s">
        <v>8</v>
      </c>
      <c r="C18" s="1"/>
      <c r="D18" s="1"/>
      <c r="E18" s="72"/>
      <c r="F18" s="72"/>
      <c r="G18" s="2">
        <v>0.86</v>
      </c>
      <c r="H18" s="2">
        <v>0.94</v>
      </c>
      <c r="I18" s="2">
        <v>0.06</v>
      </c>
      <c r="J18" s="2">
        <v>0.65</v>
      </c>
      <c r="K18" s="12">
        <v>0.95</v>
      </c>
    </row>
    <row r="19" spans="2:11" x14ac:dyDescent="0.35">
      <c r="B19" s="4" t="s">
        <v>71</v>
      </c>
      <c r="C19" s="1">
        <v>3698</v>
      </c>
      <c r="D19" s="1">
        <v>3528</v>
      </c>
      <c r="E19" s="169">
        <v>-0.17565760142666073</v>
      </c>
      <c r="F19" s="169">
        <v>-0.1539568345323741</v>
      </c>
      <c r="G19" s="68">
        <v>0.88</v>
      </c>
      <c r="H19" s="68">
        <f>D19/C19</f>
        <v>0.95402920497566257</v>
      </c>
      <c r="I19" s="68">
        <f>1-H19</f>
        <v>4.597079502433743E-2</v>
      </c>
      <c r="J19" s="63">
        <v>0.45</v>
      </c>
      <c r="K19" s="63">
        <v>0.81</v>
      </c>
    </row>
    <row r="20" spans="2:11" x14ac:dyDescent="0.35">
      <c r="B20" s="4" t="s">
        <v>10</v>
      </c>
      <c r="C20" s="1">
        <v>1127</v>
      </c>
      <c r="D20" s="1">
        <v>1096</v>
      </c>
      <c r="E20" s="169">
        <v>-0.13507290867229471</v>
      </c>
      <c r="F20" s="169">
        <v>-0.13153724247226625</v>
      </c>
      <c r="G20" s="68">
        <v>0.89</v>
      </c>
      <c r="H20" s="68">
        <f t="shared" ref="H20:H23" si="4">D20/C20</f>
        <v>0.97249334516415264</v>
      </c>
      <c r="I20" s="68">
        <f t="shared" ref="I20:I23" si="5">1-H20</f>
        <v>2.7506654835847355E-2</v>
      </c>
      <c r="J20" s="68">
        <v>0.71</v>
      </c>
      <c r="K20" s="68">
        <v>1</v>
      </c>
    </row>
    <row r="21" spans="2:11" x14ac:dyDescent="0.35">
      <c r="B21" s="4" t="s">
        <v>11</v>
      </c>
      <c r="C21" s="69">
        <v>2340</v>
      </c>
      <c r="D21" s="69">
        <v>2240</v>
      </c>
      <c r="E21" s="169">
        <v>-7.9102715466351836E-2</v>
      </c>
      <c r="F21" s="169">
        <v>-7.3997519636213316E-2</v>
      </c>
      <c r="G21" s="49">
        <v>0.9</v>
      </c>
      <c r="H21" s="68">
        <f t="shared" si="4"/>
        <v>0.95726495726495731</v>
      </c>
      <c r="I21" s="68">
        <f t="shared" si="5"/>
        <v>4.2735042735042694E-2</v>
      </c>
      <c r="J21" s="180">
        <v>0.55000000000000004</v>
      </c>
      <c r="K21" s="68">
        <v>1</v>
      </c>
    </row>
    <row r="22" spans="2:11" x14ac:dyDescent="0.35">
      <c r="B22" s="4" t="s">
        <v>35</v>
      </c>
      <c r="C22" s="67">
        <v>5828</v>
      </c>
      <c r="D22" s="67">
        <v>5523</v>
      </c>
      <c r="E22" s="169">
        <v>0.15405940594059406</v>
      </c>
      <c r="F22" s="169">
        <v>0.14442602569415666</v>
      </c>
      <c r="G22" s="49">
        <v>0.86</v>
      </c>
      <c r="H22" s="68">
        <f t="shared" si="4"/>
        <v>0.9476664378860673</v>
      </c>
      <c r="I22" s="68">
        <f t="shared" si="5"/>
        <v>5.2333562113932697E-2</v>
      </c>
      <c r="J22" s="180">
        <v>0.67</v>
      </c>
      <c r="K22" s="151" t="s">
        <v>16</v>
      </c>
    </row>
    <row r="23" spans="2:11" x14ac:dyDescent="0.35">
      <c r="B23" s="4" t="s">
        <v>13</v>
      </c>
      <c r="C23" s="159">
        <v>2088</v>
      </c>
      <c r="D23" s="66">
        <v>1983</v>
      </c>
      <c r="E23" s="169">
        <v>-8.5413929040735873E-2</v>
      </c>
      <c r="F23" s="169">
        <v>-4.4797687861271675E-2</v>
      </c>
      <c r="G23" s="64">
        <v>0.86</v>
      </c>
      <c r="H23" s="68">
        <f t="shared" si="4"/>
        <v>0.94971264367816088</v>
      </c>
      <c r="I23" s="68">
        <f t="shared" si="5"/>
        <v>5.0287356321839116E-2</v>
      </c>
      <c r="J23" s="65">
        <v>0.47</v>
      </c>
      <c r="K23" s="64">
        <v>0.88</v>
      </c>
    </row>
    <row r="24" spans="2:11" x14ac:dyDescent="0.35">
      <c r="B24" s="4" t="s">
        <v>14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2:11" x14ac:dyDescent="0.35">
      <c r="B25" s="82" t="s">
        <v>0</v>
      </c>
      <c r="C25" s="83">
        <f>SUM(C19:C23)</f>
        <v>15081</v>
      </c>
      <c r="D25" s="83">
        <f>SUM(D19:D23)</f>
        <v>14370</v>
      </c>
      <c r="E25" s="230">
        <v>-6.423754973308983E-2</v>
      </c>
      <c r="F25" s="230">
        <v>-5.1972651761593734E-2</v>
      </c>
      <c r="G25" s="225">
        <f>AVERAGE(G19:G23)</f>
        <v>0.87799999999999989</v>
      </c>
      <c r="H25" s="225">
        <f t="shared" ref="H25:J25" si="6">AVERAGE(H19:H23)</f>
        <v>0.95623331779380005</v>
      </c>
      <c r="I25" s="225">
        <f t="shared" si="6"/>
        <v>4.3766682206199857E-2</v>
      </c>
      <c r="J25" s="165">
        <f t="shared" si="6"/>
        <v>0.56999999999999995</v>
      </c>
      <c r="K25" s="229">
        <f>AVERAGEIF(K19:K23,"&lt;&gt;0")</f>
        <v>0.92249999999999999</v>
      </c>
    </row>
  </sheetData>
  <mergeCells count="2">
    <mergeCell ref="B2:K2"/>
    <mergeCell ref="B16:K16"/>
  </mergeCells>
  <phoneticPr fontId="8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E5DD-8743-4A9C-A397-E8D7DB0D478A}">
  <sheetPr codeName="Sheet1"/>
  <dimension ref="A2:U47"/>
  <sheetViews>
    <sheetView topLeftCell="J1" workbookViewId="0">
      <selection activeCell="L38" sqref="L38:U47"/>
    </sheetView>
  </sheetViews>
  <sheetFormatPr defaultRowHeight="14.5" x14ac:dyDescent="0.35"/>
  <cols>
    <col min="2" max="2" width="12.6328125" customWidth="1"/>
    <col min="3" max="3" width="16" bestFit="1" customWidth="1"/>
    <col min="4" max="4" width="14.36328125" bestFit="1" customWidth="1"/>
    <col min="5" max="9" width="12.6328125" customWidth="1"/>
    <col min="12" max="14" width="14.36328125" customWidth="1"/>
    <col min="15" max="15" width="37.08984375" bestFit="1" customWidth="1"/>
    <col min="16" max="16" width="39" bestFit="1" customWidth="1"/>
    <col min="17" max="21" width="14.36328125" customWidth="1"/>
  </cols>
  <sheetData>
    <row r="2" spans="1:21" x14ac:dyDescent="0.35">
      <c r="B2" s="275" t="s">
        <v>75</v>
      </c>
      <c r="C2" s="275"/>
      <c r="D2" s="275"/>
      <c r="E2" s="275"/>
      <c r="F2" s="275"/>
      <c r="G2" s="275"/>
      <c r="H2" s="275"/>
      <c r="I2" s="275"/>
      <c r="L2" s="275" t="s">
        <v>81</v>
      </c>
      <c r="M2" s="275"/>
      <c r="N2" s="275"/>
      <c r="O2" s="275"/>
      <c r="P2" s="275"/>
      <c r="Q2" s="275"/>
      <c r="R2" s="275"/>
      <c r="S2" s="275"/>
      <c r="T2" s="275"/>
      <c r="U2" s="275"/>
    </row>
    <row r="3" spans="1:21" x14ac:dyDescent="0.35">
      <c r="B3" s="13" t="s">
        <v>1</v>
      </c>
      <c r="C3" s="14" t="s">
        <v>2</v>
      </c>
      <c r="D3" s="14" t="s">
        <v>15</v>
      </c>
      <c r="E3" s="14" t="s">
        <v>3</v>
      </c>
      <c r="F3" s="14" t="s">
        <v>4</v>
      </c>
      <c r="G3" s="14" t="s">
        <v>5</v>
      </c>
      <c r="H3" s="14" t="s">
        <v>6</v>
      </c>
      <c r="I3" s="8" t="s">
        <v>7</v>
      </c>
      <c r="L3" s="13" t="s">
        <v>1</v>
      </c>
      <c r="M3" s="14" t="s">
        <v>2</v>
      </c>
      <c r="N3" s="14" t="s">
        <v>15</v>
      </c>
      <c r="O3" s="14" t="s">
        <v>78</v>
      </c>
      <c r="P3" s="14" t="s">
        <v>79</v>
      </c>
      <c r="Q3" s="14" t="s">
        <v>3</v>
      </c>
      <c r="R3" s="14" t="s">
        <v>4</v>
      </c>
      <c r="S3" s="14" t="s">
        <v>5</v>
      </c>
      <c r="T3" s="14" t="s">
        <v>6</v>
      </c>
      <c r="U3" s="8" t="s">
        <v>7</v>
      </c>
    </row>
    <row r="4" spans="1:21" x14ac:dyDescent="0.35">
      <c r="B4" s="4" t="s">
        <v>8</v>
      </c>
      <c r="C4" s="1"/>
      <c r="D4" s="1"/>
      <c r="E4" s="2">
        <v>0.86</v>
      </c>
      <c r="F4" s="2">
        <v>0.94</v>
      </c>
      <c r="G4" s="2">
        <v>0.06</v>
      </c>
      <c r="H4" s="2">
        <v>0.65</v>
      </c>
      <c r="I4" s="12">
        <v>0.95</v>
      </c>
      <c r="L4" s="4" t="s">
        <v>8</v>
      </c>
      <c r="M4" s="1"/>
      <c r="N4" s="1"/>
      <c r="O4" s="1"/>
      <c r="P4" s="1"/>
      <c r="Q4" s="2">
        <v>0.86</v>
      </c>
      <c r="R4" s="2">
        <v>0.94</v>
      </c>
      <c r="S4" s="2">
        <v>0.06</v>
      </c>
      <c r="T4" s="2">
        <v>0.65</v>
      </c>
      <c r="U4" s="12">
        <v>0.95</v>
      </c>
    </row>
    <row r="5" spans="1:21" x14ac:dyDescent="0.35">
      <c r="B5" s="4" t="s">
        <v>9</v>
      </c>
      <c r="C5" s="67">
        <v>23677</v>
      </c>
      <c r="D5" s="67">
        <v>13337</v>
      </c>
      <c r="E5" s="63">
        <v>0.34699999999999998</v>
      </c>
      <c r="F5" s="63">
        <f>Table11617[[#This Row],[Calls Handled]]/Table11617[[#This Row],[Calls Presented]]</f>
        <v>0.56328926806605562</v>
      </c>
      <c r="G5" s="63">
        <f>1-Table11617[[#This Row],[ANS]]</f>
        <v>0.43671073193394438</v>
      </c>
      <c r="H5" s="68">
        <v>0.71099999999999997</v>
      </c>
      <c r="I5" s="63">
        <v>0.8</v>
      </c>
      <c r="L5" s="4" t="s">
        <v>9</v>
      </c>
      <c r="M5" s="67">
        <v>29848</v>
      </c>
      <c r="N5" s="67">
        <v>19894</v>
      </c>
      <c r="O5" s="181">
        <f>(Table1161720[[#This Row],[Calls Presented]]-B17)/B17</f>
        <v>6.2395444029186689E-2</v>
      </c>
      <c r="P5" s="181">
        <f>(Table1161720[[#This Row],[Calls Handled]]-C17)/C17</f>
        <v>0.11726384364820847</v>
      </c>
      <c r="Q5" s="63">
        <v>0.31</v>
      </c>
      <c r="R5" s="63">
        <f>Table1161720[[#This Row],[Calls Handled]]/Table1161720[[#This Row],[Calls Presented]]</f>
        <v>0.66651031894934332</v>
      </c>
      <c r="S5" s="63">
        <f>1-Table1161720[[#This Row],[ANS]]</f>
        <v>0.33348968105065668</v>
      </c>
      <c r="T5" s="68">
        <v>0.74</v>
      </c>
      <c r="U5" s="63">
        <v>0.80359999999999998</v>
      </c>
    </row>
    <row r="6" spans="1:21" x14ac:dyDescent="0.35">
      <c r="B6" s="4" t="s">
        <v>10</v>
      </c>
      <c r="C6">
        <v>10358</v>
      </c>
      <c r="D6" s="1">
        <v>9767</v>
      </c>
      <c r="E6" s="49">
        <v>0.83199999999999996</v>
      </c>
      <c r="F6" s="68">
        <f>Table11617[[#This Row],[Calls Handled]]/Table11617[[#This Row],[Calls Presented]]</f>
        <v>0.9429426530218189</v>
      </c>
      <c r="G6" s="68">
        <f>1-Table11617[[#This Row],[ANS]]</f>
        <v>5.70573469781811E-2</v>
      </c>
      <c r="H6" s="50">
        <v>0.77</v>
      </c>
      <c r="I6" s="49">
        <v>1</v>
      </c>
      <c r="L6" s="4" t="s">
        <v>10</v>
      </c>
      <c r="M6">
        <v>18585</v>
      </c>
      <c r="N6" s="1">
        <v>13968</v>
      </c>
      <c r="O6" s="181">
        <f>(Table1161720[[#This Row],[Calls Presented]]-B18)/B18</f>
        <v>5.6986862310185973E-2</v>
      </c>
      <c r="P6" s="181">
        <f>(Table1161720[[#This Row],[Calls Handled]]-C18)/C18</f>
        <v>-1.7790591378946629E-2</v>
      </c>
      <c r="Q6" s="49">
        <v>0.47</v>
      </c>
      <c r="R6" s="68">
        <f>Table1161720[[#This Row],[Calls Handled]]/Table1161720[[#This Row],[Calls Presented]]</f>
        <v>0.75157384987893461</v>
      </c>
      <c r="S6" s="68">
        <f>1-Table1161720[[#This Row],[ANS]]</f>
        <v>0.24842615012106539</v>
      </c>
      <c r="T6" s="50">
        <v>1.08</v>
      </c>
      <c r="U6" s="49">
        <v>1</v>
      </c>
    </row>
    <row r="7" spans="1:21" x14ac:dyDescent="0.35">
      <c r="B7" s="4" t="s">
        <v>11</v>
      </c>
      <c r="C7" s="69">
        <v>11930</v>
      </c>
      <c r="D7" s="69">
        <v>11117</v>
      </c>
      <c r="E7" s="59">
        <v>0.83399999999999996</v>
      </c>
      <c r="F7" s="63">
        <f>Table11617[[#This Row],[Calls Handled]]/Table11617[[#This Row],[Calls Presented]]</f>
        <v>0.93185247275775351</v>
      </c>
      <c r="G7" s="63">
        <f>1-Table11617[[#This Row],[ANS]]</f>
        <v>6.8147527242246486E-2</v>
      </c>
      <c r="H7" s="50">
        <v>0.69</v>
      </c>
      <c r="I7" s="49">
        <v>1</v>
      </c>
      <c r="L7" s="4" t="s">
        <v>11</v>
      </c>
      <c r="M7" s="69">
        <v>14741</v>
      </c>
      <c r="N7" s="69">
        <v>13886</v>
      </c>
      <c r="O7" s="185">
        <f>(Table1161720[[#This Row],[Calls Presented]]-B19)/B19</f>
        <v>-8.2529408103566321E-2</v>
      </c>
      <c r="P7" s="185">
        <f>(Table1161720[[#This Row],[Calls Handled]]-C19)/C19</f>
        <v>-9.1111402015970677E-2</v>
      </c>
      <c r="Q7" s="49">
        <v>0.86</v>
      </c>
      <c r="R7" s="68">
        <f>Table1161720[[#This Row],[Calls Handled]]/Table1161720[[#This Row],[Calls Presented]]</f>
        <v>0.94199850756393733</v>
      </c>
      <c r="S7" s="68">
        <f>1-Table1161720[[#This Row],[ANS]]</f>
        <v>5.8001492436062674E-2</v>
      </c>
      <c r="T7" s="180">
        <v>0.59</v>
      </c>
      <c r="U7" s="49">
        <v>1</v>
      </c>
    </row>
    <row r="8" spans="1:21" x14ac:dyDescent="0.35">
      <c r="B8" s="4" t="s">
        <v>12</v>
      </c>
      <c r="C8" s="67">
        <v>28778</v>
      </c>
      <c r="D8" s="67">
        <v>16101</v>
      </c>
      <c r="E8" s="59">
        <v>0.16500000000000001</v>
      </c>
      <c r="F8" s="63">
        <f>Table11617[[#This Row],[Calls Handled]]/Table11617[[#This Row],[Calls Presented]]</f>
        <v>0.55948988810897216</v>
      </c>
      <c r="G8" s="63">
        <f>1-Table11617[[#This Row],[ANS]]</f>
        <v>0.44051011189102784</v>
      </c>
      <c r="H8" s="49">
        <v>1.1000000000000001</v>
      </c>
      <c r="I8" s="151" t="s">
        <v>16</v>
      </c>
      <c r="L8" s="4" t="s">
        <v>12</v>
      </c>
      <c r="M8" s="67">
        <v>29466</v>
      </c>
      <c r="N8" s="67">
        <v>21394</v>
      </c>
      <c r="O8" s="181">
        <f>(Table1161720[[#This Row],[Calls Presented]]-B20)/B20</f>
        <v>4.8686739269698909E-2</v>
      </c>
      <c r="P8" s="181">
        <f>(Table1161720[[#This Row],[Calls Handled]]-C20)/C20</f>
        <v>2.5402607361963189E-2</v>
      </c>
      <c r="Q8" s="59">
        <v>0.35</v>
      </c>
      <c r="R8" s="63">
        <f>Table1161720[[#This Row],[Calls Handled]]/Table1161720[[#This Row],[Calls Presented]]</f>
        <v>0.72605715061426734</v>
      </c>
      <c r="S8" s="63">
        <f>1-Table1161720[[#This Row],[ANS]]</f>
        <v>0.27394284938573266</v>
      </c>
      <c r="T8" s="59">
        <v>0.63</v>
      </c>
      <c r="U8" s="151" t="s">
        <v>16</v>
      </c>
    </row>
    <row r="9" spans="1:21" x14ac:dyDescent="0.35">
      <c r="B9" s="4" t="s">
        <v>13</v>
      </c>
      <c r="C9" s="66">
        <v>15377</v>
      </c>
      <c r="D9" s="66">
        <v>11138</v>
      </c>
      <c r="E9" s="65">
        <v>0.42199999999999999</v>
      </c>
      <c r="F9" s="63">
        <f>Table11617[[#This Row],[Calls Handled]]/Table11617[[#This Row],[Calls Presented]]</f>
        <v>0.72432854262860114</v>
      </c>
      <c r="G9" s="63">
        <f>1-Table11617[[#This Row],[ANS]]</f>
        <v>0.27567145737139886</v>
      </c>
      <c r="H9" s="64">
        <v>0.6</v>
      </c>
      <c r="I9" s="64">
        <v>0.96</v>
      </c>
      <c r="L9" s="4" t="s">
        <v>13</v>
      </c>
      <c r="M9" s="66">
        <v>21922</v>
      </c>
      <c r="N9" s="66">
        <v>16115</v>
      </c>
      <c r="O9" s="181">
        <f>(Table1161720[[#This Row],[Calls Presented]]-B21)/B21</f>
        <v>0.3048032855187191</v>
      </c>
      <c r="P9" s="181">
        <f>(Table1161720[[#This Row],[Calls Handled]]-C21)/C21</f>
        <v>0.14893768715243119</v>
      </c>
      <c r="Q9" s="65">
        <v>0.47</v>
      </c>
      <c r="R9" s="63">
        <f>Table1161720[[#This Row],[Calls Handled]]/Table1161720[[#This Row],[Calls Presented]]</f>
        <v>0.73510628592281724</v>
      </c>
      <c r="S9" s="63">
        <f>1-Table1161720[[#This Row],[ANS]]</f>
        <v>0.26489371407718276</v>
      </c>
      <c r="T9" s="65">
        <v>0.55000000000000004</v>
      </c>
      <c r="U9" s="64">
        <v>0.96</v>
      </c>
    </row>
    <row r="10" spans="1:21" x14ac:dyDescent="0.35">
      <c r="B10" s="4" t="s">
        <v>14</v>
      </c>
      <c r="C10" s="10"/>
      <c r="D10" s="11"/>
      <c r="E10" s="11"/>
      <c r="F10" s="11"/>
      <c r="G10" s="11"/>
      <c r="H10" s="11"/>
      <c r="I10" s="11"/>
      <c r="L10" s="4" t="s">
        <v>14</v>
      </c>
      <c r="M10" s="10"/>
      <c r="N10" s="11"/>
      <c r="O10" s="11"/>
      <c r="P10" s="11"/>
      <c r="Q10" s="11"/>
      <c r="R10" s="11"/>
      <c r="S10" s="11"/>
      <c r="T10" s="11"/>
      <c r="U10" s="11"/>
    </row>
    <row r="11" spans="1:21" x14ac:dyDescent="0.35">
      <c r="B11" s="82" t="s">
        <v>0</v>
      </c>
      <c r="C11" s="83">
        <f>SUM(C5:C9)</f>
        <v>90120</v>
      </c>
      <c r="D11" s="83">
        <f>SUM(D5:D9)</f>
        <v>61460</v>
      </c>
      <c r="E11" s="84">
        <f>AVERAGE(E5:E9)</f>
        <v>0.52</v>
      </c>
      <c r="F11" s="84">
        <f>Table11617[[#This Row],[Calls Handled]]/Table11617[[#This Row],[Calls Presented]]</f>
        <v>0.68197958277851756</v>
      </c>
      <c r="G11" s="84">
        <f>1-Table11617[[#This Row],[ANS]]</f>
        <v>0.31802041722148244</v>
      </c>
      <c r="H11" s="84">
        <f>AVERAGE(H5:H9)</f>
        <v>0.7742</v>
      </c>
      <c r="I11" s="85">
        <f>AVERAGEIF(I5:I9,"&gt;0")</f>
        <v>0.94</v>
      </c>
      <c r="L11" s="82" t="s">
        <v>0</v>
      </c>
      <c r="M11" s="83">
        <f>SUM(M5:M9)</f>
        <v>114562</v>
      </c>
      <c r="N11" s="83">
        <f>SUM(N5:N9)</f>
        <v>85257</v>
      </c>
      <c r="O11" s="186">
        <f>(Table1161720[[#This Row],[Calls Presented]]-B23)/B23</f>
        <v>7.4247027493342332E-2</v>
      </c>
      <c r="P11" s="186">
        <f>(Table1161720[[#This Row],[Calls Handled]]-C23)/C23</f>
        <v>3.7252874262424719E-2</v>
      </c>
      <c r="Q11" s="84">
        <f>AVERAGEIF(Q5:Q9, "&lt;&gt;0")</f>
        <v>0.49199999999999999</v>
      </c>
      <c r="R11" s="84">
        <f>Table1161720[[#This Row],[Calls Handled]]/Table1161720[[#This Row],[Calls Presented]]</f>
        <v>0.74419964735252531</v>
      </c>
      <c r="S11" s="84">
        <f>1-Table1161720[[#This Row],[ANS]]</f>
        <v>0.25580035264747469</v>
      </c>
      <c r="T11" s="84">
        <f t="shared" ref="T11:U11" si="0">AVERAGEIF(T5:T9, "&lt;&gt;0")</f>
        <v>0.71799999999999997</v>
      </c>
      <c r="U11" s="85">
        <f t="shared" si="0"/>
        <v>0.94089999999999996</v>
      </c>
    </row>
    <row r="14" spans="1:21" x14ac:dyDescent="0.35">
      <c r="A14" s="275" t="s">
        <v>77</v>
      </c>
      <c r="B14" s="275"/>
      <c r="C14" s="275"/>
      <c r="D14" s="275"/>
      <c r="E14" s="275"/>
      <c r="F14" s="275"/>
      <c r="G14" s="275"/>
      <c r="H14" s="275"/>
      <c r="I14" s="275"/>
      <c r="J14" s="275"/>
      <c r="L14" s="275" t="s">
        <v>84</v>
      </c>
      <c r="M14" s="275"/>
      <c r="N14" s="275"/>
      <c r="O14" s="275"/>
      <c r="P14" s="275"/>
      <c r="Q14" s="275"/>
      <c r="R14" s="275"/>
      <c r="S14" s="275"/>
      <c r="T14" s="275"/>
      <c r="U14" s="275"/>
    </row>
    <row r="15" spans="1:21" x14ac:dyDescent="0.35">
      <c r="A15" s="13" t="s">
        <v>1</v>
      </c>
      <c r="B15" s="14" t="s">
        <v>2</v>
      </c>
      <c r="C15" s="14" t="s">
        <v>15</v>
      </c>
      <c r="D15" s="14" t="s">
        <v>78</v>
      </c>
      <c r="E15" s="14" t="s">
        <v>79</v>
      </c>
      <c r="F15" s="14" t="s">
        <v>3</v>
      </c>
      <c r="G15" s="14" t="s">
        <v>4</v>
      </c>
      <c r="H15" s="14" t="s">
        <v>5</v>
      </c>
      <c r="I15" s="14" t="s">
        <v>6</v>
      </c>
      <c r="J15" s="8" t="s">
        <v>7</v>
      </c>
      <c r="L15" s="13" t="s">
        <v>1</v>
      </c>
      <c r="M15" s="14" t="s">
        <v>2</v>
      </c>
      <c r="N15" s="14" t="s">
        <v>15</v>
      </c>
      <c r="O15" s="14" t="s">
        <v>78</v>
      </c>
      <c r="P15" s="14" t="s">
        <v>79</v>
      </c>
      <c r="Q15" s="14" t="s">
        <v>3</v>
      </c>
      <c r="R15" s="14" t="s">
        <v>4</v>
      </c>
      <c r="S15" s="14" t="s">
        <v>5</v>
      </c>
      <c r="T15" s="14" t="s">
        <v>6</v>
      </c>
      <c r="U15" s="8" t="s">
        <v>7</v>
      </c>
    </row>
    <row r="16" spans="1:21" x14ac:dyDescent="0.35">
      <c r="A16" s="4" t="s">
        <v>8</v>
      </c>
      <c r="B16" s="1"/>
      <c r="C16" s="1"/>
      <c r="D16" s="1"/>
      <c r="E16" s="1"/>
      <c r="F16" s="2">
        <v>0.86</v>
      </c>
      <c r="G16" s="2">
        <v>0.94</v>
      </c>
      <c r="H16" s="2">
        <v>0.06</v>
      </c>
      <c r="I16" s="2">
        <v>0.65</v>
      </c>
      <c r="J16" s="12">
        <v>0.95</v>
      </c>
      <c r="L16" s="4" t="s">
        <v>8</v>
      </c>
      <c r="M16" s="1"/>
      <c r="N16" s="1"/>
      <c r="O16" s="1"/>
      <c r="P16" s="1"/>
      <c r="Q16" s="2">
        <v>0.86</v>
      </c>
      <c r="R16" s="2">
        <v>0.94</v>
      </c>
      <c r="S16" s="2">
        <v>0.06</v>
      </c>
      <c r="T16" s="2">
        <v>0.65</v>
      </c>
      <c r="U16" s="12">
        <v>0.95</v>
      </c>
    </row>
    <row r="17" spans="1:21" x14ac:dyDescent="0.35">
      <c r="A17" s="4" t="s">
        <v>9</v>
      </c>
      <c r="B17" s="67">
        <v>28095</v>
      </c>
      <c r="C17" s="67">
        <v>17806</v>
      </c>
      <c r="D17" s="181">
        <v>0.18659458546268531</v>
      </c>
      <c r="E17" s="181">
        <v>0.33508285221564071</v>
      </c>
      <c r="F17" s="63">
        <v>0.30038461538461542</v>
      </c>
      <c r="G17" s="63">
        <f>Table116172016[[#This Row],[Calls Handled]]/Table116172016[[#This Row],[Calls Presented]]</f>
        <v>0.63377825235807084</v>
      </c>
      <c r="H17" s="63">
        <f>1-Table116172016[[#This Row],[ANS]]</f>
        <v>0.36622174764192916</v>
      </c>
      <c r="I17" s="63">
        <v>0.73653846153846159</v>
      </c>
      <c r="J17" s="63">
        <v>0.8</v>
      </c>
      <c r="L17" s="4" t="s">
        <v>9</v>
      </c>
      <c r="M17" s="67">
        <v>18123</v>
      </c>
      <c r="N17" s="67">
        <v>16500</v>
      </c>
      <c r="O17" s="181">
        <v>-0.39282363977485929</v>
      </c>
      <c r="P17" s="181">
        <v>-0.17060420227204182</v>
      </c>
      <c r="Q17" s="63">
        <v>0.76</v>
      </c>
      <c r="R17" s="63">
        <f>Table116172019[[#This Row],[Calls Handled]]/Table116172019[[#This Row],[Calls Presented]]</f>
        <v>0.91044529051481538</v>
      </c>
      <c r="S17" s="63">
        <f>1-Table116172019[[#This Row],[ANS]]</f>
        <v>8.9554709485184625E-2</v>
      </c>
      <c r="T17" s="68">
        <v>0.53</v>
      </c>
      <c r="U17" s="63">
        <v>0.79</v>
      </c>
    </row>
    <row r="18" spans="1:21" x14ac:dyDescent="0.35">
      <c r="A18" s="4" t="s">
        <v>10</v>
      </c>
      <c r="B18" s="1">
        <v>17583</v>
      </c>
      <c r="C18" s="1">
        <v>14221</v>
      </c>
      <c r="D18" s="98">
        <f>(Table116172016[[#This Row],[Calls Presented]]-C6)/C6</f>
        <v>0.69752848040162196</v>
      </c>
      <c r="E18" s="98">
        <f>(Table116172016[[#This Row],[Calls Handled]]-D6)/D6</f>
        <v>0.45602539162485922</v>
      </c>
      <c r="F18" s="49">
        <v>0.83</v>
      </c>
      <c r="G18" s="63">
        <f>Table116172016[[#This Row],[Calls Handled]]/Table116172016[[#This Row],[Calls Presented]]</f>
        <v>0.80879258374566343</v>
      </c>
      <c r="H18" s="68">
        <f>1-Table116172016[[#This Row],[ANS]]</f>
        <v>0.19120741625433657</v>
      </c>
      <c r="I18" s="50">
        <v>0.65</v>
      </c>
      <c r="J18" s="49"/>
      <c r="L18" s="4" t="s">
        <v>10</v>
      </c>
      <c r="M18">
        <v>7663</v>
      </c>
      <c r="N18" s="1">
        <v>7042</v>
      </c>
      <c r="O18" s="181">
        <v>-0.58767823513586226</v>
      </c>
      <c r="P18" s="181">
        <v>-0.49584765177548684</v>
      </c>
      <c r="Q18" s="59">
        <v>0.81</v>
      </c>
      <c r="R18" s="63">
        <f>Table116172019[[#This Row],[Calls Handled]]/Table116172019[[#This Row],[Calls Presented]]</f>
        <v>0.9189612423332898</v>
      </c>
      <c r="S18" s="63">
        <f>1-Table116172019[[#This Row],[ANS]]</f>
        <v>8.1038757666710204E-2</v>
      </c>
      <c r="T18" s="50">
        <v>0.73</v>
      </c>
      <c r="U18" s="49">
        <v>1</v>
      </c>
    </row>
    <row r="19" spans="1:21" x14ac:dyDescent="0.35">
      <c r="A19" s="4" t="s">
        <v>11</v>
      </c>
      <c r="B19" s="69">
        <v>16067</v>
      </c>
      <c r="C19" s="69">
        <v>15278</v>
      </c>
      <c r="D19" s="181">
        <v>0.34677284157585919</v>
      </c>
      <c r="E19" s="181">
        <v>0.37429162543851757</v>
      </c>
      <c r="F19" s="49">
        <v>0.87655172413793125</v>
      </c>
      <c r="G19" s="68">
        <f>Table116172016[[#This Row],[Calls Handled]]/Table116172016[[#This Row],[Calls Presented]]</f>
        <v>0.95089313499719919</v>
      </c>
      <c r="H19" s="68">
        <f>1-Table116172016[[#This Row],[ANS]]</f>
        <v>4.9106865002800815E-2</v>
      </c>
      <c r="I19" s="180">
        <v>0.55551724137931047</v>
      </c>
      <c r="J19" s="49">
        <v>1</v>
      </c>
      <c r="L19" s="4" t="s">
        <v>11</v>
      </c>
      <c r="M19" s="1">
        <v>10186</v>
      </c>
      <c r="N19" s="1">
        <v>9765</v>
      </c>
      <c r="O19" s="181">
        <v>-0.30900210297808833</v>
      </c>
      <c r="P19" s="181">
        <v>-0.2967737289356186</v>
      </c>
      <c r="Q19" s="49">
        <v>0.86</v>
      </c>
      <c r="R19" s="68">
        <f>Table116172019[[#This Row],[Calls Handled]]/Table116172019[[#This Row],[Calls Presented]]</f>
        <v>0.95866876104457099</v>
      </c>
      <c r="S19" s="68">
        <f>1-Table116172019[[#This Row],[ANS]]</f>
        <v>4.1331238955429006E-2</v>
      </c>
      <c r="T19" s="180">
        <v>0.57999999999999996</v>
      </c>
      <c r="U19" s="49">
        <v>0.98</v>
      </c>
    </row>
    <row r="20" spans="1:21" x14ac:dyDescent="0.35">
      <c r="A20" s="4" t="s">
        <v>12</v>
      </c>
      <c r="B20" s="67">
        <v>28098</v>
      </c>
      <c r="C20" s="67">
        <v>20864</v>
      </c>
      <c r="D20" s="185">
        <v>-2.3629161164778652E-2</v>
      </c>
      <c r="E20" s="181">
        <v>0.29582013539531704</v>
      </c>
      <c r="F20" s="59">
        <v>0.39333333333333337</v>
      </c>
      <c r="G20" s="63">
        <f>Table116172016[[#This Row],[Calls Handled]]/Table116172016[[#This Row],[Calls Presented]]</f>
        <v>0.7425439533062852</v>
      </c>
      <c r="H20" s="63">
        <f>1-Table116172016[[#This Row],[ANS]]</f>
        <v>0.2574560466937148</v>
      </c>
      <c r="I20" s="49">
        <v>0.80869813656850698</v>
      </c>
      <c r="J20" s="151" t="s">
        <v>16</v>
      </c>
      <c r="L20" s="4" t="s">
        <v>12</v>
      </c>
      <c r="M20" s="67">
        <v>22974</v>
      </c>
      <c r="N20" s="67">
        <v>21626</v>
      </c>
      <c r="O20" s="181">
        <v>-0.220321726735899</v>
      </c>
      <c r="P20" s="181">
        <v>1.0844161914555483E-2</v>
      </c>
      <c r="Q20" s="59">
        <v>0.85</v>
      </c>
      <c r="R20" s="68">
        <f>Table116172019[[#This Row],[Calls Handled]]/Table116172019[[#This Row],[Calls Presented]]</f>
        <v>0.94132497605989385</v>
      </c>
      <c r="S20" s="68">
        <f>1-Table116172019[[#This Row],[ANS]]</f>
        <v>5.8675023940106152E-2</v>
      </c>
      <c r="T20" s="59">
        <v>0.6</v>
      </c>
      <c r="U20" s="151" t="s">
        <v>16</v>
      </c>
    </row>
    <row r="21" spans="1:21" x14ac:dyDescent="0.35">
      <c r="A21" s="4" t="s">
        <v>13</v>
      </c>
      <c r="B21" s="66">
        <v>16801</v>
      </c>
      <c r="C21" s="66">
        <v>14026</v>
      </c>
      <c r="D21" s="181">
        <v>9.2605839890745917E-2</v>
      </c>
      <c r="E21" s="181">
        <v>0.25929251212066801</v>
      </c>
      <c r="F21" s="65">
        <v>0.60319999999999996</v>
      </c>
      <c r="G21" s="63">
        <f>Table116172016[[#This Row],[Calls Handled]]/Table116172016[[#This Row],[Calls Presented]]</f>
        <v>0.83483126004404495</v>
      </c>
      <c r="H21" s="63">
        <f>1-Table116172016[[#This Row],[ANS]]</f>
        <v>0.16516873995595505</v>
      </c>
      <c r="I21" s="65">
        <v>0.60160000000000002</v>
      </c>
      <c r="J21" s="64">
        <v>0.95640000000000003</v>
      </c>
      <c r="L21" s="4" t="s">
        <v>13</v>
      </c>
      <c r="M21" s="66">
        <v>8327</v>
      </c>
      <c r="N21" s="66">
        <v>7134</v>
      </c>
      <c r="O21" s="181">
        <v>-0.62015327068698112</v>
      </c>
      <c r="P21" s="181">
        <v>-0.55730685696556004</v>
      </c>
      <c r="Q21" s="65">
        <v>0.65</v>
      </c>
      <c r="R21" s="63">
        <f>Table116172019[[#This Row],[Calls Handled]]/Table116172019[[#This Row],[Calls Presented]]</f>
        <v>0.85673111564789239</v>
      </c>
      <c r="S21" s="63">
        <f>1-Table116172019[[#This Row],[ANS]]</f>
        <v>0.14326888435210761</v>
      </c>
      <c r="T21" s="65">
        <v>0.53</v>
      </c>
      <c r="U21" s="64">
        <v>0.96</v>
      </c>
    </row>
    <row r="22" spans="1:21" x14ac:dyDescent="0.35">
      <c r="A22" s="4" t="s">
        <v>14</v>
      </c>
      <c r="B22" s="10"/>
      <c r="C22" s="11"/>
      <c r="D22" s="11"/>
      <c r="E22" s="11"/>
      <c r="F22" s="11"/>
      <c r="G22" s="11"/>
      <c r="H22" s="11"/>
      <c r="I22" s="11"/>
      <c r="J22" s="11"/>
      <c r="L22" s="4" t="s">
        <v>14</v>
      </c>
      <c r="M22" s="10"/>
      <c r="N22" s="11"/>
      <c r="O22" s="11"/>
      <c r="P22" s="11"/>
      <c r="Q22" s="11"/>
      <c r="R22" s="11"/>
      <c r="S22" s="11"/>
      <c r="T22" s="11"/>
      <c r="U22" s="11"/>
    </row>
    <row r="23" spans="1:21" x14ac:dyDescent="0.35">
      <c r="A23" s="82" t="s">
        <v>0</v>
      </c>
      <c r="B23" s="83">
        <f>SUM(B17:B21)</f>
        <v>106644</v>
      </c>
      <c r="C23" s="83">
        <f>SUM(C17:C21)</f>
        <v>82195</v>
      </c>
      <c r="D23" s="186">
        <v>-1.1750998668442078E-2</v>
      </c>
      <c r="E23" s="186">
        <v>0.1059876342336479</v>
      </c>
      <c r="F23" s="84">
        <f>AVERAGEIF(F17:F21, "&lt;&gt;0")</f>
        <v>0.60069393457117604</v>
      </c>
      <c r="G23" s="84">
        <f>Table116172016[[#This Row],[Calls Handled]]/Table116172016[[#This Row],[Calls Presented]]</f>
        <v>0.77074190765537676</v>
      </c>
      <c r="H23" s="84">
        <f>1-Table116172016[[#This Row],[ANS]]</f>
        <v>0.22925809234462324</v>
      </c>
      <c r="I23" s="84">
        <f t="shared" ref="I23:J23" si="1">AVERAGEIF(I17:I21, "&lt;&gt;0")</f>
        <v>0.67047076789725568</v>
      </c>
      <c r="J23" s="85">
        <f t="shared" si="1"/>
        <v>0.91880000000000006</v>
      </c>
      <c r="L23" s="82" t="s">
        <v>0</v>
      </c>
      <c r="M23" s="83">
        <f>SUM(M17:M21)</f>
        <v>67273</v>
      </c>
      <c r="N23" s="83">
        <f>SUM(N17:N21)</f>
        <v>62067</v>
      </c>
      <c r="O23" s="186">
        <f>(Table116172019[[#This Row],[Calls Presented]]-M11)/M11</f>
        <v>-0.41278085228958994</v>
      </c>
      <c r="P23" s="186">
        <f>(Table116172019[[#This Row],[Calls Handled]]-N11)/N11</f>
        <v>-0.27200112600724868</v>
      </c>
      <c r="Q23" s="84">
        <f>AVERAGEIF(Q17:Q21, "&lt;&gt;0")</f>
        <v>0.78600000000000003</v>
      </c>
      <c r="R23" s="84">
        <f>Table116172019[[#This Row],[Calls Handled]]/Table116172019[[#This Row],[Calls Presented]]</f>
        <v>0.92261382724124097</v>
      </c>
      <c r="S23" s="84">
        <f>1-Table116172019[[#This Row],[ANS]]</f>
        <v>7.7386172758759031E-2</v>
      </c>
      <c r="T23" s="84">
        <f t="shared" ref="T23:U23" si="2">AVERAGEIF(T17:T21, "&lt;&gt;0")</f>
        <v>0.59399999999999997</v>
      </c>
      <c r="U23" s="85">
        <f t="shared" si="2"/>
        <v>0.9325</v>
      </c>
    </row>
    <row r="26" spans="1:21" x14ac:dyDescent="0.35">
      <c r="L26" s="275" t="s">
        <v>105</v>
      </c>
      <c r="M26" s="275"/>
      <c r="N26" s="275"/>
      <c r="O26" s="275"/>
      <c r="P26" s="275"/>
      <c r="Q26" s="275"/>
      <c r="R26" s="275"/>
      <c r="S26" s="275"/>
      <c r="T26" s="275"/>
      <c r="U26" s="275"/>
    </row>
    <row r="27" spans="1:21" x14ac:dyDescent="0.35">
      <c r="L27" s="13" t="s">
        <v>1</v>
      </c>
      <c r="M27" s="14" t="s">
        <v>2</v>
      </c>
      <c r="N27" s="14" t="s">
        <v>15</v>
      </c>
      <c r="O27" s="14" t="s">
        <v>78</v>
      </c>
      <c r="P27" s="14" t="s">
        <v>79</v>
      </c>
      <c r="Q27" s="14" t="s">
        <v>3</v>
      </c>
      <c r="R27" s="14" t="s">
        <v>4</v>
      </c>
      <c r="S27" s="14" t="s">
        <v>5</v>
      </c>
      <c r="T27" s="14" t="s">
        <v>6</v>
      </c>
      <c r="U27" s="8" t="s">
        <v>7</v>
      </c>
    </row>
    <row r="28" spans="1:21" x14ac:dyDescent="0.35">
      <c r="L28" s="4" t="s">
        <v>8</v>
      </c>
      <c r="M28" s="1"/>
      <c r="N28" s="1"/>
      <c r="O28" s="1"/>
      <c r="P28" s="1"/>
      <c r="Q28" s="2">
        <v>0.86</v>
      </c>
      <c r="R28" s="2">
        <v>0.94</v>
      </c>
      <c r="S28" s="2">
        <v>0.06</v>
      </c>
      <c r="T28" s="2">
        <v>0.65</v>
      </c>
      <c r="U28" s="12">
        <v>0.95</v>
      </c>
    </row>
    <row r="29" spans="1:21" x14ac:dyDescent="0.35">
      <c r="L29" s="4" t="s">
        <v>9</v>
      </c>
      <c r="M29" s="67">
        <v>14782</v>
      </c>
      <c r="N29" s="67">
        <v>14033</v>
      </c>
      <c r="O29" s="181">
        <f>(M29-M17)/M17</f>
        <v>-0.18435137670363627</v>
      </c>
      <c r="P29" s="181">
        <f>(N29-N17)/N17</f>
        <v>-0.14951515151515152</v>
      </c>
      <c r="Q29" s="68">
        <v>0.86</v>
      </c>
      <c r="R29" s="68">
        <f>Table11617201923[[#This Row],[Calls Handled]]/Table11617201923[[#This Row],[Calls Presented]]</f>
        <v>0.94933026654038699</v>
      </c>
      <c r="S29" s="68">
        <f>1-Table11617201923[[#This Row],[ANS]]</f>
        <v>5.0669733459613009E-2</v>
      </c>
      <c r="T29" s="63">
        <v>0.45</v>
      </c>
      <c r="U29" s="63">
        <v>0.82</v>
      </c>
    </row>
    <row r="30" spans="1:21" x14ac:dyDescent="0.35">
      <c r="L30" s="4" t="s">
        <v>10</v>
      </c>
      <c r="M30">
        <v>4560</v>
      </c>
      <c r="N30" s="1">
        <v>4362</v>
      </c>
      <c r="O30" s="181">
        <f t="shared" ref="O30:P30" si="3">(M30-M18)/M18</f>
        <v>-0.4049327939449302</v>
      </c>
      <c r="P30" s="181">
        <f t="shared" si="3"/>
        <v>-0.38057370065322349</v>
      </c>
      <c r="Q30" s="49">
        <v>0.86</v>
      </c>
      <c r="R30" s="68">
        <f>Table11617201923[[#This Row],[Calls Handled]]/Table11617201923[[#This Row],[Calls Presented]]</f>
        <v>0.95657894736842108</v>
      </c>
      <c r="S30" s="68">
        <f>1-Table11617201923[[#This Row],[ANS]]</f>
        <v>4.3421052631578916E-2</v>
      </c>
      <c r="T30" s="50">
        <v>0.73</v>
      </c>
      <c r="U30" s="49">
        <v>1</v>
      </c>
    </row>
    <row r="31" spans="1:21" x14ac:dyDescent="0.35">
      <c r="L31" s="4" t="s">
        <v>11</v>
      </c>
      <c r="M31" s="1">
        <v>8945</v>
      </c>
      <c r="N31" s="1">
        <v>8575</v>
      </c>
      <c r="O31" s="181">
        <f t="shared" ref="O31:P31" si="4">(M31-M19)/M19</f>
        <v>-0.12183388965246417</v>
      </c>
      <c r="P31" s="181">
        <f t="shared" si="4"/>
        <v>-0.12186379928315412</v>
      </c>
      <c r="Q31" s="49">
        <v>0.9</v>
      </c>
      <c r="R31" s="68">
        <f>Table11617201923[[#This Row],[Calls Handled]]/Table11617201923[[#This Row],[Calls Presented]]</f>
        <v>0.9586361095584125</v>
      </c>
      <c r="S31" s="68">
        <f>1-Table11617201923[[#This Row],[ANS]]</f>
        <v>4.1363890441587503E-2</v>
      </c>
      <c r="T31" s="180">
        <v>0.55000000000000004</v>
      </c>
      <c r="U31" s="49">
        <v>1</v>
      </c>
    </row>
    <row r="32" spans="1:21" x14ac:dyDescent="0.35">
      <c r="L32" s="4" t="s">
        <v>12</v>
      </c>
      <c r="M32" s="67">
        <v>18729</v>
      </c>
      <c r="N32" s="67">
        <v>17737</v>
      </c>
      <c r="O32" s="181">
        <f t="shared" ref="O32:P32" si="5">(M32-M20)/M20</f>
        <v>-0.18477409245233742</v>
      </c>
      <c r="P32" s="181">
        <f t="shared" si="5"/>
        <v>-0.17982983445852216</v>
      </c>
      <c r="Q32" s="49">
        <v>0.88</v>
      </c>
      <c r="R32" s="68">
        <f>Table11617201923[[#This Row],[Calls Handled]]/Table11617201923[[#This Row],[Calls Presented]]</f>
        <v>0.94703401142613064</v>
      </c>
      <c r="S32" s="68">
        <f>1-Table11617201923[[#This Row],[ANS]]</f>
        <v>5.296598857386936E-2</v>
      </c>
      <c r="T32" s="59">
        <v>0.52</v>
      </c>
      <c r="U32" s="151" t="s">
        <v>16</v>
      </c>
    </row>
    <row r="33" spans="12:21" x14ac:dyDescent="0.35">
      <c r="L33" s="4" t="s">
        <v>13</v>
      </c>
      <c r="M33" s="66">
        <v>4497</v>
      </c>
      <c r="N33" s="66">
        <v>4104</v>
      </c>
      <c r="O33" s="181">
        <f t="shared" ref="O33:P33" si="6">(M33-M21)/M21</f>
        <v>-0.45994956166686685</v>
      </c>
      <c r="P33" s="181">
        <f t="shared" si="6"/>
        <v>-0.42472666105971407</v>
      </c>
      <c r="Q33" s="65">
        <v>0.7</v>
      </c>
      <c r="R33" s="63">
        <f>Table11617201923[[#This Row],[Calls Handled]]/Table11617201923[[#This Row],[Calls Presented]]</f>
        <v>0.91260840560373579</v>
      </c>
      <c r="S33" s="63">
        <f>1-Table11617201923[[#This Row],[ANS]]</f>
        <v>8.7391594396264205E-2</v>
      </c>
      <c r="T33" s="65">
        <v>0.54</v>
      </c>
      <c r="U33" s="64">
        <v>0.96</v>
      </c>
    </row>
    <row r="34" spans="12:21" x14ac:dyDescent="0.35">
      <c r="L34" s="4" t="s">
        <v>14</v>
      </c>
      <c r="M34" s="10"/>
      <c r="N34" s="11"/>
      <c r="O34" s="11"/>
      <c r="P34" s="11"/>
      <c r="Q34" s="11"/>
      <c r="R34" s="11"/>
      <c r="S34" s="11"/>
      <c r="T34" s="11"/>
      <c r="U34" s="11"/>
    </row>
    <row r="35" spans="12:21" x14ac:dyDescent="0.35">
      <c r="L35" s="82" t="s">
        <v>0</v>
      </c>
      <c r="M35" s="83">
        <f>SUM(M29:M33)</f>
        <v>51513</v>
      </c>
      <c r="N35" s="83">
        <f>SUM(N29:N33)</f>
        <v>48811</v>
      </c>
      <c r="O35" s="186">
        <f>(Table11617201923[[#This Row],[Calls Presented]]-M23)/M23</f>
        <v>-0.23426932052978164</v>
      </c>
      <c r="P35" s="186">
        <f>(Table11617201923[[#This Row],[Calls Handled]]-N23)/N23</f>
        <v>-0.21357565211787263</v>
      </c>
      <c r="Q35" s="84">
        <f>AVERAGEIF(Q29:Q33, "&lt;&gt;0")</f>
        <v>0.84000000000000008</v>
      </c>
      <c r="R35" s="84">
        <f>Table11617201923[[#This Row],[Calls Handled]]/Table11617201923[[#This Row],[Calls Presented]]</f>
        <v>0.94754722108982203</v>
      </c>
      <c r="S35" s="84">
        <f>1-Table11617201923[[#This Row],[ANS]]</f>
        <v>5.2452778910177966E-2</v>
      </c>
      <c r="T35" s="84">
        <f t="shared" ref="T35:U35" si="7">AVERAGEIF(T29:T33, "&lt;&gt;0")</f>
        <v>0.55800000000000005</v>
      </c>
      <c r="U35" s="85">
        <f t="shared" si="7"/>
        <v>0.94499999999999995</v>
      </c>
    </row>
    <row r="38" spans="12:21" x14ac:dyDescent="0.35">
      <c r="L38" s="275" t="s">
        <v>141</v>
      </c>
      <c r="M38" s="275"/>
      <c r="N38" s="275"/>
      <c r="O38" s="275"/>
      <c r="P38" s="275"/>
      <c r="Q38" s="275"/>
      <c r="R38" s="275"/>
      <c r="S38" s="275"/>
      <c r="T38" s="275"/>
      <c r="U38" s="275"/>
    </row>
    <row r="39" spans="12:21" x14ac:dyDescent="0.35">
      <c r="L39" s="13" t="s">
        <v>1</v>
      </c>
      <c r="M39" s="14" t="s">
        <v>2</v>
      </c>
      <c r="N39" s="14" t="s">
        <v>15</v>
      </c>
      <c r="O39" s="14" t="s">
        <v>78</v>
      </c>
      <c r="P39" s="14" t="s">
        <v>79</v>
      </c>
      <c r="Q39" s="14" t="s">
        <v>3</v>
      </c>
      <c r="R39" s="14" t="s">
        <v>4</v>
      </c>
      <c r="S39" s="14" t="s">
        <v>5</v>
      </c>
      <c r="T39" s="14" t="s">
        <v>6</v>
      </c>
      <c r="U39" s="8" t="s">
        <v>7</v>
      </c>
    </row>
    <row r="40" spans="12:21" x14ac:dyDescent="0.35">
      <c r="L40" s="4" t="s">
        <v>8</v>
      </c>
      <c r="M40" s="1"/>
      <c r="N40" s="1"/>
      <c r="O40" s="1"/>
      <c r="P40" s="1"/>
      <c r="Q40" s="2">
        <v>0.86</v>
      </c>
      <c r="R40" s="2">
        <v>0.94</v>
      </c>
      <c r="S40" s="2">
        <v>0.06</v>
      </c>
      <c r="T40" s="2">
        <v>0.65</v>
      </c>
      <c r="U40" s="12">
        <v>0.95</v>
      </c>
    </row>
    <row r="41" spans="12:21" x14ac:dyDescent="0.35">
      <c r="L41" s="4" t="s">
        <v>9</v>
      </c>
      <c r="M41" s="67">
        <v>16404</v>
      </c>
      <c r="N41" s="67">
        <v>15390</v>
      </c>
      <c r="O41" s="181">
        <f>(M41-M29)/M29</f>
        <v>0.10972804762549046</v>
      </c>
      <c r="P41" s="181">
        <f>(N41-N29)/N29</f>
        <v>9.6700634219340123E-2</v>
      </c>
      <c r="Q41" s="68">
        <v>0.83</v>
      </c>
      <c r="R41" s="68">
        <f>Table1161720192324[[#This Row],[Calls Handled]]/Table1161720192324[[#This Row],[Calls Presented]]</f>
        <v>0.93818580833942944</v>
      </c>
      <c r="S41" s="68">
        <f>1-Table1161720192324[[#This Row],[ANS]]</f>
        <v>6.1814191660570561E-2</v>
      </c>
      <c r="T41" s="63">
        <v>0.46</v>
      </c>
      <c r="U41" s="63">
        <v>0.81</v>
      </c>
    </row>
    <row r="42" spans="12:21" x14ac:dyDescent="0.35">
      <c r="L42" s="4" t="s">
        <v>10</v>
      </c>
      <c r="M42">
        <v>4194</v>
      </c>
      <c r="N42" s="1">
        <v>4040</v>
      </c>
      <c r="O42" s="181">
        <f t="shared" ref="O42:O45" si="8">(M42-M30)/M30</f>
        <v>-8.0263157894736842E-2</v>
      </c>
      <c r="P42" s="181">
        <f t="shared" ref="P42:P45" si="9">(N42-N30)/N30</f>
        <v>-7.3819348922512615E-2</v>
      </c>
      <c r="Q42" s="49">
        <v>0.89</v>
      </c>
      <c r="R42" s="68">
        <f>Table1161720192324[[#This Row],[Calls Handled]]/Table1161720192324[[#This Row],[Calls Presented]]</f>
        <v>0.96328087744396762</v>
      </c>
      <c r="S42" s="68">
        <f>1-Table1161720192324[[#This Row],[ANS]]</f>
        <v>3.671912255603238E-2</v>
      </c>
      <c r="T42" s="50">
        <v>0.72</v>
      </c>
      <c r="U42" s="49">
        <v>1</v>
      </c>
    </row>
    <row r="43" spans="12:21" x14ac:dyDescent="0.35">
      <c r="L43" s="4" t="s">
        <v>11</v>
      </c>
      <c r="M43" s="1">
        <v>10535</v>
      </c>
      <c r="N43" s="1">
        <v>10047</v>
      </c>
      <c r="O43" s="181">
        <f t="shared" si="8"/>
        <v>0.17775293460033539</v>
      </c>
      <c r="P43" s="181">
        <f t="shared" si="9"/>
        <v>0.17166180758017494</v>
      </c>
      <c r="Q43" s="49">
        <v>0.83</v>
      </c>
      <c r="R43" s="68">
        <f>Table1161720192324[[#This Row],[Calls Handled]]/Table1161720192324[[#This Row],[Calls Presented]]</f>
        <v>0.95367821547223541</v>
      </c>
      <c r="S43" s="68">
        <f>1-Table1161720192324[[#This Row],[ANS]]</f>
        <v>4.6321784527764587E-2</v>
      </c>
      <c r="T43" s="180">
        <v>0.64</v>
      </c>
      <c r="U43" s="49">
        <v>1</v>
      </c>
    </row>
    <row r="44" spans="12:21" x14ac:dyDescent="0.35">
      <c r="L44" s="4" t="s">
        <v>12</v>
      </c>
      <c r="M44" s="67">
        <v>23825</v>
      </c>
      <c r="N44" s="67">
        <v>22655</v>
      </c>
      <c r="O44" s="181">
        <f t="shared" si="8"/>
        <v>0.27209140904479684</v>
      </c>
      <c r="P44" s="181">
        <f t="shared" si="9"/>
        <v>0.27727349608163726</v>
      </c>
      <c r="Q44" s="49">
        <v>0.87</v>
      </c>
      <c r="R44" s="68">
        <f>Table1161720192324[[#This Row],[Calls Handled]]/Table1161720192324[[#This Row],[Calls Presented]]</f>
        <v>0.95089192025183633</v>
      </c>
      <c r="S44" s="68">
        <f>1-Table1161720192324[[#This Row],[ANS]]</f>
        <v>4.9108079748163669E-2</v>
      </c>
      <c r="T44" s="59">
        <v>0.64</v>
      </c>
      <c r="U44" s="151" t="s">
        <v>16</v>
      </c>
    </row>
    <row r="45" spans="12:21" x14ac:dyDescent="0.35">
      <c r="L45" s="4" t="s">
        <v>13</v>
      </c>
      <c r="M45" s="66">
        <v>8792</v>
      </c>
      <c r="N45" s="66">
        <v>8104</v>
      </c>
      <c r="O45" s="181">
        <f t="shared" si="8"/>
        <v>0.95508116522125863</v>
      </c>
      <c r="P45" s="181">
        <f t="shared" si="9"/>
        <v>0.97465886939571145</v>
      </c>
      <c r="Q45" s="65">
        <v>0.81</v>
      </c>
      <c r="R45" s="68">
        <f>Table1161720192324[[#This Row],[Calls Handled]]/Table1161720192324[[#This Row],[Calls Presented]]</f>
        <v>0.92174704276615105</v>
      </c>
      <c r="S45" s="68">
        <f>1-Table1161720192324[[#This Row],[ANS]]</f>
        <v>7.8252957233848952E-2</v>
      </c>
      <c r="T45" s="65">
        <v>0.54</v>
      </c>
      <c r="U45" s="64">
        <v>0.95</v>
      </c>
    </row>
    <row r="46" spans="12:21" x14ac:dyDescent="0.35">
      <c r="L46" s="4" t="s">
        <v>14</v>
      </c>
      <c r="M46" s="10"/>
      <c r="N46" s="11"/>
      <c r="O46" s="11"/>
      <c r="P46" s="11"/>
      <c r="Q46" s="11"/>
      <c r="R46" s="11"/>
      <c r="S46" s="11"/>
      <c r="T46" s="11"/>
      <c r="U46" s="11"/>
    </row>
    <row r="47" spans="12:21" x14ac:dyDescent="0.35">
      <c r="L47" s="82" t="s">
        <v>0</v>
      </c>
      <c r="M47" s="83">
        <f>SUM(M41:M45)</f>
        <v>63750</v>
      </c>
      <c r="N47" s="83">
        <f>SUM(N41:N45)</f>
        <v>60236</v>
      </c>
      <c r="O47" s="252">
        <f>(Table1161720192324[[#This Row],[Calls Presented]]-M35)/M35</f>
        <v>0.23755168598217927</v>
      </c>
      <c r="P47" s="252">
        <f>(Table1161720192324[[#This Row],[Calls Handled]]-N35)/N35</f>
        <v>0.23406609165966688</v>
      </c>
      <c r="Q47" s="84">
        <f>AVERAGEIF(Q41:Q45, "&lt;&gt;0")</f>
        <v>0.84600000000000009</v>
      </c>
      <c r="R47" s="84">
        <f>Table1161720192324[[#This Row],[Calls Handled]]/Table1161720192324[[#This Row],[Calls Presented]]</f>
        <v>0.94487843137254901</v>
      </c>
      <c r="S47" s="84">
        <f>1-Table1161720192324[[#This Row],[ANS]]</f>
        <v>5.512156862745099E-2</v>
      </c>
      <c r="T47" s="84">
        <f t="shared" ref="T47:U47" si="10">AVERAGEIF(T41:T45, "&lt;&gt;0")</f>
        <v>0.6</v>
      </c>
      <c r="U47" s="85">
        <f t="shared" si="10"/>
        <v>0.94</v>
      </c>
    </row>
  </sheetData>
  <mergeCells count="6">
    <mergeCell ref="L38:U38"/>
    <mergeCell ref="B2:I2"/>
    <mergeCell ref="L2:U2"/>
    <mergeCell ref="A14:J14"/>
    <mergeCell ref="L14:U14"/>
    <mergeCell ref="L26:U26"/>
  </mergeCells>
  <phoneticPr fontId="8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8E82-E4C6-44D1-AD63-0FD75F025826}">
  <sheetPr codeName="Sheet7"/>
  <dimension ref="A1:AA366"/>
  <sheetViews>
    <sheetView zoomScale="80" zoomScaleNormal="80" workbookViewId="0">
      <pane xSplit="1" ySplit="1" topLeftCell="I308" activePane="bottomRight" state="frozen"/>
      <selection pane="topRight" activeCell="B1" sqref="B1"/>
      <selection pane="bottomLeft" activeCell="A3" sqref="A3"/>
      <selection pane="bottomRight" activeCell="Q281" sqref="Q281:Q366"/>
    </sheetView>
  </sheetViews>
  <sheetFormatPr defaultRowHeight="14.5" x14ac:dyDescent="0.35"/>
  <cols>
    <col min="2" max="2" width="19" bestFit="1" customWidth="1"/>
    <col min="3" max="3" width="6.90625" customWidth="1"/>
    <col min="4" max="4" width="10.54296875" customWidth="1"/>
    <col min="5" max="5" width="14.1796875" bestFit="1" customWidth="1"/>
    <col min="6" max="7" width="21.81640625" customWidth="1"/>
    <col min="8" max="8" width="19.36328125" customWidth="1"/>
    <col min="9" max="9" width="21" bestFit="1" customWidth="1"/>
    <col min="10" max="10" width="18.7265625" customWidth="1"/>
    <col min="11" max="11" width="17.6328125" bestFit="1" customWidth="1"/>
    <col min="15" max="15" width="8.90625" customWidth="1"/>
    <col min="21" max="21" width="9.90625" customWidth="1"/>
    <col min="22" max="22" width="21.26953125" customWidth="1"/>
    <col min="23" max="23" width="23.1796875" customWidth="1"/>
    <col min="26" max="26" width="10.7265625" bestFit="1" customWidth="1"/>
  </cols>
  <sheetData>
    <row r="1" spans="1:27" ht="17" customHeight="1" x14ac:dyDescent="0.35">
      <c r="A1" s="26" t="s">
        <v>36</v>
      </c>
      <c r="B1" s="27" t="s">
        <v>55</v>
      </c>
      <c r="C1" s="27" t="s">
        <v>59</v>
      </c>
      <c r="D1" s="27" t="s">
        <v>58</v>
      </c>
      <c r="E1" s="27" t="s">
        <v>34</v>
      </c>
      <c r="F1" s="27" t="s">
        <v>154</v>
      </c>
      <c r="G1" s="27" t="s">
        <v>61</v>
      </c>
      <c r="H1" s="27" t="s">
        <v>56</v>
      </c>
      <c r="I1" s="27" t="s">
        <v>57</v>
      </c>
      <c r="J1" s="27" t="s">
        <v>153</v>
      </c>
      <c r="K1" s="27" t="s">
        <v>152</v>
      </c>
      <c r="L1" s="27" t="s">
        <v>32</v>
      </c>
      <c r="M1" s="27" t="s">
        <v>5</v>
      </c>
      <c r="N1" s="27" t="s">
        <v>4</v>
      </c>
      <c r="O1" s="27" t="s">
        <v>33</v>
      </c>
      <c r="P1" s="28" t="s">
        <v>7</v>
      </c>
      <c r="Q1" s="27" t="s">
        <v>82</v>
      </c>
      <c r="R1" s="27" t="s">
        <v>83</v>
      </c>
      <c r="S1" s="27" t="s">
        <v>80</v>
      </c>
    </row>
    <row r="2" spans="1:27" ht="17" customHeight="1" x14ac:dyDescent="0.35">
      <c r="A2" s="33">
        <v>44652</v>
      </c>
      <c r="B2" s="1" t="s">
        <v>53</v>
      </c>
      <c r="C2" s="34" t="s">
        <v>60</v>
      </c>
      <c r="D2" s="1">
        <v>794</v>
      </c>
      <c r="E2" s="1">
        <v>658</v>
      </c>
      <c r="F2" s="98">
        <v>-0.21850393700787402</v>
      </c>
      <c r="G2" s="98">
        <v>0.19636363636363635</v>
      </c>
      <c r="H2" s="34">
        <v>794</v>
      </c>
      <c r="I2" s="34">
        <v>658</v>
      </c>
      <c r="J2" s="34">
        <v>794</v>
      </c>
      <c r="K2" s="34">
        <v>658</v>
      </c>
      <c r="L2" s="18">
        <v>0.53</v>
      </c>
      <c r="M2" s="18">
        <v>0.2</v>
      </c>
      <c r="N2" s="18">
        <v>0.8</v>
      </c>
      <c r="O2" s="40">
        <v>0.87</v>
      </c>
      <c r="P2" s="253"/>
      <c r="Q2" s="197"/>
      <c r="R2" s="197"/>
      <c r="S2" s="7"/>
    </row>
    <row r="3" spans="1:27" ht="17" customHeight="1" x14ac:dyDescent="0.35">
      <c r="A3" s="23">
        <v>44653</v>
      </c>
      <c r="B3" s="1" t="s">
        <v>54</v>
      </c>
      <c r="C3" s="1" t="s">
        <v>60</v>
      </c>
      <c r="D3" s="1">
        <v>608</v>
      </c>
      <c r="E3" s="1">
        <v>520</v>
      </c>
      <c r="F3" s="72">
        <v>-0.35112059765208109</v>
      </c>
      <c r="G3" s="72">
        <v>0.229314420803783</v>
      </c>
      <c r="H3" s="1">
        <v>1402</v>
      </c>
      <c r="I3" s="1">
        <v>1178</v>
      </c>
      <c r="J3" s="1">
        <v>1402</v>
      </c>
      <c r="K3" s="1">
        <v>1178</v>
      </c>
      <c r="L3" s="18">
        <v>0.61</v>
      </c>
      <c r="M3" s="18">
        <v>0.15</v>
      </c>
      <c r="N3" s="18">
        <v>0.85</v>
      </c>
      <c r="O3" s="18">
        <v>0.8</v>
      </c>
      <c r="P3" s="253"/>
      <c r="Q3" s="1"/>
      <c r="R3" s="1"/>
      <c r="S3" s="1"/>
    </row>
    <row r="4" spans="1:27" ht="17" customHeight="1" x14ac:dyDescent="0.35">
      <c r="A4" s="23">
        <v>44654</v>
      </c>
      <c r="B4" s="1" t="s">
        <v>48</v>
      </c>
      <c r="C4" s="34" t="s">
        <v>60</v>
      </c>
      <c r="D4" s="1">
        <v>0</v>
      </c>
      <c r="E4" s="1">
        <v>0</v>
      </c>
      <c r="F4" s="72">
        <v>0</v>
      </c>
      <c r="G4" s="72">
        <v>0</v>
      </c>
      <c r="H4" s="1">
        <v>0</v>
      </c>
      <c r="I4" s="1">
        <v>0</v>
      </c>
      <c r="J4" s="1">
        <v>0</v>
      </c>
      <c r="K4" s="1">
        <v>0</v>
      </c>
      <c r="L4" s="18">
        <v>0</v>
      </c>
      <c r="M4" s="18">
        <v>0</v>
      </c>
      <c r="N4" s="18">
        <v>0</v>
      </c>
      <c r="O4" s="18">
        <v>0</v>
      </c>
      <c r="P4" s="253"/>
      <c r="Q4" s="101"/>
      <c r="R4" s="101"/>
      <c r="S4" s="1"/>
    </row>
    <row r="5" spans="1:27" ht="17" customHeight="1" x14ac:dyDescent="0.35">
      <c r="A5" s="23">
        <v>44655</v>
      </c>
      <c r="B5" s="1" t="s">
        <v>49</v>
      </c>
      <c r="C5" s="1" t="s">
        <v>60</v>
      </c>
      <c r="D5" s="1">
        <v>994</v>
      </c>
      <c r="E5" s="1">
        <v>727</v>
      </c>
      <c r="F5" s="72">
        <v>-0.11170688114387846</v>
      </c>
      <c r="G5" s="72">
        <v>8.3457526080476907E-2</v>
      </c>
      <c r="H5" s="1">
        <v>2396</v>
      </c>
      <c r="I5" s="1">
        <v>1905</v>
      </c>
      <c r="J5" s="1">
        <v>2396</v>
      </c>
      <c r="K5" s="1">
        <v>1905</v>
      </c>
      <c r="L5" s="18">
        <v>0.28000000000000003</v>
      </c>
      <c r="M5" s="18">
        <v>0.26</v>
      </c>
      <c r="N5" s="18">
        <v>0.74</v>
      </c>
      <c r="O5" s="18">
        <v>0.96</v>
      </c>
      <c r="P5" s="253"/>
      <c r="Q5" s="9"/>
      <c r="R5" s="9"/>
      <c r="S5" s="1"/>
      <c r="U5" t="s">
        <v>65</v>
      </c>
      <c r="V5" t="s">
        <v>66</v>
      </c>
      <c r="W5" t="s">
        <v>67</v>
      </c>
      <c r="Z5" t="s">
        <v>68</v>
      </c>
      <c r="AA5" s="16">
        <v>44655</v>
      </c>
    </row>
    <row r="6" spans="1:27" ht="17" customHeight="1" x14ac:dyDescent="0.35">
      <c r="A6" s="33">
        <v>44656</v>
      </c>
      <c r="B6" s="1" t="s">
        <v>50</v>
      </c>
      <c r="C6" s="34" t="s">
        <v>60</v>
      </c>
      <c r="D6" s="1">
        <v>878</v>
      </c>
      <c r="E6" s="1">
        <v>593</v>
      </c>
      <c r="F6" s="72">
        <v>-0.25844594594594594</v>
      </c>
      <c r="G6" s="72">
        <v>-0.1122754491017964</v>
      </c>
      <c r="H6" s="1">
        <v>3274</v>
      </c>
      <c r="I6" s="1">
        <v>2498</v>
      </c>
      <c r="J6" s="1">
        <v>3274</v>
      </c>
      <c r="K6" s="1">
        <v>2498</v>
      </c>
      <c r="L6" s="18">
        <v>0.3</v>
      </c>
      <c r="M6" s="18">
        <v>0.33</v>
      </c>
      <c r="N6" s="18">
        <v>0.66999999999999993</v>
      </c>
      <c r="O6" s="18">
        <v>0.69</v>
      </c>
      <c r="P6" s="253"/>
      <c r="Q6" s="9"/>
      <c r="R6" s="9"/>
      <c r="S6" s="1"/>
      <c r="U6" s="23">
        <v>44655</v>
      </c>
      <c r="V6" s="1" cm="1">
        <f t="array" ref="V6">SUMIFS(calls_off_JAM,period_JAM,"&gt;="&amp;U6,period_JAM,"&lt;"&amp;U7)</f>
        <v>4919</v>
      </c>
      <c r="W6" s="1" cm="1">
        <f t="array" ref="W6">SUMIFS(calls_ans_JAM,period_JAM,"&gt;="&amp;U6,period_JAM,"&lt;"&amp;U7)</f>
        <v>3926</v>
      </c>
      <c r="Z6" t="s">
        <v>69</v>
      </c>
      <c r="AA6" s="16">
        <v>45012</v>
      </c>
    </row>
    <row r="7" spans="1:27" ht="17" customHeight="1" x14ac:dyDescent="0.35">
      <c r="A7" s="23">
        <v>44657</v>
      </c>
      <c r="B7" s="1" t="s">
        <v>51</v>
      </c>
      <c r="C7" s="1" t="s">
        <v>60</v>
      </c>
      <c r="D7" s="1">
        <v>823</v>
      </c>
      <c r="E7" s="1">
        <v>670</v>
      </c>
      <c r="F7" s="72">
        <v>-0.13368421052631579</v>
      </c>
      <c r="G7" s="72">
        <v>-5.7665260196905765E-2</v>
      </c>
      <c r="H7" s="1">
        <v>4097</v>
      </c>
      <c r="I7" s="1">
        <v>3168</v>
      </c>
      <c r="J7" s="1">
        <v>4097</v>
      </c>
      <c r="K7" s="1">
        <v>3168</v>
      </c>
      <c r="L7" s="18">
        <v>0.47</v>
      </c>
      <c r="M7" s="18">
        <v>0.19</v>
      </c>
      <c r="N7" s="18">
        <v>0.81</v>
      </c>
      <c r="O7" s="18">
        <v>0.78</v>
      </c>
      <c r="P7" s="253"/>
      <c r="Q7" s="9"/>
      <c r="R7" s="9"/>
      <c r="S7" s="1"/>
      <c r="U7" s="23">
        <f>U6+7</f>
        <v>44662</v>
      </c>
      <c r="V7" s="1" cm="1">
        <f t="array" ref="V7">SUMIFS(calls_off_JAM,period_JAM,"&gt;="&amp;U7,period_JAM,"&lt;"&amp;U8)</f>
        <v>3879</v>
      </c>
      <c r="W7" s="1" cm="1">
        <f t="array" ref="W7">SUMIFS(calls_ans_JAM,period_JAM,"&gt;="&amp;U7,period_JAM,"&lt;"&amp;U8)</f>
        <v>3257</v>
      </c>
    </row>
    <row r="8" spans="1:27" ht="17" customHeight="1" x14ac:dyDescent="0.35">
      <c r="A8" s="33">
        <v>44658</v>
      </c>
      <c r="B8" s="1" t="s">
        <v>52</v>
      </c>
      <c r="C8" s="34" t="s">
        <v>60</v>
      </c>
      <c r="D8" s="1">
        <v>812</v>
      </c>
      <c r="E8" s="1">
        <v>764</v>
      </c>
      <c r="F8" s="72">
        <v>-0.10671067106710672</v>
      </c>
      <c r="G8" s="72">
        <v>0.25040916530278234</v>
      </c>
      <c r="H8" s="1">
        <v>4909</v>
      </c>
      <c r="I8" s="1">
        <v>3932</v>
      </c>
      <c r="J8" s="1">
        <v>4909</v>
      </c>
      <c r="K8" s="1">
        <v>3932</v>
      </c>
      <c r="L8" s="18">
        <v>0.81</v>
      </c>
      <c r="M8" s="18">
        <v>0.06</v>
      </c>
      <c r="N8" s="18">
        <v>0.94</v>
      </c>
      <c r="O8" s="18">
        <v>0.79</v>
      </c>
      <c r="P8" s="253"/>
      <c r="Q8" s="9"/>
      <c r="R8" s="9"/>
      <c r="S8" s="1"/>
      <c r="U8" s="23">
        <f t="shared" ref="U8:U21" si="0">U7+7</f>
        <v>44669</v>
      </c>
      <c r="V8" s="1" cm="1">
        <f t="array" ref="V8">SUMIFS(calls_off_JAM,period_JAM,"&gt;="&amp;U8,period_JAM,"&lt;"&amp;U9)</f>
        <v>4579</v>
      </c>
      <c r="W8" s="1" cm="1">
        <f t="array" ref="W8">SUMIFS(calls_ans_JAM,period_JAM,"&gt;="&amp;U8,period_JAM,"&lt;"&amp;U9)</f>
        <v>3124</v>
      </c>
    </row>
    <row r="9" spans="1:27" ht="17" customHeight="1" x14ac:dyDescent="0.35">
      <c r="A9" s="23">
        <v>44659</v>
      </c>
      <c r="B9" s="1" t="s">
        <v>53</v>
      </c>
      <c r="C9" s="1" t="s">
        <v>60</v>
      </c>
      <c r="D9" s="1">
        <v>786</v>
      </c>
      <c r="E9" s="1">
        <v>569</v>
      </c>
      <c r="F9" s="72">
        <v>-1.0075566750629723E-2</v>
      </c>
      <c r="G9" s="72">
        <v>-0.13525835866261399</v>
      </c>
      <c r="H9" s="1">
        <v>5695</v>
      </c>
      <c r="I9" s="1">
        <v>4501</v>
      </c>
      <c r="J9" s="1">
        <v>5695</v>
      </c>
      <c r="K9" s="1">
        <v>4501</v>
      </c>
      <c r="L9" s="18">
        <v>0.42</v>
      </c>
      <c r="M9" s="18">
        <v>0.28000000000000003</v>
      </c>
      <c r="N9" s="18">
        <v>0.72</v>
      </c>
      <c r="O9" s="18">
        <v>0.75</v>
      </c>
      <c r="P9" s="253"/>
      <c r="Q9" s="9"/>
      <c r="R9" s="9"/>
      <c r="S9" s="1"/>
      <c r="U9" s="23">
        <f t="shared" si="0"/>
        <v>44676</v>
      </c>
      <c r="V9" s="1" cm="1">
        <f t="array" ref="V9">SUMIFS(calls_off_JAM,period_JAM,"&gt;="&amp;U9,period_JAM,"&lt;"&amp;U10)</f>
        <v>6190</v>
      </c>
      <c r="W9" s="1" cm="1">
        <f t="array" ref="W9">SUMIFS(calls_ans_JAM,period_JAM,"&gt;="&amp;U9,period_JAM,"&lt;"&amp;U10)</f>
        <v>4680</v>
      </c>
    </row>
    <row r="10" spans="1:27" ht="17" customHeight="1" x14ac:dyDescent="0.35">
      <c r="A10" s="33">
        <v>44660</v>
      </c>
      <c r="B10" s="1" t="s">
        <v>54</v>
      </c>
      <c r="C10" s="34" t="s">
        <v>60</v>
      </c>
      <c r="D10" s="1">
        <v>626</v>
      </c>
      <c r="E10" s="1">
        <v>603</v>
      </c>
      <c r="F10" s="72">
        <v>2.9605263157894735E-2</v>
      </c>
      <c r="G10" s="72">
        <v>0.1596153846153846</v>
      </c>
      <c r="H10" s="1">
        <v>6321</v>
      </c>
      <c r="I10" s="1">
        <v>5104</v>
      </c>
      <c r="J10" s="1">
        <v>6321</v>
      </c>
      <c r="K10" s="1">
        <v>5104</v>
      </c>
      <c r="L10" s="18">
        <v>0.91</v>
      </c>
      <c r="M10" s="18">
        <v>0.04</v>
      </c>
      <c r="N10" s="18">
        <v>0.96</v>
      </c>
      <c r="O10" s="18">
        <v>0.7</v>
      </c>
      <c r="P10" s="253"/>
      <c r="Q10" s="9"/>
      <c r="R10" s="9"/>
      <c r="S10" s="1"/>
      <c r="U10" s="23">
        <f t="shared" si="0"/>
        <v>44683</v>
      </c>
      <c r="V10" s="1" cm="1">
        <f t="array" ref="V10">SUMIFS(calls_off_JAM,period_JAM,"&gt;="&amp;U10,period_JAM,"&lt;"&amp;U11)</f>
        <v>5368</v>
      </c>
      <c r="W10" s="1" cm="1">
        <f t="array" ref="W10">SUMIFS(calls_ans_JAM,period_JAM,"&gt;="&amp;U10,period_JAM,"&lt;"&amp;U11)</f>
        <v>4336</v>
      </c>
    </row>
    <row r="11" spans="1:27" ht="17" customHeight="1" x14ac:dyDescent="0.35">
      <c r="A11" s="33">
        <v>44661</v>
      </c>
      <c r="B11" s="1" t="s">
        <v>48</v>
      </c>
      <c r="C11" s="1" t="s">
        <v>60</v>
      </c>
      <c r="D11" s="1">
        <v>0</v>
      </c>
      <c r="E11" s="1">
        <v>0</v>
      </c>
      <c r="F11" s="72">
        <v>0</v>
      </c>
      <c r="G11" s="72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253"/>
      <c r="Q11" s="86"/>
      <c r="R11" s="86"/>
      <c r="S11" s="1"/>
      <c r="U11" s="23">
        <f t="shared" si="0"/>
        <v>44690</v>
      </c>
      <c r="V11" s="1" cm="1">
        <f t="array" ref="V11">SUMIFS(calls_off_JAM,period_JAM,"&gt;="&amp;U11,period_JAM,"&lt;"&amp;U12)</f>
        <v>4941</v>
      </c>
      <c r="W11" s="1" cm="1">
        <f t="array" ref="W11">SUMIFS(calls_ans_JAM,period_JAM,"&gt;="&amp;U11,period_JAM,"&lt;"&amp;U12)</f>
        <v>4230</v>
      </c>
    </row>
    <row r="12" spans="1:27" ht="17" customHeight="1" x14ac:dyDescent="0.35">
      <c r="A12" s="33">
        <v>44662</v>
      </c>
      <c r="B12" s="1" t="s">
        <v>49</v>
      </c>
      <c r="C12" s="34" t="s">
        <v>60</v>
      </c>
      <c r="D12" s="1">
        <v>948</v>
      </c>
      <c r="E12" s="1">
        <v>790</v>
      </c>
      <c r="F12" s="72">
        <v>-4.6277665995975853E-2</v>
      </c>
      <c r="G12" s="72">
        <v>8.6657496561210454E-2</v>
      </c>
      <c r="H12" s="1">
        <v>7269</v>
      </c>
      <c r="I12" s="1">
        <v>5894</v>
      </c>
      <c r="J12" s="1">
        <v>7269</v>
      </c>
      <c r="K12" s="1">
        <v>5894</v>
      </c>
      <c r="L12" s="18">
        <v>0.48</v>
      </c>
      <c r="M12" s="18">
        <v>0.17</v>
      </c>
      <c r="N12" s="18">
        <v>0.83</v>
      </c>
      <c r="O12" s="18">
        <v>0.81</v>
      </c>
      <c r="P12" s="253"/>
      <c r="Q12" s="9"/>
      <c r="R12" s="9"/>
      <c r="S12" s="1"/>
      <c r="U12" s="23">
        <f t="shared" si="0"/>
        <v>44697</v>
      </c>
      <c r="V12" s="1" cm="1">
        <f t="array" ref="V12">SUMIFS(calls_off_JAM,period_JAM,"&gt;="&amp;U12,period_JAM,"&lt;"&amp;U13)</f>
        <v>5266</v>
      </c>
      <c r="W12" s="1" cm="1">
        <f t="array" ref="W12">SUMIFS(calls_ans_JAM,period_JAM,"&gt;="&amp;U12,period_JAM,"&lt;"&amp;U13)</f>
        <v>4603</v>
      </c>
    </row>
    <row r="13" spans="1:27" ht="17" customHeight="1" x14ac:dyDescent="0.35">
      <c r="A13" s="23">
        <v>44663</v>
      </c>
      <c r="B13" s="1" t="s">
        <v>50</v>
      </c>
      <c r="C13" s="1" t="s">
        <v>60</v>
      </c>
      <c r="D13" s="1">
        <v>746</v>
      </c>
      <c r="E13" s="1">
        <v>679</v>
      </c>
      <c r="F13" s="72">
        <v>-0.15034168564920272</v>
      </c>
      <c r="G13" s="72">
        <v>0.14502529510961215</v>
      </c>
      <c r="H13" s="1">
        <v>8015</v>
      </c>
      <c r="I13" s="1">
        <v>6573</v>
      </c>
      <c r="J13" s="1">
        <v>8015</v>
      </c>
      <c r="K13" s="1">
        <v>6573</v>
      </c>
      <c r="L13" s="18">
        <v>0.75</v>
      </c>
      <c r="M13" s="18">
        <v>0.09</v>
      </c>
      <c r="N13" s="18">
        <v>0.91</v>
      </c>
      <c r="O13" s="18">
        <v>0.79</v>
      </c>
      <c r="P13" s="253"/>
      <c r="Q13" s="9"/>
      <c r="R13" s="9"/>
      <c r="S13" s="1"/>
      <c r="U13" s="23">
        <f t="shared" si="0"/>
        <v>44704</v>
      </c>
      <c r="V13" s="1" cm="1">
        <f t="array" ref="V13">SUMIFS(calls_off_JAM,period_JAM,"&gt;="&amp;U13,period_JAM,"&lt;"&amp;U14)</f>
        <v>4792</v>
      </c>
      <c r="W13" s="1" cm="1">
        <f t="array" ref="W13">SUMIFS(calls_ans_JAM,period_JAM,"&gt;="&amp;U13,period_JAM,"&lt;"&amp;U14)</f>
        <v>4059</v>
      </c>
    </row>
    <row r="14" spans="1:27" ht="17" customHeight="1" x14ac:dyDescent="0.35">
      <c r="A14" s="33">
        <v>44664</v>
      </c>
      <c r="B14" s="1" t="s">
        <v>51</v>
      </c>
      <c r="C14" s="34" t="s">
        <v>60</v>
      </c>
      <c r="D14" s="1">
        <v>782</v>
      </c>
      <c r="E14" s="1">
        <v>681</v>
      </c>
      <c r="F14" s="72">
        <v>-4.9817739975698661E-2</v>
      </c>
      <c r="G14" s="72">
        <v>1.6417910447761194E-2</v>
      </c>
      <c r="H14" s="1">
        <v>8797</v>
      </c>
      <c r="I14" s="1">
        <v>7254</v>
      </c>
      <c r="J14" s="1">
        <v>8797</v>
      </c>
      <c r="K14" s="1">
        <v>7254</v>
      </c>
      <c r="L14" s="18">
        <v>0.63</v>
      </c>
      <c r="M14" s="18">
        <v>0.13</v>
      </c>
      <c r="N14" s="18">
        <v>0.87</v>
      </c>
      <c r="O14" s="18">
        <v>0.79</v>
      </c>
      <c r="P14" s="253"/>
      <c r="Q14" s="9"/>
      <c r="R14" s="9"/>
      <c r="S14" s="1"/>
      <c r="U14" s="23">
        <f t="shared" si="0"/>
        <v>44711</v>
      </c>
      <c r="V14" s="1" cm="1">
        <f t="array" ref="V14">SUMIFS(calls_off_JAM,period_JAM,"&gt;="&amp;U14,period_JAM,"&lt;"&amp;U15)</f>
        <v>5695</v>
      </c>
      <c r="W14" s="1" cm="1">
        <f t="array" ref="W14">SUMIFS(calls_ans_JAM,period_JAM,"&gt;="&amp;U14,period_JAM,"&lt;"&amp;U15)</f>
        <v>4691</v>
      </c>
    </row>
    <row r="15" spans="1:27" ht="17" customHeight="1" x14ac:dyDescent="0.35">
      <c r="A15" s="23">
        <v>44665</v>
      </c>
      <c r="B15" s="1" t="s">
        <v>52</v>
      </c>
      <c r="C15" s="1" t="s">
        <v>60</v>
      </c>
      <c r="D15" s="1">
        <v>802</v>
      </c>
      <c r="E15" s="1">
        <v>565</v>
      </c>
      <c r="F15" s="72">
        <v>-1.2315270935960592E-2</v>
      </c>
      <c r="G15" s="72">
        <v>-0.26047120418848169</v>
      </c>
      <c r="H15" s="1">
        <v>9599</v>
      </c>
      <c r="I15" s="1">
        <v>7819</v>
      </c>
      <c r="J15" s="1">
        <v>9599</v>
      </c>
      <c r="K15" s="1">
        <v>7819</v>
      </c>
      <c r="L15" s="18">
        <v>0.32</v>
      </c>
      <c r="M15" s="18">
        <v>0.28999999999999998</v>
      </c>
      <c r="N15" s="18">
        <v>0.71</v>
      </c>
      <c r="O15" s="18">
        <v>0.87</v>
      </c>
      <c r="P15" s="253"/>
      <c r="Q15" s="9"/>
      <c r="R15" s="9"/>
      <c r="S15" s="1"/>
      <c r="U15" s="23">
        <f t="shared" si="0"/>
        <v>44718</v>
      </c>
      <c r="V15" s="1" cm="1">
        <f t="array" ref="V15">SUMIFS(calls_off_JAM,period_JAM,"&gt;="&amp;U15,period_JAM,"&lt;"&amp;U16)</f>
        <v>5533</v>
      </c>
      <c r="W15" s="1" cm="1">
        <f t="array" ref="W15">SUMIFS(calls_ans_JAM,period_JAM,"&gt;="&amp;U15,period_JAM,"&lt;"&amp;U16)</f>
        <v>5017</v>
      </c>
    </row>
    <row r="16" spans="1:27" ht="17" customHeight="1" x14ac:dyDescent="0.35">
      <c r="A16" s="33">
        <v>44666</v>
      </c>
      <c r="B16" s="1" t="s">
        <v>53</v>
      </c>
      <c r="C16" s="34" t="s">
        <v>60</v>
      </c>
      <c r="D16" s="48"/>
      <c r="E16" s="48"/>
      <c r="F16" s="97"/>
      <c r="G16" s="97"/>
      <c r="H16" s="48"/>
      <c r="I16" s="48"/>
      <c r="J16" s="48"/>
      <c r="K16" s="48"/>
      <c r="L16" s="78"/>
      <c r="M16" s="78"/>
      <c r="N16" s="78"/>
      <c r="O16" s="78"/>
      <c r="P16" s="253"/>
      <c r="Q16" s="48"/>
      <c r="R16" s="48"/>
      <c r="S16" s="1"/>
      <c r="U16" s="23">
        <f>U15+7</f>
        <v>44725</v>
      </c>
      <c r="V16" s="1" cm="1">
        <f t="array" ref="V16">SUMIFS(calls_off_JAM,period_JAM,"&gt;="&amp;U16,period_JAM,"&lt;"&amp;U17)</f>
        <v>5426</v>
      </c>
      <c r="W16" s="1" cm="1">
        <f t="array" ref="W16">SUMIFS(calls_ans_JAM,period_JAM,"&gt;="&amp;U16,period_JAM,"&lt;"&amp;U17)</f>
        <v>4022</v>
      </c>
    </row>
    <row r="17" spans="1:23" ht="17" customHeight="1" x14ac:dyDescent="0.35">
      <c r="A17" s="23">
        <v>44667</v>
      </c>
      <c r="B17" s="1" t="s">
        <v>54</v>
      </c>
      <c r="C17" s="1" t="s">
        <v>60</v>
      </c>
      <c r="D17" s="1">
        <v>601</v>
      </c>
      <c r="E17" s="1">
        <v>542</v>
      </c>
      <c r="F17" s="72">
        <v>-3.9936102236421724E-2</v>
      </c>
      <c r="G17" s="72">
        <v>-0.1011608623548922</v>
      </c>
      <c r="H17" s="1">
        <v>10200</v>
      </c>
      <c r="I17" s="1">
        <v>8361</v>
      </c>
      <c r="J17" s="1">
        <v>10200</v>
      </c>
      <c r="K17" s="1">
        <v>8361</v>
      </c>
      <c r="L17" s="18">
        <v>0.76</v>
      </c>
      <c r="M17" s="18">
        <v>0.09</v>
      </c>
      <c r="N17" s="18">
        <v>0.91</v>
      </c>
      <c r="O17" s="18">
        <v>0.84</v>
      </c>
      <c r="P17" s="253"/>
      <c r="Q17" s="9"/>
      <c r="R17" s="9"/>
      <c r="S17" s="1"/>
      <c r="U17" s="23">
        <f t="shared" si="0"/>
        <v>44732</v>
      </c>
      <c r="V17" s="1" cm="1">
        <f t="array" ref="V17">SUMIFS(calls_off_JAM,period_JAM,"&gt;="&amp;U17,period_JAM,"&lt;"&amp;U18)</f>
        <v>4962</v>
      </c>
      <c r="W17" s="1" cm="1">
        <f t="array" ref="W17">SUMIFS(calls_ans_JAM,period_JAM,"&gt;="&amp;U17,period_JAM,"&lt;"&amp;U18)</f>
        <v>4356</v>
      </c>
    </row>
    <row r="18" spans="1:23" ht="17" customHeight="1" x14ac:dyDescent="0.35">
      <c r="A18" s="23">
        <v>44668</v>
      </c>
      <c r="B18" s="1" t="s">
        <v>48</v>
      </c>
      <c r="C18" s="34" t="s">
        <v>60</v>
      </c>
      <c r="D18" s="1">
        <v>0</v>
      </c>
      <c r="E18" s="1">
        <v>0</v>
      </c>
      <c r="F18" s="72">
        <v>0</v>
      </c>
      <c r="G18" s="72">
        <v>0</v>
      </c>
      <c r="H18" s="1">
        <v>0</v>
      </c>
      <c r="I18" s="1">
        <v>0</v>
      </c>
      <c r="J18" s="1">
        <v>0</v>
      </c>
      <c r="K18" s="1">
        <v>0</v>
      </c>
      <c r="L18" s="18">
        <v>0</v>
      </c>
      <c r="M18" s="18">
        <v>0</v>
      </c>
      <c r="N18" s="18">
        <v>0</v>
      </c>
      <c r="O18" s="18">
        <v>0</v>
      </c>
      <c r="P18" s="253"/>
      <c r="Q18" s="86"/>
      <c r="R18" s="86"/>
      <c r="S18" s="1"/>
      <c r="U18" s="23">
        <f t="shared" si="0"/>
        <v>44739</v>
      </c>
      <c r="V18" s="1" cm="1">
        <f t="array" ref="V18">SUMIFS(calls_off_JAM,period_JAM,"&gt;="&amp;U18,period_JAM,"&lt;"&amp;U19)</f>
        <v>5937</v>
      </c>
      <c r="W18" s="1" cm="1">
        <f t="array" ref="W18">SUMIFS(calls_ans_JAM,period_JAM,"&gt;="&amp;U18,period_JAM,"&lt;"&amp;U19)</f>
        <v>4786</v>
      </c>
    </row>
    <row r="19" spans="1:23" ht="17" customHeight="1" x14ac:dyDescent="0.35">
      <c r="A19" s="23">
        <v>44669</v>
      </c>
      <c r="B19" s="1" t="s">
        <v>49</v>
      </c>
      <c r="C19" s="1" t="s">
        <v>60</v>
      </c>
      <c r="D19" s="48"/>
      <c r="E19" s="48"/>
      <c r="F19" s="97"/>
      <c r="G19" s="97"/>
      <c r="H19" s="48"/>
      <c r="I19" s="48"/>
      <c r="J19" s="48"/>
      <c r="K19" s="48"/>
      <c r="L19" s="78"/>
      <c r="M19" s="78"/>
      <c r="N19" s="78"/>
      <c r="O19" s="78"/>
      <c r="P19" s="253"/>
      <c r="Q19" s="48"/>
      <c r="R19" s="48"/>
      <c r="S19" s="1"/>
      <c r="U19" s="23">
        <f t="shared" si="0"/>
        <v>44746</v>
      </c>
      <c r="V19" s="1" cm="1">
        <f t="array" ref="V19">SUMIFS(calls_off_JAM,period_JAM,"&gt;="&amp;U19,period_JAM,"&lt;"&amp;U20)</f>
        <v>5490</v>
      </c>
      <c r="W19" s="1" cm="1">
        <f t="array" ref="W19">SUMIFS(calls_ans_JAM,period_JAM,"&gt;="&amp;U19,period_JAM,"&lt;"&amp;U20)</f>
        <v>4603</v>
      </c>
    </row>
    <row r="20" spans="1:23" ht="17" customHeight="1" x14ac:dyDescent="0.35">
      <c r="A20" s="33">
        <v>44670</v>
      </c>
      <c r="B20" s="1" t="s">
        <v>50</v>
      </c>
      <c r="C20" s="34" t="s">
        <v>60</v>
      </c>
      <c r="D20" s="1">
        <v>1050</v>
      </c>
      <c r="E20" s="1">
        <v>662</v>
      </c>
      <c r="F20" s="72">
        <v>0.40750670241286863</v>
      </c>
      <c r="G20" s="72">
        <v>-2.5036818851251842E-2</v>
      </c>
      <c r="H20" s="1">
        <v>11250</v>
      </c>
      <c r="I20" s="1">
        <v>9023</v>
      </c>
      <c r="J20" s="1">
        <v>11250</v>
      </c>
      <c r="K20" s="1">
        <v>9023</v>
      </c>
      <c r="L20" s="18">
        <v>0.23</v>
      </c>
      <c r="M20" s="18">
        <v>0.37</v>
      </c>
      <c r="N20" s="18">
        <v>0.63</v>
      </c>
      <c r="O20" s="18">
        <v>0.77</v>
      </c>
      <c r="P20" s="253"/>
      <c r="Q20" s="9"/>
      <c r="R20" s="9"/>
      <c r="S20" s="1"/>
      <c r="U20" s="23">
        <f>U19+7</f>
        <v>44753</v>
      </c>
      <c r="V20" s="1" cm="1">
        <f t="array" ref="V20">SUMIFS(calls_off_JAM,period_JAM,"&gt;="&amp;U20,period_JAM,"&lt;"&amp;U21)</f>
        <v>5836</v>
      </c>
      <c r="W20" s="1" cm="1">
        <f t="array" ref="W20">SUMIFS(calls_ans_JAM,period_JAM,"&gt;="&amp;U20,period_JAM,"&lt;"&amp;U21)</f>
        <v>4426</v>
      </c>
    </row>
    <row r="21" spans="1:23" ht="17" customHeight="1" x14ac:dyDescent="0.35">
      <c r="A21" s="23">
        <v>44671</v>
      </c>
      <c r="B21" s="1" t="s">
        <v>51</v>
      </c>
      <c r="C21" s="1" t="s">
        <v>60</v>
      </c>
      <c r="D21" s="1">
        <v>971</v>
      </c>
      <c r="E21" s="1">
        <v>647</v>
      </c>
      <c r="F21" s="72">
        <v>0.24168797953964194</v>
      </c>
      <c r="G21" s="72">
        <v>-4.9926578560939794E-2</v>
      </c>
      <c r="H21" s="1">
        <v>12221</v>
      </c>
      <c r="I21" s="1">
        <v>9670</v>
      </c>
      <c r="J21" s="1">
        <v>12221</v>
      </c>
      <c r="K21" s="1">
        <v>9670</v>
      </c>
      <c r="L21" s="18">
        <v>0.27</v>
      </c>
      <c r="M21" s="18">
        <v>0.33</v>
      </c>
      <c r="N21" s="18">
        <v>0.66999999999999993</v>
      </c>
      <c r="O21" s="18">
        <v>0.67</v>
      </c>
      <c r="P21" s="253"/>
      <c r="Q21" s="9"/>
      <c r="R21" s="9"/>
      <c r="S21" s="1"/>
      <c r="U21" s="23">
        <f t="shared" si="0"/>
        <v>44760</v>
      </c>
      <c r="V21" s="1" cm="1">
        <f t="array" ref="V21">SUMIFS(calls_off_JAM,period_JAM,"&gt;="&amp;U21,period_JAM,"&lt;"&amp;U22)</f>
        <v>5858</v>
      </c>
      <c r="W21" s="1" cm="1">
        <f t="array" ref="W21">SUMIFS(calls_ans_JAM,period_JAM,"&gt;="&amp;U21,period_JAM,"&lt;"&amp;U22)</f>
        <v>4396</v>
      </c>
    </row>
    <row r="22" spans="1:23" ht="17" customHeight="1" x14ac:dyDescent="0.35">
      <c r="A22" s="33">
        <v>44672</v>
      </c>
      <c r="B22" s="1" t="s">
        <v>52</v>
      </c>
      <c r="C22" s="34" t="s">
        <v>60</v>
      </c>
      <c r="D22" s="1">
        <v>907</v>
      </c>
      <c r="E22" s="1">
        <v>766</v>
      </c>
      <c r="F22" s="72">
        <v>0.13092269326683292</v>
      </c>
      <c r="G22" s="72">
        <v>0.35575221238938054</v>
      </c>
      <c r="H22" s="1">
        <v>13128</v>
      </c>
      <c r="I22" s="1">
        <v>10436</v>
      </c>
      <c r="J22" s="1">
        <v>13128</v>
      </c>
      <c r="K22" s="1">
        <v>10436</v>
      </c>
      <c r="L22" s="18">
        <v>0.56999999999999995</v>
      </c>
      <c r="M22" s="18">
        <v>0.15</v>
      </c>
      <c r="N22" s="18">
        <v>0.85</v>
      </c>
      <c r="O22" s="18">
        <v>0.71</v>
      </c>
      <c r="P22" s="253"/>
      <c r="Q22" s="9"/>
      <c r="R22" s="9"/>
      <c r="S22" s="1"/>
      <c r="U22" s="23">
        <f t="shared" ref="U22:U51" si="1">U21+7</f>
        <v>44767</v>
      </c>
      <c r="V22" s="1" cm="1">
        <f t="array" ref="V22">SUMIFS(calls_off_JAM,period_JAM,"&gt;="&amp;U22,period_JAM,"&lt;"&amp;U23)</f>
        <v>6054</v>
      </c>
      <c r="W22" s="1" cm="1">
        <f t="array" ref="W22">SUMIFS(calls_ans_JAM,period_JAM,"&gt;="&amp;U22,period_JAM,"&lt;"&amp;U23)</f>
        <v>4780</v>
      </c>
    </row>
    <row r="23" spans="1:23" ht="17" customHeight="1" x14ac:dyDescent="0.35">
      <c r="A23" s="23">
        <v>44673</v>
      </c>
      <c r="B23" s="1" t="s">
        <v>53</v>
      </c>
      <c r="C23" s="1" t="s">
        <v>60</v>
      </c>
      <c r="D23" s="1">
        <v>905</v>
      </c>
      <c r="E23" s="1">
        <v>618</v>
      </c>
      <c r="F23" s="72">
        <v>0</v>
      </c>
      <c r="G23" s="72">
        <v>0</v>
      </c>
      <c r="H23" s="1">
        <v>14033</v>
      </c>
      <c r="I23" s="1">
        <v>11054</v>
      </c>
      <c r="J23" s="1">
        <v>14033</v>
      </c>
      <c r="K23" s="1">
        <v>11054</v>
      </c>
      <c r="L23" s="18">
        <v>0.25</v>
      </c>
      <c r="M23" s="18">
        <v>0.31</v>
      </c>
      <c r="N23" s="18">
        <v>0.69</v>
      </c>
      <c r="O23" s="18">
        <v>0.64</v>
      </c>
      <c r="P23" s="253"/>
      <c r="Q23" s="9"/>
      <c r="R23" s="9"/>
      <c r="S23" s="1"/>
      <c r="U23" s="23">
        <f t="shared" si="1"/>
        <v>44774</v>
      </c>
      <c r="V23" s="1" cm="1">
        <f t="array" ref="V23">SUMIFS(calls_off_JAM,period_JAM,"&gt;="&amp;U23,period_JAM,"&lt;"&amp;U24)</f>
        <v>5042</v>
      </c>
      <c r="W23" s="1" cm="1">
        <f t="array" ref="W23">SUMIFS(calls_ans_JAM,period_JAM,"&gt;="&amp;U23,period_JAM,"&lt;"&amp;U24)</f>
        <v>2273</v>
      </c>
    </row>
    <row r="24" spans="1:23" ht="17" customHeight="1" x14ac:dyDescent="0.35">
      <c r="A24" s="33">
        <v>44674</v>
      </c>
      <c r="B24" s="1" t="s">
        <v>54</v>
      </c>
      <c r="C24" s="34" t="s">
        <v>60</v>
      </c>
      <c r="D24" s="1">
        <v>746</v>
      </c>
      <c r="E24" s="1">
        <v>431</v>
      </c>
      <c r="F24" s="72">
        <v>0.24126455906821964</v>
      </c>
      <c r="G24" s="72">
        <v>-0.20479704797047971</v>
      </c>
      <c r="H24" s="1">
        <v>14779</v>
      </c>
      <c r="I24" s="1">
        <v>11485</v>
      </c>
      <c r="J24" s="1">
        <v>14779</v>
      </c>
      <c r="K24" s="1">
        <v>11485</v>
      </c>
      <c r="L24" s="18">
        <v>0.18</v>
      </c>
      <c r="M24" s="18">
        <v>0.42</v>
      </c>
      <c r="N24" s="18">
        <v>0.57999999999999996</v>
      </c>
      <c r="O24" s="18">
        <v>0.67</v>
      </c>
      <c r="P24" s="253"/>
      <c r="Q24" s="9"/>
      <c r="R24" s="9"/>
      <c r="S24" s="1"/>
      <c r="U24" s="23">
        <f t="shared" si="1"/>
        <v>44781</v>
      </c>
      <c r="V24" s="1" cm="1">
        <f t="array" ref="V24">SUMIFS(calls_off_JAM,period_JAM,"&gt;="&amp;U24,period_JAM,"&lt;"&amp;U25)</f>
        <v>7095</v>
      </c>
      <c r="W24" s="1" cm="1">
        <f t="array" ref="W24">SUMIFS(calls_ans_JAM,period_JAM,"&gt;="&amp;U24,period_JAM,"&lt;"&amp;U25)</f>
        <v>4038</v>
      </c>
    </row>
    <row r="25" spans="1:23" ht="17" customHeight="1" x14ac:dyDescent="0.35">
      <c r="A25" s="33">
        <v>44675</v>
      </c>
      <c r="B25" s="1" t="s">
        <v>48</v>
      </c>
      <c r="C25" s="1" t="s">
        <v>60</v>
      </c>
      <c r="D25" s="1">
        <v>0</v>
      </c>
      <c r="E25" s="1">
        <v>0</v>
      </c>
      <c r="F25" s="72">
        <v>0</v>
      </c>
      <c r="G25" s="72">
        <v>0</v>
      </c>
      <c r="H25" s="1">
        <v>0</v>
      </c>
      <c r="I25" s="1">
        <v>0</v>
      </c>
      <c r="J25" s="1">
        <v>0</v>
      </c>
      <c r="K25" s="1">
        <v>0</v>
      </c>
      <c r="L25" s="18">
        <v>0</v>
      </c>
      <c r="M25" s="18">
        <v>0</v>
      </c>
      <c r="N25" s="18">
        <v>0</v>
      </c>
      <c r="O25" s="18">
        <v>0</v>
      </c>
      <c r="P25" s="253"/>
      <c r="Q25" s="86"/>
      <c r="R25" s="86"/>
      <c r="S25" s="1"/>
      <c r="U25" s="23">
        <f t="shared" si="1"/>
        <v>44788</v>
      </c>
      <c r="V25" s="1" cm="1">
        <f t="array" ref="V25">SUMIFS(calls_off_JAM,period_JAM,"&gt;="&amp;U25,period_JAM,"&lt;"&amp;U26)</f>
        <v>6642</v>
      </c>
      <c r="W25" s="1" cm="1">
        <f t="array" ref="W25">SUMIFS(calls_ans_JAM,period_JAM,"&gt;="&amp;U25,period_JAM,"&lt;"&amp;U26)</f>
        <v>4496</v>
      </c>
    </row>
    <row r="26" spans="1:23" ht="17" customHeight="1" x14ac:dyDescent="0.35">
      <c r="A26" s="33">
        <v>44676</v>
      </c>
      <c r="B26" s="1" t="s">
        <v>49</v>
      </c>
      <c r="C26" s="34" t="s">
        <v>60</v>
      </c>
      <c r="D26" s="1">
        <v>1228</v>
      </c>
      <c r="E26" s="1">
        <v>790</v>
      </c>
      <c r="F26" s="72">
        <v>0</v>
      </c>
      <c r="G26" s="72">
        <v>0</v>
      </c>
      <c r="H26" s="1">
        <v>16007</v>
      </c>
      <c r="I26" s="1">
        <v>12275</v>
      </c>
      <c r="J26" s="1">
        <v>16007</v>
      </c>
      <c r="K26" s="1">
        <v>12275</v>
      </c>
      <c r="L26" s="18">
        <v>0.26</v>
      </c>
      <c r="M26" s="18">
        <v>0.36</v>
      </c>
      <c r="N26" s="18">
        <v>0.64</v>
      </c>
      <c r="O26" s="18">
        <v>0.81</v>
      </c>
      <c r="P26" s="253"/>
      <c r="Q26" s="9"/>
      <c r="R26" s="9"/>
      <c r="S26" s="1"/>
      <c r="U26" s="23">
        <f t="shared" si="1"/>
        <v>44795</v>
      </c>
      <c r="V26" s="1" cm="1">
        <f t="array" ref="V26">SUMIFS(calls_off_JAM,period_JAM,"&gt;="&amp;U26,period_JAM,"&lt;"&amp;U27)</f>
        <v>6171</v>
      </c>
      <c r="W26" s="1" cm="1">
        <f t="array" ref="W26">SUMIFS(calls_ans_JAM,period_JAM,"&gt;="&amp;U26,period_JAM,"&lt;"&amp;U27)</f>
        <v>4724</v>
      </c>
    </row>
    <row r="27" spans="1:23" ht="17" customHeight="1" x14ac:dyDescent="0.35">
      <c r="A27" s="23">
        <v>44677</v>
      </c>
      <c r="B27" s="1" t="s">
        <v>50</v>
      </c>
      <c r="C27" s="1" t="s">
        <v>60</v>
      </c>
      <c r="D27" s="1">
        <v>1021</v>
      </c>
      <c r="E27" s="1">
        <v>698</v>
      </c>
      <c r="F27" s="72">
        <v>-2.7619047619047619E-2</v>
      </c>
      <c r="G27" s="72">
        <v>5.4380664652567974E-2</v>
      </c>
      <c r="H27" s="1">
        <v>17028</v>
      </c>
      <c r="I27" s="1">
        <v>12973</v>
      </c>
      <c r="J27" s="1">
        <v>17028</v>
      </c>
      <c r="K27" s="1">
        <v>12973</v>
      </c>
      <c r="L27" s="18">
        <v>0.28999999999999998</v>
      </c>
      <c r="M27" s="18">
        <v>0.31</v>
      </c>
      <c r="N27" s="18">
        <v>0.69</v>
      </c>
      <c r="O27" s="18">
        <v>0.65</v>
      </c>
      <c r="P27" s="253"/>
      <c r="Q27" s="9"/>
      <c r="R27" s="9"/>
      <c r="S27" s="1"/>
      <c r="U27" s="23">
        <f t="shared" si="1"/>
        <v>44802</v>
      </c>
      <c r="V27" s="1" cm="1">
        <f t="array" ref="V27">SUMIFS(calls_off_JAM,period_JAM,"&gt;="&amp;U27,period_JAM,"&lt;"&amp;U28)</f>
        <v>7199</v>
      </c>
      <c r="W27" s="1" cm="1">
        <f t="array" ref="W27">SUMIFS(calls_ans_JAM,period_JAM,"&gt;="&amp;U27,period_JAM,"&lt;"&amp;U28)</f>
        <v>5472</v>
      </c>
    </row>
    <row r="28" spans="1:23" ht="17" customHeight="1" x14ac:dyDescent="0.35">
      <c r="A28" s="33">
        <v>44678</v>
      </c>
      <c r="B28" s="1" t="s">
        <v>51</v>
      </c>
      <c r="C28" s="34" t="s">
        <v>60</v>
      </c>
      <c r="D28" s="1">
        <v>945</v>
      </c>
      <c r="E28" s="1">
        <v>872</v>
      </c>
      <c r="F28" s="72">
        <v>-2.6776519052523172E-2</v>
      </c>
      <c r="G28" s="72">
        <v>0.34775888717156106</v>
      </c>
      <c r="H28" s="1">
        <v>17973</v>
      </c>
      <c r="I28" s="1">
        <v>13845</v>
      </c>
      <c r="J28" s="1">
        <v>17973</v>
      </c>
      <c r="K28" s="1">
        <v>13845</v>
      </c>
      <c r="L28" s="18">
        <v>0.76</v>
      </c>
      <c r="M28" s="18">
        <v>7.0000000000000007E-2</v>
      </c>
      <c r="N28" s="18">
        <v>0.93</v>
      </c>
      <c r="O28" s="18">
        <v>0.67</v>
      </c>
      <c r="P28" s="253"/>
      <c r="Q28" s="9"/>
      <c r="R28" s="9"/>
      <c r="S28" s="1"/>
      <c r="U28" s="23">
        <f t="shared" si="1"/>
        <v>44809</v>
      </c>
      <c r="V28" s="1" cm="1">
        <f t="array" ref="V28">SUMIFS(calls_off_JAM,period_JAM,"&gt;="&amp;U28,period_JAM,"&lt;"&amp;U29)</f>
        <v>6810</v>
      </c>
      <c r="W28" s="1" cm="1">
        <f t="array" ref="W28">SUMIFS(calls_ans_JAM,period_JAM,"&gt;="&amp;U28,period_JAM,"&lt;"&amp;U29)</f>
        <v>3894</v>
      </c>
    </row>
    <row r="29" spans="1:23" ht="17" customHeight="1" x14ac:dyDescent="0.35">
      <c r="A29" s="23">
        <v>44679</v>
      </c>
      <c r="B29" s="1" t="s">
        <v>52</v>
      </c>
      <c r="C29" s="1" t="s">
        <v>60</v>
      </c>
      <c r="D29" s="1">
        <v>1034</v>
      </c>
      <c r="E29" s="1">
        <v>712</v>
      </c>
      <c r="F29" s="72">
        <v>0.14002205071664828</v>
      </c>
      <c r="G29" s="72">
        <v>-7.0496083550913843E-2</v>
      </c>
      <c r="H29" s="1">
        <v>19007</v>
      </c>
      <c r="I29" s="1">
        <v>14557</v>
      </c>
      <c r="J29" s="1">
        <v>19007</v>
      </c>
      <c r="K29" s="1">
        <v>14557</v>
      </c>
      <c r="L29" s="18">
        <v>0.31</v>
      </c>
      <c r="M29" s="18">
        <v>0.31</v>
      </c>
      <c r="N29" s="18">
        <v>0.69</v>
      </c>
      <c r="O29" s="18">
        <v>0.73</v>
      </c>
      <c r="P29" s="253"/>
      <c r="Q29" s="9"/>
      <c r="R29" s="9"/>
      <c r="S29" s="1"/>
      <c r="U29" s="23">
        <f t="shared" si="1"/>
        <v>44816</v>
      </c>
      <c r="V29" s="1" cm="1">
        <f t="array" ref="V29">SUMIFS(calls_off_JAM,period_JAM,"&gt;="&amp;U29,period_JAM,"&lt;"&amp;U30)</f>
        <v>6135</v>
      </c>
      <c r="W29" s="1" cm="1">
        <f t="array" ref="W29">SUMIFS(calls_ans_JAM,period_JAM,"&gt;="&amp;U29,period_JAM,"&lt;"&amp;U30)</f>
        <v>4119</v>
      </c>
    </row>
    <row r="30" spans="1:23" ht="17" customHeight="1" x14ac:dyDescent="0.35">
      <c r="A30" s="23">
        <v>44680</v>
      </c>
      <c r="B30" s="1" t="s">
        <v>53</v>
      </c>
      <c r="C30" s="34" t="s">
        <v>60</v>
      </c>
      <c r="D30" s="1">
        <v>1008</v>
      </c>
      <c r="E30" s="1">
        <v>847</v>
      </c>
      <c r="F30" s="72">
        <v>0.11381215469613259</v>
      </c>
      <c r="G30" s="72">
        <v>0.37055016181229772</v>
      </c>
      <c r="H30" s="1">
        <v>20015</v>
      </c>
      <c r="I30" s="1">
        <v>15404</v>
      </c>
      <c r="J30" s="1">
        <v>20015</v>
      </c>
      <c r="K30" s="1">
        <v>15404</v>
      </c>
      <c r="L30" s="18">
        <v>0.65</v>
      </c>
      <c r="M30" s="18">
        <v>0.16</v>
      </c>
      <c r="N30" s="18">
        <v>0.84</v>
      </c>
      <c r="O30" s="18">
        <v>0.78</v>
      </c>
      <c r="P30" s="253"/>
      <c r="Q30" s="9"/>
      <c r="R30" s="9"/>
      <c r="S30" s="1"/>
      <c r="U30" s="23">
        <f t="shared" si="1"/>
        <v>44823</v>
      </c>
      <c r="V30" s="1" cm="1">
        <f t="array" ref="V30">SUMIFS(calls_off_JAM,period_JAM,"&gt;="&amp;U30,period_JAM,"&lt;"&amp;U31)</f>
        <v>5705</v>
      </c>
      <c r="W30" s="1" cm="1">
        <f t="array" ref="W30">SUMIFS(calls_ans_JAM,period_JAM,"&gt;="&amp;U30,period_JAM,"&lt;"&amp;U31)</f>
        <v>4557</v>
      </c>
    </row>
    <row r="31" spans="1:23" ht="17" customHeight="1" x14ac:dyDescent="0.35">
      <c r="A31" s="23">
        <v>44681</v>
      </c>
      <c r="B31" s="1" t="s">
        <v>54</v>
      </c>
      <c r="C31" s="1" t="s">
        <v>60</v>
      </c>
      <c r="D31" s="1">
        <v>954</v>
      </c>
      <c r="E31" s="1">
        <v>761</v>
      </c>
      <c r="F31" s="72">
        <v>0.27882037533512066</v>
      </c>
      <c r="G31" s="72">
        <v>0.76566125290023201</v>
      </c>
      <c r="H31" s="79">
        <v>20969</v>
      </c>
      <c r="I31" s="79">
        <v>16165</v>
      </c>
      <c r="J31" s="79">
        <v>20969</v>
      </c>
      <c r="K31" s="79">
        <v>16165</v>
      </c>
      <c r="L31" s="18">
        <v>0.6</v>
      </c>
      <c r="M31" s="18">
        <v>0.2</v>
      </c>
      <c r="N31" s="18">
        <v>0.8</v>
      </c>
      <c r="O31" s="18">
        <v>0.78</v>
      </c>
      <c r="P31" s="253"/>
      <c r="Q31" s="9"/>
      <c r="R31" s="9"/>
      <c r="S31" s="1"/>
      <c r="U31" s="23">
        <f t="shared" si="1"/>
        <v>44830</v>
      </c>
      <c r="V31" s="1" cm="1">
        <f t="array" ref="V31">SUMIFS(calls_off_JAM,period_JAM,"&gt;="&amp;U31,period_JAM,"&lt;"&amp;U32)</f>
        <v>6919</v>
      </c>
      <c r="W31" s="1" cm="1">
        <f t="array" ref="W31">SUMIFS(calls_ans_JAM,period_JAM,"&gt;="&amp;U31,period_JAM,"&lt;"&amp;U32)</f>
        <v>4352</v>
      </c>
    </row>
    <row r="32" spans="1:23" ht="17" customHeight="1" x14ac:dyDescent="0.35">
      <c r="A32" s="23">
        <v>44682</v>
      </c>
      <c r="B32" s="1" t="s">
        <v>48</v>
      </c>
      <c r="C32" s="34" t="s">
        <v>60</v>
      </c>
      <c r="D32" s="1">
        <v>0</v>
      </c>
      <c r="E32" s="1">
        <v>0</v>
      </c>
      <c r="F32" s="72">
        <v>0</v>
      </c>
      <c r="G32" s="72">
        <v>0</v>
      </c>
      <c r="H32" s="1">
        <v>0</v>
      </c>
      <c r="I32" s="1">
        <v>0</v>
      </c>
      <c r="J32" s="1">
        <v>0</v>
      </c>
      <c r="K32" s="1">
        <v>0</v>
      </c>
      <c r="L32" s="18">
        <v>0</v>
      </c>
      <c r="M32" s="18">
        <v>0</v>
      </c>
      <c r="N32" s="18">
        <v>0</v>
      </c>
      <c r="O32" s="18">
        <v>0</v>
      </c>
      <c r="P32" s="253"/>
      <c r="Q32" s="86"/>
      <c r="R32" s="86"/>
      <c r="S32" s="1"/>
      <c r="U32" s="23">
        <f t="shared" si="1"/>
        <v>44837</v>
      </c>
      <c r="V32" s="1" cm="1">
        <f t="array" ref="V32">SUMIFS(calls_off_JAM,period_JAM,"&gt;="&amp;U32,period_JAM,"&lt;"&amp;U33)</f>
        <v>6420</v>
      </c>
      <c r="W32" s="1" cm="1">
        <f t="array" ref="W32">SUMIFS(calls_ans_JAM,period_JAM,"&gt;="&amp;U32,period_JAM,"&lt;"&amp;U33)</f>
        <v>4112</v>
      </c>
    </row>
    <row r="33" spans="1:23" ht="17" customHeight="1" x14ac:dyDescent="0.35">
      <c r="A33" s="23">
        <v>44683</v>
      </c>
      <c r="B33" s="1" t="s">
        <v>49</v>
      </c>
      <c r="C33" s="1" t="s">
        <v>60</v>
      </c>
      <c r="D33" s="1">
        <v>1212</v>
      </c>
      <c r="E33" s="1">
        <v>645</v>
      </c>
      <c r="F33" s="72">
        <v>-1.3029315960912053E-2</v>
      </c>
      <c r="G33" s="72">
        <v>-0.18354430379746836</v>
      </c>
      <c r="H33" s="1">
        <v>1212</v>
      </c>
      <c r="I33" s="1">
        <v>645</v>
      </c>
      <c r="J33" s="1">
        <v>22181</v>
      </c>
      <c r="K33" s="1">
        <v>16810</v>
      </c>
      <c r="L33" s="18">
        <v>0.18</v>
      </c>
      <c r="M33" s="18">
        <v>0.47</v>
      </c>
      <c r="N33" s="18">
        <v>0.53</v>
      </c>
      <c r="O33" s="18">
        <v>0.75</v>
      </c>
      <c r="P33" s="253"/>
      <c r="Q33" s="9"/>
      <c r="R33" s="9"/>
      <c r="S33" s="1"/>
      <c r="U33" s="23">
        <f t="shared" si="1"/>
        <v>44844</v>
      </c>
      <c r="V33" s="1" cm="1">
        <f t="array" ref="V33">SUMIFS(calls_off_JAM,period_JAM,"&gt;="&amp;U33,period_JAM,"&lt;"&amp;U34)</f>
        <v>6180</v>
      </c>
      <c r="W33" s="1" cm="1">
        <f t="array" ref="W33">SUMIFS(calls_ans_JAM,period_JAM,"&gt;="&amp;U33,period_JAM,"&lt;"&amp;U34)</f>
        <v>3617</v>
      </c>
    </row>
    <row r="34" spans="1:23" ht="17" customHeight="1" x14ac:dyDescent="0.35">
      <c r="A34" s="25">
        <v>44684</v>
      </c>
      <c r="B34" s="42" t="s">
        <v>50</v>
      </c>
      <c r="C34" s="34" t="s">
        <v>60</v>
      </c>
      <c r="D34" s="42">
        <v>874</v>
      </c>
      <c r="E34" s="42">
        <v>776</v>
      </c>
      <c r="F34" s="96">
        <v>-0.14397649363369247</v>
      </c>
      <c r="G34" s="96">
        <v>0.11174785100286533</v>
      </c>
      <c r="H34" s="42">
        <v>2086</v>
      </c>
      <c r="I34" s="42">
        <v>1421</v>
      </c>
      <c r="J34" s="42">
        <v>23055</v>
      </c>
      <c r="K34" s="42">
        <v>17586</v>
      </c>
      <c r="L34" s="52">
        <v>0.72</v>
      </c>
      <c r="M34" s="52">
        <v>0.1</v>
      </c>
      <c r="N34" s="52">
        <v>0.9</v>
      </c>
      <c r="O34" s="52">
        <v>0.72</v>
      </c>
      <c r="P34" s="253"/>
      <c r="Q34" s="9"/>
      <c r="R34" s="9"/>
      <c r="S34" s="1"/>
      <c r="U34" s="23">
        <f t="shared" si="1"/>
        <v>44851</v>
      </c>
      <c r="V34" s="1" cm="1">
        <f t="array" ref="V34">SUMIFS(calls_off_JAM,period_JAM,"&gt;="&amp;U34,period_JAM,"&lt;"&amp;U35)</f>
        <v>5878</v>
      </c>
      <c r="W34" s="1" cm="1">
        <f t="array" ref="W34">SUMIFS(calls_ans_JAM,period_JAM,"&gt;="&amp;U34,period_JAM,"&lt;"&amp;U35)</f>
        <v>3800</v>
      </c>
    </row>
    <row r="35" spans="1:23" ht="17" customHeight="1" x14ac:dyDescent="0.35">
      <c r="A35" s="25">
        <v>44685</v>
      </c>
      <c r="B35" s="1" t="s">
        <v>51</v>
      </c>
      <c r="C35" s="1" t="s">
        <v>60</v>
      </c>
      <c r="D35" s="1">
        <v>864</v>
      </c>
      <c r="E35" s="1">
        <v>711</v>
      </c>
      <c r="F35" s="72">
        <v>-8.5714285714285715E-2</v>
      </c>
      <c r="G35" s="72">
        <v>-0.18463302752293578</v>
      </c>
      <c r="H35" s="1">
        <v>2950</v>
      </c>
      <c r="I35" s="1">
        <v>2132</v>
      </c>
      <c r="J35" s="1">
        <v>23919</v>
      </c>
      <c r="K35" s="1">
        <v>18297</v>
      </c>
      <c r="L35" s="18">
        <v>0.54</v>
      </c>
      <c r="M35" s="18">
        <v>0.1</v>
      </c>
      <c r="N35" s="18">
        <v>0.9</v>
      </c>
      <c r="O35" s="18">
        <v>0.73</v>
      </c>
      <c r="P35" s="253"/>
      <c r="Q35" s="9"/>
      <c r="R35" s="9"/>
      <c r="S35" s="1"/>
      <c r="U35" s="23">
        <f t="shared" si="1"/>
        <v>44858</v>
      </c>
      <c r="V35" s="1" cm="1">
        <f t="array" ref="V35">SUMIFS(calls_off_JAM,period_JAM,"&gt;="&amp;U35,period_JAM,"&lt;"&amp;U36)</f>
        <v>8070</v>
      </c>
      <c r="W35" s="1" cm="1">
        <f t="array" ref="W35">SUMIFS(calls_ans_JAM,period_JAM,"&gt;="&amp;U35,period_JAM,"&lt;"&amp;U36)</f>
        <v>3393</v>
      </c>
    </row>
    <row r="36" spans="1:23" x14ac:dyDescent="0.35">
      <c r="A36" s="25">
        <v>44686</v>
      </c>
      <c r="B36" s="1" t="s">
        <v>52</v>
      </c>
      <c r="C36" s="34" t="s">
        <v>60</v>
      </c>
      <c r="D36" s="1">
        <v>823</v>
      </c>
      <c r="E36" s="1">
        <v>778</v>
      </c>
      <c r="F36" s="72">
        <v>-0.20406189555125726</v>
      </c>
      <c r="G36" s="72">
        <v>9.269662921348315E-2</v>
      </c>
      <c r="H36" s="1">
        <v>3773</v>
      </c>
      <c r="I36" s="1">
        <v>2910</v>
      </c>
      <c r="J36" s="1">
        <v>24742</v>
      </c>
      <c r="K36" s="1">
        <v>19075</v>
      </c>
      <c r="L36" s="18">
        <v>0.84</v>
      </c>
      <c r="M36" s="18">
        <v>0.05</v>
      </c>
      <c r="N36" s="18">
        <v>0.95</v>
      </c>
      <c r="O36" s="18">
        <v>0.72</v>
      </c>
      <c r="P36" s="253"/>
      <c r="Q36" s="9"/>
      <c r="R36" s="9"/>
      <c r="S36" s="1"/>
      <c r="U36" s="23">
        <f t="shared" si="1"/>
        <v>44865</v>
      </c>
      <c r="V36" s="1" cm="1">
        <f t="array" ref="V36">SUMIFS(calls_off_JAM,period_JAM,"&gt;="&amp;U36,period_JAM,"&lt;"&amp;U37)</f>
        <v>6215</v>
      </c>
      <c r="W36" s="1" cm="1">
        <f t="array" ref="W36">SUMIFS(calls_ans_JAM,period_JAM,"&gt;="&amp;U36,period_JAM,"&lt;"&amp;U37)</f>
        <v>4000</v>
      </c>
    </row>
    <row r="37" spans="1:23" x14ac:dyDescent="0.35">
      <c r="A37" s="25">
        <v>44687</v>
      </c>
      <c r="B37" s="1" t="s">
        <v>53</v>
      </c>
      <c r="C37" s="1" t="s">
        <v>60</v>
      </c>
      <c r="D37" s="1">
        <v>793</v>
      </c>
      <c r="E37" s="1">
        <v>743</v>
      </c>
      <c r="F37" s="72">
        <v>-0.21329365079365079</v>
      </c>
      <c r="G37" s="72">
        <v>-0.12278630460448642</v>
      </c>
      <c r="H37" s="1">
        <v>4566</v>
      </c>
      <c r="I37" s="1">
        <v>3653</v>
      </c>
      <c r="J37" s="1">
        <v>25535</v>
      </c>
      <c r="K37" s="1">
        <v>19818</v>
      </c>
      <c r="L37" s="18">
        <v>0.79</v>
      </c>
      <c r="M37" s="18">
        <v>0.06</v>
      </c>
      <c r="N37" s="18">
        <v>0.94</v>
      </c>
      <c r="O37" s="18">
        <v>0.69</v>
      </c>
      <c r="P37" s="253"/>
      <c r="Q37" s="9"/>
      <c r="R37" s="9"/>
      <c r="S37" s="1"/>
      <c r="U37" s="23">
        <f t="shared" si="1"/>
        <v>44872</v>
      </c>
      <c r="V37" s="1" cm="1">
        <f t="array" ref="V37">SUMIFS(calls_off_JAM,period_JAM,"&gt;="&amp;U37,period_JAM,"&lt;"&amp;U38)</f>
        <v>5471</v>
      </c>
      <c r="W37" s="1" cm="1">
        <f t="array" ref="W37">SUMIFS(calls_ans_JAM,period_JAM,"&gt;="&amp;U37,period_JAM,"&lt;"&amp;U38)</f>
        <v>4201</v>
      </c>
    </row>
    <row r="38" spans="1:23" x14ac:dyDescent="0.35">
      <c r="A38" s="25">
        <v>44688</v>
      </c>
      <c r="B38" s="1" t="s">
        <v>54</v>
      </c>
      <c r="C38" s="34" t="s">
        <v>60</v>
      </c>
      <c r="D38" s="1">
        <v>802</v>
      </c>
      <c r="E38" s="1">
        <v>683</v>
      </c>
      <c r="F38" s="72">
        <v>-0.15932914046121593</v>
      </c>
      <c r="G38" s="72">
        <v>-0.10249671484888305</v>
      </c>
      <c r="H38" s="1">
        <v>5368</v>
      </c>
      <c r="I38" s="1">
        <v>4336</v>
      </c>
      <c r="J38" s="1">
        <v>26337</v>
      </c>
      <c r="K38" s="1">
        <v>20501</v>
      </c>
      <c r="L38" s="18">
        <v>0.47</v>
      </c>
      <c r="M38" s="18">
        <v>0.14000000000000001</v>
      </c>
      <c r="N38" s="18">
        <v>0.86</v>
      </c>
      <c r="O38" s="18">
        <v>0.79</v>
      </c>
      <c r="P38" s="253"/>
      <c r="Q38" s="9"/>
      <c r="R38" s="9"/>
      <c r="S38" s="1"/>
      <c r="U38" s="23">
        <f t="shared" si="1"/>
        <v>44879</v>
      </c>
      <c r="V38" s="1" cm="1">
        <f t="array" ref="V38">SUMIFS(calls_off_JAM,period_JAM,"&gt;="&amp;U38,period_JAM,"&lt;"&amp;U39)</f>
        <v>5842</v>
      </c>
      <c r="W38" s="1" cm="1">
        <f t="array" ref="W38">SUMIFS(calls_ans_JAM,period_JAM,"&gt;="&amp;U38,period_JAM,"&lt;"&amp;U39)</f>
        <v>4672</v>
      </c>
    </row>
    <row r="39" spans="1:23" x14ac:dyDescent="0.35">
      <c r="A39" s="23">
        <v>44689</v>
      </c>
      <c r="B39" s="1" t="s">
        <v>48</v>
      </c>
      <c r="C39" s="1" t="s">
        <v>60</v>
      </c>
      <c r="D39" s="1">
        <v>0</v>
      </c>
      <c r="E39" s="1">
        <v>0</v>
      </c>
      <c r="F39" s="72">
        <v>0</v>
      </c>
      <c r="G39" s="72">
        <v>0</v>
      </c>
      <c r="H39" s="1">
        <v>0</v>
      </c>
      <c r="I39" s="1">
        <v>0</v>
      </c>
      <c r="J39" s="1">
        <v>0</v>
      </c>
      <c r="K39" s="1">
        <v>0</v>
      </c>
      <c r="L39" s="18">
        <v>0</v>
      </c>
      <c r="M39" s="18">
        <v>0</v>
      </c>
      <c r="N39" s="18">
        <v>0</v>
      </c>
      <c r="O39" s="18">
        <v>0</v>
      </c>
      <c r="P39" s="253"/>
      <c r="Q39" s="86"/>
      <c r="R39" s="86"/>
      <c r="S39" s="1"/>
      <c r="U39" s="23">
        <f t="shared" si="1"/>
        <v>44886</v>
      </c>
      <c r="V39" s="1" cm="1">
        <f t="array" ref="V39">SUMIFS(calls_off_JAM,period_JAM,"&gt;="&amp;U39,period_JAM,"&lt;"&amp;U40)</f>
        <v>6905</v>
      </c>
      <c r="W39" s="1" cm="1">
        <f t="array" ref="W39">SUMIFS(calls_ans_JAM,period_JAM,"&gt;="&amp;U39,period_JAM,"&lt;"&amp;U40)</f>
        <v>5764</v>
      </c>
    </row>
    <row r="40" spans="1:23" x14ac:dyDescent="0.35">
      <c r="A40" s="25">
        <v>44690</v>
      </c>
      <c r="B40" s="1" t="s">
        <v>49</v>
      </c>
      <c r="C40" s="34" t="s">
        <v>60</v>
      </c>
      <c r="D40" s="1">
        <v>995</v>
      </c>
      <c r="E40" s="1">
        <v>712</v>
      </c>
      <c r="F40" s="72">
        <v>-0.17904290429042904</v>
      </c>
      <c r="G40" s="72">
        <v>0.10387596899224806</v>
      </c>
      <c r="H40" s="1">
        <v>6363</v>
      </c>
      <c r="I40" s="1">
        <v>5048</v>
      </c>
      <c r="J40" s="1">
        <v>27332</v>
      </c>
      <c r="K40" s="1">
        <v>21213</v>
      </c>
      <c r="L40" s="18">
        <v>0.72</v>
      </c>
      <c r="M40" s="18">
        <v>0.28000000000000003</v>
      </c>
      <c r="N40" s="18">
        <v>0.72</v>
      </c>
      <c r="O40" s="18">
        <v>0.73</v>
      </c>
      <c r="P40" s="253"/>
      <c r="Q40" s="9"/>
      <c r="R40" s="9"/>
      <c r="S40" s="1"/>
      <c r="U40" s="23">
        <f t="shared" si="1"/>
        <v>44893</v>
      </c>
      <c r="V40" s="1" cm="1">
        <f t="array" ref="V40">SUMIFS(calls_off_JAM,period_JAM,"&gt;="&amp;U40,period_JAM,"&lt;"&amp;U41)</f>
        <v>8903</v>
      </c>
      <c r="W40" s="1" cm="1">
        <f t="array" ref="W40">SUMIFS(calls_ans_JAM,period_JAM,"&gt;="&amp;U40,period_JAM,"&lt;"&amp;U41)</f>
        <v>5152</v>
      </c>
    </row>
    <row r="41" spans="1:23" x14ac:dyDescent="0.35">
      <c r="A41" s="25">
        <v>44691</v>
      </c>
      <c r="B41" s="1" t="s">
        <v>50</v>
      </c>
      <c r="C41" s="1" t="s">
        <v>60</v>
      </c>
      <c r="D41" s="1">
        <v>826</v>
      </c>
      <c r="E41" s="1">
        <v>608</v>
      </c>
      <c r="F41" s="72">
        <v>-5.4919908466819219E-2</v>
      </c>
      <c r="G41" s="72">
        <v>-0.21649484536082475</v>
      </c>
      <c r="H41" s="1">
        <v>7189</v>
      </c>
      <c r="I41" s="1">
        <v>5656</v>
      </c>
      <c r="J41" s="1">
        <v>28158</v>
      </c>
      <c r="K41" s="1">
        <v>21821</v>
      </c>
      <c r="L41" s="18">
        <v>0.74</v>
      </c>
      <c r="M41" s="18">
        <v>0.26</v>
      </c>
      <c r="N41" s="18">
        <v>0.74</v>
      </c>
      <c r="O41" s="18">
        <v>0.63</v>
      </c>
      <c r="P41" s="253"/>
      <c r="Q41" s="9"/>
      <c r="R41" s="9"/>
      <c r="S41" s="1"/>
      <c r="U41" s="23">
        <f t="shared" si="1"/>
        <v>44900</v>
      </c>
      <c r="V41" s="1" cm="1">
        <f t="array" ref="V41">SUMIFS(calls_off_JAM,period_JAM,"&gt;="&amp;U41,period_JAM,"&lt;"&amp;U42)</f>
        <v>7056</v>
      </c>
      <c r="W41" s="1" cm="1">
        <f t="array" ref="W41">SUMIFS(calls_ans_JAM,period_JAM,"&gt;="&amp;U41,period_JAM,"&lt;"&amp;U42)</f>
        <v>4914</v>
      </c>
    </row>
    <row r="42" spans="1:23" x14ac:dyDescent="0.35">
      <c r="A42" s="25">
        <v>44692</v>
      </c>
      <c r="B42" s="1" t="s">
        <v>51</v>
      </c>
      <c r="C42" s="34" t="s">
        <v>60</v>
      </c>
      <c r="D42" s="1">
        <v>762</v>
      </c>
      <c r="E42" s="1">
        <v>742</v>
      </c>
      <c r="F42" s="72">
        <v>-0.11805555555555555</v>
      </c>
      <c r="G42" s="72">
        <v>4.360056258790436E-2</v>
      </c>
      <c r="H42" s="1">
        <v>7951</v>
      </c>
      <c r="I42" s="1">
        <v>6398</v>
      </c>
      <c r="J42" s="1">
        <v>28920</v>
      </c>
      <c r="K42" s="1">
        <v>22563</v>
      </c>
      <c r="L42" s="18">
        <v>0.98</v>
      </c>
      <c r="M42" s="18">
        <v>0.02</v>
      </c>
      <c r="N42" s="18">
        <v>0.98</v>
      </c>
      <c r="O42" s="18">
        <v>0.62</v>
      </c>
      <c r="P42" s="253"/>
      <c r="Q42" s="9"/>
      <c r="R42" s="9"/>
      <c r="S42" s="1"/>
      <c r="U42" s="23">
        <f t="shared" si="1"/>
        <v>44907</v>
      </c>
      <c r="V42" s="1" cm="1">
        <f t="array" ref="V42">SUMIFS(calls_off_JAM,period_JAM,"&gt;="&amp;U42,period_JAM,"&lt;"&amp;U43)</f>
        <v>6875</v>
      </c>
      <c r="W42" s="1" cm="1">
        <f t="array" ref="W42">SUMIFS(calls_ans_JAM,period_JAM,"&gt;="&amp;U42,period_JAM,"&lt;"&amp;U43)</f>
        <v>5835</v>
      </c>
    </row>
    <row r="43" spans="1:23" x14ac:dyDescent="0.35">
      <c r="A43" s="25">
        <v>44693</v>
      </c>
      <c r="B43" s="1" t="s">
        <v>52</v>
      </c>
      <c r="C43" s="1" t="s">
        <v>60</v>
      </c>
      <c r="D43" s="1">
        <v>879</v>
      </c>
      <c r="E43" s="1">
        <v>790</v>
      </c>
      <c r="F43" s="72">
        <v>6.8043742405832316E-2</v>
      </c>
      <c r="G43" s="72">
        <v>1.5424164524421594E-2</v>
      </c>
      <c r="H43" s="1">
        <v>8830</v>
      </c>
      <c r="I43" s="1">
        <v>7188</v>
      </c>
      <c r="J43" s="1">
        <v>29799</v>
      </c>
      <c r="K43" s="1">
        <v>23353</v>
      </c>
      <c r="L43" s="18">
        <v>0.9</v>
      </c>
      <c r="M43" s="18">
        <v>0.1</v>
      </c>
      <c r="N43" s="18">
        <v>0.9</v>
      </c>
      <c r="O43" s="18">
        <v>0.73</v>
      </c>
      <c r="P43" s="253"/>
      <c r="Q43" s="9"/>
      <c r="R43" s="9"/>
      <c r="S43" s="1"/>
      <c r="U43" s="23">
        <f t="shared" si="1"/>
        <v>44914</v>
      </c>
      <c r="V43" s="1" cm="1">
        <f t="array" ref="V43">SUMIFS(calls_off_JAM,period_JAM,"&gt;="&amp;U43,period_JAM,"&lt;"&amp;U44)</f>
        <v>7086</v>
      </c>
      <c r="W43" s="1" cm="1">
        <f t="array" ref="W43">SUMIFS(calls_ans_JAM,period_JAM,"&gt;="&amp;U43,period_JAM,"&lt;"&amp;U44)</f>
        <v>5248</v>
      </c>
    </row>
    <row r="44" spans="1:23" x14ac:dyDescent="0.35">
      <c r="A44" s="25">
        <v>44694</v>
      </c>
      <c r="B44" s="1" t="s">
        <v>53</v>
      </c>
      <c r="C44" s="34" t="s">
        <v>60</v>
      </c>
      <c r="D44" s="1">
        <v>764</v>
      </c>
      <c r="E44" s="1">
        <v>720</v>
      </c>
      <c r="F44" s="72">
        <v>-3.6569987389659518E-2</v>
      </c>
      <c r="G44" s="72">
        <v>-3.095558546433378E-2</v>
      </c>
      <c r="H44" s="1">
        <v>9594</v>
      </c>
      <c r="I44" s="1">
        <v>7908</v>
      </c>
      <c r="J44" s="1">
        <v>30563</v>
      </c>
      <c r="K44" s="1">
        <v>24073</v>
      </c>
      <c r="L44" s="18">
        <v>0.95</v>
      </c>
      <c r="M44" s="18">
        <v>0.05</v>
      </c>
      <c r="N44" s="18">
        <v>0.95</v>
      </c>
      <c r="O44" s="18">
        <v>0.67</v>
      </c>
      <c r="P44" s="253"/>
      <c r="Q44" s="9"/>
      <c r="R44" s="9"/>
      <c r="S44" s="1"/>
      <c r="U44" s="23">
        <f t="shared" si="1"/>
        <v>44921</v>
      </c>
      <c r="V44" s="1" cm="1">
        <f t="array" ref="V44">SUMIFS(calls_off_JAM,period_JAM,"&gt;="&amp;U44,period_JAM,"&lt;"&amp;U45)</f>
        <v>4539</v>
      </c>
      <c r="W44" s="1" cm="1">
        <f t="array" ref="W44">SUMIFS(calls_ans_JAM,period_JAM,"&gt;="&amp;U44,period_JAM,"&lt;"&amp;U45)</f>
        <v>3110</v>
      </c>
    </row>
    <row r="45" spans="1:23" x14ac:dyDescent="0.35">
      <c r="A45" s="25">
        <v>44695</v>
      </c>
      <c r="B45" s="1" t="s">
        <v>54</v>
      </c>
      <c r="C45" s="1" t="s">
        <v>60</v>
      </c>
      <c r="D45" s="1">
        <v>715</v>
      </c>
      <c r="E45" s="1">
        <v>658</v>
      </c>
      <c r="F45" s="72">
        <v>-0.10847880299251871</v>
      </c>
      <c r="G45" s="72">
        <v>-3.6603221083455345E-2</v>
      </c>
      <c r="H45" s="1">
        <v>10309</v>
      </c>
      <c r="I45" s="1">
        <v>8566</v>
      </c>
      <c r="J45" s="1">
        <v>31278</v>
      </c>
      <c r="K45" s="1">
        <v>24731</v>
      </c>
      <c r="L45" s="18">
        <v>0.92</v>
      </c>
      <c r="M45" s="18">
        <v>0.08</v>
      </c>
      <c r="N45" s="18">
        <v>0.92</v>
      </c>
      <c r="O45" s="18">
        <v>0.61</v>
      </c>
      <c r="P45" s="253"/>
      <c r="Q45" s="9"/>
      <c r="R45" s="9"/>
      <c r="S45" s="1"/>
      <c r="U45" s="23">
        <f t="shared" si="1"/>
        <v>44928</v>
      </c>
      <c r="V45" s="1" cm="1">
        <f t="array" ref="V45">SUMIFS(calls_off_JAM,period_JAM,"&gt;="&amp;U45,period_JAM,"&lt;"&amp;U46)</f>
        <v>4933</v>
      </c>
      <c r="W45" s="1" cm="1">
        <f t="array" ref="W45">SUMIFS(calls_ans_JAM,period_JAM,"&gt;="&amp;U45,period_JAM,"&lt;"&amp;U46)</f>
        <v>4322</v>
      </c>
    </row>
    <row r="46" spans="1:23" x14ac:dyDescent="0.35">
      <c r="A46" s="23">
        <v>44696</v>
      </c>
      <c r="B46" s="1" t="s">
        <v>48</v>
      </c>
      <c r="C46" s="34" t="s">
        <v>60</v>
      </c>
      <c r="D46" s="1">
        <v>0</v>
      </c>
      <c r="E46" s="1">
        <v>0</v>
      </c>
      <c r="F46" s="72">
        <v>0</v>
      </c>
      <c r="G46" s="72">
        <v>0</v>
      </c>
      <c r="H46" s="1">
        <v>0</v>
      </c>
      <c r="I46" s="1">
        <v>0</v>
      </c>
      <c r="J46" s="1">
        <v>0</v>
      </c>
      <c r="K46" s="1">
        <v>0</v>
      </c>
      <c r="L46" s="18">
        <v>0</v>
      </c>
      <c r="M46" s="18">
        <v>0</v>
      </c>
      <c r="N46" s="18">
        <v>0</v>
      </c>
      <c r="O46" s="18">
        <v>0</v>
      </c>
      <c r="P46" s="253"/>
      <c r="Q46" s="86"/>
      <c r="R46" s="86"/>
      <c r="S46" s="1"/>
      <c r="U46" s="23">
        <f t="shared" si="1"/>
        <v>44935</v>
      </c>
      <c r="V46" s="1" cm="1">
        <f t="array" ref="V46">SUMIFS(calls_off_JAM,period_JAM,"&gt;="&amp;U46,period_JAM,"&lt;"&amp;U47)</f>
        <v>5454</v>
      </c>
      <c r="W46" s="1" cm="1">
        <f t="array" ref="W46">SUMIFS(calls_ans_JAM,period_JAM,"&gt;="&amp;U46,period_JAM,"&lt;"&amp;U47)</f>
        <v>5169</v>
      </c>
    </row>
    <row r="47" spans="1:23" x14ac:dyDescent="0.35">
      <c r="A47" s="25">
        <v>44697</v>
      </c>
      <c r="B47" s="1" t="s">
        <v>49</v>
      </c>
      <c r="C47" s="1" t="s">
        <v>60</v>
      </c>
      <c r="D47" s="1">
        <v>961</v>
      </c>
      <c r="E47" s="1">
        <v>881</v>
      </c>
      <c r="F47" s="72">
        <v>-3.4170854271356785E-2</v>
      </c>
      <c r="G47" s="72">
        <v>0.23735955056179775</v>
      </c>
      <c r="H47" s="1">
        <v>11270</v>
      </c>
      <c r="I47" s="1">
        <v>9447</v>
      </c>
      <c r="J47" s="1">
        <v>32239</v>
      </c>
      <c r="K47" s="1">
        <v>25612</v>
      </c>
      <c r="L47" s="18">
        <v>0.75</v>
      </c>
      <c r="M47" s="18">
        <v>0.08</v>
      </c>
      <c r="N47" s="18">
        <v>0.92</v>
      </c>
      <c r="O47" s="18">
        <v>0.82</v>
      </c>
      <c r="P47" s="253"/>
      <c r="Q47" s="9"/>
      <c r="R47" s="9"/>
      <c r="S47" s="1"/>
      <c r="U47" s="23">
        <f t="shared" si="1"/>
        <v>44942</v>
      </c>
      <c r="V47" s="1" cm="1">
        <f t="array" ref="V47">SUMIFS(calls_off_JAM,period_JAM,"&gt;="&amp;U47,period_JAM,"&lt;"&amp;U48)</f>
        <v>5152</v>
      </c>
      <c r="W47" s="1" cm="1">
        <f t="array" ref="W47">SUMIFS(calls_ans_JAM,period_JAM,"&gt;="&amp;U47,period_JAM,"&lt;"&amp;U48)</f>
        <v>4942</v>
      </c>
    </row>
    <row r="48" spans="1:23" x14ac:dyDescent="0.35">
      <c r="A48" s="25">
        <v>44698</v>
      </c>
      <c r="B48" s="1" t="s">
        <v>50</v>
      </c>
      <c r="C48" s="34" t="s">
        <v>60</v>
      </c>
      <c r="D48" s="1">
        <v>954</v>
      </c>
      <c r="E48" s="1">
        <v>888</v>
      </c>
      <c r="F48" s="72">
        <v>0.15496368038740921</v>
      </c>
      <c r="G48" s="72">
        <v>0.46052631578947367</v>
      </c>
      <c r="H48" s="1">
        <v>12224</v>
      </c>
      <c r="I48" s="1">
        <v>10335</v>
      </c>
      <c r="J48" s="1">
        <v>33193</v>
      </c>
      <c r="K48" s="1">
        <v>26500</v>
      </c>
      <c r="L48" s="18">
        <v>0.79</v>
      </c>
      <c r="M48" s="18">
        <v>7.0000000000000007E-2</v>
      </c>
      <c r="N48" s="18">
        <v>0.92999999999999994</v>
      </c>
      <c r="O48" s="18">
        <v>0.82</v>
      </c>
      <c r="P48" s="253"/>
      <c r="Q48" s="9"/>
      <c r="R48" s="9"/>
      <c r="S48" s="1"/>
      <c r="U48" s="23">
        <f t="shared" si="1"/>
        <v>44949</v>
      </c>
      <c r="V48" s="1" cm="1">
        <f t="array" ref="V48">SUMIFS(calls_off_JAM,period_JAM,"&gt;="&amp;U48,period_JAM,"&lt;"&amp;U49)</f>
        <v>5456</v>
      </c>
      <c r="W48" s="1" cm="1">
        <f t="array" ref="W48">SUMIFS(calls_ans_JAM,period_JAM,"&gt;="&amp;U48,period_JAM,"&lt;"&amp;U49)</f>
        <v>5282</v>
      </c>
    </row>
    <row r="49" spans="1:23" x14ac:dyDescent="0.35">
      <c r="A49" s="25">
        <v>44699</v>
      </c>
      <c r="B49" s="1" t="s">
        <v>51</v>
      </c>
      <c r="C49" s="1" t="s">
        <v>60</v>
      </c>
      <c r="D49" s="1">
        <v>946</v>
      </c>
      <c r="E49" s="1">
        <v>711</v>
      </c>
      <c r="F49" s="72">
        <v>0.24146981627296588</v>
      </c>
      <c r="G49" s="72">
        <v>-4.1778975741239892E-2</v>
      </c>
      <c r="H49" s="1">
        <v>13170</v>
      </c>
      <c r="I49" s="1">
        <v>11046</v>
      </c>
      <c r="J49" s="1">
        <v>34139</v>
      </c>
      <c r="K49" s="1">
        <v>27211</v>
      </c>
      <c r="L49" s="18">
        <v>0.42</v>
      </c>
      <c r="M49" s="18">
        <v>0.25</v>
      </c>
      <c r="N49" s="18">
        <v>0.75</v>
      </c>
      <c r="O49" s="18">
        <v>0.82</v>
      </c>
      <c r="P49" s="253"/>
      <c r="Q49" s="9"/>
      <c r="R49" s="9"/>
      <c r="S49" s="1"/>
      <c r="U49" s="23">
        <f t="shared" si="1"/>
        <v>44956</v>
      </c>
      <c r="V49" s="1" cm="1">
        <f t="array" ref="V49">SUMIFS(calls_off_JAM,period_JAM,"&gt;="&amp;U49,period_JAM,"&lt;"&amp;U50)</f>
        <v>5231</v>
      </c>
      <c r="W49" s="1" cm="1">
        <f t="array" ref="W49">SUMIFS(calls_ans_JAM,period_JAM,"&gt;="&amp;U49,period_JAM,"&lt;"&amp;U50)</f>
        <v>4798</v>
      </c>
    </row>
    <row r="50" spans="1:23" x14ac:dyDescent="0.35">
      <c r="A50" s="25">
        <v>44700</v>
      </c>
      <c r="B50" s="1" t="s">
        <v>52</v>
      </c>
      <c r="C50" s="34" t="s">
        <v>60</v>
      </c>
      <c r="D50" s="1">
        <v>890</v>
      </c>
      <c r="E50" s="1">
        <v>815</v>
      </c>
      <c r="F50" s="72">
        <v>1.2514220705346985E-2</v>
      </c>
      <c r="G50" s="72">
        <v>3.1645569620253167E-2</v>
      </c>
      <c r="H50" s="1">
        <v>14060</v>
      </c>
      <c r="I50" s="1">
        <v>11861</v>
      </c>
      <c r="J50" s="1">
        <v>35029</v>
      </c>
      <c r="K50" s="1">
        <v>28026</v>
      </c>
      <c r="L50" s="18">
        <v>0.74</v>
      </c>
      <c r="M50" s="18">
        <v>0.08</v>
      </c>
      <c r="N50" s="18">
        <v>0.92</v>
      </c>
      <c r="O50" s="18">
        <v>0.84</v>
      </c>
      <c r="P50" s="253"/>
      <c r="Q50" s="9"/>
      <c r="R50" s="9"/>
      <c r="S50" s="1"/>
      <c r="U50" s="23">
        <f t="shared" si="1"/>
        <v>44963</v>
      </c>
      <c r="V50" s="1" cm="1">
        <f t="array" ref="V50">SUMIFS(calls_off_JAM,period_JAM,"&gt;="&amp;U50,period_JAM,"&lt;"&amp;U51)</f>
        <v>4704</v>
      </c>
      <c r="W50" s="1" cm="1">
        <f t="array" ref="W50">SUMIFS(calls_ans_JAM,period_JAM,"&gt;="&amp;U50,period_JAM,"&lt;"&amp;U51)</f>
        <v>4571</v>
      </c>
    </row>
    <row r="51" spans="1:23" x14ac:dyDescent="0.35">
      <c r="A51" s="25">
        <v>44701</v>
      </c>
      <c r="B51" s="1" t="s">
        <v>53</v>
      </c>
      <c r="C51" s="1" t="s">
        <v>60</v>
      </c>
      <c r="D51" s="1">
        <v>838</v>
      </c>
      <c r="E51" s="1">
        <v>672</v>
      </c>
      <c r="F51" s="72">
        <v>9.6858638743455502E-2</v>
      </c>
      <c r="G51" s="72">
        <v>-6.6666666666666666E-2</v>
      </c>
      <c r="H51" s="1">
        <v>14898</v>
      </c>
      <c r="I51" s="1">
        <v>12533</v>
      </c>
      <c r="J51" s="1">
        <v>35867</v>
      </c>
      <c r="K51" s="1">
        <v>28698</v>
      </c>
      <c r="L51" s="18">
        <v>0.53</v>
      </c>
      <c r="M51" s="18">
        <v>0.2</v>
      </c>
      <c r="N51" s="18">
        <v>0.8</v>
      </c>
      <c r="O51" s="18">
        <v>0.69</v>
      </c>
      <c r="P51" s="253"/>
      <c r="Q51" s="9"/>
      <c r="R51" s="9"/>
      <c r="S51" s="1"/>
      <c r="U51" s="23">
        <f t="shared" si="1"/>
        <v>44970</v>
      </c>
      <c r="V51" s="1" cm="1">
        <f t="array" ref="V51">SUMIFS(calls_off_JAM,period_JAM,"&gt;="&amp;U51,period_JAM,"&lt;"&amp;U52)</f>
        <v>4595</v>
      </c>
      <c r="W51" s="1" cm="1">
        <f t="array" ref="W51">SUMIFS(calls_ans_JAM,period_JAM,"&gt;="&amp;U51,period_JAM,"&lt;"&amp;U52)</f>
        <v>4469</v>
      </c>
    </row>
    <row r="52" spans="1:23" x14ac:dyDescent="0.35">
      <c r="A52" s="25">
        <v>44702</v>
      </c>
      <c r="B52" s="1" t="s">
        <v>54</v>
      </c>
      <c r="C52" s="34" t="s">
        <v>60</v>
      </c>
      <c r="D52" s="1">
        <v>677</v>
      </c>
      <c r="E52" s="1">
        <v>636</v>
      </c>
      <c r="F52" s="72">
        <v>-5.3146853146853149E-2</v>
      </c>
      <c r="G52" s="72">
        <v>-3.3434650455927049E-2</v>
      </c>
      <c r="H52" s="1">
        <v>15575</v>
      </c>
      <c r="I52" s="1">
        <v>13169</v>
      </c>
      <c r="J52" s="1">
        <v>36544</v>
      </c>
      <c r="K52" s="1">
        <v>29334</v>
      </c>
      <c r="L52" s="18">
        <v>0.81</v>
      </c>
      <c r="M52" s="18">
        <v>0.06</v>
      </c>
      <c r="N52" s="18">
        <v>0.94</v>
      </c>
      <c r="O52" s="18">
        <v>0.59</v>
      </c>
      <c r="P52" s="253"/>
      <c r="Q52" s="9"/>
      <c r="R52" s="9"/>
      <c r="S52" s="1"/>
      <c r="U52" s="23">
        <f>U51+7</f>
        <v>44977</v>
      </c>
      <c r="V52" s="1" cm="1">
        <f t="array" ref="V52">SUMIFS(calls_off_JAM,period_JAM,"&gt;="&amp;U52,period_JAM,"&lt;"&amp;U53)</f>
        <v>4230</v>
      </c>
      <c r="W52" s="1" cm="1">
        <f t="array" ref="W52">SUMIFS(calls_ans_JAM,period_JAM,"&gt;="&amp;U52,period_JAM,"&lt;"&amp;U53)</f>
        <v>3957</v>
      </c>
    </row>
    <row r="53" spans="1:23" x14ac:dyDescent="0.35">
      <c r="A53" s="23">
        <v>44703</v>
      </c>
      <c r="B53" s="1" t="s">
        <v>48</v>
      </c>
      <c r="C53" s="1" t="s">
        <v>60</v>
      </c>
      <c r="D53" s="1">
        <v>0</v>
      </c>
      <c r="E53" s="1">
        <v>0</v>
      </c>
      <c r="F53" s="72">
        <v>0</v>
      </c>
      <c r="G53" s="72">
        <v>0</v>
      </c>
      <c r="H53" s="1">
        <v>0</v>
      </c>
      <c r="I53" s="1">
        <v>0</v>
      </c>
      <c r="J53" s="1">
        <v>0</v>
      </c>
      <c r="K53" s="1">
        <v>0</v>
      </c>
      <c r="L53" s="18">
        <v>0</v>
      </c>
      <c r="M53" s="18">
        <v>0</v>
      </c>
      <c r="N53" s="18">
        <v>0</v>
      </c>
      <c r="O53" s="18">
        <v>0</v>
      </c>
      <c r="P53" s="253"/>
      <c r="Q53" s="86"/>
      <c r="R53" s="86"/>
      <c r="S53" s="1"/>
      <c r="U53" s="23">
        <f>U52+7</f>
        <v>44984</v>
      </c>
      <c r="V53" s="1" cm="1">
        <f t="array" ref="V53">SUMIFS(calls_off_JAM,period_JAM,"&gt;="&amp;U53,period_JAM,"&lt;"&amp;U54)</f>
        <v>5130</v>
      </c>
      <c r="W53" s="1" cm="1">
        <f t="array" ref="W53">SUMIFS(calls_ans_JAM,period_JAM,"&gt;="&amp;U53,period_JAM,"&lt;"&amp;U54)</f>
        <v>4916</v>
      </c>
    </row>
    <row r="54" spans="1:23" x14ac:dyDescent="0.35">
      <c r="A54" s="25">
        <v>44704</v>
      </c>
      <c r="B54" s="1" t="s">
        <v>49</v>
      </c>
      <c r="C54" s="34" t="s">
        <v>60</v>
      </c>
      <c r="D54" s="48"/>
      <c r="E54" s="48"/>
      <c r="F54" s="97"/>
      <c r="G54" s="97"/>
      <c r="H54" s="48"/>
      <c r="I54" s="48"/>
      <c r="J54" s="48"/>
      <c r="K54" s="48"/>
      <c r="L54" s="78"/>
      <c r="M54" s="78"/>
      <c r="N54" s="78"/>
      <c r="O54" s="78"/>
      <c r="P54" s="253"/>
      <c r="Q54" s="48"/>
      <c r="R54" s="48"/>
      <c r="S54" s="1"/>
      <c r="U54" s="23">
        <f>U53+7</f>
        <v>44991</v>
      </c>
      <c r="V54" s="1" cm="1">
        <f t="array" ref="V54">SUMIFS(calls_off_JAM,period_JAM,"&gt;="&amp;U54,period_JAM,"&lt;"&amp;U55)</f>
        <v>5828</v>
      </c>
      <c r="W54" s="1" cm="1">
        <f t="array" ref="W54">SUMIFS(calls_ans_JAM,period_JAM,"&gt;="&amp;U54,period_JAM,"&lt;"&amp;U55)</f>
        <v>5523</v>
      </c>
    </row>
    <row r="55" spans="1:23" x14ac:dyDescent="0.35">
      <c r="A55" s="25">
        <v>44705</v>
      </c>
      <c r="B55" s="1" t="s">
        <v>50</v>
      </c>
      <c r="C55" s="1" t="s">
        <v>60</v>
      </c>
      <c r="D55" s="1">
        <v>954</v>
      </c>
      <c r="E55" s="1">
        <v>906</v>
      </c>
      <c r="F55" s="72">
        <v>0</v>
      </c>
      <c r="G55" s="72">
        <v>2.0270270270270271E-2</v>
      </c>
      <c r="H55" s="1">
        <v>16529</v>
      </c>
      <c r="I55" s="1">
        <v>14075</v>
      </c>
      <c r="J55" s="1">
        <v>37498</v>
      </c>
      <c r="K55" s="1">
        <v>30240</v>
      </c>
      <c r="L55" s="18">
        <v>0.86</v>
      </c>
      <c r="M55" s="18">
        <v>0.05</v>
      </c>
      <c r="N55" s="18">
        <v>0.95</v>
      </c>
      <c r="O55" s="18">
        <v>0.76</v>
      </c>
      <c r="P55" s="253"/>
      <c r="Q55" s="9"/>
      <c r="R55" s="9"/>
      <c r="S55" s="1"/>
      <c r="U55" s="23">
        <f>U54+7</f>
        <v>44998</v>
      </c>
      <c r="V55" s="1" cm="1">
        <f t="array" ref="V55">SUMIFS(calls_off_JAM,period_JAM,"&gt;="&amp;U55,period_JAM,"&lt;"&amp;U56)</f>
        <v>4743</v>
      </c>
      <c r="W55" s="1" cm="1">
        <f t="array" ref="W55">SUMIFS(calls_ans_JAM,period_JAM,"&gt;="&amp;U55,period_JAM,"&lt;"&amp;U56)</f>
        <v>4466</v>
      </c>
    </row>
    <row r="56" spans="1:23" x14ac:dyDescent="0.35">
      <c r="A56" s="25">
        <v>44706</v>
      </c>
      <c r="B56" s="1" t="s">
        <v>51</v>
      </c>
      <c r="C56" s="34" t="s">
        <v>60</v>
      </c>
      <c r="D56" s="1">
        <v>1017</v>
      </c>
      <c r="E56" s="1">
        <v>902</v>
      </c>
      <c r="F56" s="72">
        <v>7.5052854122621568E-2</v>
      </c>
      <c r="G56" s="72">
        <v>0.26863572433192684</v>
      </c>
      <c r="H56" s="1">
        <v>17546</v>
      </c>
      <c r="I56" s="1">
        <v>14977</v>
      </c>
      <c r="J56" s="1">
        <v>38515</v>
      </c>
      <c r="K56" s="1">
        <v>31142</v>
      </c>
      <c r="L56" s="18">
        <v>0.71</v>
      </c>
      <c r="M56" s="18">
        <v>0.11</v>
      </c>
      <c r="N56" s="18">
        <v>0.89</v>
      </c>
      <c r="O56" s="18">
        <v>0.84</v>
      </c>
      <c r="P56" s="253"/>
      <c r="Q56" s="9"/>
      <c r="R56" s="9"/>
      <c r="S56" s="1"/>
      <c r="U56" s="23">
        <f t="shared" ref="U56:U58" si="2">U55+7</f>
        <v>45005</v>
      </c>
      <c r="V56" s="1" cm="1">
        <f t="array" ref="V56">SUMIFS(calls_off_JAM,period_JAM,"&gt;="&amp;U56,period_JAM,"&lt;"&amp;U57)</f>
        <v>5456</v>
      </c>
      <c r="W56" s="1" cm="1">
        <f t="array" ref="W56">SUMIFS(calls_ans_JAM,period_JAM,"&gt;="&amp;U56,period_JAM,"&lt;"&amp;U57)</f>
        <v>5186</v>
      </c>
    </row>
    <row r="57" spans="1:23" x14ac:dyDescent="0.35">
      <c r="A57" s="25">
        <v>44707</v>
      </c>
      <c r="B57" s="1" t="s">
        <v>52</v>
      </c>
      <c r="C57" s="1" t="s">
        <v>60</v>
      </c>
      <c r="D57" s="1">
        <v>1046</v>
      </c>
      <c r="E57" s="1">
        <v>840</v>
      </c>
      <c r="F57" s="72">
        <v>0.1752808988764045</v>
      </c>
      <c r="G57" s="72">
        <v>3.0674846625766871E-2</v>
      </c>
      <c r="H57" s="1">
        <v>18592</v>
      </c>
      <c r="I57" s="1">
        <v>15817</v>
      </c>
      <c r="J57" s="1">
        <v>39561</v>
      </c>
      <c r="K57" s="1">
        <v>31982</v>
      </c>
      <c r="L57" s="18">
        <v>0.4</v>
      </c>
      <c r="M57" s="18">
        <v>0.2</v>
      </c>
      <c r="N57" s="18">
        <v>0.8</v>
      </c>
      <c r="O57" s="18">
        <v>0.86</v>
      </c>
      <c r="P57" s="253"/>
      <c r="Q57" s="9"/>
      <c r="R57" s="9"/>
      <c r="S57" s="1"/>
      <c r="U57" s="23">
        <f t="shared" si="2"/>
        <v>45012</v>
      </c>
      <c r="V57" s="1" cm="1">
        <f t="array" ref="V57">SUMIFS(calls_off_JAM,period_JAM,"&gt;="&amp;U57,period_JAM,"&lt;"&amp;U58)</f>
        <v>4657</v>
      </c>
      <c r="W57" s="1" cm="1">
        <f t="array" ref="W57">SUMIFS(calls_ans_JAM,period_JAM,"&gt;="&amp;U57,period_JAM,"&lt;"&amp;U58)</f>
        <v>4458</v>
      </c>
    </row>
    <row r="58" spans="1:23" x14ac:dyDescent="0.35">
      <c r="A58" s="25">
        <v>44708</v>
      </c>
      <c r="B58" s="1" t="s">
        <v>53</v>
      </c>
      <c r="C58" s="34" t="s">
        <v>60</v>
      </c>
      <c r="D58" s="1">
        <v>991</v>
      </c>
      <c r="E58" s="1">
        <v>803</v>
      </c>
      <c r="F58" s="72">
        <v>0.18257756563245822</v>
      </c>
      <c r="G58" s="72">
        <v>0.19494047619047619</v>
      </c>
      <c r="H58" s="1">
        <v>19583</v>
      </c>
      <c r="I58" s="1">
        <v>16620</v>
      </c>
      <c r="J58" s="1">
        <v>40552</v>
      </c>
      <c r="K58" s="1">
        <v>32785</v>
      </c>
      <c r="L58" s="18">
        <v>0.47</v>
      </c>
      <c r="M58" s="18">
        <v>0.19</v>
      </c>
      <c r="N58" s="18">
        <v>0.81</v>
      </c>
      <c r="O58" s="18">
        <v>0.83</v>
      </c>
      <c r="P58" s="253"/>
      <c r="Q58" s="9"/>
      <c r="R58" s="9"/>
      <c r="S58" s="1"/>
      <c r="U58" s="23">
        <f t="shared" si="2"/>
        <v>45019</v>
      </c>
      <c r="V58" s="1" cm="1">
        <f t="array" ref="V58">SUMIFS(calls_off_JAM,period_JAM,"&gt;="&amp;U58,period_JAM,"&lt;"&amp;U59)</f>
        <v>0</v>
      </c>
      <c r="W58" s="1" cm="1">
        <f t="array" ref="W58">SUMIFS(calls_ans_JAM,period_JAM,"&gt;="&amp;U58,period_JAM,"&lt;"&amp;U59)</f>
        <v>0</v>
      </c>
    </row>
    <row r="59" spans="1:23" x14ac:dyDescent="0.35">
      <c r="A59" s="25">
        <v>44709</v>
      </c>
      <c r="B59" s="1" t="s">
        <v>54</v>
      </c>
      <c r="C59" s="1" t="s">
        <v>60</v>
      </c>
      <c r="D59" s="1">
        <v>784</v>
      </c>
      <c r="E59" s="1">
        <v>608</v>
      </c>
      <c r="F59" s="72">
        <v>0.15805022156573117</v>
      </c>
      <c r="G59" s="72">
        <v>-4.40251572327044E-2</v>
      </c>
      <c r="H59" s="1">
        <v>20367</v>
      </c>
      <c r="I59" s="1">
        <v>17228</v>
      </c>
      <c r="J59" s="1">
        <v>41336</v>
      </c>
      <c r="K59" s="1">
        <v>33393</v>
      </c>
      <c r="L59" s="18">
        <v>0.37</v>
      </c>
      <c r="M59" s="18">
        <v>0.22</v>
      </c>
      <c r="N59" s="18">
        <v>0.78</v>
      </c>
      <c r="O59" s="18">
        <v>0.8</v>
      </c>
      <c r="P59" s="253"/>
      <c r="Q59" s="9"/>
      <c r="R59" s="9"/>
      <c r="S59" s="1"/>
    </row>
    <row r="60" spans="1:23" x14ac:dyDescent="0.35">
      <c r="A60" s="23">
        <v>44710</v>
      </c>
      <c r="B60" s="1" t="s">
        <v>48</v>
      </c>
      <c r="C60" s="34" t="s">
        <v>60</v>
      </c>
      <c r="D60" s="1">
        <v>0</v>
      </c>
      <c r="E60" s="1">
        <v>0</v>
      </c>
      <c r="F60" s="72">
        <v>0</v>
      </c>
      <c r="G60" s="72">
        <v>0</v>
      </c>
      <c r="H60" s="1">
        <v>0</v>
      </c>
      <c r="I60" s="1">
        <v>0</v>
      </c>
      <c r="J60" s="1">
        <v>0</v>
      </c>
      <c r="K60" s="1">
        <v>0</v>
      </c>
      <c r="L60" s="18">
        <v>0</v>
      </c>
      <c r="M60" s="18">
        <v>0</v>
      </c>
      <c r="N60" s="18">
        <v>0</v>
      </c>
      <c r="O60" s="18">
        <v>0</v>
      </c>
      <c r="P60" s="253"/>
      <c r="Q60" s="86"/>
      <c r="R60" s="86"/>
      <c r="S60" s="1"/>
    </row>
    <row r="61" spans="1:23" x14ac:dyDescent="0.35">
      <c r="A61" s="25">
        <v>44711</v>
      </c>
      <c r="B61" s="1" t="s">
        <v>49</v>
      </c>
      <c r="C61" s="1" t="s">
        <v>60</v>
      </c>
      <c r="D61" s="1">
        <v>1306</v>
      </c>
      <c r="E61" s="1">
        <v>927</v>
      </c>
      <c r="F61" s="72">
        <v>0</v>
      </c>
      <c r="G61" s="72">
        <v>0</v>
      </c>
      <c r="H61" s="1">
        <v>21673</v>
      </c>
      <c r="I61" s="1">
        <v>18155</v>
      </c>
      <c r="J61" s="1">
        <v>42642</v>
      </c>
      <c r="K61" s="1">
        <v>34320</v>
      </c>
      <c r="L61" s="18">
        <v>0.28000000000000003</v>
      </c>
      <c r="M61" s="18">
        <v>0.28999999999999998</v>
      </c>
      <c r="N61" s="18">
        <v>0.71</v>
      </c>
      <c r="O61" s="18">
        <v>0.78</v>
      </c>
      <c r="P61" s="253"/>
      <c r="Q61" s="9"/>
      <c r="R61" s="9"/>
      <c r="S61" s="1"/>
    </row>
    <row r="62" spans="1:23" x14ac:dyDescent="0.35">
      <c r="A62" s="87">
        <v>44712</v>
      </c>
      <c r="B62" s="74" t="s">
        <v>50</v>
      </c>
      <c r="C62" s="74" t="s">
        <v>60</v>
      </c>
      <c r="D62" s="74">
        <v>980</v>
      </c>
      <c r="E62" s="74">
        <v>733</v>
      </c>
      <c r="F62" s="95">
        <v>2.7253668763102725E-2</v>
      </c>
      <c r="G62" s="95">
        <v>-0.19094922737306844</v>
      </c>
      <c r="H62" s="74">
        <v>22653</v>
      </c>
      <c r="I62" s="74">
        <v>18888</v>
      </c>
      <c r="J62" s="74">
        <v>43622</v>
      </c>
      <c r="K62" s="74">
        <v>35053</v>
      </c>
      <c r="L62" s="2">
        <v>0.28999999999999998</v>
      </c>
      <c r="M62" s="2">
        <v>0.24</v>
      </c>
      <c r="N62" s="2">
        <v>0.76</v>
      </c>
      <c r="O62" s="2">
        <v>0.75</v>
      </c>
      <c r="P62" s="253"/>
      <c r="Q62" s="73"/>
      <c r="R62" s="73"/>
      <c r="S62" s="1"/>
    </row>
    <row r="63" spans="1:23" x14ac:dyDescent="0.35">
      <c r="A63" s="25">
        <v>44713</v>
      </c>
      <c r="B63" s="42" t="s">
        <v>51</v>
      </c>
      <c r="C63" s="1" t="s">
        <v>60</v>
      </c>
      <c r="D63" s="42">
        <v>902</v>
      </c>
      <c r="E63" s="42">
        <v>880</v>
      </c>
      <c r="F63" s="96">
        <v>-0.11307767944936087</v>
      </c>
      <c r="G63" s="96">
        <v>-2.4390243902439025E-2</v>
      </c>
      <c r="H63" s="42">
        <v>902</v>
      </c>
      <c r="I63" s="42">
        <v>880</v>
      </c>
      <c r="J63" s="42">
        <v>44524</v>
      </c>
      <c r="K63" s="42">
        <v>35933</v>
      </c>
      <c r="L63" s="52">
        <v>0.93</v>
      </c>
      <c r="M63" s="52">
        <v>0.02</v>
      </c>
      <c r="N63" s="52">
        <v>0.98</v>
      </c>
      <c r="O63" s="52">
        <v>0.81</v>
      </c>
      <c r="P63" s="253"/>
      <c r="Q63" s="75"/>
      <c r="R63" s="75"/>
      <c r="S63" s="1"/>
    </row>
    <row r="64" spans="1:23" x14ac:dyDescent="0.35">
      <c r="A64" s="25">
        <v>44714</v>
      </c>
      <c r="B64" s="1" t="s">
        <v>52</v>
      </c>
      <c r="C64" s="34" t="s">
        <v>60</v>
      </c>
      <c r="D64" s="1">
        <v>940</v>
      </c>
      <c r="E64" s="1">
        <v>776</v>
      </c>
      <c r="F64" s="96">
        <v>-0.10133843212237094</v>
      </c>
      <c r="G64" s="96">
        <v>-7.6190476190476197E-2</v>
      </c>
      <c r="H64" s="42">
        <v>1842</v>
      </c>
      <c r="I64" s="42">
        <v>1656</v>
      </c>
      <c r="J64" s="42">
        <v>45464</v>
      </c>
      <c r="K64" s="42">
        <v>36709</v>
      </c>
      <c r="L64" s="18">
        <v>0.56999999999999995</v>
      </c>
      <c r="M64" s="18">
        <v>0.17</v>
      </c>
      <c r="N64" s="18">
        <v>0.83</v>
      </c>
      <c r="O64" s="18">
        <v>0.6</v>
      </c>
      <c r="P64" s="253"/>
      <c r="Q64" s="86"/>
      <c r="R64" s="86"/>
      <c r="S64" s="1"/>
    </row>
    <row r="65" spans="1:19" x14ac:dyDescent="0.35">
      <c r="A65" s="25">
        <v>44715</v>
      </c>
      <c r="B65" s="1" t="s">
        <v>53</v>
      </c>
      <c r="C65" s="1" t="s">
        <v>60</v>
      </c>
      <c r="D65" s="1">
        <v>833</v>
      </c>
      <c r="E65" s="1">
        <v>769</v>
      </c>
      <c r="F65" s="96">
        <v>-0.15943491422805248</v>
      </c>
      <c r="G65" s="96">
        <v>-4.2341220423412207E-2</v>
      </c>
      <c r="H65" s="42">
        <v>2675</v>
      </c>
      <c r="I65" s="42">
        <v>2425</v>
      </c>
      <c r="J65" s="42">
        <v>46297</v>
      </c>
      <c r="K65" s="42">
        <v>37478</v>
      </c>
      <c r="L65" s="18">
        <v>0.81</v>
      </c>
      <c r="M65" s="18">
        <v>0.08</v>
      </c>
      <c r="N65" s="18">
        <v>0.92</v>
      </c>
      <c r="O65" s="18">
        <v>0.59</v>
      </c>
      <c r="P65" s="253"/>
      <c r="Q65" s="86"/>
      <c r="R65" s="86"/>
      <c r="S65" s="1"/>
    </row>
    <row r="66" spans="1:19" x14ac:dyDescent="0.35">
      <c r="A66" s="25">
        <v>44716</v>
      </c>
      <c r="B66" s="1" t="s">
        <v>54</v>
      </c>
      <c r="C66" s="34" t="s">
        <v>60</v>
      </c>
      <c r="D66" s="1">
        <v>734</v>
      </c>
      <c r="E66" s="1">
        <v>606</v>
      </c>
      <c r="F66" s="96">
        <v>-6.3775510204081634E-2</v>
      </c>
      <c r="G66" s="96">
        <v>-3.2894736842105261E-3</v>
      </c>
      <c r="H66" s="42">
        <v>3409</v>
      </c>
      <c r="I66" s="42">
        <v>3031</v>
      </c>
      <c r="J66" s="42">
        <v>47031</v>
      </c>
      <c r="K66" s="42">
        <v>38084</v>
      </c>
      <c r="L66" s="18">
        <v>0.55000000000000004</v>
      </c>
      <c r="M66" s="18">
        <v>0.17</v>
      </c>
      <c r="N66" s="18">
        <v>0.83</v>
      </c>
      <c r="O66" s="18">
        <v>0.7</v>
      </c>
      <c r="P66" s="253"/>
      <c r="Q66" s="86"/>
      <c r="R66" s="86"/>
      <c r="S66" s="1"/>
    </row>
    <row r="67" spans="1:19" x14ac:dyDescent="0.35">
      <c r="A67" s="23">
        <v>44717</v>
      </c>
      <c r="B67" s="1" t="s">
        <v>48</v>
      </c>
      <c r="C67" s="1" t="s">
        <v>60</v>
      </c>
      <c r="D67" s="1">
        <v>0</v>
      </c>
      <c r="E67" s="1">
        <v>0</v>
      </c>
      <c r="F67" s="72">
        <v>0</v>
      </c>
      <c r="G67" s="72">
        <v>0</v>
      </c>
      <c r="H67" s="1">
        <v>0</v>
      </c>
      <c r="I67" s="1">
        <v>0</v>
      </c>
      <c r="J67" s="1">
        <v>0</v>
      </c>
      <c r="K67" s="1">
        <v>0</v>
      </c>
      <c r="L67" s="18">
        <v>0</v>
      </c>
      <c r="M67" s="18">
        <v>0</v>
      </c>
      <c r="N67" s="18">
        <v>0</v>
      </c>
      <c r="O67" s="18">
        <v>0</v>
      </c>
      <c r="P67" s="253"/>
      <c r="Q67" s="86"/>
      <c r="R67" s="86"/>
      <c r="S67" s="1"/>
    </row>
    <row r="68" spans="1:19" x14ac:dyDescent="0.35">
      <c r="A68" s="25">
        <v>44718</v>
      </c>
      <c r="B68" s="1" t="s">
        <v>49</v>
      </c>
      <c r="C68" s="34" t="s">
        <v>60</v>
      </c>
      <c r="D68" s="1">
        <v>977</v>
      </c>
      <c r="E68" s="1">
        <v>948</v>
      </c>
      <c r="F68" s="96">
        <v>-0.25191424196018375</v>
      </c>
      <c r="G68" s="96">
        <v>2.2653721682847898E-2</v>
      </c>
      <c r="H68" s="42">
        <v>4386</v>
      </c>
      <c r="I68" s="42">
        <v>3979</v>
      </c>
      <c r="J68" s="42">
        <v>48008</v>
      </c>
      <c r="K68" s="42">
        <v>39032</v>
      </c>
      <c r="L68" s="18">
        <v>0.91579999999999995</v>
      </c>
      <c r="M68" s="18">
        <v>2.9682702149437051E-2</v>
      </c>
      <c r="N68" s="18">
        <v>0.97031729785056298</v>
      </c>
      <c r="O68" s="18">
        <v>0.67521367521367515</v>
      </c>
      <c r="P68" s="253"/>
      <c r="Q68" s="86"/>
      <c r="R68" s="86"/>
      <c r="S68" s="1"/>
    </row>
    <row r="69" spans="1:19" x14ac:dyDescent="0.35">
      <c r="A69" s="25">
        <v>44719</v>
      </c>
      <c r="B69" s="1" t="s">
        <v>50</v>
      </c>
      <c r="C69" s="1" t="s">
        <v>60</v>
      </c>
      <c r="D69" s="1">
        <v>1003</v>
      </c>
      <c r="E69" s="1">
        <v>966</v>
      </c>
      <c r="F69" s="96">
        <v>2.3469387755102041E-2</v>
      </c>
      <c r="G69" s="96">
        <v>0.31787175989085947</v>
      </c>
      <c r="H69" s="42">
        <v>5389</v>
      </c>
      <c r="I69" s="42">
        <v>4945</v>
      </c>
      <c r="J69" s="42">
        <v>49011</v>
      </c>
      <c r="K69" s="42">
        <v>39998</v>
      </c>
      <c r="L69" s="18">
        <v>0.9173</v>
      </c>
      <c r="M69" s="18">
        <v>3.589232303090728E-2</v>
      </c>
      <c r="N69" s="18">
        <v>0.96311066799601197</v>
      </c>
      <c r="O69" s="18">
        <v>0.63888888888888884</v>
      </c>
      <c r="P69" s="253"/>
      <c r="Q69" s="86"/>
      <c r="R69" s="86"/>
      <c r="S69" s="1"/>
    </row>
    <row r="70" spans="1:19" x14ac:dyDescent="0.35">
      <c r="A70" s="25">
        <v>44720</v>
      </c>
      <c r="B70" s="1" t="s">
        <v>51</v>
      </c>
      <c r="C70" s="34" t="s">
        <v>60</v>
      </c>
      <c r="D70" s="1">
        <v>1073</v>
      </c>
      <c r="E70" s="1">
        <v>878</v>
      </c>
      <c r="F70" s="96">
        <v>0.18957871396895787</v>
      </c>
      <c r="G70" s="96">
        <v>-2.2727272727272726E-3</v>
      </c>
      <c r="H70" s="42">
        <v>6462</v>
      </c>
      <c r="I70" s="42">
        <v>5823</v>
      </c>
      <c r="J70" s="42">
        <v>50084</v>
      </c>
      <c r="K70" s="42">
        <v>40876</v>
      </c>
      <c r="L70" s="18">
        <v>0.47049999999999997</v>
      </c>
      <c r="M70" s="18">
        <v>0.18080149114631874</v>
      </c>
      <c r="N70" s="18">
        <v>0.81826654240447338</v>
      </c>
      <c r="O70" s="18">
        <v>0.62535612535612528</v>
      </c>
      <c r="P70" s="253"/>
      <c r="Q70" s="86"/>
      <c r="R70" s="86"/>
      <c r="S70" s="1"/>
    </row>
    <row r="71" spans="1:19" x14ac:dyDescent="0.35">
      <c r="A71" s="25">
        <v>44721</v>
      </c>
      <c r="B71" s="1" t="s">
        <v>52</v>
      </c>
      <c r="C71" s="1" t="s">
        <v>60</v>
      </c>
      <c r="D71" s="1">
        <v>868</v>
      </c>
      <c r="E71" s="1">
        <v>809</v>
      </c>
      <c r="F71" s="96">
        <v>-7.6595744680851063E-2</v>
      </c>
      <c r="G71" s="96">
        <v>4.252577319587629E-2</v>
      </c>
      <c r="H71" s="42">
        <v>7330</v>
      </c>
      <c r="I71" s="42">
        <v>6632</v>
      </c>
      <c r="J71" s="42">
        <v>50952</v>
      </c>
      <c r="K71" s="42">
        <v>41685</v>
      </c>
      <c r="L71" s="18">
        <v>0.83435000000000004</v>
      </c>
      <c r="M71" s="18">
        <v>6.6820276497695855E-2</v>
      </c>
      <c r="N71" s="18">
        <v>0.9320276497695853</v>
      </c>
      <c r="O71" s="18">
        <v>0.5762108262108262</v>
      </c>
      <c r="P71" s="253"/>
      <c r="Q71" s="86"/>
      <c r="R71" s="86"/>
      <c r="S71" s="1"/>
    </row>
    <row r="72" spans="1:19" x14ac:dyDescent="0.35">
      <c r="A72" s="25">
        <v>44722</v>
      </c>
      <c r="B72" s="1" t="s">
        <v>53</v>
      </c>
      <c r="C72" s="34" t="s">
        <v>60</v>
      </c>
      <c r="D72" s="1">
        <v>927</v>
      </c>
      <c r="E72" s="1">
        <v>806</v>
      </c>
      <c r="F72" s="96">
        <v>0.11284513805522209</v>
      </c>
      <c r="G72" s="96">
        <v>4.8114434330299091E-2</v>
      </c>
      <c r="H72" s="42">
        <v>8257</v>
      </c>
      <c r="I72" s="42">
        <v>7438</v>
      </c>
      <c r="J72" s="42">
        <v>51879</v>
      </c>
      <c r="K72" s="42">
        <v>42491</v>
      </c>
      <c r="L72" s="18">
        <v>0.64300000000000002</v>
      </c>
      <c r="M72" s="18">
        <v>0.12513484358144553</v>
      </c>
      <c r="N72" s="18">
        <v>0.86947141316073351</v>
      </c>
      <c r="O72" s="18">
        <v>0.93287037037037035</v>
      </c>
      <c r="P72" s="253"/>
      <c r="Q72" s="86"/>
      <c r="R72" s="86"/>
      <c r="S72" s="1"/>
    </row>
    <row r="73" spans="1:19" x14ac:dyDescent="0.35">
      <c r="A73" s="25">
        <v>44723</v>
      </c>
      <c r="B73" s="1" t="s">
        <v>54</v>
      </c>
      <c r="C73" s="1" t="s">
        <v>60</v>
      </c>
      <c r="D73" s="1">
        <v>685</v>
      </c>
      <c r="E73" s="1">
        <v>610</v>
      </c>
      <c r="F73" s="72">
        <v>-6.67574931880109E-2</v>
      </c>
      <c r="G73" s="72">
        <v>6.6006600660066007E-3</v>
      </c>
      <c r="H73" s="1">
        <v>8942</v>
      </c>
      <c r="I73" s="1">
        <v>8048</v>
      </c>
      <c r="J73" s="1">
        <v>52564</v>
      </c>
      <c r="K73" s="1">
        <v>43101</v>
      </c>
      <c r="L73" s="18">
        <v>0.78139999999999998</v>
      </c>
      <c r="M73" s="18">
        <v>0.10072992700729927</v>
      </c>
      <c r="N73" s="18">
        <v>0.89051094890510951</v>
      </c>
      <c r="O73" s="18">
        <v>0.70601851851851849</v>
      </c>
      <c r="P73" s="253"/>
      <c r="Q73" s="86"/>
      <c r="R73" s="86"/>
      <c r="S73" s="1"/>
    </row>
    <row r="74" spans="1:19" x14ac:dyDescent="0.35">
      <c r="A74" s="23">
        <v>44724</v>
      </c>
      <c r="B74" s="1" t="s">
        <v>48</v>
      </c>
      <c r="C74" s="34" t="s">
        <v>60</v>
      </c>
      <c r="D74" s="1">
        <v>0</v>
      </c>
      <c r="E74" s="1">
        <v>0</v>
      </c>
      <c r="F74" s="72">
        <v>0</v>
      </c>
      <c r="G74" s="72">
        <v>0</v>
      </c>
      <c r="H74" s="1">
        <v>0</v>
      </c>
      <c r="I74" s="1">
        <v>0</v>
      </c>
      <c r="J74" s="1">
        <v>0</v>
      </c>
      <c r="K74" s="1">
        <v>0</v>
      </c>
      <c r="L74" s="18">
        <v>0</v>
      </c>
      <c r="M74" s="18">
        <v>0</v>
      </c>
      <c r="N74" s="18">
        <v>0</v>
      </c>
      <c r="O74" s="18">
        <v>0</v>
      </c>
      <c r="P74" s="253"/>
      <c r="Q74" s="86"/>
      <c r="R74" s="86"/>
      <c r="S74" s="1"/>
    </row>
    <row r="75" spans="1:19" x14ac:dyDescent="0.35">
      <c r="A75" s="25">
        <v>44725</v>
      </c>
      <c r="B75" s="1" t="s">
        <v>49</v>
      </c>
      <c r="C75" s="1" t="s">
        <v>60</v>
      </c>
      <c r="D75" s="1">
        <v>987</v>
      </c>
      <c r="E75" s="1">
        <v>721</v>
      </c>
      <c r="F75" s="72">
        <v>1.0235414534288639E-2</v>
      </c>
      <c r="G75" s="72">
        <v>-0.23945147679324894</v>
      </c>
      <c r="H75" s="1">
        <v>9929</v>
      </c>
      <c r="I75" s="1">
        <v>8769</v>
      </c>
      <c r="J75" s="1">
        <v>53551</v>
      </c>
      <c r="K75" s="1">
        <v>43822</v>
      </c>
      <c r="L75" s="18">
        <v>0.37</v>
      </c>
      <c r="M75" s="18">
        <v>0.26</v>
      </c>
      <c r="N75" s="18">
        <v>0.74</v>
      </c>
      <c r="O75" s="18">
        <v>0.61</v>
      </c>
      <c r="P75" s="253"/>
      <c r="Q75" s="86"/>
      <c r="R75" s="86"/>
      <c r="S75" s="1"/>
    </row>
    <row r="76" spans="1:19" x14ac:dyDescent="0.35">
      <c r="A76" s="25">
        <v>44726</v>
      </c>
      <c r="B76" s="1" t="s">
        <v>50</v>
      </c>
      <c r="C76" s="34" t="s">
        <v>60</v>
      </c>
      <c r="D76" s="1">
        <v>953</v>
      </c>
      <c r="E76" s="1">
        <v>735</v>
      </c>
      <c r="F76" s="72">
        <v>-4.9850448654037885E-2</v>
      </c>
      <c r="G76" s="72">
        <v>-0.2391304347826087</v>
      </c>
      <c r="H76" s="1">
        <v>10882</v>
      </c>
      <c r="I76" s="1">
        <v>9504</v>
      </c>
      <c r="J76" s="1">
        <v>54504</v>
      </c>
      <c r="K76" s="1">
        <v>44557</v>
      </c>
      <c r="L76" s="18">
        <v>0.36</v>
      </c>
      <c r="M76" s="18">
        <v>0.23</v>
      </c>
      <c r="N76" s="18">
        <v>0.77</v>
      </c>
      <c r="O76" s="18">
        <v>0.56999999999999995</v>
      </c>
      <c r="P76" s="253"/>
      <c r="Q76" s="86"/>
      <c r="R76" s="86"/>
      <c r="S76" s="1"/>
    </row>
    <row r="77" spans="1:19" x14ac:dyDescent="0.35">
      <c r="A77" s="25">
        <v>44727</v>
      </c>
      <c r="B77" s="1" t="s">
        <v>51</v>
      </c>
      <c r="C77" s="1" t="s">
        <v>60</v>
      </c>
      <c r="D77" s="1">
        <v>984</v>
      </c>
      <c r="E77" s="1">
        <v>635</v>
      </c>
      <c r="F77" s="72">
        <v>-8.2945013979496732E-2</v>
      </c>
      <c r="G77" s="72">
        <v>-0.27676537585421412</v>
      </c>
      <c r="H77" s="1">
        <v>11866</v>
      </c>
      <c r="I77" s="1">
        <v>10139</v>
      </c>
      <c r="J77" s="1">
        <v>55488</v>
      </c>
      <c r="K77" s="1">
        <v>45192</v>
      </c>
      <c r="L77" s="18">
        <v>0.21</v>
      </c>
      <c r="M77" s="18">
        <v>0.34</v>
      </c>
      <c r="N77" s="18">
        <v>0.66</v>
      </c>
      <c r="O77" s="18">
        <v>0.73</v>
      </c>
      <c r="P77" s="253"/>
      <c r="Q77" s="86"/>
      <c r="R77" s="86"/>
      <c r="S77" s="1"/>
    </row>
    <row r="78" spans="1:19" x14ac:dyDescent="0.35">
      <c r="A78" s="25">
        <v>44728</v>
      </c>
      <c r="B78" s="1" t="s">
        <v>52</v>
      </c>
      <c r="C78" s="34" t="s">
        <v>60</v>
      </c>
      <c r="D78" s="1">
        <v>866</v>
      </c>
      <c r="E78" s="1">
        <v>728</v>
      </c>
      <c r="F78" s="72">
        <v>-2.304147465437788E-3</v>
      </c>
      <c r="G78" s="72">
        <v>-0.10012360939431397</v>
      </c>
      <c r="H78" s="1">
        <v>12732</v>
      </c>
      <c r="I78" s="1">
        <v>10867</v>
      </c>
      <c r="J78" s="1">
        <v>56354</v>
      </c>
      <c r="K78" s="1">
        <v>45920</v>
      </c>
      <c r="L78" s="18">
        <v>0.61</v>
      </c>
      <c r="M78" s="18">
        <v>0.15</v>
      </c>
      <c r="N78" s="18">
        <v>0.85</v>
      </c>
      <c r="O78" s="18">
        <v>0.67</v>
      </c>
      <c r="P78" s="253"/>
      <c r="Q78" s="86"/>
      <c r="R78" s="86"/>
      <c r="S78" s="1"/>
    </row>
    <row r="79" spans="1:19" x14ac:dyDescent="0.35">
      <c r="A79" s="25">
        <v>44729</v>
      </c>
      <c r="B79" s="1" t="s">
        <v>53</v>
      </c>
      <c r="C79" s="1" t="s">
        <v>60</v>
      </c>
      <c r="D79" s="1">
        <v>927</v>
      </c>
      <c r="E79" s="1">
        <v>734</v>
      </c>
      <c r="F79" s="72">
        <v>0</v>
      </c>
      <c r="G79" s="72">
        <v>-8.9330024813895778E-2</v>
      </c>
      <c r="H79" s="1">
        <v>13659</v>
      </c>
      <c r="I79" s="1">
        <v>11601</v>
      </c>
      <c r="J79" s="1">
        <v>57281</v>
      </c>
      <c r="K79" s="1">
        <v>46654</v>
      </c>
      <c r="L79" s="18">
        <v>0.52</v>
      </c>
      <c r="M79" s="18">
        <v>0.2</v>
      </c>
      <c r="N79" s="18">
        <v>0.79</v>
      </c>
      <c r="O79" s="18">
        <v>0.76</v>
      </c>
      <c r="P79" s="253"/>
      <c r="Q79" s="86"/>
      <c r="R79" s="86"/>
      <c r="S79" s="1"/>
    </row>
    <row r="80" spans="1:19" x14ac:dyDescent="0.35">
      <c r="A80" s="25">
        <v>44730</v>
      </c>
      <c r="B80" s="1" t="s">
        <v>54</v>
      </c>
      <c r="C80" s="34" t="s">
        <v>60</v>
      </c>
      <c r="D80" s="1">
        <v>709</v>
      </c>
      <c r="E80" s="1">
        <v>469</v>
      </c>
      <c r="F80" s="72">
        <v>3.5036496350364967E-2</v>
      </c>
      <c r="G80" s="72">
        <v>-0.23114754098360657</v>
      </c>
      <c r="H80" s="1">
        <v>14368</v>
      </c>
      <c r="I80" s="1">
        <v>12070</v>
      </c>
      <c r="J80" s="1">
        <v>57990</v>
      </c>
      <c r="K80" s="1">
        <v>47123</v>
      </c>
      <c r="L80" s="18">
        <v>0.28999999999999998</v>
      </c>
      <c r="M80" s="18">
        <v>0.33</v>
      </c>
      <c r="N80" s="18">
        <v>0.66</v>
      </c>
      <c r="O80" s="18">
        <v>0.87</v>
      </c>
      <c r="P80" s="253"/>
      <c r="Q80" s="86"/>
      <c r="R80" s="86"/>
      <c r="S80" s="1"/>
    </row>
    <row r="81" spans="1:19" x14ac:dyDescent="0.35">
      <c r="A81" s="23">
        <v>44731</v>
      </c>
      <c r="B81" s="1" t="s">
        <v>48</v>
      </c>
      <c r="C81" s="1" t="s">
        <v>60</v>
      </c>
      <c r="D81" s="1">
        <v>0</v>
      </c>
      <c r="E81" s="1">
        <v>0</v>
      </c>
      <c r="F81" s="72">
        <v>0</v>
      </c>
      <c r="G81" s="72">
        <v>0</v>
      </c>
      <c r="H81" s="1">
        <v>0</v>
      </c>
      <c r="I81" s="1">
        <v>0</v>
      </c>
      <c r="J81" s="1">
        <v>0</v>
      </c>
      <c r="K81" s="1">
        <v>0</v>
      </c>
      <c r="L81" s="18">
        <v>0</v>
      </c>
      <c r="M81" s="18">
        <v>0</v>
      </c>
      <c r="N81" s="18">
        <v>0</v>
      </c>
      <c r="O81" s="18">
        <v>0</v>
      </c>
      <c r="P81" s="253"/>
      <c r="Q81" s="86"/>
      <c r="R81" s="86"/>
      <c r="S81" s="1"/>
    </row>
    <row r="82" spans="1:19" x14ac:dyDescent="0.35">
      <c r="A82" s="25">
        <v>44732</v>
      </c>
      <c r="B82" s="1" t="s">
        <v>49</v>
      </c>
      <c r="C82" s="34" t="s">
        <v>60</v>
      </c>
      <c r="D82" s="1">
        <v>917</v>
      </c>
      <c r="E82" s="1">
        <v>807</v>
      </c>
      <c r="F82" s="72">
        <v>-7.0921985815602842E-2</v>
      </c>
      <c r="G82" s="72">
        <v>0.11927877947295423</v>
      </c>
      <c r="H82" s="1">
        <v>15285</v>
      </c>
      <c r="I82" s="1">
        <v>12877</v>
      </c>
      <c r="J82" s="1">
        <v>58907</v>
      </c>
      <c r="K82" s="1">
        <v>47930</v>
      </c>
      <c r="L82" s="18">
        <v>0.62</v>
      </c>
      <c r="M82" s="18">
        <v>0.11</v>
      </c>
      <c r="N82" s="18">
        <v>0.89</v>
      </c>
      <c r="O82" s="18">
        <v>0.75</v>
      </c>
      <c r="P82" s="253"/>
      <c r="Q82" s="86"/>
      <c r="R82" s="86"/>
      <c r="S82" s="1"/>
    </row>
    <row r="83" spans="1:19" x14ac:dyDescent="0.35">
      <c r="A83" s="25">
        <v>44733</v>
      </c>
      <c r="B83" s="1" t="s">
        <v>50</v>
      </c>
      <c r="C83" s="1" t="s">
        <v>60</v>
      </c>
      <c r="D83" s="1">
        <v>840</v>
      </c>
      <c r="E83" s="1">
        <v>753</v>
      </c>
      <c r="F83" s="72">
        <v>-0.11857292759706191</v>
      </c>
      <c r="G83" s="72">
        <v>2.4489795918367346E-2</v>
      </c>
      <c r="H83" s="1">
        <v>16125</v>
      </c>
      <c r="I83" s="1">
        <v>13630</v>
      </c>
      <c r="J83" s="1">
        <v>59747</v>
      </c>
      <c r="K83" s="1">
        <v>48683</v>
      </c>
      <c r="L83" s="18">
        <v>0.71</v>
      </c>
      <c r="M83" s="18">
        <v>0.1</v>
      </c>
      <c r="N83" s="18">
        <v>0.9</v>
      </c>
      <c r="O83" s="18">
        <v>0.7</v>
      </c>
      <c r="P83" s="253"/>
      <c r="Q83" s="86"/>
      <c r="R83" s="86"/>
      <c r="S83" s="1"/>
    </row>
    <row r="84" spans="1:19" x14ac:dyDescent="0.35">
      <c r="A84" s="25">
        <v>44734</v>
      </c>
      <c r="B84" s="1" t="s">
        <v>51</v>
      </c>
      <c r="C84" s="34" t="s">
        <v>60</v>
      </c>
      <c r="D84" s="1">
        <v>895</v>
      </c>
      <c r="E84" s="1">
        <v>821</v>
      </c>
      <c r="F84" s="72">
        <v>-9.0447154471544722E-2</v>
      </c>
      <c r="G84" s="72">
        <v>0.29291338582677168</v>
      </c>
      <c r="H84" s="1">
        <v>17020</v>
      </c>
      <c r="I84" s="1">
        <v>14451</v>
      </c>
      <c r="J84" s="1">
        <v>60642</v>
      </c>
      <c r="K84" s="1">
        <v>49504</v>
      </c>
      <c r="L84" s="18">
        <v>0.8</v>
      </c>
      <c r="M84" s="18">
        <v>0.08</v>
      </c>
      <c r="N84" s="18">
        <v>0.92</v>
      </c>
      <c r="O84" s="18">
        <v>0.76</v>
      </c>
      <c r="P84" s="253"/>
      <c r="Q84" s="86"/>
      <c r="R84" s="86"/>
      <c r="S84" s="1"/>
    </row>
    <row r="85" spans="1:19" x14ac:dyDescent="0.35">
      <c r="A85" s="25">
        <v>44735</v>
      </c>
      <c r="B85" s="1" t="s">
        <v>52</v>
      </c>
      <c r="C85" s="1" t="s">
        <v>60</v>
      </c>
      <c r="D85" s="1">
        <v>687</v>
      </c>
      <c r="E85" s="1">
        <v>590</v>
      </c>
      <c r="F85" s="72">
        <v>-0.20669745958429561</v>
      </c>
      <c r="G85" s="72">
        <v>-0.18956043956043955</v>
      </c>
      <c r="H85" s="1">
        <v>17707</v>
      </c>
      <c r="I85" s="1">
        <v>15041</v>
      </c>
      <c r="J85" s="1">
        <v>61329</v>
      </c>
      <c r="K85" s="1">
        <v>50094</v>
      </c>
      <c r="L85" s="18">
        <v>0.56000000000000005</v>
      </c>
      <c r="M85" s="18">
        <v>0.14000000000000001</v>
      </c>
      <c r="N85" s="18">
        <v>0.86</v>
      </c>
      <c r="O85" s="18">
        <v>0.5</v>
      </c>
      <c r="P85" s="253"/>
      <c r="Q85" s="86"/>
      <c r="R85" s="86"/>
      <c r="S85" s="1"/>
    </row>
    <row r="86" spans="1:19" x14ac:dyDescent="0.35">
      <c r="A86" s="25">
        <v>44736</v>
      </c>
      <c r="B86" s="1" t="s">
        <v>53</v>
      </c>
      <c r="C86" s="34" t="s">
        <v>60</v>
      </c>
      <c r="D86" s="1">
        <v>858</v>
      </c>
      <c r="E86" s="1">
        <v>742</v>
      </c>
      <c r="F86" s="72">
        <v>-7.4433656957928807E-2</v>
      </c>
      <c r="G86" s="72">
        <v>1.0899182561307902E-2</v>
      </c>
      <c r="H86" s="1">
        <v>18565</v>
      </c>
      <c r="I86" s="1">
        <v>15783</v>
      </c>
      <c r="J86" s="1">
        <v>62187</v>
      </c>
      <c r="K86" s="1">
        <v>50836</v>
      </c>
      <c r="L86" s="18">
        <v>0.57999999999999996</v>
      </c>
      <c r="M86" s="18">
        <v>0.13</v>
      </c>
      <c r="N86" s="18">
        <v>0.87</v>
      </c>
      <c r="O86" s="18">
        <v>0.76</v>
      </c>
      <c r="P86" s="253"/>
      <c r="Q86" s="86"/>
      <c r="R86" s="86"/>
      <c r="S86" s="1"/>
    </row>
    <row r="87" spans="1:19" x14ac:dyDescent="0.35">
      <c r="A87" s="25">
        <v>44737</v>
      </c>
      <c r="B87" s="1" t="s">
        <v>54</v>
      </c>
      <c r="C87" s="1" t="s">
        <v>60</v>
      </c>
      <c r="D87" s="1">
        <v>765</v>
      </c>
      <c r="E87" s="1">
        <v>643</v>
      </c>
      <c r="F87" s="72">
        <v>7.8984485190409029E-2</v>
      </c>
      <c r="G87" s="72">
        <v>0.37100213219616207</v>
      </c>
      <c r="H87" s="1">
        <v>19330</v>
      </c>
      <c r="I87" s="1">
        <v>16426</v>
      </c>
      <c r="J87" s="1">
        <v>62952</v>
      </c>
      <c r="K87" s="1">
        <v>51479</v>
      </c>
      <c r="L87" s="18">
        <v>0.48</v>
      </c>
      <c r="M87" s="18">
        <v>0.15</v>
      </c>
      <c r="N87" s="18">
        <v>0.85</v>
      </c>
      <c r="O87" s="18">
        <v>0.74</v>
      </c>
      <c r="P87" s="253"/>
      <c r="Q87" s="86"/>
      <c r="R87" s="86"/>
      <c r="S87" s="1"/>
    </row>
    <row r="88" spans="1:19" x14ac:dyDescent="0.35">
      <c r="A88" s="25">
        <v>44738</v>
      </c>
      <c r="B88" s="1" t="s">
        <v>48</v>
      </c>
      <c r="C88" s="34" t="s">
        <v>60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8">
        <v>0</v>
      </c>
      <c r="M88" s="18">
        <v>0</v>
      </c>
      <c r="N88" s="18">
        <v>0</v>
      </c>
      <c r="O88" s="18">
        <v>0</v>
      </c>
      <c r="P88" s="253"/>
      <c r="Q88" s="86"/>
      <c r="R88" s="86"/>
      <c r="S88" s="1"/>
    </row>
    <row r="89" spans="1:19" x14ac:dyDescent="0.35">
      <c r="A89" s="25">
        <v>44739</v>
      </c>
      <c r="B89" s="1" t="s">
        <v>49</v>
      </c>
      <c r="C89" s="1" t="s">
        <v>60</v>
      </c>
      <c r="D89" s="1">
        <v>1081</v>
      </c>
      <c r="E89" s="1">
        <v>891</v>
      </c>
      <c r="F89" s="72">
        <v>0.17884405670665213</v>
      </c>
      <c r="G89" s="72">
        <v>0.10408921933085502</v>
      </c>
      <c r="H89" s="1">
        <v>20411</v>
      </c>
      <c r="I89" s="1">
        <v>17317</v>
      </c>
      <c r="J89" s="1">
        <v>64033</v>
      </c>
      <c r="K89" s="1">
        <v>52370</v>
      </c>
      <c r="L89" s="18">
        <v>0.59</v>
      </c>
      <c r="M89" s="18">
        <v>0.18</v>
      </c>
      <c r="N89" s="18">
        <v>0.82</v>
      </c>
      <c r="O89" s="18">
        <v>0.69</v>
      </c>
      <c r="P89" s="253"/>
      <c r="Q89" s="86"/>
      <c r="R89" s="86"/>
      <c r="S89" s="1"/>
    </row>
    <row r="90" spans="1:19" x14ac:dyDescent="0.35">
      <c r="A90" s="25">
        <v>44740</v>
      </c>
      <c r="B90" s="1" t="s">
        <v>50</v>
      </c>
      <c r="C90" s="34" t="s">
        <v>60</v>
      </c>
      <c r="D90" s="1">
        <v>1107</v>
      </c>
      <c r="E90" s="1">
        <v>914</v>
      </c>
      <c r="F90" s="72">
        <v>0.31785714285714284</v>
      </c>
      <c r="G90" s="72">
        <v>0.21381142098273573</v>
      </c>
      <c r="H90" s="1">
        <v>21518</v>
      </c>
      <c r="I90" s="1">
        <v>18231</v>
      </c>
      <c r="J90" s="1">
        <v>65140</v>
      </c>
      <c r="K90" s="1">
        <v>53284</v>
      </c>
      <c r="L90" s="18">
        <v>0.53</v>
      </c>
      <c r="M90" s="18">
        <v>0.17</v>
      </c>
      <c r="N90" s="18">
        <v>0.83</v>
      </c>
      <c r="O90" s="18">
        <v>0.85</v>
      </c>
      <c r="P90" s="253"/>
      <c r="Q90" s="86"/>
      <c r="R90" s="86"/>
      <c r="S90" s="1"/>
    </row>
    <row r="91" spans="1:19" x14ac:dyDescent="0.35">
      <c r="A91" s="25">
        <v>44741</v>
      </c>
      <c r="B91" s="1" t="s">
        <v>51</v>
      </c>
      <c r="C91" s="1" t="s">
        <v>60</v>
      </c>
      <c r="D91" s="1">
        <v>1033</v>
      </c>
      <c r="E91" s="1">
        <v>759</v>
      </c>
      <c r="F91" s="72">
        <v>0.15418994413407822</v>
      </c>
      <c r="G91" s="72">
        <v>-7.5517661388550553E-2</v>
      </c>
      <c r="H91" s="1">
        <v>21444</v>
      </c>
      <c r="I91" s="1">
        <v>18076</v>
      </c>
      <c r="J91" s="1">
        <v>65066</v>
      </c>
      <c r="K91" s="1">
        <v>53129</v>
      </c>
      <c r="L91" s="18">
        <v>0.34</v>
      </c>
      <c r="M91" s="18">
        <v>0.26</v>
      </c>
      <c r="N91" s="18">
        <v>0.74</v>
      </c>
      <c r="O91" s="18">
        <v>0.78</v>
      </c>
      <c r="P91" s="253"/>
      <c r="Q91" s="86"/>
      <c r="R91" s="86"/>
      <c r="S91" s="1"/>
    </row>
    <row r="92" spans="1:19" x14ac:dyDescent="0.35">
      <c r="A92" s="87">
        <v>44742</v>
      </c>
      <c r="B92" s="74" t="s">
        <v>52</v>
      </c>
      <c r="C92" s="74" t="s">
        <v>60</v>
      </c>
      <c r="D92" s="74">
        <v>1145</v>
      </c>
      <c r="E92" s="74">
        <v>786</v>
      </c>
      <c r="F92" s="95">
        <v>0.66666666666666663</v>
      </c>
      <c r="G92" s="95">
        <v>0.33220338983050846</v>
      </c>
      <c r="H92" s="74">
        <v>22663</v>
      </c>
      <c r="I92" s="74">
        <v>19017</v>
      </c>
      <c r="J92" s="74">
        <v>66285</v>
      </c>
      <c r="K92" s="74">
        <v>54070</v>
      </c>
      <c r="L92" s="2">
        <v>0.3</v>
      </c>
      <c r="M92" s="2">
        <v>0.3</v>
      </c>
      <c r="N92" s="2">
        <v>0.7</v>
      </c>
      <c r="O92" s="2">
        <v>0.73</v>
      </c>
      <c r="P92" s="253"/>
      <c r="Q92" s="100"/>
      <c r="R92" s="100"/>
      <c r="S92" s="1"/>
    </row>
    <row r="93" spans="1:19" x14ac:dyDescent="0.35">
      <c r="A93" s="25">
        <v>44743</v>
      </c>
      <c r="B93" s="1" t="s">
        <v>53</v>
      </c>
      <c r="C93" s="1" t="s">
        <v>60</v>
      </c>
      <c r="D93" s="1">
        <v>887</v>
      </c>
      <c r="E93" s="1">
        <v>817</v>
      </c>
      <c r="F93" s="72">
        <v>3.37995337995338E-2</v>
      </c>
      <c r="G93" s="72">
        <v>0.10107816711590296</v>
      </c>
      <c r="H93" s="1">
        <v>887</v>
      </c>
      <c r="I93" s="1">
        <v>817</v>
      </c>
      <c r="J93" s="1">
        <v>65953</v>
      </c>
      <c r="K93" s="1">
        <v>53946</v>
      </c>
      <c r="L93" s="18">
        <v>0.79</v>
      </c>
      <c r="M93" s="18">
        <v>0.08</v>
      </c>
      <c r="N93" s="18">
        <v>0.92</v>
      </c>
      <c r="O93" s="18">
        <v>0.69</v>
      </c>
      <c r="P93" s="253"/>
      <c r="Q93" s="86"/>
      <c r="R93" s="86"/>
      <c r="S93" s="1"/>
    </row>
    <row r="94" spans="1:19" x14ac:dyDescent="0.35">
      <c r="A94" s="25">
        <v>44744</v>
      </c>
      <c r="B94" s="1" t="s">
        <v>54</v>
      </c>
      <c r="C94" s="34" t="s">
        <v>60</v>
      </c>
      <c r="D94" s="1">
        <v>684</v>
      </c>
      <c r="E94" s="1">
        <v>619</v>
      </c>
      <c r="F94" s="72">
        <v>-0.10588235294117647</v>
      </c>
      <c r="G94" s="72">
        <v>-3.7325038880248837E-2</v>
      </c>
      <c r="H94" s="1">
        <v>1571</v>
      </c>
      <c r="I94" s="1">
        <v>1436</v>
      </c>
      <c r="J94" s="1">
        <v>66969</v>
      </c>
      <c r="K94" s="1">
        <v>54689</v>
      </c>
      <c r="L94" s="18">
        <v>0.74</v>
      </c>
      <c r="M94" s="18">
        <v>0.1</v>
      </c>
      <c r="N94" s="18">
        <v>0.9</v>
      </c>
      <c r="O94" s="18">
        <v>0.72</v>
      </c>
      <c r="P94" s="253"/>
      <c r="Q94" s="86"/>
      <c r="R94" s="86"/>
      <c r="S94" s="1"/>
    </row>
    <row r="95" spans="1:19" x14ac:dyDescent="0.35">
      <c r="A95" s="25">
        <v>44745</v>
      </c>
      <c r="B95" s="1" t="s">
        <v>48</v>
      </c>
      <c r="C95" s="1" t="s">
        <v>60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8">
        <v>0</v>
      </c>
      <c r="M95" s="18">
        <v>0</v>
      </c>
      <c r="N95" s="18">
        <v>0</v>
      </c>
      <c r="O95" s="18">
        <v>0</v>
      </c>
      <c r="P95" s="253"/>
      <c r="Q95" s="86"/>
      <c r="R95" s="86"/>
      <c r="S95" s="1"/>
    </row>
    <row r="96" spans="1:19" x14ac:dyDescent="0.35">
      <c r="A96" s="25">
        <v>44746</v>
      </c>
      <c r="B96" s="1" t="s">
        <v>49</v>
      </c>
      <c r="C96" s="34" t="s">
        <v>60</v>
      </c>
      <c r="D96" s="1">
        <v>1106</v>
      </c>
      <c r="E96" s="1">
        <v>823</v>
      </c>
      <c r="F96" s="72">
        <v>2.3126734505087881E-2</v>
      </c>
      <c r="G96" s="72">
        <v>-7.6318742985409652E-2</v>
      </c>
      <c r="H96" s="1">
        <v>2677</v>
      </c>
      <c r="I96" s="1">
        <v>2259</v>
      </c>
      <c r="J96" s="1">
        <v>68075</v>
      </c>
      <c r="K96" s="1">
        <v>55512</v>
      </c>
      <c r="L96" s="18">
        <v>0.39</v>
      </c>
      <c r="M96" s="18">
        <v>0.24</v>
      </c>
      <c r="N96" s="18">
        <v>0.76</v>
      </c>
      <c r="O96" s="18">
        <v>0.76</v>
      </c>
      <c r="P96" s="253"/>
      <c r="Q96" s="86"/>
      <c r="R96" s="86"/>
      <c r="S96" s="1"/>
    </row>
    <row r="97" spans="1:23" x14ac:dyDescent="0.35">
      <c r="A97" s="25">
        <v>44747</v>
      </c>
      <c r="B97" s="1" t="s">
        <v>50</v>
      </c>
      <c r="C97" s="1" t="s">
        <v>60</v>
      </c>
      <c r="D97" s="1">
        <v>941</v>
      </c>
      <c r="E97" s="1">
        <v>859</v>
      </c>
      <c r="F97" s="72">
        <v>-0.14995483288166214</v>
      </c>
      <c r="G97" s="72">
        <v>-6.0175054704595186E-2</v>
      </c>
      <c r="H97" s="1">
        <v>3618</v>
      </c>
      <c r="I97" s="1">
        <v>3118</v>
      </c>
      <c r="J97" s="1">
        <v>69016</v>
      </c>
      <c r="K97" s="1">
        <v>56371</v>
      </c>
      <c r="L97" s="18">
        <v>0.73</v>
      </c>
      <c r="M97" s="18">
        <v>0.09</v>
      </c>
      <c r="N97" s="18">
        <v>0.91</v>
      </c>
      <c r="O97" s="18">
        <v>0.8</v>
      </c>
      <c r="P97" s="253"/>
      <c r="Q97" s="86"/>
      <c r="R97" s="86"/>
      <c r="S97" s="1"/>
    </row>
    <row r="98" spans="1:23" x14ac:dyDescent="0.35">
      <c r="A98" s="25">
        <v>44748</v>
      </c>
      <c r="B98" s="1" t="s">
        <v>51</v>
      </c>
      <c r="C98" s="34" t="s">
        <v>60</v>
      </c>
      <c r="D98" s="1">
        <v>852</v>
      </c>
      <c r="E98" s="1">
        <v>755</v>
      </c>
      <c r="F98" s="72">
        <v>-0.17521781219748306</v>
      </c>
      <c r="G98" s="72">
        <v>-5.270092226613966E-3</v>
      </c>
      <c r="H98" s="1">
        <v>4470</v>
      </c>
      <c r="I98" s="1">
        <v>3873</v>
      </c>
      <c r="J98" s="1">
        <v>69868</v>
      </c>
      <c r="K98" s="1">
        <v>57126</v>
      </c>
      <c r="L98" s="18">
        <v>0.6</v>
      </c>
      <c r="M98" s="18">
        <v>0.11</v>
      </c>
      <c r="N98" s="18">
        <v>0.89</v>
      </c>
      <c r="O98" s="18">
        <v>0.78</v>
      </c>
      <c r="P98" s="253"/>
      <c r="Q98" s="86"/>
      <c r="R98" s="86"/>
      <c r="S98" s="1"/>
    </row>
    <row r="99" spans="1:23" x14ac:dyDescent="0.35">
      <c r="A99" s="25">
        <v>44749</v>
      </c>
      <c r="B99" s="1" t="s">
        <v>52</v>
      </c>
      <c r="C99" s="1" t="s">
        <v>60</v>
      </c>
      <c r="D99" s="1">
        <v>916</v>
      </c>
      <c r="E99" s="1">
        <v>725</v>
      </c>
      <c r="F99" s="72">
        <v>-0.2</v>
      </c>
      <c r="G99" s="72">
        <v>-7.7608142493638677E-2</v>
      </c>
      <c r="H99" s="1">
        <v>5386</v>
      </c>
      <c r="I99" s="1">
        <v>4598</v>
      </c>
      <c r="J99" s="1">
        <v>70784</v>
      </c>
      <c r="K99" s="1">
        <v>57851</v>
      </c>
      <c r="L99" s="18">
        <v>0.35</v>
      </c>
      <c r="M99" s="18">
        <v>0.2</v>
      </c>
      <c r="N99" s="18">
        <v>0.8</v>
      </c>
      <c r="O99" s="18">
        <v>0.96</v>
      </c>
      <c r="P99" s="253"/>
      <c r="Q99" s="86"/>
      <c r="R99" s="86"/>
      <c r="S99" s="1"/>
    </row>
    <row r="100" spans="1:23" x14ac:dyDescent="0.35">
      <c r="A100" s="25">
        <v>44750</v>
      </c>
      <c r="B100" s="1" t="s">
        <v>53</v>
      </c>
      <c r="C100" s="34" t="s">
        <v>60</v>
      </c>
      <c r="D100" s="1">
        <v>910</v>
      </c>
      <c r="E100" s="1">
        <v>743</v>
      </c>
      <c r="F100" s="72">
        <v>2.5930101465614429E-2</v>
      </c>
      <c r="G100" s="72">
        <v>-9.057527539779682E-2</v>
      </c>
      <c r="H100" s="1">
        <v>6296</v>
      </c>
      <c r="I100" s="1">
        <v>5341</v>
      </c>
      <c r="J100" s="1">
        <v>71694</v>
      </c>
      <c r="K100" s="1">
        <v>58594</v>
      </c>
      <c r="L100" s="18">
        <v>0.53</v>
      </c>
      <c r="M100" s="18">
        <v>0.17</v>
      </c>
      <c r="N100" s="18">
        <v>0.83</v>
      </c>
      <c r="O100" s="18">
        <v>0.76</v>
      </c>
      <c r="P100" s="253"/>
      <c r="Q100" s="86"/>
      <c r="R100" s="86"/>
      <c r="S100" s="1"/>
    </row>
    <row r="101" spans="1:23" x14ac:dyDescent="0.35">
      <c r="A101" s="25">
        <v>44751</v>
      </c>
      <c r="B101" s="1" t="s">
        <v>54</v>
      </c>
      <c r="C101" s="1" t="s">
        <v>60</v>
      </c>
      <c r="D101" s="1">
        <v>765</v>
      </c>
      <c r="E101" s="1">
        <v>698</v>
      </c>
      <c r="F101" s="72">
        <v>0.11842105263157894</v>
      </c>
      <c r="G101" s="72">
        <v>0.12762520193861066</v>
      </c>
      <c r="H101" s="1">
        <v>7061</v>
      </c>
      <c r="I101" s="1">
        <v>6039</v>
      </c>
      <c r="J101" s="1">
        <v>72459</v>
      </c>
      <c r="K101" s="1">
        <v>59292</v>
      </c>
      <c r="L101" s="18">
        <v>0.82</v>
      </c>
      <c r="M101" s="18">
        <v>0.09</v>
      </c>
      <c r="N101" s="18">
        <v>0.91</v>
      </c>
      <c r="O101" s="18">
        <v>0.81</v>
      </c>
      <c r="P101" s="253"/>
      <c r="Q101" s="86"/>
      <c r="R101" s="86"/>
      <c r="S101" s="1"/>
    </row>
    <row r="102" spans="1:23" x14ac:dyDescent="0.35">
      <c r="A102" s="25">
        <v>44752</v>
      </c>
      <c r="B102" s="1" t="s">
        <v>48</v>
      </c>
      <c r="C102" s="34" t="s">
        <v>60</v>
      </c>
      <c r="D102" s="1">
        <v>0</v>
      </c>
      <c r="E102" s="1">
        <v>0</v>
      </c>
      <c r="F102" s="72">
        <v>0</v>
      </c>
      <c r="G102" s="72">
        <v>0</v>
      </c>
      <c r="H102" s="1">
        <v>7061</v>
      </c>
      <c r="I102" s="1">
        <v>6039</v>
      </c>
      <c r="J102" s="1">
        <v>72459</v>
      </c>
      <c r="K102" s="1">
        <v>59292</v>
      </c>
      <c r="L102" s="18">
        <v>0</v>
      </c>
      <c r="M102" s="18">
        <v>0</v>
      </c>
      <c r="N102" s="18">
        <v>0</v>
      </c>
      <c r="O102" s="18">
        <v>0</v>
      </c>
      <c r="P102" s="253"/>
      <c r="Q102" s="86"/>
      <c r="R102" s="86"/>
      <c r="S102" s="1"/>
    </row>
    <row r="103" spans="1:23" x14ac:dyDescent="0.35">
      <c r="A103" s="25">
        <v>44753</v>
      </c>
      <c r="B103" s="1" t="s">
        <v>49</v>
      </c>
      <c r="C103" s="1" t="s">
        <v>60</v>
      </c>
      <c r="D103" s="1">
        <v>1023</v>
      </c>
      <c r="E103" s="1">
        <v>869</v>
      </c>
      <c r="F103" s="72">
        <v>-7.5045207956600357E-2</v>
      </c>
      <c r="G103" s="72">
        <v>5.5893074119076548E-2</v>
      </c>
      <c r="H103" s="1">
        <v>8084</v>
      </c>
      <c r="I103" s="1">
        <v>6908</v>
      </c>
      <c r="J103" s="1">
        <v>73482</v>
      </c>
      <c r="K103" s="1">
        <v>60161</v>
      </c>
      <c r="L103" s="18">
        <v>0.5</v>
      </c>
      <c r="M103" s="18">
        <v>0.15</v>
      </c>
      <c r="N103" s="18">
        <v>0.85</v>
      </c>
      <c r="O103" s="18">
        <v>0.8</v>
      </c>
      <c r="P103" s="253"/>
      <c r="Q103" s="86"/>
      <c r="R103" s="86"/>
      <c r="S103" s="1"/>
    </row>
    <row r="104" spans="1:23" x14ac:dyDescent="0.35">
      <c r="A104" s="25">
        <v>44754</v>
      </c>
      <c r="B104" s="1" t="s">
        <v>50</v>
      </c>
      <c r="C104" s="34" t="s">
        <v>60</v>
      </c>
      <c r="D104" s="1">
        <v>1035</v>
      </c>
      <c r="E104" s="1">
        <v>797</v>
      </c>
      <c r="F104" s="72">
        <v>9.9893730074388953E-2</v>
      </c>
      <c r="G104" s="72">
        <v>-7.2176949941792787E-2</v>
      </c>
      <c r="H104" s="1">
        <v>9119</v>
      </c>
      <c r="I104" s="1">
        <v>7705</v>
      </c>
      <c r="J104" s="1">
        <v>74517</v>
      </c>
      <c r="K104" s="1">
        <v>60958</v>
      </c>
      <c r="L104" s="18">
        <v>0.33</v>
      </c>
      <c r="M104" s="18">
        <v>0.23</v>
      </c>
      <c r="N104" s="18">
        <v>0.77</v>
      </c>
      <c r="O104" s="18">
        <v>0.74</v>
      </c>
      <c r="P104" s="253"/>
      <c r="Q104" s="86"/>
      <c r="R104" s="86"/>
      <c r="S104" s="1"/>
    </row>
    <row r="105" spans="1:23" x14ac:dyDescent="0.35">
      <c r="A105" s="25">
        <v>44755</v>
      </c>
      <c r="B105" s="1" t="s">
        <v>51</v>
      </c>
      <c r="C105" s="1" t="s">
        <v>60</v>
      </c>
      <c r="D105" s="1">
        <v>1025</v>
      </c>
      <c r="E105" s="1">
        <v>750</v>
      </c>
      <c r="F105" s="72">
        <v>0.20305164319248825</v>
      </c>
      <c r="G105" s="72">
        <v>-6.6225165562913907E-3</v>
      </c>
      <c r="H105" s="1">
        <v>10144</v>
      </c>
      <c r="I105" s="1">
        <v>8455</v>
      </c>
      <c r="J105" s="1">
        <v>75542</v>
      </c>
      <c r="K105" s="1">
        <v>61708</v>
      </c>
      <c r="L105" s="18">
        <v>0.21</v>
      </c>
      <c r="M105" s="18">
        <v>0.26</v>
      </c>
      <c r="N105" s="18">
        <v>0.74</v>
      </c>
      <c r="O105" s="18">
        <v>0.87</v>
      </c>
      <c r="P105" s="253"/>
      <c r="Q105" s="86"/>
      <c r="R105" s="86"/>
      <c r="S105" s="1"/>
    </row>
    <row r="106" spans="1:23" x14ac:dyDescent="0.35">
      <c r="A106" s="25">
        <v>44756</v>
      </c>
      <c r="B106" s="1" t="s">
        <v>52</v>
      </c>
      <c r="C106" s="34" t="s">
        <v>60</v>
      </c>
      <c r="D106" s="1">
        <v>983</v>
      </c>
      <c r="E106" s="1">
        <v>691</v>
      </c>
      <c r="F106" s="72">
        <v>7.3144104803493454E-2</v>
      </c>
      <c r="G106" s="72">
        <v>-4.6896551724137932E-2</v>
      </c>
      <c r="H106" s="1">
        <v>11127</v>
      </c>
      <c r="I106" s="1">
        <v>9146</v>
      </c>
      <c r="J106" s="1">
        <v>76525</v>
      </c>
      <c r="K106" s="1">
        <v>62399</v>
      </c>
      <c r="L106" s="18">
        <v>0.25</v>
      </c>
      <c r="M106" s="18">
        <v>0.27</v>
      </c>
      <c r="N106" s="18">
        <v>0.73</v>
      </c>
      <c r="O106" s="18">
        <v>0.91</v>
      </c>
      <c r="P106" s="253"/>
      <c r="Q106" s="86"/>
      <c r="R106" s="86"/>
      <c r="S106" s="1"/>
    </row>
    <row r="107" spans="1:23" x14ac:dyDescent="0.35">
      <c r="A107" s="25">
        <v>44757</v>
      </c>
      <c r="B107" s="1" t="s">
        <v>53</v>
      </c>
      <c r="C107" s="1" t="s">
        <v>60</v>
      </c>
      <c r="D107" s="1">
        <v>963</v>
      </c>
      <c r="E107" s="1">
        <v>609</v>
      </c>
      <c r="F107" s="72">
        <v>5.8241758241758243E-2</v>
      </c>
      <c r="G107" s="72">
        <v>-0.18034993270524899</v>
      </c>
      <c r="H107" s="1">
        <v>12090</v>
      </c>
      <c r="I107" s="1">
        <v>9755</v>
      </c>
      <c r="J107" s="1">
        <v>77488</v>
      </c>
      <c r="K107" s="1">
        <v>63008</v>
      </c>
      <c r="L107" s="18">
        <v>0.15</v>
      </c>
      <c r="M107" s="18">
        <v>0.35</v>
      </c>
      <c r="N107" s="18">
        <v>0.65</v>
      </c>
      <c r="O107" s="18">
        <v>0.81</v>
      </c>
      <c r="P107" s="253"/>
      <c r="Q107" s="86"/>
      <c r="R107" s="86"/>
      <c r="S107" s="1"/>
    </row>
    <row r="108" spans="1:23" x14ac:dyDescent="0.35">
      <c r="A108" s="25">
        <v>44758</v>
      </c>
      <c r="B108" s="1" t="s">
        <v>54</v>
      </c>
      <c r="C108" s="34" t="s">
        <v>60</v>
      </c>
      <c r="D108" s="1">
        <v>807</v>
      </c>
      <c r="E108" s="1">
        <v>710</v>
      </c>
      <c r="F108" s="72">
        <v>5.4901960784313725E-2</v>
      </c>
      <c r="G108" s="72">
        <v>1.7191977077363897E-2</v>
      </c>
      <c r="H108" s="1">
        <v>12897</v>
      </c>
      <c r="I108" s="1">
        <v>10465</v>
      </c>
      <c r="J108" s="1">
        <v>78295</v>
      </c>
      <c r="K108" s="1">
        <v>63718</v>
      </c>
      <c r="L108" s="18">
        <v>0.66</v>
      </c>
      <c r="M108" s="18">
        <v>0.12</v>
      </c>
      <c r="N108" s="18">
        <v>0.88</v>
      </c>
      <c r="O108" s="18">
        <v>0.66</v>
      </c>
      <c r="P108" s="253"/>
      <c r="Q108" s="86"/>
      <c r="R108" s="86"/>
      <c r="S108" s="1"/>
      <c r="U108" t="s">
        <v>62</v>
      </c>
      <c r="V108" s="16">
        <v>44986</v>
      </c>
    </row>
    <row r="109" spans="1:23" x14ac:dyDescent="0.35">
      <c r="A109" s="25">
        <v>44759</v>
      </c>
      <c r="B109" s="1" t="s">
        <v>48</v>
      </c>
      <c r="C109" s="1" t="s">
        <v>60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8">
        <v>0</v>
      </c>
      <c r="M109" s="18">
        <v>0</v>
      </c>
      <c r="N109" s="18">
        <v>0</v>
      </c>
      <c r="O109" s="18">
        <v>0</v>
      </c>
      <c r="P109" s="253"/>
      <c r="Q109" s="86"/>
      <c r="R109" s="86"/>
      <c r="S109" s="1"/>
      <c r="U109" t="s">
        <v>63</v>
      </c>
      <c r="V109" s="16">
        <v>45016</v>
      </c>
    </row>
    <row r="110" spans="1:23" s="53" customFormat="1" x14ac:dyDescent="0.35">
      <c r="A110" s="25">
        <v>44760</v>
      </c>
      <c r="B110" s="1" t="s">
        <v>49</v>
      </c>
      <c r="C110" s="34" t="s">
        <v>60</v>
      </c>
      <c r="D110" s="1">
        <v>1140</v>
      </c>
      <c r="E110" s="1">
        <v>779</v>
      </c>
      <c r="F110" s="72">
        <v>0.11436950146627566</v>
      </c>
      <c r="G110" s="72">
        <v>-0.10356731875719218</v>
      </c>
      <c r="H110" s="1">
        <v>14037</v>
      </c>
      <c r="I110" s="1">
        <v>11244</v>
      </c>
      <c r="J110" s="1">
        <v>79435</v>
      </c>
      <c r="K110" s="1">
        <v>64497</v>
      </c>
      <c r="L110" s="18">
        <v>0.24</v>
      </c>
      <c r="M110" s="18">
        <v>0.32</v>
      </c>
      <c r="N110" s="18">
        <v>0.68</v>
      </c>
      <c r="O110" s="18">
        <v>0.9</v>
      </c>
      <c r="P110" s="253"/>
      <c r="Q110" s="86"/>
      <c r="R110" s="86"/>
      <c r="S110" s="1"/>
      <c r="U110"/>
      <c r="V110"/>
      <c r="W110"/>
    </row>
    <row r="111" spans="1:23" x14ac:dyDescent="0.35">
      <c r="A111" s="25">
        <v>44761</v>
      </c>
      <c r="B111" s="1" t="s">
        <v>50</v>
      </c>
      <c r="C111" s="1" t="s">
        <v>60</v>
      </c>
      <c r="D111" s="1">
        <v>1028</v>
      </c>
      <c r="E111" s="1">
        <v>751</v>
      </c>
      <c r="F111" s="72">
        <v>-6.7632850241545897E-3</v>
      </c>
      <c r="G111" s="72">
        <v>-5.7716436637390213E-2</v>
      </c>
      <c r="H111" s="1">
        <v>15065</v>
      </c>
      <c r="I111" s="1">
        <v>11995</v>
      </c>
      <c r="J111" s="1">
        <v>80463</v>
      </c>
      <c r="K111" s="1">
        <v>65248</v>
      </c>
      <c r="L111" s="18">
        <v>0.25</v>
      </c>
      <c r="M111" s="18">
        <v>0.26</v>
      </c>
      <c r="N111" s="18">
        <v>0.74</v>
      </c>
      <c r="O111" s="18">
        <v>0.77</v>
      </c>
      <c r="P111" s="253"/>
      <c r="Q111" s="86"/>
      <c r="R111" s="86"/>
      <c r="S111" s="1"/>
    </row>
    <row r="112" spans="1:23" x14ac:dyDescent="0.35">
      <c r="A112" s="25">
        <v>44762</v>
      </c>
      <c r="B112" s="1" t="s">
        <v>51</v>
      </c>
      <c r="C112" s="34" t="s">
        <v>60</v>
      </c>
      <c r="D112" s="1">
        <v>996</v>
      </c>
      <c r="E112" s="1">
        <v>780</v>
      </c>
      <c r="F112" s="72">
        <v>-2.8292682926829269E-2</v>
      </c>
      <c r="G112" s="72">
        <v>0.04</v>
      </c>
      <c r="H112" s="1">
        <v>16061</v>
      </c>
      <c r="I112" s="1">
        <v>12775</v>
      </c>
      <c r="J112" s="1">
        <v>81459</v>
      </c>
      <c r="K112" s="1">
        <v>66028</v>
      </c>
      <c r="L112" s="18">
        <v>0.5</v>
      </c>
      <c r="M112" s="18">
        <v>0.21</v>
      </c>
      <c r="N112" s="18">
        <v>0.79</v>
      </c>
      <c r="O112" s="18">
        <v>0.9</v>
      </c>
      <c r="P112" s="253"/>
      <c r="Q112" s="86"/>
      <c r="R112" s="86"/>
      <c r="S112" s="1"/>
    </row>
    <row r="113" spans="1:19" x14ac:dyDescent="0.35">
      <c r="A113" s="25">
        <v>44763</v>
      </c>
      <c r="B113" s="1" t="s">
        <v>52</v>
      </c>
      <c r="C113" s="1" t="s">
        <v>60</v>
      </c>
      <c r="D113" s="1">
        <v>981</v>
      </c>
      <c r="E113" s="1">
        <v>788</v>
      </c>
      <c r="F113" s="72">
        <v>-2.0345879959308239E-3</v>
      </c>
      <c r="G113" s="72">
        <v>0.14037626628075253</v>
      </c>
      <c r="H113" s="1">
        <v>17042</v>
      </c>
      <c r="I113" s="1">
        <v>13563</v>
      </c>
      <c r="J113" s="1">
        <v>82440</v>
      </c>
      <c r="K113" s="1">
        <v>66816</v>
      </c>
      <c r="L113" s="18">
        <v>0.44</v>
      </c>
      <c r="M113" s="18">
        <v>0.2</v>
      </c>
      <c r="N113" s="18">
        <v>0.8</v>
      </c>
      <c r="O113" s="18">
        <v>0.83</v>
      </c>
      <c r="P113" s="253"/>
      <c r="Q113" s="86"/>
      <c r="R113" s="86"/>
      <c r="S113" s="1"/>
    </row>
    <row r="114" spans="1:19" x14ac:dyDescent="0.35">
      <c r="A114" s="25">
        <v>44764</v>
      </c>
      <c r="B114" s="1" t="s">
        <v>53</v>
      </c>
      <c r="C114" s="34" t="s">
        <v>60</v>
      </c>
      <c r="D114" s="1">
        <v>930</v>
      </c>
      <c r="E114" s="1">
        <v>811</v>
      </c>
      <c r="F114" s="72">
        <v>-3.4267912772585667E-2</v>
      </c>
      <c r="G114" s="72">
        <v>0.33169129720853857</v>
      </c>
      <c r="H114" s="1">
        <v>17972</v>
      </c>
      <c r="I114" s="1">
        <v>14374</v>
      </c>
      <c r="J114" s="1">
        <v>83370</v>
      </c>
      <c r="K114" s="1">
        <v>67627</v>
      </c>
      <c r="L114" s="18">
        <v>0.56000000000000005</v>
      </c>
      <c r="M114" s="18">
        <v>0.13</v>
      </c>
      <c r="N114" s="18">
        <v>0.87</v>
      </c>
      <c r="O114" s="18">
        <v>0.83</v>
      </c>
      <c r="P114" s="253"/>
      <c r="Q114" s="86"/>
      <c r="R114" s="86"/>
      <c r="S114" s="1"/>
    </row>
    <row r="115" spans="1:19" x14ac:dyDescent="0.35">
      <c r="A115" s="25">
        <v>44765</v>
      </c>
      <c r="B115" s="1" t="s">
        <v>54</v>
      </c>
      <c r="C115" s="1" t="s">
        <v>60</v>
      </c>
      <c r="D115" s="1">
        <v>783</v>
      </c>
      <c r="E115" s="1">
        <v>487</v>
      </c>
      <c r="F115" s="72">
        <v>-2.9739776951672861E-2</v>
      </c>
      <c r="G115" s="72">
        <v>-0.31408450704225355</v>
      </c>
      <c r="H115" s="1">
        <v>18755</v>
      </c>
      <c r="I115" s="1">
        <v>14861</v>
      </c>
      <c r="J115" s="1">
        <v>84153</v>
      </c>
      <c r="K115" s="1">
        <v>68114</v>
      </c>
      <c r="L115" s="18">
        <v>0.19</v>
      </c>
      <c r="M115" s="18">
        <v>0.38</v>
      </c>
      <c r="N115" s="18">
        <v>0.62</v>
      </c>
      <c r="O115" s="18">
        <v>0.75</v>
      </c>
      <c r="P115" s="253"/>
      <c r="Q115" s="86"/>
      <c r="R115" s="86"/>
      <c r="S115" s="1"/>
    </row>
    <row r="116" spans="1:19" x14ac:dyDescent="0.35">
      <c r="A116" s="25">
        <v>44766</v>
      </c>
      <c r="B116" s="1" t="s">
        <v>48</v>
      </c>
      <c r="C116" s="34" t="s">
        <v>60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8">
        <v>0</v>
      </c>
      <c r="M116" s="18">
        <v>0</v>
      </c>
      <c r="N116" s="18">
        <v>0</v>
      </c>
      <c r="O116" s="18">
        <v>0</v>
      </c>
      <c r="P116" s="253"/>
      <c r="Q116" s="86"/>
      <c r="R116" s="86"/>
      <c r="S116" s="1"/>
    </row>
    <row r="117" spans="1:19" x14ac:dyDescent="0.35">
      <c r="A117" s="25">
        <v>44767</v>
      </c>
      <c r="B117" s="1" t="s">
        <v>49</v>
      </c>
      <c r="C117" s="1" t="s">
        <v>60</v>
      </c>
      <c r="D117" s="1">
        <v>1089</v>
      </c>
      <c r="E117" s="1">
        <v>860</v>
      </c>
      <c r="F117" s="72">
        <v>-4.4736842105263158E-2</v>
      </c>
      <c r="G117" s="72">
        <v>0.10397946084724005</v>
      </c>
      <c r="H117" s="1">
        <v>19844</v>
      </c>
      <c r="I117" s="1">
        <v>15721</v>
      </c>
      <c r="J117" s="1">
        <v>85242</v>
      </c>
      <c r="K117" s="1">
        <v>68974</v>
      </c>
      <c r="L117" s="18">
        <v>0.43</v>
      </c>
      <c r="M117" s="18">
        <v>0.2</v>
      </c>
      <c r="N117" s="18">
        <v>0.8</v>
      </c>
      <c r="O117" s="18">
        <v>0.8</v>
      </c>
      <c r="P117" s="253"/>
      <c r="Q117" s="86"/>
      <c r="R117" s="86"/>
      <c r="S117" s="1"/>
    </row>
    <row r="118" spans="1:19" x14ac:dyDescent="0.35">
      <c r="A118" s="25">
        <v>44768</v>
      </c>
      <c r="B118" s="1" t="s">
        <v>50</v>
      </c>
      <c r="C118" s="34" t="s">
        <v>60</v>
      </c>
      <c r="D118" s="1">
        <v>1063</v>
      </c>
      <c r="E118" s="1">
        <v>693</v>
      </c>
      <c r="F118" s="72">
        <v>3.4046692607003888E-2</v>
      </c>
      <c r="G118" s="72">
        <v>-7.7230359520639141E-2</v>
      </c>
      <c r="H118" s="1">
        <v>20907</v>
      </c>
      <c r="I118" s="1">
        <v>16414</v>
      </c>
      <c r="J118" s="1">
        <v>86305</v>
      </c>
      <c r="K118" s="1">
        <v>69667</v>
      </c>
      <c r="L118" s="18">
        <v>0.23</v>
      </c>
      <c r="M118" s="18">
        <v>0.35</v>
      </c>
      <c r="N118" s="18">
        <v>0.65</v>
      </c>
      <c r="O118" s="18">
        <v>0.8</v>
      </c>
      <c r="P118" s="253"/>
      <c r="Q118" s="86"/>
      <c r="R118" s="86"/>
      <c r="S118" s="1"/>
    </row>
    <row r="119" spans="1:19" x14ac:dyDescent="0.35">
      <c r="A119" s="25">
        <v>44769</v>
      </c>
      <c r="B119" s="1" t="s">
        <v>51</v>
      </c>
      <c r="C119" s="1" t="s">
        <v>60</v>
      </c>
      <c r="D119" s="1">
        <v>1023</v>
      </c>
      <c r="E119" s="1">
        <v>830</v>
      </c>
      <c r="F119" s="72">
        <v>2.710843373493976E-2</v>
      </c>
      <c r="G119" s="72">
        <v>6.4102564102564097E-2</v>
      </c>
      <c r="H119" s="1">
        <v>21930</v>
      </c>
      <c r="I119" s="1">
        <v>17244</v>
      </c>
      <c r="J119" s="1">
        <v>87328</v>
      </c>
      <c r="K119" s="1">
        <v>70497</v>
      </c>
      <c r="L119" s="18">
        <v>0.51</v>
      </c>
      <c r="M119" s="18">
        <v>0.19</v>
      </c>
      <c r="N119" s="18">
        <v>0.81</v>
      </c>
      <c r="O119" s="18">
        <v>0.85</v>
      </c>
      <c r="P119" s="253"/>
      <c r="Q119" s="86"/>
      <c r="R119" s="86"/>
      <c r="S119" s="1"/>
    </row>
    <row r="120" spans="1:19" x14ac:dyDescent="0.35">
      <c r="A120" s="25">
        <v>44770</v>
      </c>
      <c r="B120" s="1" t="s">
        <v>52</v>
      </c>
      <c r="C120" s="34" t="s">
        <v>60</v>
      </c>
      <c r="D120" s="1">
        <v>1004</v>
      </c>
      <c r="E120" s="1">
        <v>898</v>
      </c>
      <c r="F120" s="72">
        <v>2.3445463812436288E-2</v>
      </c>
      <c r="G120" s="72">
        <v>0.13959390862944163</v>
      </c>
      <c r="H120" s="1">
        <v>22934</v>
      </c>
      <c r="I120" s="1">
        <v>18142</v>
      </c>
      <c r="J120" s="1">
        <v>88332</v>
      </c>
      <c r="K120" s="1">
        <v>71395</v>
      </c>
      <c r="L120" s="18">
        <v>0.68</v>
      </c>
      <c r="M120" s="18">
        <v>0.11</v>
      </c>
      <c r="N120" s="18">
        <v>0.89</v>
      </c>
      <c r="O120" s="18">
        <v>0.83</v>
      </c>
      <c r="P120" s="253"/>
      <c r="Q120" s="9"/>
      <c r="R120" s="9"/>
      <c r="S120" s="1"/>
    </row>
    <row r="121" spans="1:19" x14ac:dyDescent="0.35">
      <c r="A121" s="25">
        <v>44771</v>
      </c>
      <c r="B121" s="1" t="s">
        <v>53</v>
      </c>
      <c r="C121" s="1" t="s">
        <v>60</v>
      </c>
      <c r="D121" s="1">
        <v>1015</v>
      </c>
      <c r="E121" s="1">
        <v>796</v>
      </c>
      <c r="F121" s="72">
        <v>9.1397849462365593E-2</v>
      </c>
      <c r="G121" s="72">
        <v>-1.8495684340320593E-2</v>
      </c>
      <c r="H121" s="1">
        <v>23949</v>
      </c>
      <c r="I121" s="1">
        <v>18938</v>
      </c>
      <c r="J121" s="1">
        <v>89347</v>
      </c>
      <c r="K121" s="1">
        <v>72191</v>
      </c>
      <c r="L121" s="18">
        <v>0.44</v>
      </c>
      <c r="M121" s="18">
        <v>0.22</v>
      </c>
      <c r="N121" s="18">
        <v>0.78</v>
      </c>
      <c r="O121" s="18">
        <v>0.82</v>
      </c>
      <c r="P121" s="253"/>
      <c r="Q121" s="9"/>
      <c r="R121" s="9"/>
      <c r="S121" s="1"/>
    </row>
    <row r="122" spans="1:19" x14ac:dyDescent="0.35">
      <c r="A122" s="25">
        <v>44772</v>
      </c>
      <c r="B122" s="1" t="s">
        <v>54</v>
      </c>
      <c r="C122" s="34" t="s">
        <v>60</v>
      </c>
      <c r="D122" s="1">
        <v>860</v>
      </c>
      <c r="E122" s="1">
        <v>703</v>
      </c>
      <c r="F122" s="72">
        <v>9.8339719029374204E-2</v>
      </c>
      <c r="G122" s="72">
        <v>0.44353182751540043</v>
      </c>
      <c r="H122" s="1">
        <v>24809</v>
      </c>
      <c r="I122" s="1">
        <v>19641</v>
      </c>
      <c r="J122" s="1">
        <v>90207</v>
      </c>
      <c r="K122" s="1">
        <v>72894</v>
      </c>
      <c r="L122" s="18">
        <v>0.48</v>
      </c>
      <c r="M122" s="18">
        <v>0.18</v>
      </c>
      <c r="N122" s="18">
        <v>0.82</v>
      </c>
      <c r="O122" s="18">
        <v>0.81</v>
      </c>
      <c r="P122" s="253"/>
      <c r="Q122" s="9"/>
      <c r="R122" s="9"/>
      <c r="S122" s="1"/>
    </row>
    <row r="123" spans="1:19" x14ac:dyDescent="0.35">
      <c r="A123" s="25">
        <v>44773</v>
      </c>
      <c r="B123" s="1" t="s">
        <v>48</v>
      </c>
      <c r="C123" s="1" t="s">
        <v>60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8">
        <v>0</v>
      </c>
      <c r="M123" s="18">
        <v>0</v>
      </c>
      <c r="N123" s="18">
        <v>0</v>
      </c>
      <c r="O123" s="18">
        <v>0</v>
      </c>
      <c r="P123" s="253"/>
      <c r="Q123" s="86"/>
      <c r="R123" s="86"/>
      <c r="S123" s="1"/>
    </row>
    <row r="124" spans="1:19" x14ac:dyDescent="0.35">
      <c r="A124" s="120">
        <v>44774</v>
      </c>
      <c r="B124" s="56" t="s">
        <v>49</v>
      </c>
      <c r="C124" s="56" t="s">
        <v>60</v>
      </c>
      <c r="D124" s="56">
        <v>0</v>
      </c>
      <c r="E124" s="56">
        <v>0</v>
      </c>
      <c r="F124" s="56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7">
        <v>0</v>
      </c>
      <c r="M124" s="57">
        <v>0</v>
      </c>
      <c r="N124" s="57">
        <v>0</v>
      </c>
      <c r="O124" s="57">
        <v>0</v>
      </c>
      <c r="P124" s="253"/>
      <c r="Q124" s="134"/>
      <c r="R124" s="134"/>
      <c r="S124" s="1"/>
    </row>
    <row r="125" spans="1:19" x14ac:dyDescent="0.35">
      <c r="A125" s="25">
        <v>44775</v>
      </c>
      <c r="B125" s="1" t="s">
        <v>50</v>
      </c>
      <c r="C125" s="1" t="s">
        <v>60</v>
      </c>
      <c r="D125" s="1">
        <v>1352</v>
      </c>
      <c r="E125" s="1">
        <v>695</v>
      </c>
      <c r="F125" s="72">
        <v>0.27187206020696142</v>
      </c>
      <c r="G125" s="72">
        <v>2.886002886002886E-3</v>
      </c>
      <c r="H125" s="1">
        <v>1352</v>
      </c>
      <c r="I125" s="1">
        <v>695</v>
      </c>
      <c r="J125" s="1">
        <v>91559</v>
      </c>
      <c r="K125" s="1">
        <v>73589</v>
      </c>
      <c r="L125" s="18">
        <v>0.05</v>
      </c>
      <c r="M125" s="18">
        <v>0.49</v>
      </c>
      <c r="N125" s="18">
        <v>0.51</v>
      </c>
      <c r="O125" s="18">
        <v>0.64</v>
      </c>
      <c r="P125" s="253"/>
      <c r="Q125" s="86"/>
      <c r="R125" s="86"/>
      <c r="S125" s="1">
        <v>10</v>
      </c>
    </row>
    <row r="126" spans="1:19" x14ac:dyDescent="0.35">
      <c r="A126" s="25">
        <v>44776</v>
      </c>
      <c r="B126" s="1" t="s">
        <v>51</v>
      </c>
      <c r="C126" s="34" t="s">
        <v>60</v>
      </c>
      <c r="D126" s="1">
        <v>1337</v>
      </c>
      <c r="E126" s="1">
        <v>550</v>
      </c>
      <c r="F126" s="72">
        <v>0.30694037145650049</v>
      </c>
      <c r="G126" s="72">
        <v>-0.33734939759036142</v>
      </c>
      <c r="H126" s="1">
        <v>2689</v>
      </c>
      <c r="I126" s="1">
        <v>1245</v>
      </c>
      <c r="J126" s="1">
        <v>92896</v>
      </c>
      <c r="K126" s="1">
        <v>74139</v>
      </c>
      <c r="L126" s="18">
        <v>0.01</v>
      </c>
      <c r="M126" s="18">
        <v>0.59</v>
      </c>
      <c r="N126" s="18">
        <v>0.41</v>
      </c>
      <c r="O126" s="18">
        <v>0.73</v>
      </c>
      <c r="P126" s="253"/>
      <c r="Q126" s="86"/>
      <c r="R126" s="86"/>
      <c r="S126" s="1">
        <v>7</v>
      </c>
    </row>
    <row r="127" spans="1:19" x14ac:dyDescent="0.35">
      <c r="A127" s="25">
        <v>44777</v>
      </c>
      <c r="B127" s="1" t="s">
        <v>52</v>
      </c>
      <c r="C127" s="1" t="s">
        <v>60</v>
      </c>
      <c r="D127" s="1">
        <v>1215</v>
      </c>
      <c r="E127" s="1">
        <v>511</v>
      </c>
      <c r="F127" s="72">
        <v>0.2101593625498008</v>
      </c>
      <c r="G127" s="72">
        <v>-0.43095768374164811</v>
      </c>
      <c r="H127" s="1">
        <v>3904</v>
      </c>
      <c r="I127" s="1">
        <v>1756</v>
      </c>
      <c r="J127" s="1">
        <v>94111</v>
      </c>
      <c r="K127" s="1">
        <v>74650</v>
      </c>
      <c r="L127" s="18">
        <v>0.05</v>
      </c>
      <c r="M127" s="18">
        <v>0.57999999999999996</v>
      </c>
      <c r="N127" s="18">
        <v>0.42</v>
      </c>
      <c r="O127" s="18">
        <v>0.68</v>
      </c>
      <c r="P127" s="253"/>
      <c r="Q127" s="86"/>
      <c r="R127" s="86"/>
      <c r="S127" s="1">
        <v>7</v>
      </c>
    </row>
    <row r="128" spans="1:19" x14ac:dyDescent="0.35">
      <c r="A128" s="25">
        <v>44778</v>
      </c>
      <c r="B128" s="1" t="s">
        <v>53</v>
      </c>
      <c r="C128" s="34" t="s">
        <v>60</v>
      </c>
      <c r="D128" s="1">
        <v>1138</v>
      </c>
      <c r="E128" s="1">
        <v>517</v>
      </c>
      <c r="F128" s="72">
        <v>0.12118226600985221</v>
      </c>
      <c r="G128" s="72">
        <v>-0.35050251256281406</v>
      </c>
      <c r="H128" s="1">
        <v>5042</v>
      </c>
      <c r="I128" s="1">
        <v>2273</v>
      </c>
      <c r="J128" s="1">
        <v>95249</v>
      </c>
      <c r="K128" s="1">
        <v>75167</v>
      </c>
      <c r="L128" s="18">
        <v>0.03</v>
      </c>
      <c r="M128" s="18">
        <v>0.55000000000000004</v>
      </c>
      <c r="N128" s="18">
        <v>0.45</v>
      </c>
      <c r="O128" s="18">
        <v>0.48</v>
      </c>
      <c r="P128" s="253"/>
      <c r="Q128" s="86"/>
      <c r="R128" s="86"/>
      <c r="S128" s="1">
        <v>10</v>
      </c>
    </row>
    <row r="129" spans="1:21" x14ac:dyDescent="0.35">
      <c r="A129" s="25">
        <v>44779</v>
      </c>
      <c r="B129" s="1" t="s">
        <v>54</v>
      </c>
      <c r="C129" s="1" t="s">
        <v>60</v>
      </c>
      <c r="D129" s="1"/>
      <c r="E129" s="1"/>
      <c r="F129" s="1"/>
      <c r="G129" s="1"/>
      <c r="H129" s="1"/>
      <c r="I129" s="1"/>
      <c r="J129" s="1"/>
      <c r="K129" s="1"/>
      <c r="L129" s="18"/>
      <c r="M129" s="18"/>
      <c r="N129" s="18"/>
      <c r="O129" s="18"/>
      <c r="P129" s="253"/>
      <c r="Q129" s="86"/>
      <c r="R129" s="86"/>
      <c r="S129" s="86"/>
    </row>
    <row r="130" spans="1:21" x14ac:dyDescent="0.35">
      <c r="A130" s="25">
        <v>44780</v>
      </c>
      <c r="B130" s="1" t="s">
        <v>48</v>
      </c>
      <c r="C130" s="34" t="s">
        <v>60</v>
      </c>
      <c r="D130" s="1"/>
      <c r="E130" s="1"/>
      <c r="F130" s="1"/>
      <c r="G130" s="1"/>
      <c r="H130" s="1"/>
      <c r="I130" s="1"/>
      <c r="J130" s="1"/>
      <c r="K130" s="1"/>
      <c r="L130" s="18"/>
      <c r="M130" s="18"/>
      <c r="N130" s="18"/>
      <c r="O130" s="18"/>
      <c r="P130" s="253"/>
      <c r="Q130" s="86"/>
      <c r="R130" s="86"/>
      <c r="S130" s="86"/>
    </row>
    <row r="131" spans="1:21" x14ac:dyDescent="0.35">
      <c r="A131" s="25">
        <v>44781</v>
      </c>
      <c r="B131" s="1" t="s">
        <v>49</v>
      </c>
      <c r="C131" s="1" t="s">
        <v>60</v>
      </c>
      <c r="D131" s="1">
        <v>1471</v>
      </c>
      <c r="E131" s="1">
        <v>831</v>
      </c>
      <c r="F131" s="72">
        <v>0</v>
      </c>
      <c r="G131" s="72">
        <v>0</v>
      </c>
      <c r="H131" s="1">
        <v>6513</v>
      </c>
      <c r="I131" s="1">
        <v>3104</v>
      </c>
      <c r="J131" s="1">
        <v>96720</v>
      </c>
      <c r="K131" s="1">
        <v>75998</v>
      </c>
      <c r="L131" s="18">
        <v>0.1152</v>
      </c>
      <c r="M131" s="18">
        <v>0.43507817811012917</v>
      </c>
      <c r="N131" s="18">
        <v>0.56492182188987083</v>
      </c>
      <c r="O131" s="18">
        <v>0.6994949494949495</v>
      </c>
      <c r="P131" s="253"/>
      <c r="Q131" s="86"/>
      <c r="R131" s="86"/>
      <c r="S131" s="1">
        <v>11</v>
      </c>
    </row>
    <row r="132" spans="1:21" x14ac:dyDescent="0.35">
      <c r="A132" s="25">
        <v>44782</v>
      </c>
      <c r="B132" s="1" t="s">
        <v>50</v>
      </c>
      <c r="C132" s="1" t="s">
        <v>60</v>
      </c>
      <c r="D132" s="1">
        <v>1320</v>
      </c>
      <c r="E132" s="1">
        <v>671</v>
      </c>
      <c r="F132" s="72">
        <v>-2.3668639053254437E-2</v>
      </c>
      <c r="G132" s="72">
        <v>-3.4532374100719423E-2</v>
      </c>
      <c r="H132" s="1">
        <v>7833</v>
      </c>
      <c r="I132" s="1">
        <v>3775</v>
      </c>
      <c r="J132" s="1">
        <v>98040</v>
      </c>
      <c r="K132" s="1">
        <v>76669</v>
      </c>
      <c r="L132" s="18">
        <v>2.315E-2</v>
      </c>
      <c r="M132" s="18">
        <v>0.49166666666666664</v>
      </c>
      <c r="N132" s="18">
        <v>0.5083333333333333</v>
      </c>
      <c r="O132" s="18">
        <v>1.0354938271604939</v>
      </c>
      <c r="P132" s="253"/>
      <c r="Q132" s="86"/>
      <c r="R132" s="86"/>
      <c r="S132" s="1">
        <v>6</v>
      </c>
    </row>
    <row r="133" spans="1:21" x14ac:dyDescent="0.35">
      <c r="A133" s="25">
        <v>44783</v>
      </c>
      <c r="B133" s="1" t="s">
        <v>51</v>
      </c>
      <c r="C133" s="1" t="s">
        <v>60</v>
      </c>
      <c r="D133" s="1">
        <v>1214</v>
      </c>
      <c r="E133" s="1">
        <v>756</v>
      </c>
      <c r="F133" s="72">
        <v>-9.1997008227374721E-2</v>
      </c>
      <c r="G133" s="72">
        <v>0.37454545454545457</v>
      </c>
      <c r="H133" s="1">
        <v>9047</v>
      </c>
      <c r="I133" s="1">
        <v>4531</v>
      </c>
      <c r="J133" s="1">
        <v>99254</v>
      </c>
      <c r="K133" s="1">
        <v>77425</v>
      </c>
      <c r="L133" s="18">
        <v>6.7799999999999999E-2</v>
      </c>
      <c r="M133" s="18">
        <v>0.3772652388797364</v>
      </c>
      <c r="N133" s="18">
        <v>0.6227347611202636</v>
      </c>
      <c r="O133" s="18">
        <v>0.875</v>
      </c>
      <c r="P133" s="253"/>
      <c r="Q133" s="86"/>
      <c r="R133" s="86"/>
      <c r="S133" s="1">
        <v>8</v>
      </c>
    </row>
    <row r="134" spans="1:21" x14ac:dyDescent="0.35">
      <c r="A134" s="25">
        <v>44784</v>
      </c>
      <c r="B134" s="1" t="s">
        <v>52</v>
      </c>
      <c r="C134" s="1" t="s">
        <v>60</v>
      </c>
      <c r="D134" s="1">
        <v>1164</v>
      </c>
      <c r="E134" s="1">
        <v>662</v>
      </c>
      <c r="F134" s="72">
        <v>-4.1975308641975309E-2</v>
      </c>
      <c r="G134" s="72">
        <v>0.29549902152641877</v>
      </c>
      <c r="H134" s="1">
        <v>10211</v>
      </c>
      <c r="I134" s="1">
        <v>5193</v>
      </c>
      <c r="J134" s="1">
        <v>100418</v>
      </c>
      <c r="K134" s="1">
        <v>78087</v>
      </c>
      <c r="L134" s="18">
        <v>6.2700000000000006E-2</v>
      </c>
      <c r="M134" s="18">
        <v>0.43127147766323026</v>
      </c>
      <c r="N134" s="18">
        <v>0.56872852233676974</v>
      </c>
      <c r="O134" s="18">
        <v>0.68106995884773669</v>
      </c>
      <c r="P134" s="253"/>
      <c r="Q134" s="86"/>
      <c r="R134" s="86"/>
      <c r="S134" s="1">
        <v>9</v>
      </c>
      <c r="U134">
        <f>AVERAGEIF(S125:S341,"&lt;&gt;0")</f>
        <v>12.14516129032258</v>
      </c>
    </row>
    <row r="135" spans="1:21" x14ac:dyDescent="0.35">
      <c r="A135" s="25">
        <v>44785</v>
      </c>
      <c r="B135" s="1" t="s">
        <v>53</v>
      </c>
      <c r="C135" s="1" t="s">
        <v>60</v>
      </c>
      <c r="D135" s="1">
        <v>1075</v>
      </c>
      <c r="E135" s="1">
        <v>681</v>
      </c>
      <c r="F135" s="72">
        <v>-5.5360281195079089E-2</v>
      </c>
      <c r="G135" s="72">
        <v>0.31721470019342357</v>
      </c>
      <c r="H135" s="1">
        <v>11286</v>
      </c>
      <c r="I135" s="1">
        <v>5874</v>
      </c>
      <c r="J135" s="1">
        <v>101493</v>
      </c>
      <c r="K135" s="1">
        <v>78768</v>
      </c>
      <c r="L135" s="18">
        <v>0.1724</v>
      </c>
      <c r="M135" s="18">
        <v>0.36651162790697672</v>
      </c>
      <c r="N135" s="18">
        <v>0.63348837209302322</v>
      </c>
      <c r="O135" s="18">
        <v>0.63055555555555554</v>
      </c>
      <c r="P135" s="253"/>
      <c r="Q135" s="86"/>
      <c r="R135" s="86"/>
      <c r="S135" s="1">
        <v>10</v>
      </c>
    </row>
    <row r="136" spans="1:21" x14ac:dyDescent="0.35">
      <c r="A136" s="25">
        <v>44786</v>
      </c>
      <c r="B136" s="1" t="s">
        <v>54</v>
      </c>
      <c r="C136" s="1" t="s">
        <v>60</v>
      </c>
      <c r="D136" s="1">
        <v>851</v>
      </c>
      <c r="E136" s="1">
        <v>437</v>
      </c>
      <c r="F136" s="72">
        <v>0</v>
      </c>
      <c r="G136" s="72">
        <v>0</v>
      </c>
      <c r="H136" s="1">
        <v>12137</v>
      </c>
      <c r="I136" s="1">
        <v>6311</v>
      </c>
      <c r="J136" s="1">
        <v>102344</v>
      </c>
      <c r="K136" s="1">
        <v>79205</v>
      </c>
      <c r="L136" s="18">
        <v>3.4599999999999999E-2</v>
      </c>
      <c r="M136" s="18">
        <v>0.48648648648648651</v>
      </c>
      <c r="N136" s="18">
        <v>0.51351351351351349</v>
      </c>
      <c r="O136" s="18">
        <v>1.0115740740740742</v>
      </c>
      <c r="P136" s="253"/>
      <c r="Q136" s="86"/>
      <c r="R136" s="86"/>
      <c r="S136" s="1">
        <v>4</v>
      </c>
    </row>
    <row r="137" spans="1:21" x14ac:dyDescent="0.35">
      <c r="A137" s="25">
        <v>44787</v>
      </c>
      <c r="B137" s="1" t="s">
        <v>48</v>
      </c>
      <c r="C137" s="1" t="s">
        <v>60</v>
      </c>
      <c r="D137" s="1"/>
      <c r="E137" s="1"/>
      <c r="F137" s="1"/>
      <c r="G137" s="1"/>
      <c r="H137" s="1"/>
      <c r="I137" s="1"/>
      <c r="J137" s="1"/>
      <c r="K137" s="1"/>
      <c r="L137" s="18"/>
      <c r="M137" s="18"/>
      <c r="N137" s="18"/>
      <c r="O137" s="18"/>
      <c r="P137" s="253"/>
      <c r="Q137" s="86"/>
      <c r="R137" s="86"/>
      <c r="S137" s="86"/>
    </row>
    <row r="138" spans="1:21" x14ac:dyDescent="0.35">
      <c r="A138" s="25">
        <v>44788</v>
      </c>
      <c r="B138" s="1" t="s">
        <v>49</v>
      </c>
      <c r="C138" s="1" t="s">
        <v>60</v>
      </c>
      <c r="D138" s="1">
        <v>1402</v>
      </c>
      <c r="E138" s="1">
        <v>725</v>
      </c>
      <c r="F138" s="72">
        <v>-4.6906866077498298E-2</v>
      </c>
      <c r="G138" s="72">
        <v>-0.12755716004813478</v>
      </c>
      <c r="H138" s="1">
        <v>13539</v>
      </c>
      <c r="I138" s="1">
        <v>7036</v>
      </c>
      <c r="J138" s="1">
        <v>103746</v>
      </c>
      <c r="K138" s="1">
        <v>79930</v>
      </c>
      <c r="L138" s="18">
        <v>0.03</v>
      </c>
      <c r="M138" s="18">
        <v>0.48</v>
      </c>
      <c r="N138" s="18">
        <v>0.52</v>
      </c>
      <c r="O138" s="18">
        <v>0.96</v>
      </c>
      <c r="P138" s="253"/>
      <c r="Q138" s="198"/>
      <c r="R138" s="198"/>
      <c r="S138" s="42">
        <v>7</v>
      </c>
    </row>
    <row r="139" spans="1:21" x14ac:dyDescent="0.35">
      <c r="A139" s="25">
        <v>44789</v>
      </c>
      <c r="B139" s="1" t="s">
        <v>50</v>
      </c>
      <c r="C139" s="1" t="s">
        <v>60</v>
      </c>
      <c r="D139" s="1">
        <v>1151</v>
      </c>
      <c r="E139" s="1">
        <v>668</v>
      </c>
      <c r="F139" s="72">
        <v>-0.12803030303030302</v>
      </c>
      <c r="G139" s="72">
        <v>-4.4709388971684054E-3</v>
      </c>
      <c r="H139" s="1">
        <v>14690</v>
      </c>
      <c r="I139" s="1">
        <v>7704</v>
      </c>
      <c r="J139" s="1">
        <v>104897</v>
      </c>
      <c r="K139" s="1">
        <v>80598</v>
      </c>
      <c r="L139" s="18">
        <v>0.13</v>
      </c>
      <c r="M139" s="18">
        <v>0.42</v>
      </c>
      <c r="N139" s="18">
        <v>0.57999999999999996</v>
      </c>
      <c r="O139" s="18">
        <v>0.69</v>
      </c>
      <c r="P139" s="253"/>
      <c r="Q139" s="86"/>
      <c r="R139" s="86"/>
      <c r="S139" s="1">
        <v>9</v>
      </c>
    </row>
    <row r="140" spans="1:21" x14ac:dyDescent="0.35">
      <c r="A140" s="25">
        <v>44790</v>
      </c>
      <c r="B140" s="1" t="s">
        <v>51</v>
      </c>
      <c r="C140" s="1" t="s">
        <v>60</v>
      </c>
      <c r="D140" s="1">
        <v>965</v>
      </c>
      <c r="E140" s="1">
        <v>825</v>
      </c>
      <c r="F140" s="72">
        <v>-0.20510708401976935</v>
      </c>
      <c r="G140" s="72">
        <v>9.1269841269841265E-2</v>
      </c>
      <c r="H140" s="1">
        <v>15655</v>
      </c>
      <c r="I140" s="1">
        <v>8529</v>
      </c>
      <c r="J140" s="1">
        <v>105862</v>
      </c>
      <c r="K140" s="1">
        <v>81423</v>
      </c>
      <c r="L140" s="18">
        <v>0.5</v>
      </c>
      <c r="M140" s="18">
        <v>0.15</v>
      </c>
      <c r="N140" s="18">
        <v>0.85</v>
      </c>
      <c r="O140" s="18">
        <v>0.85</v>
      </c>
      <c r="P140" s="253"/>
      <c r="Q140" s="86"/>
      <c r="R140" s="86"/>
      <c r="S140" s="1">
        <v>9</v>
      </c>
    </row>
    <row r="141" spans="1:21" x14ac:dyDescent="0.35">
      <c r="A141" s="25">
        <v>44791</v>
      </c>
      <c r="B141" s="1" t="s">
        <v>52</v>
      </c>
      <c r="C141" s="1" t="s">
        <v>60</v>
      </c>
      <c r="D141" s="1">
        <v>1244</v>
      </c>
      <c r="E141" s="1">
        <v>824</v>
      </c>
      <c r="F141" s="72">
        <v>6.8728522336769765E-2</v>
      </c>
      <c r="G141" s="72">
        <v>0.24471299093655588</v>
      </c>
      <c r="H141" s="1">
        <v>16899</v>
      </c>
      <c r="I141" s="1">
        <v>9353</v>
      </c>
      <c r="J141" s="1">
        <v>107106</v>
      </c>
      <c r="K141" s="1">
        <v>82247</v>
      </c>
      <c r="L141" s="18">
        <v>0.24</v>
      </c>
      <c r="M141" s="18">
        <v>0.34</v>
      </c>
      <c r="N141" s="18">
        <v>0.66</v>
      </c>
      <c r="O141" s="18">
        <v>0.76</v>
      </c>
      <c r="P141" s="253"/>
      <c r="Q141" s="86"/>
      <c r="R141" s="86"/>
      <c r="S141" s="1">
        <v>10</v>
      </c>
    </row>
    <row r="142" spans="1:21" x14ac:dyDescent="0.35">
      <c r="A142" s="25">
        <v>44792</v>
      </c>
      <c r="B142" s="1" t="s">
        <v>53</v>
      </c>
      <c r="C142" s="1" t="s">
        <v>60</v>
      </c>
      <c r="D142" s="1">
        <v>1106</v>
      </c>
      <c r="E142" s="1">
        <v>730</v>
      </c>
      <c r="F142" s="72">
        <v>2.883720930232558E-2</v>
      </c>
      <c r="G142" s="72">
        <v>7.1953010279001473E-2</v>
      </c>
      <c r="H142" s="1">
        <v>18005</v>
      </c>
      <c r="I142" s="1">
        <v>10083</v>
      </c>
      <c r="J142" s="1">
        <v>108212</v>
      </c>
      <c r="K142" s="1">
        <v>82977</v>
      </c>
      <c r="L142" s="18">
        <v>0.25</v>
      </c>
      <c r="M142" s="18">
        <v>0.34</v>
      </c>
      <c r="N142" s="18">
        <v>0.66</v>
      </c>
      <c r="O142" s="18">
        <v>0.75</v>
      </c>
      <c r="P142" s="253"/>
      <c r="Q142" s="86"/>
      <c r="R142" s="86"/>
      <c r="S142" s="1">
        <v>9</v>
      </c>
    </row>
    <row r="143" spans="1:21" x14ac:dyDescent="0.35">
      <c r="A143" s="25">
        <v>44793</v>
      </c>
      <c r="B143" s="1" t="s">
        <v>54</v>
      </c>
      <c r="C143" s="1" t="s">
        <v>60</v>
      </c>
      <c r="D143" s="1">
        <v>774</v>
      </c>
      <c r="E143" s="1">
        <v>724</v>
      </c>
      <c r="F143" s="72">
        <v>-9.0481786133960046E-2</v>
      </c>
      <c r="G143" s="72">
        <v>0.65675057208237986</v>
      </c>
      <c r="H143" s="1">
        <v>18779</v>
      </c>
      <c r="I143" s="1">
        <v>10807</v>
      </c>
      <c r="J143" s="1">
        <v>108986</v>
      </c>
      <c r="K143" s="1">
        <v>83701</v>
      </c>
      <c r="L143" s="18">
        <v>0.75</v>
      </c>
      <c r="M143" s="18">
        <v>0.06</v>
      </c>
      <c r="N143" s="18">
        <v>0.94</v>
      </c>
      <c r="O143" s="18">
        <v>0.61</v>
      </c>
      <c r="P143" s="253"/>
      <c r="Q143" s="86"/>
      <c r="R143" s="86"/>
      <c r="S143" s="1">
        <v>11</v>
      </c>
    </row>
    <row r="144" spans="1:21" x14ac:dyDescent="0.35">
      <c r="A144" s="25">
        <v>44794</v>
      </c>
      <c r="B144" s="1" t="s">
        <v>48</v>
      </c>
      <c r="C144" s="1" t="s">
        <v>60</v>
      </c>
      <c r="D144" s="1"/>
      <c r="E144" s="1"/>
      <c r="F144" s="1"/>
      <c r="G144" s="1"/>
      <c r="H144" s="1"/>
      <c r="I144" s="1"/>
      <c r="J144" s="1"/>
      <c r="K144" s="1"/>
      <c r="L144" s="18"/>
      <c r="M144" s="18"/>
      <c r="N144" s="18"/>
      <c r="O144" s="18"/>
      <c r="P144" s="253"/>
      <c r="Q144" s="86"/>
      <c r="R144" s="86"/>
      <c r="S144" s="86"/>
    </row>
    <row r="145" spans="1:23" x14ac:dyDescent="0.35">
      <c r="A145" s="25">
        <v>44795</v>
      </c>
      <c r="B145" s="1" t="s">
        <v>49</v>
      </c>
      <c r="C145" s="1" t="s">
        <v>60</v>
      </c>
      <c r="D145" s="1">
        <v>1161</v>
      </c>
      <c r="E145" s="1">
        <v>865</v>
      </c>
      <c r="F145" s="72">
        <v>-0.17189728958630529</v>
      </c>
      <c r="G145" s="72">
        <v>0.19310344827586207</v>
      </c>
      <c r="H145" s="1">
        <v>19940</v>
      </c>
      <c r="I145" s="1">
        <v>11672</v>
      </c>
      <c r="J145" s="1">
        <v>110147</v>
      </c>
      <c r="K145" s="1">
        <v>84566</v>
      </c>
      <c r="L145" s="18">
        <v>0.33</v>
      </c>
      <c r="M145" s="18">
        <v>0.25</v>
      </c>
      <c r="N145" s="18">
        <v>0.75</v>
      </c>
      <c r="O145" s="18">
        <v>0.8</v>
      </c>
      <c r="P145" s="253"/>
      <c r="Q145" s="86"/>
      <c r="R145" s="86"/>
      <c r="S145" s="1">
        <v>10</v>
      </c>
    </row>
    <row r="146" spans="1:23" x14ac:dyDescent="0.35">
      <c r="A146" s="25">
        <v>44796</v>
      </c>
      <c r="B146" s="1" t="s">
        <v>50</v>
      </c>
      <c r="C146" s="1" t="s">
        <v>60</v>
      </c>
      <c r="D146" s="1">
        <v>1052</v>
      </c>
      <c r="E146" s="1">
        <v>812</v>
      </c>
      <c r="F146" s="72">
        <v>-8.6012163336229366E-2</v>
      </c>
      <c r="G146" s="72">
        <v>0.21556886227544911</v>
      </c>
      <c r="H146" s="1">
        <v>20992</v>
      </c>
      <c r="I146" s="1">
        <v>12484</v>
      </c>
      <c r="J146" s="1">
        <v>111199</v>
      </c>
      <c r="K146" s="1">
        <v>85378</v>
      </c>
      <c r="L146" s="18">
        <v>0.46</v>
      </c>
      <c r="M146" s="18">
        <v>0.23</v>
      </c>
      <c r="N146" s="18">
        <v>0.77</v>
      </c>
      <c r="O146" s="18">
        <v>0.68</v>
      </c>
      <c r="P146" s="253"/>
      <c r="Q146" s="86"/>
      <c r="R146" s="86"/>
      <c r="S146" s="1">
        <v>11</v>
      </c>
      <c r="U146" s="53"/>
      <c r="V146" s="53"/>
      <c r="W146" s="53"/>
    </row>
    <row r="147" spans="1:23" x14ac:dyDescent="0.35">
      <c r="A147" s="25">
        <v>44797</v>
      </c>
      <c r="B147" s="1" t="s">
        <v>51</v>
      </c>
      <c r="C147" s="1" t="s">
        <v>60</v>
      </c>
      <c r="D147" s="1">
        <v>970</v>
      </c>
      <c r="E147" s="1">
        <v>845</v>
      </c>
      <c r="F147" s="72">
        <v>5.1813471502590676E-3</v>
      </c>
      <c r="G147" s="72">
        <v>2.4242424242424242E-2</v>
      </c>
      <c r="H147" s="1">
        <v>21962</v>
      </c>
      <c r="I147" s="1">
        <v>13329</v>
      </c>
      <c r="J147" s="1">
        <v>112169</v>
      </c>
      <c r="K147" s="1">
        <v>86223</v>
      </c>
      <c r="L147" s="18">
        <v>0.63</v>
      </c>
      <c r="M147" s="18">
        <v>0.13</v>
      </c>
      <c r="N147" s="18">
        <v>0.87</v>
      </c>
      <c r="O147" s="18">
        <v>0.78</v>
      </c>
      <c r="P147" s="253"/>
      <c r="Q147" s="86"/>
      <c r="R147" s="86"/>
      <c r="S147" s="1">
        <v>10</v>
      </c>
    </row>
    <row r="148" spans="1:23" x14ac:dyDescent="0.35">
      <c r="A148" s="25">
        <v>44798</v>
      </c>
      <c r="B148" s="1" t="s">
        <v>52</v>
      </c>
      <c r="C148" s="1" t="s">
        <v>60</v>
      </c>
      <c r="D148" s="1">
        <v>1014</v>
      </c>
      <c r="E148" s="1">
        <v>903</v>
      </c>
      <c r="F148" s="72">
        <v>-0.18488745980707397</v>
      </c>
      <c r="G148" s="72">
        <v>9.5873786407766989E-2</v>
      </c>
      <c r="H148" s="1">
        <v>22976</v>
      </c>
      <c r="I148" s="1">
        <v>14232</v>
      </c>
      <c r="J148" s="1">
        <v>113183</v>
      </c>
      <c r="K148" s="1">
        <v>87126</v>
      </c>
      <c r="L148" s="18">
        <v>0.65</v>
      </c>
      <c r="M148" s="18">
        <v>0.11</v>
      </c>
      <c r="N148" s="18">
        <v>0.89</v>
      </c>
      <c r="O148" s="18">
        <v>0.84</v>
      </c>
      <c r="P148" s="253"/>
      <c r="Q148" s="86"/>
      <c r="R148" s="86"/>
      <c r="S148" s="1">
        <v>10</v>
      </c>
    </row>
    <row r="149" spans="1:23" x14ac:dyDescent="0.35">
      <c r="A149" s="25">
        <v>44799</v>
      </c>
      <c r="B149" s="1" t="s">
        <v>53</v>
      </c>
      <c r="C149" s="1" t="s">
        <v>60</v>
      </c>
      <c r="D149" s="1">
        <v>1062</v>
      </c>
      <c r="E149" s="1">
        <v>890</v>
      </c>
      <c r="F149" s="72">
        <v>-3.9783001808318265E-2</v>
      </c>
      <c r="G149" s="72">
        <v>0.21917808219178081</v>
      </c>
      <c r="H149" s="1">
        <v>24038</v>
      </c>
      <c r="I149" s="1">
        <v>15122</v>
      </c>
      <c r="J149" s="1">
        <v>114245</v>
      </c>
      <c r="K149" s="1">
        <v>88016</v>
      </c>
      <c r="L149" s="18">
        <v>0.65</v>
      </c>
      <c r="M149" s="18">
        <v>0.16</v>
      </c>
      <c r="N149" s="18">
        <v>0.84</v>
      </c>
      <c r="O149" s="18">
        <v>1.03</v>
      </c>
      <c r="P149" s="253"/>
      <c r="Q149" s="86"/>
      <c r="R149" s="86"/>
      <c r="S149" s="1">
        <v>8</v>
      </c>
    </row>
    <row r="150" spans="1:23" x14ac:dyDescent="0.35">
      <c r="A150" s="25">
        <v>44800</v>
      </c>
      <c r="B150" s="1" t="s">
        <v>54</v>
      </c>
      <c r="C150" s="1" t="s">
        <v>60</v>
      </c>
      <c r="D150" s="1">
        <v>912</v>
      </c>
      <c r="E150" s="1">
        <v>409</v>
      </c>
      <c r="F150" s="72">
        <v>0.17829457364341086</v>
      </c>
      <c r="G150" s="72">
        <v>-0.43508287292817682</v>
      </c>
      <c r="H150" s="1">
        <v>24950</v>
      </c>
      <c r="I150" s="1">
        <v>15531</v>
      </c>
      <c r="J150" s="1">
        <v>115157</v>
      </c>
      <c r="K150" s="1">
        <v>88425</v>
      </c>
      <c r="L150" s="18">
        <v>0.09</v>
      </c>
      <c r="M150" s="18">
        <v>0.55000000000000004</v>
      </c>
      <c r="N150" s="18">
        <v>0.45</v>
      </c>
      <c r="O150" s="18">
        <v>0.47</v>
      </c>
      <c r="P150" s="253"/>
      <c r="Q150" s="86"/>
      <c r="R150" s="86"/>
      <c r="S150" s="1">
        <v>8</v>
      </c>
    </row>
    <row r="151" spans="1:23" x14ac:dyDescent="0.35">
      <c r="A151" s="25">
        <v>44801</v>
      </c>
      <c r="B151" s="1" t="s">
        <v>48</v>
      </c>
      <c r="C151" s="1" t="s">
        <v>60</v>
      </c>
      <c r="D151" s="1"/>
      <c r="E151" s="1"/>
      <c r="F151" s="1"/>
      <c r="G151" s="1"/>
      <c r="H151" s="1"/>
      <c r="I151" s="1"/>
      <c r="J151" s="1"/>
      <c r="K151" s="1"/>
      <c r="L151" s="18"/>
      <c r="M151" s="18"/>
      <c r="N151" s="18"/>
      <c r="O151" s="18"/>
      <c r="P151" s="253"/>
      <c r="Q151" s="86"/>
      <c r="R151" s="86"/>
      <c r="S151" s="86"/>
      <c r="U151" s="219">
        <f>AVERAGEIF(R279:R341,"&lt;&gt;0")</f>
        <v>1.6859567901234555E-2</v>
      </c>
    </row>
    <row r="152" spans="1:23" x14ac:dyDescent="0.35">
      <c r="A152" s="25">
        <v>44802</v>
      </c>
      <c r="B152" s="1" t="s">
        <v>49</v>
      </c>
      <c r="C152" s="1" t="s">
        <v>60</v>
      </c>
      <c r="D152" s="1">
        <v>1255</v>
      </c>
      <c r="E152" s="1">
        <v>1148</v>
      </c>
      <c r="F152" s="72">
        <v>8.0964685615848409E-2</v>
      </c>
      <c r="G152" s="72">
        <v>0.32716763005780347</v>
      </c>
      <c r="H152" s="1">
        <v>26205</v>
      </c>
      <c r="I152" s="1">
        <v>16679</v>
      </c>
      <c r="J152" s="1">
        <v>116412</v>
      </c>
      <c r="K152" s="1">
        <v>89573</v>
      </c>
      <c r="L152" s="18">
        <v>0.77</v>
      </c>
      <c r="M152" s="18">
        <v>0.09</v>
      </c>
      <c r="N152" s="18">
        <v>0.91</v>
      </c>
      <c r="O152" s="18">
        <v>0.89</v>
      </c>
      <c r="P152" s="253"/>
      <c r="Q152" s="86"/>
      <c r="R152" s="86"/>
      <c r="S152" s="1">
        <v>12</v>
      </c>
    </row>
    <row r="153" spans="1:23" x14ac:dyDescent="0.35">
      <c r="A153" s="25">
        <v>44803</v>
      </c>
      <c r="B153" s="1" t="s">
        <v>50</v>
      </c>
      <c r="C153" s="1" t="s">
        <v>60</v>
      </c>
      <c r="D153" s="1">
        <v>1257</v>
      </c>
      <c r="E153" s="1">
        <v>1111</v>
      </c>
      <c r="F153" s="72">
        <v>0.19486692015209126</v>
      </c>
      <c r="G153" s="72">
        <v>0.3682266009852217</v>
      </c>
      <c r="H153" s="1">
        <v>27462</v>
      </c>
      <c r="I153" s="1">
        <v>17790</v>
      </c>
      <c r="J153" s="1">
        <v>117669</v>
      </c>
      <c r="K153" s="1">
        <v>90684</v>
      </c>
      <c r="L153" s="18">
        <v>0.63</v>
      </c>
      <c r="M153" s="18">
        <v>0.12</v>
      </c>
      <c r="N153" s="18">
        <v>0.88</v>
      </c>
      <c r="O153" s="18">
        <v>0.73</v>
      </c>
      <c r="P153" s="253"/>
      <c r="Q153" s="86"/>
      <c r="R153" s="86"/>
      <c r="S153" s="1">
        <v>14</v>
      </c>
    </row>
    <row r="154" spans="1:23" x14ac:dyDescent="0.35">
      <c r="A154" s="25">
        <v>44804</v>
      </c>
      <c r="B154" s="1" t="s">
        <v>51</v>
      </c>
      <c r="C154" s="1" t="s">
        <v>60</v>
      </c>
      <c r="D154" s="1">
        <v>1281</v>
      </c>
      <c r="E154" s="1">
        <v>948</v>
      </c>
      <c r="F154" s="72">
        <v>0.32061855670103095</v>
      </c>
      <c r="G154" s="72">
        <v>0.12189349112426036</v>
      </c>
      <c r="H154" s="1">
        <v>28743</v>
      </c>
      <c r="I154" s="1">
        <v>18738</v>
      </c>
      <c r="J154" s="1">
        <v>118950</v>
      </c>
      <c r="K154" s="1">
        <v>91632</v>
      </c>
      <c r="L154" s="18">
        <v>0.26</v>
      </c>
      <c r="M154" s="18">
        <v>0.26</v>
      </c>
      <c r="N154" s="18">
        <v>0.74</v>
      </c>
      <c r="O154" s="18">
        <v>0.73</v>
      </c>
      <c r="P154" s="253"/>
      <c r="Q154" s="86"/>
      <c r="R154" s="86"/>
      <c r="S154" s="1">
        <v>12</v>
      </c>
    </row>
    <row r="155" spans="1:23" x14ac:dyDescent="0.35">
      <c r="A155" s="25">
        <v>44805</v>
      </c>
      <c r="B155" s="1" t="s">
        <v>52</v>
      </c>
      <c r="C155" s="1" t="s">
        <v>60</v>
      </c>
      <c r="D155" s="1">
        <v>1347</v>
      </c>
      <c r="E155" s="1">
        <v>724</v>
      </c>
      <c r="F155" s="72">
        <v>0.32840236686390534</v>
      </c>
      <c r="G155" s="72">
        <v>-0.1982281284606866</v>
      </c>
      <c r="H155" s="1">
        <v>1347</v>
      </c>
      <c r="I155" s="1">
        <v>724</v>
      </c>
      <c r="J155" s="1">
        <v>120297</v>
      </c>
      <c r="K155" s="1">
        <v>92356</v>
      </c>
      <c r="L155" s="18">
        <v>0.06</v>
      </c>
      <c r="M155" s="18">
        <v>0.46</v>
      </c>
      <c r="N155" s="18">
        <v>0.54</v>
      </c>
      <c r="O155" s="18">
        <v>0.61</v>
      </c>
      <c r="P155" s="253"/>
      <c r="Q155" s="86"/>
      <c r="R155" s="86"/>
      <c r="S155" s="1">
        <v>11</v>
      </c>
    </row>
    <row r="156" spans="1:23" x14ac:dyDescent="0.35">
      <c r="A156" s="25">
        <v>44806</v>
      </c>
      <c r="B156" s="1" t="s">
        <v>53</v>
      </c>
      <c r="C156" s="1" t="s">
        <v>60</v>
      </c>
      <c r="D156" s="1">
        <v>1097</v>
      </c>
      <c r="E156" s="1">
        <v>871</v>
      </c>
      <c r="F156" s="72">
        <v>3.2956685499058377E-2</v>
      </c>
      <c r="G156" s="72">
        <v>-2.1348314606741574E-2</v>
      </c>
      <c r="H156" s="1">
        <v>2444</v>
      </c>
      <c r="I156" s="1">
        <v>1595</v>
      </c>
      <c r="J156" s="1">
        <v>121394</v>
      </c>
      <c r="K156" s="1">
        <v>93227</v>
      </c>
      <c r="L156" s="18">
        <v>0.44</v>
      </c>
      <c r="M156" s="18">
        <v>0.21</v>
      </c>
      <c r="N156" s="18">
        <v>0.79</v>
      </c>
      <c r="O156" s="18">
        <v>0.67</v>
      </c>
      <c r="P156" s="253"/>
      <c r="Q156" s="86"/>
      <c r="R156" s="86"/>
      <c r="S156" s="1">
        <v>12</v>
      </c>
    </row>
    <row r="157" spans="1:23" x14ac:dyDescent="0.35">
      <c r="A157" s="25">
        <v>44807</v>
      </c>
      <c r="B157" s="1" t="s">
        <v>54</v>
      </c>
      <c r="C157" s="1" t="s">
        <v>60</v>
      </c>
      <c r="D157" s="1">
        <v>962</v>
      </c>
      <c r="E157" s="1">
        <v>670</v>
      </c>
      <c r="F157" s="72">
        <v>5.4824561403508769E-2</v>
      </c>
      <c r="G157" s="72">
        <v>0.63814180929095354</v>
      </c>
      <c r="H157" s="1">
        <v>3406</v>
      </c>
      <c r="I157" s="1">
        <v>2265</v>
      </c>
      <c r="J157" s="1">
        <v>122356</v>
      </c>
      <c r="K157" s="1">
        <v>93897</v>
      </c>
      <c r="L157" s="18">
        <v>0.23</v>
      </c>
      <c r="M157" s="18">
        <v>0.21</v>
      </c>
      <c r="N157" s="18">
        <v>0.79</v>
      </c>
      <c r="O157" s="18">
        <v>0.56000000000000005</v>
      </c>
      <c r="P157" s="253"/>
      <c r="Q157" s="86"/>
      <c r="R157" s="86"/>
      <c r="S157" s="1">
        <v>11</v>
      </c>
    </row>
    <row r="158" spans="1:23" x14ac:dyDescent="0.35">
      <c r="A158" s="25">
        <v>44808</v>
      </c>
      <c r="B158" s="1" t="s">
        <v>48</v>
      </c>
      <c r="C158" s="1" t="s">
        <v>60</v>
      </c>
      <c r="D158" s="1">
        <v>0</v>
      </c>
      <c r="E158" s="1">
        <v>0</v>
      </c>
      <c r="F158" s="72">
        <v>0</v>
      </c>
      <c r="G158" s="72">
        <v>0</v>
      </c>
      <c r="H158" s="1">
        <v>0</v>
      </c>
      <c r="I158" s="1">
        <v>0</v>
      </c>
      <c r="J158" s="1">
        <v>0</v>
      </c>
      <c r="K158" s="1">
        <v>0</v>
      </c>
      <c r="L158" s="18">
        <v>0</v>
      </c>
      <c r="M158" s="18">
        <v>0</v>
      </c>
      <c r="N158" s="18">
        <v>0</v>
      </c>
      <c r="O158" s="18">
        <v>0</v>
      </c>
      <c r="P158" s="253"/>
      <c r="Q158" s="86"/>
      <c r="R158" s="86"/>
      <c r="S158" s="17">
        <v>0</v>
      </c>
    </row>
    <row r="159" spans="1:23" x14ac:dyDescent="0.35">
      <c r="A159" s="25">
        <v>44809</v>
      </c>
      <c r="B159" s="1" t="s">
        <v>49</v>
      </c>
      <c r="C159" s="1" t="s">
        <v>60</v>
      </c>
      <c r="D159" s="1">
        <v>1322</v>
      </c>
      <c r="E159" s="1">
        <v>731</v>
      </c>
      <c r="F159" s="72">
        <v>5.3386454183266929E-2</v>
      </c>
      <c r="G159" s="72">
        <v>-0.36324041811846691</v>
      </c>
      <c r="H159" s="1">
        <v>4728</v>
      </c>
      <c r="I159" s="1">
        <v>2996</v>
      </c>
      <c r="J159" s="1">
        <v>123678</v>
      </c>
      <c r="K159" s="1">
        <v>94628</v>
      </c>
      <c r="L159" s="18">
        <v>0.1</v>
      </c>
      <c r="M159" s="18">
        <v>0.45</v>
      </c>
      <c r="N159" s="18">
        <v>0.55000000000000004</v>
      </c>
      <c r="O159" s="18">
        <v>0.62</v>
      </c>
      <c r="P159" s="253"/>
      <c r="Q159" s="86"/>
      <c r="R159" s="86"/>
      <c r="S159" s="1">
        <v>11</v>
      </c>
    </row>
    <row r="160" spans="1:23" x14ac:dyDescent="0.35">
      <c r="A160" s="25">
        <v>44810</v>
      </c>
      <c r="B160" s="1" t="s">
        <v>50</v>
      </c>
      <c r="C160" s="1" t="s">
        <v>60</v>
      </c>
      <c r="D160" s="1">
        <v>1172</v>
      </c>
      <c r="E160" s="1">
        <v>553</v>
      </c>
      <c r="F160" s="72">
        <v>-6.7621320604614163E-2</v>
      </c>
      <c r="G160" s="72">
        <v>-0.50225022502250227</v>
      </c>
      <c r="H160" s="1">
        <v>5900</v>
      </c>
      <c r="I160" s="1">
        <v>3549</v>
      </c>
      <c r="J160" s="1">
        <v>124850</v>
      </c>
      <c r="K160" s="1">
        <v>95181</v>
      </c>
      <c r="L160" s="18">
        <v>0.02</v>
      </c>
      <c r="M160" s="18">
        <v>0.53</v>
      </c>
      <c r="N160" s="18">
        <v>0.47</v>
      </c>
      <c r="O160" s="18">
        <v>0.64</v>
      </c>
      <c r="P160" s="253"/>
      <c r="Q160" s="86"/>
      <c r="R160" s="86"/>
      <c r="S160" s="1">
        <v>8</v>
      </c>
    </row>
    <row r="161" spans="1:23" x14ac:dyDescent="0.35">
      <c r="A161" s="25">
        <v>44811</v>
      </c>
      <c r="B161" s="1" t="s">
        <v>51</v>
      </c>
      <c r="C161" s="1" t="s">
        <v>60</v>
      </c>
      <c r="D161" s="1">
        <v>1179</v>
      </c>
      <c r="E161" s="1">
        <v>627</v>
      </c>
      <c r="F161" s="72">
        <v>-7.9625292740046844E-2</v>
      </c>
      <c r="G161" s="72">
        <v>-0.33860759493670883</v>
      </c>
      <c r="H161" s="1">
        <v>7079</v>
      </c>
      <c r="I161" s="1">
        <v>4176</v>
      </c>
      <c r="J161" s="1">
        <v>126029</v>
      </c>
      <c r="K161" s="1">
        <v>95808</v>
      </c>
      <c r="L161" s="18">
        <v>0.05</v>
      </c>
      <c r="M161" s="18">
        <v>0.47</v>
      </c>
      <c r="N161" s="18">
        <v>0.53</v>
      </c>
      <c r="O161" s="18">
        <v>0.65</v>
      </c>
      <c r="P161" s="253"/>
      <c r="Q161" s="86"/>
      <c r="R161" s="86"/>
      <c r="S161" s="1">
        <v>9</v>
      </c>
    </row>
    <row r="162" spans="1:23" x14ac:dyDescent="0.35">
      <c r="A162" s="25">
        <v>44812</v>
      </c>
      <c r="B162" s="1" t="s">
        <v>52</v>
      </c>
      <c r="C162" s="1" t="s">
        <v>60</v>
      </c>
      <c r="D162" s="1">
        <v>1090</v>
      </c>
      <c r="E162" s="1">
        <v>690</v>
      </c>
      <c r="F162" s="72">
        <v>-0.19079435783221974</v>
      </c>
      <c r="G162" s="72">
        <v>-4.6961325966850827E-2</v>
      </c>
      <c r="H162" s="1">
        <v>8169</v>
      </c>
      <c r="I162" s="1">
        <v>4866</v>
      </c>
      <c r="J162" s="1">
        <v>127119</v>
      </c>
      <c r="K162" s="1">
        <v>96498</v>
      </c>
      <c r="L162" s="18">
        <v>0.13</v>
      </c>
      <c r="M162" s="18">
        <v>0.37</v>
      </c>
      <c r="N162" s="18">
        <v>0.63</v>
      </c>
      <c r="O162" s="18">
        <v>0.57999999999999996</v>
      </c>
      <c r="P162" s="253"/>
      <c r="Q162" s="86"/>
      <c r="R162" s="86"/>
      <c r="S162" s="1">
        <v>11</v>
      </c>
    </row>
    <row r="163" spans="1:23" x14ac:dyDescent="0.35">
      <c r="A163" s="25">
        <v>44813</v>
      </c>
      <c r="B163" s="1" t="s">
        <v>53</v>
      </c>
      <c r="C163" s="1" t="s">
        <v>60</v>
      </c>
      <c r="D163" s="1">
        <v>1098</v>
      </c>
      <c r="E163" s="1">
        <v>716</v>
      </c>
      <c r="F163" s="72">
        <v>9.1157702825888785E-4</v>
      </c>
      <c r="G163" s="72">
        <v>-0.17795637198622274</v>
      </c>
      <c r="H163" s="1">
        <v>9267</v>
      </c>
      <c r="I163" s="1">
        <v>5582</v>
      </c>
      <c r="J163" s="1">
        <v>128217</v>
      </c>
      <c r="K163" s="1">
        <v>97214</v>
      </c>
      <c r="L163" s="18">
        <v>0.12</v>
      </c>
      <c r="M163" s="18">
        <v>0.35</v>
      </c>
      <c r="N163" s="18">
        <v>0.65</v>
      </c>
      <c r="O163" s="18">
        <v>0.55000000000000004</v>
      </c>
      <c r="P163" s="253"/>
      <c r="Q163" s="86"/>
      <c r="R163" s="86"/>
      <c r="S163" s="1">
        <v>12</v>
      </c>
    </row>
    <row r="164" spans="1:23" x14ac:dyDescent="0.35">
      <c r="A164" s="25">
        <v>44814</v>
      </c>
      <c r="B164" s="1" t="s">
        <v>54</v>
      </c>
      <c r="C164" s="1" t="s">
        <v>60</v>
      </c>
      <c r="D164" s="1">
        <v>949</v>
      </c>
      <c r="E164" s="1">
        <v>577</v>
      </c>
      <c r="F164" s="72">
        <v>-1.3513513513513514E-2</v>
      </c>
      <c r="G164" s="72">
        <v>-0.13880597014925372</v>
      </c>
      <c r="H164" s="1">
        <v>10216</v>
      </c>
      <c r="I164" s="1">
        <v>6159</v>
      </c>
      <c r="J164" s="1">
        <v>129166</v>
      </c>
      <c r="K164" s="1">
        <v>97791</v>
      </c>
      <c r="L164" s="18">
        <v>0.11</v>
      </c>
      <c r="M164" s="18">
        <v>0.39</v>
      </c>
      <c r="N164" s="18">
        <v>0.61</v>
      </c>
      <c r="O164" s="18">
        <v>0.59</v>
      </c>
      <c r="P164" s="253"/>
      <c r="Q164" s="86"/>
      <c r="R164" s="86"/>
      <c r="S164" s="1">
        <v>9</v>
      </c>
    </row>
    <row r="165" spans="1:23" x14ac:dyDescent="0.35">
      <c r="A165" s="25">
        <v>44815</v>
      </c>
      <c r="B165" s="1" t="s">
        <v>48</v>
      </c>
      <c r="C165" s="1" t="s">
        <v>60</v>
      </c>
      <c r="D165" s="1">
        <v>0</v>
      </c>
      <c r="E165" s="1">
        <v>0</v>
      </c>
      <c r="F165" s="72">
        <v>0</v>
      </c>
      <c r="G165" s="72">
        <v>0</v>
      </c>
      <c r="H165" s="1">
        <v>0</v>
      </c>
      <c r="I165" s="1">
        <v>0</v>
      </c>
      <c r="J165" s="1">
        <v>0</v>
      </c>
      <c r="K165" s="1">
        <v>0</v>
      </c>
      <c r="L165" s="18">
        <v>0</v>
      </c>
      <c r="M165" s="18">
        <v>0</v>
      </c>
      <c r="N165" s="18">
        <v>0</v>
      </c>
      <c r="O165" s="18">
        <v>0</v>
      </c>
      <c r="P165" s="253"/>
      <c r="Q165" s="86"/>
      <c r="R165" s="86"/>
      <c r="S165" s="17">
        <v>0</v>
      </c>
    </row>
    <row r="166" spans="1:23" x14ac:dyDescent="0.35">
      <c r="A166" s="25">
        <v>44816</v>
      </c>
      <c r="B166" s="1" t="s">
        <v>49</v>
      </c>
      <c r="C166" s="1" t="s">
        <v>60</v>
      </c>
      <c r="D166" s="1">
        <v>1194</v>
      </c>
      <c r="E166" s="1">
        <v>739</v>
      </c>
      <c r="F166" s="72">
        <v>-9.682299546142209E-2</v>
      </c>
      <c r="G166" s="72">
        <v>1.094391244870041E-2</v>
      </c>
      <c r="H166" s="1">
        <v>11410</v>
      </c>
      <c r="I166" s="1">
        <v>6898</v>
      </c>
      <c r="J166" s="1">
        <v>130360</v>
      </c>
      <c r="K166" s="1">
        <v>98530</v>
      </c>
      <c r="L166" s="18">
        <v>0.11</v>
      </c>
      <c r="M166" s="18">
        <v>0.38</v>
      </c>
      <c r="N166" s="18">
        <v>0.62</v>
      </c>
      <c r="O166" s="18">
        <v>0.52635327635327633</v>
      </c>
      <c r="P166" s="253"/>
      <c r="Q166" s="86"/>
      <c r="R166" s="86"/>
      <c r="S166" s="1">
        <v>13</v>
      </c>
    </row>
    <row r="167" spans="1:23" x14ac:dyDescent="0.35">
      <c r="A167" s="25">
        <v>44817</v>
      </c>
      <c r="B167" s="1" t="s">
        <v>50</v>
      </c>
      <c r="C167" s="1" t="s">
        <v>60</v>
      </c>
      <c r="D167" s="1">
        <v>1018</v>
      </c>
      <c r="E167" s="1">
        <v>773</v>
      </c>
      <c r="F167" s="72">
        <v>-0.13139931740614336</v>
      </c>
      <c r="G167" s="72">
        <v>0.39783001808318263</v>
      </c>
      <c r="H167" s="1">
        <v>12428</v>
      </c>
      <c r="I167" s="1">
        <v>7671</v>
      </c>
      <c r="J167" s="1">
        <v>131378</v>
      </c>
      <c r="K167" s="1">
        <v>99303</v>
      </c>
      <c r="L167" s="18">
        <v>0.31</v>
      </c>
      <c r="M167" s="18">
        <v>0.24</v>
      </c>
      <c r="N167" s="18">
        <v>0.76</v>
      </c>
      <c r="O167" s="18">
        <v>0.59645061728395066</v>
      </c>
      <c r="P167" s="253"/>
      <c r="Q167" s="86"/>
      <c r="R167" s="86"/>
      <c r="S167" s="1">
        <v>12</v>
      </c>
    </row>
    <row r="168" spans="1:23" x14ac:dyDescent="0.35">
      <c r="A168" s="25">
        <v>44818</v>
      </c>
      <c r="B168" s="1" t="s">
        <v>51</v>
      </c>
      <c r="C168" s="1" t="s">
        <v>60</v>
      </c>
      <c r="D168" s="1">
        <v>1137</v>
      </c>
      <c r="E168" s="1">
        <v>644</v>
      </c>
      <c r="F168" s="72">
        <v>-3.5623409669211195E-2</v>
      </c>
      <c r="G168" s="72">
        <v>2.7113237639553429E-2</v>
      </c>
      <c r="H168" s="1">
        <v>13565</v>
      </c>
      <c r="I168" s="1">
        <v>8315</v>
      </c>
      <c r="J168" s="1">
        <v>132515</v>
      </c>
      <c r="K168" s="1">
        <v>99947</v>
      </c>
      <c r="L168" s="18">
        <v>0.15</v>
      </c>
      <c r="M168" s="18">
        <v>0.43</v>
      </c>
      <c r="N168" s="18">
        <v>0.57000000000000006</v>
      </c>
      <c r="O168" s="18">
        <v>0.45868945868945871</v>
      </c>
      <c r="P168" s="253"/>
      <c r="Q168" s="86"/>
      <c r="R168" s="86"/>
      <c r="S168" s="1">
        <v>13</v>
      </c>
    </row>
    <row r="169" spans="1:23" x14ac:dyDescent="0.35">
      <c r="A169" s="25">
        <v>44819</v>
      </c>
      <c r="B169" s="1" t="s">
        <v>52</v>
      </c>
      <c r="C169" s="1" t="s">
        <v>60</v>
      </c>
      <c r="D169" s="1">
        <v>1066</v>
      </c>
      <c r="E169" s="1">
        <v>540</v>
      </c>
      <c r="F169" s="72">
        <v>-2.2018348623853212E-2</v>
      </c>
      <c r="G169" s="72">
        <v>-0.21739130434782608</v>
      </c>
      <c r="H169" s="1">
        <v>14631</v>
      </c>
      <c r="I169" s="1">
        <v>8855</v>
      </c>
      <c r="J169" s="1">
        <v>133581</v>
      </c>
      <c r="K169" s="1">
        <v>100487</v>
      </c>
      <c r="L169" s="18">
        <v>0.06</v>
      </c>
      <c r="M169" s="18">
        <v>0.49</v>
      </c>
      <c r="N169" s="18">
        <v>0.51</v>
      </c>
      <c r="O169" s="18">
        <v>0.625</v>
      </c>
      <c r="P169" s="253"/>
      <c r="Q169" s="86"/>
      <c r="R169" s="86"/>
      <c r="S169" s="1">
        <v>8</v>
      </c>
    </row>
    <row r="170" spans="1:23" x14ac:dyDescent="0.35">
      <c r="A170" s="25">
        <v>44820</v>
      </c>
      <c r="B170" s="1" t="s">
        <v>53</v>
      </c>
      <c r="C170" s="1" t="s">
        <v>60</v>
      </c>
      <c r="D170" s="1">
        <v>957</v>
      </c>
      <c r="E170" s="1">
        <v>787</v>
      </c>
      <c r="F170" s="72">
        <v>-0.12841530054644809</v>
      </c>
      <c r="G170" s="72">
        <v>9.9162011173184364E-2</v>
      </c>
      <c r="H170" s="1">
        <v>15588</v>
      </c>
      <c r="I170" s="1">
        <v>9642</v>
      </c>
      <c r="J170" s="1">
        <v>134538</v>
      </c>
      <c r="K170" s="1">
        <v>101274</v>
      </c>
      <c r="L170" s="18">
        <v>0.48</v>
      </c>
      <c r="M170" s="18">
        <v>0.18</v>
      </c>
      <c r="N170" s="18">
        <v>0.82000000000000006</v>
      </c>
      <c r="O170" s="18">
        <v>0.66245791245791252</v>
      </c>
      <c r="P170" s="253"/>
      <c r="Q170" s="86"/>
      <c r="R170" s="86"/>
      <c r="S170" s="1">
        <v>11</v>
      </c>
    </row>
    <row r="171" spans="1:23" s="53" customFormat="1" x14ac:dyDescent="0.35">
      <c r="A171" s="25">
        <v>44821</v>
      </c>
      <c r="B171" s="1" t="s">
        <v>54</v>
      </c>
      <c r="C171" s="1" t="s">
        <v>60</v>
      </c>
      <c r="D171" s="1">
        <v>763</v>
      </c>
      <c r="E171" s="1">
        <v>636</v>
      </c>
      <c r="F171" s="72">
        <v>-0.19599578503688092</v>
      </c>
      <c r="G171" s="72">
        <v>0.10225303292894281</v>
      </c>
      <c r="H171" s="1">
        <v>16351</v>
      </c>
      <c r="I171" s="1">
        <v>10278</v>
      </c>
      <c r="J171" s="1">
        <v>135301</v>
      </c>
      <c r="K171" s="1">
        <v>101910</v>
      </c>
      <c r="L171" s="18">
        <v>0.55000000000000004</v>
      </c>
      <c r="M171" s="18">
        <v>0.17</v>
      </c>
      <c r="N171" s="18">
        <v>0.83</v>
      </c>
      <c r="O171" s="18">
        <v>0.58888888888888891</v>
      </c>
      <c r="P171" s="253"/>
      <c r="Q171" s="86"/>
      <c r="R171" s="86"/>
      <c r="S171" s="1">
        <v>10</v>
      </c>
      <c r="U171"/>
      <c r="V171"/>
      <c r="W171"/>
    </row>
    <row r="172" spans="1:23" x14ac:dyDescent="0.35">
      <c r="A172" s="25">
        <v>44822</v>
      </c>
      <c r="B172" s="1" t="s">
        <v>48</v>
      </c>
      <c r="C172" s="1" t="s">
        <v>60</v>
      </c>
      <c r="D172" s="1">
        <v>0</v>
      </c>
      <c r="E172" s="1">
        <v>0</v>
      </c>
      <c r="F172" s="72">
        <v>0</v>
      </c>
      <c r="G172" s="72">
        <v>0</v>
      </c>
      <c r="H172" s="1">
        <v>0</v>
      </c>
      <c r="I172" s="1">
        <v>0</v>
      </c>
      <c r="J172" s="1">
        <v>0</v>
      </c>
      <c r="K172" s="1">
        <v>0</v>
      </c>
      <c r="L172" s="18">
        <v>0</v>
      </c>
      <c r="M172" s="18">
        <v>0</v>
      </c>
      <c r="N172" s="18">
        <v>0</v>
      </c>
      <c r="O172" s="18">
        <v>0</v>
      </c>
      <c r="P172" s="253"/>
      <c r="Q172" s="86"/>
      <c r="R172" s="86"/>
      <c r="S172" s="1">
        <v>0</v>
      </c>
    </row>
    <row r="173" spans="1:23" x14ac:dyDescent="0.35">
      <c r="A173" s="25">
        <v>44823</v>
      </c>
      <c r="B173" s="1" t="s">
        <v>49</v>
      </c>
      <c r="C173" s="1" t="s">
        <v>60</v>
      </c>
      <c r="D173" s="1">
        <v>1038</v>
      </c>
      <c r="E173" s="1">
        <v>899</v>
      </c>
      <c r="F173" s="72">
        <v>-0.1306532663316583</v>
      </c>
      <c r="G173" s="72">
        <v>0.21650879566982409</v>
      </c>
      <c r="H173" s="1">
        <v>17389</v>
      </c>
      <c r="I173" s="1">
        <v>11177</v>
      </c>
      <c r="J173" s="1">
        <v>136339</v>
      </c>
      <c r="K173" s="1">
        <v>102809</v>
      </c>
      <c r="L173" s="18">
        <v>0.55000000000000004</v>
      </c>
      <c r="M173" s="18">
        <v>0.13</v>
      </c>
      <c r="N173" s="18">
        <v>0.87</v>
      </c>
      <c r="O173" s="18">
        <v>0.69367283950617287</v>
      </c>
      <c r="P173" s="253"/>
      <c r="Q173" s="86"/>
      <c r="R173" s="86"/>
      <c r="S173" s="1">
        <v>12</v>
      </c>
    </row>
    <row r="174" spans="1:23" x14ac:dyDescent="0.35">
      <c r="A174" s="25">
        <v>44824</v>
      </c>
      <c r="B174" s="1" t="s">
        <v>50</v>
      </c>
      <c r="C174" s="1" t="s">
        <v>60</v>
      </c>
      <c r="D174" s="1">
        <v>979</v>
      </c>
      <c r="E174" s="1">
        <v>858</v>
      </c>
      <c r="F174" s="72">
        <v>-3.8310412573673867E-2</v>
      </c>
      <c r="G174" s="72">
        <v>0.10996119016817593</v>
      </c>
      <c r="H174" s="1">
        <v>18368</v>
      </c>
      <c r="I174" s="1">
        <v>12035</v>
      </c>
      <c r="J174" s="1">
        <v>137318</v>
      </c>
      <c r="K174" s="1">
        <v>103667</v>
      </c>
      <c r="L174" s="18">
        <v>0.65</v>
      </c>
      <c r="M174" s="18">
        <v>0.12</v>
      </c>
      <c r="N174" s="18">
        <v>0.88</v>
      </c>
      <c r="O174" s="18">
        <v>0.61111111111111116</v>
      </c>
      <c r="P174" s="253"/>
      <c r="Q174" s="86"/>
      <c r="R174" s="86"/>
      <c r="S174" s="1">
        <v>13</v>
      </c>
    </row>
    <row r="175" spans="1:23" x14ac:dyDescent="0.35">
      <c r="A175" s="25">
        <v>44825</v>
      </c>
      <c r="B175" s="1" t="s">
        <v>51</v>
      </c>
      <c r="C175" s="1" t="s">
        <v>60</v>
      </c>
      <c r="D175" s="1">
        <v>924</v>
      </c>
      <c r="E175" s="1">
        <v>825</v>
      </c>
      <c r="F175" s="72">
        <v>-0.18733509234828497</v>
      </c>
      <c r="G175" s="72">
        <v>0.28105590062111802</v>
      </c>
      <c r="H175" s="1">
        <v>19292</v>
      </c>
      <c r="I175" s="1">
        <v>12860</v>
      </c>
      <c r="J175" s="1">
        <v>138242</v>
      </c>
      <c r="K175" s="1">
        <v>104492</v>
      </c>
      <c r="L175" s="18">
        <v>0.76</v>
      </c>
      <c r="M175" s="18">
        <v>0.11</v>
      </c>
      <c r="N175" s="18">
        <v>0.89</v>
      </c>
      <c r="O175" s="18">
        <v>0.63657407407407407</v>
      </c>
      <c r="P175" s="253"/>
      <c r="Q175" s="86"/>
      <c r="R175" s="86"/>
      <c r="S175" s="1">
        <v>12</v>
      </c>
    </row>
    <row r="176" spans="1:23" x14ac:dyDescent="0.35">
      <c r="A176" s="25">
        <v>44826</v>
      </c>
      <c r="B176" s="1" t="s">
        <v>52</v>
      </c>
      <c r="C176" s="1" t="s">
        <v>60</v>
      </c>
      <c r="D176" s="1">
        <v>929</v>
      </c>
      <c r="E176" s="1">
        <v>759</v>
      </c>
      <c r="F176" s="72">
        <v>-0.12851782363977485</v>
      </c>
      <c r="G176" s="72">
        <v>0.40555555555555556</v>
      </c>
      <c r="H176" s="1">
        <v>20221</v>
      </c>
      <c r="I176" s="1">
        <v>13619</v>
      </c>
      <c r="J176" s="1">
        <v>139171</v>
      </c>
      <c r="K176" s="1">
        <v>105251</v>
      </c>
      <c r="L176" s="18">
        <v>0.49</v>
      </c>
      <c r="M176" s="18">
        <v>0.11</v>
      </c>
      <c r="N176" s="18">
        <v>0.89</v>
      </c>
      <c r="O176" s="18">
        <v>0.63888888888888884</v>
      </c>
      <c r="P176" s="253"/>
      <c r="Q176" s="86"/>
      <c r="R176" s="86"/>
      <c r="S176" s="1">
        <v>11</v>
      </c>
    </row>
    <row r="177" spans="1:23" x14ac:dyDescent="0.35">
      <c r="A177" s="25">
        <v>44827</v>
      </c>
      <c r="B177" s="1" t="s">
        <v>53</v>
      </c>
      <c r="C177" s="1" t="s">
        <v>60</v>
      </c>
      <c r="D177" s="1">
        <v>1087</v>
      </c>
      <c r="E177" s="1">
        <v>635</v>
      </c>
      <c r="F177" s="72">
        <v>0.13584117032392895</v>
      </c>
      <c r="G177" s="72">
        <v>-0.19313850063532401</v>
      </c>
      <c r="H177" s="1">
        <v>21308</v>
      </c>
      <c r="I177" s="1">
        <v>14254</v>
      </c>
      <c r="J177" s="1">
        <v>140258</v>
      </c>
      <c r="K177" s="1">
        <v>105886</v>
      </c>
      <c r="L177" s="18">
        <v>0.13</v>
      </c>
      <c r="M177" s="18">
        <v>0.42</v>
      </c>
      <c r="N177" s="18">
        <v>0.58000000000000007</v>
      </c>
      <c r="O177" s="18">
        <v>0.6532921810699589</v>
      </c>
      <c r="P177" s="253"/>
      <c r="Q177" s="86"/>
      <c r="R177" s="86"/>
      <c r="S177" s="1">
        <v>9</v>
      </c>
    </row>
    <row r="178" spans="1:23" x14ac:dyDescent="0.35">
      <c r="A178" s="25">
        <v>44828</v>
      </c>
      <c r="B178" s="1" t="s">
        <v>54</v>
      </c>
      <c r="C178" s="1" t="s">
        <v>60</v>
      </c>
      <c r="D178" s="1">
        <v>748</v>
      </c>
      <c r="E178" s="1">
        <v>581</v>
      </c>
      <c r="F178" s="72">
        <v>-1.9659239842726082E-2</v>
      </c>
      <c r="G178" s="72">
        <v>-8.6477987421383642E-2</v>
      </c>
      <c r="H178" s="1">
        <v>22056</v>
      </c>
      <c r="I178" s="1">
        <v>14835</v>
      </c>
      <c r="J178" s="1">
        <v>141006</v>
      </c>
      <c r="K178" s="1">
        <v>106467</v>
      </c>
      <c r="L178" s="18">
        <v>0.3</v>
      </c>
      <c r="M178" s="18">
        <v>0.22</v>
      </c>
      <c r="N178" s="18">
        <v>0.78</v>
      </c>
      <c r="O178" s="18">
        <v>0.44830246913580246</v>
      </c>
      <c r="P178" s="253"/>
      <c r="Q178" s="86"/>
      <c r="R178" s="86"/>
      <c r="S178" s="1">
        <v>12</v>
      </c>
    </row>
    <row r="179" spans="1:23" x14ac:dyDescent="0.35">
      <c r="A179" s="25">
        <v>44829</v>
      </c>
      <c r="B179" s="1" t="s">
        <v>48</v>
      </c>
      <c r="C179" s="1" t="s">
        <v>60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8">
        <v>0</v>
      </c>
      <c r="M179" s="18">
        <v>0</v>
      </c>
      <c r="N179" s="18">
        <v>0</v>
      </c>
      <c r="O179" s="18">
        <v>0</v>
      </c>
      <c r="P179" s="253"/>
      <c r="Q179" s="86"/>
      <c r="R179" s="86"/>
      <c r="S179" s="1">
        <v>0</v>
      </c>
    </row>
    <row r="180" spans="1:23" x14ac:dyDescent="0.35">
      <c r="A180" s="25">
        <v>44830</v>
      </c>
      <c r="B180" s="1" t="s">
        <v>49</v>
      </c>
      <c r="C180" s="1" t="s">
        <v>60</v>
      </c>
      <c r="D180" s="1">
        <v>1172</v>
      </c>
      <c r="E180" s="1">
        <v>503</v>
      </c>
      <c r="F180" s="72">
        <v>0.12909441233140656</v>
      </c>
      <c r="G180" s="72">
        <v>-0.44048943270300334</v>
      </c>
      <c r="H180" s="1">
        <v>23228</v>
      </c>
      <c r="I180" s="1">
        <v>15338</v>
      </c>
      <c r="J180" s="1">
        <v>142178</v>
      </c>
      <c r="K180" s="1">
        <v>106970</v>
      </c>
      <c r="L180" s="18">
        <v>0.03</v>
      </c>
      <c r="M180" s="18">
        <v>0.56999999999999995</v>
      </c>
      <c r="N180" s="18">
        <v>0.43</v>
      </c>
      <c r="O180" s="18">
        <v>1.55</v>
      </c>
      <c r="P180" s="253"/>
      <c r="Q180" s="9"/>
      <c r="R180" s="9"/>
      <c r="S180" s="1">
        <v>3</v>
      </c>
    </row>
    <row r="181" spans="1:23" x14ac:dyDescent="0.35">
      <c r="A181" s="25">
        <v>44831</v>
      </c>
      <c r="B181" s="1" t="s">
        <v>50</v>
      </c>
      <c r="C181" s="1" t="s">
        <v>60</v>
      </c>
      <c r="D181" s="1">
        <v>1460</v>
      </c>
      <c r="E181" s="1">
        <v>803</v>
      </c>
      <c r="F181" s="72">
        <v>0.49131767109295199</v>
      </c>
      <c r="G181" s="72">
        <v>-6.4102564102564097E-2</v>
      </c>
      <c r="H181" s="1">
        <v>24688</v>
      </c>
      <c r="I181" s="1">
        <v>16141</v>
      </c>
      <c r="J181" s="1">
        <v>143638</v>
      </c>
      <c r="K181" s="1">
        <v>107773</v>
      </c>
      <c r="L181" s="18">
        <v>0.13</v>
      </c>
      <c r="M181" s="18">
        <v>0.45</v>
      </c>
      <c r="N181" s="18">
        <v>0.55000000000000004</v>
      </c>
      <c r="O181" s="18">
        <v>0.62</v>
      </c>
      <c r="P181" s="253"/>
      <c r="Q181" s="9"/>
      <c r="R181" s="9"/>
      <c r="S181" s="1">
        <v>12</v>
      </c>
    </row>
    <row r="182" spans="1:23" x14ac:dyDescent="0.35">
      <c r="A182" s="25">
        <v>44832</v>
      </c>
      <c r="B182" s="1" t="s">
        <v>51</v>
      </c>
      <c r="C182" s="1" t="s">
        <v>60</v>
      </c>
      <c r="D182" s="1">
        <v>1179</v>
      </c>
      <c r="E182" s="1">
        <v>953</v>
      </c>
      <c r="F182" s="72">
        <v>0.27597402597402598</v>
      </c>
      <c r="G182" s="72">
        <v>0.15515151515151515</v>
      </c>
      <c r="H182" s="1">
        <v>25867</v>
      </c>
      <c r="I182" s="1">
        <v>17094</v>
      </c>
      <c r="J182" s="1">
        <v>144817</v>
      </c>
      <c r="K182" s="1">
        <v>108726</v>
      </c>
      <c r="L182" s="18">
        <v>0.47</v>
      </c>
      <c r="M182" s="18">
        <v>0.19</v>
      </c>
      <c r="N182" s="18">
        <v>0.81</v>
      </c>
      <c r="O182" s="18">
        <v>0.88</v>
      </c>
      <c r="P182" s="253"/>
      <c r="Q182" s="9"/>
      <c r="R182" s="9"/>
      <c r="S182" s="1">
        <v>10</v>
      </c>
    </row>
    <row r="183" spans="1:23" x14ac:dyDescent="0.35">
      <c r="A183" s="25">
        <v>44833</v>
      </c>
      <c r="B183" s="1" t="s">
        <v>52</v>
      </c>
      <c r="C183" s="1" t="s">
        <v>60</v>
      </c>
      <c r="D183" s="1">
        <v>1028</v>
      </c>
      <c r="E183" s="1">
        <v>852</v>
      </c>
      <c r="F183" s="72">
        <v>0.10656620021528525</v>
      </c>
      <c r="G183" s="72">
        <v>0.1225296442687747</v>
      </c>
      <c r="H183" s="1">
        <v>26895</v>
      </c>
      <c r="I183" s="1">
        <v>17946</v>
      </c>
      <c r="J183" s="1">
        <v>145845</v>
      </c>
      <c r="K183" s="1">
        <v>109578</v>
      </c>
      <c r="L183" s="18">
        <v>0.41</v>
      </c>
      <c r="M183" s="18">
        <v>0.17</v>
      </c>
      <c r="N183" s="18">
        <v>0.83</v>
      </c>
      <c r="O183" s="18">
        <v>0.79</v>
      </c>
      <c r="P183" s="253"/>
      <c r="Q183" s="9"/>
      <c r="R183" s="9"/>
      <c r="S183" s="1">
        <v>10</v>
      </c>
    </row>
    <row r="184" spans="1:23" s="54" customFormat="1" x14ac:dyDescent="0.35">
      <c r="A184" s="120">
        <v>44834</v>
      </c>
      <c r="B184" s="56" t="s">
        <v>53</v>
      </c>
      <c r="C184" s="56" t="s">
        <v>60</v>
      </c>
      <c r="D184" s="56">
        <v>1178</v>
      </c>
      <c r="E184" s="56">
        <v>700</v>
      </c>
      <c r="F184" s="91">
        <v>8.3716651333946637E-2</v>
      </c>
      <c r="G184" s="91">
        <v>0.10236220472440945</v>
      </c>
      <c r="H184" s="56">
        <v>28073</v>
      </c>
      <c r="I184" s="56">
        <v>18646</v>
      </c>
      <c r="J184" s="56">
        <v>147023</v>
      </c>
      <c r="K184" s="56">
        <v>110278</v>
      </c>
      <c r="L184" s="57">
        <v>0.13</v>
      </c>
      <c r="M184" s="57">
        <v>0.40577249575551783</v>
      </c>
      <c r="N184" s="57">
        <v>0.59422750424448223</v>
      </c>
      <c r="O184" s="57">
        <v>0.72</v>
      </c>
      <c r="P184" s="253"/>
      <c r="Q184" s="164"/>
      <c r="R184" s="164"/>
      <c r="S184" s="56">
        <v>9</v>
      </c>
      <c r="U184"/>
      <c r="V184"/>
      <c r="W184"/>
    </row>
    <row r="185" spans="1:23" x14ac:dyDescent="0.35">
      <c r="A185" s="25">
        <v>44835</v>
      </c>
      <c r="B185" s="1" t="s">
        <v>54</v>
      </c>
      <c r="C185" s="1" t="s">
        <v>60</v>
      </c>
      <c r="D185" s="1">
        <v>902</v>
      </c>
      <c r="E185" s="1">
        <v>541</v>
      </c>
      <c r="F185" s="72">
        <v>0.20588235294117646</v>
      </c>
      <c r="G185" s="72">
        <v>-6.8846815834767636E-2</v>
      </c>
      <c r="H185" s="1">
        <v>902</v>
      </c>
      <c r="I185" s="1">
        <v>541</v>
      </c>
      <c r="J185" s="1">
        <v>147925</v>
      </c>
      <c r="K185" s="1">
        <v>110819</v>
      </c>
      <c r="L185" s="18">
        <v>0.08</v>
      </c>
      <c r="M185" s="18">
        <v>0.40022172949002216</v>
      </c>
      <c r="N185" s="18">
        <v>0.5997782705099779</v>
      </c>
      <c r="O185" s="18">
        <v>1.19</v>
      </c>
      <c r="P185" s="253"/>
      <c r="Q185" s="9"/>
      <c r="R185" s="9"/>
      <c r="S185" s="1">
        <v>7</v>
      </c>
    </row>
    <row r="186" spans="1:23" x14ac:dyDescent="0.35">
      <c r="A186" s="25">
        <v>44836</v>
      </c>
      <c r="B186" s="1" t="s">
        <v>48</v>
      </c>
      <c r="C186" s="1" t="s">
        <v>60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8">
        <v>0</v>
      </c>
      <c r="M186" s="18">
        <v>0</v>
      </c>
      <c r="N186" s="18">
        <v>0</v>
      </c>
      <c r="O186" s="18">
        <v>0</v>
      </c>
      <c r="P186" s="253"/>
      <c r="Q186" s="86"/>
      <c r="R186" s="86"/>
      <c r="S186" s="1">
        <v>0</v>
      </c>
    </row>
    <row r="187" spans="1:23" x14ac:dyDescent="0.35">
      <c r="A187" s="25">
        <v>44837</v>
      </c>
      <c r="B187" s="1" t="s">
        <v>49</v>
      </c>
      <c r="C187" s="1" t="s">
        <v>60</v>
      </c>
      <c r="D187" s="1">
        <v>1357</v>
      </c>
      <c r="E187" s="1">
        <v>881</v>
      </c>
      <c r="F187" s="72">
        <v>0.15784982935153583</v>
      </c>
      <c r="G187" s="72">
        <v>0.75149105367793245</v>
      </c>
      <c r="H187" s="1">
        <v>2259</v>
      </c>
      <c r="I187" s="1">
        <v>1422</v>
      </c>
      <c r="J187" s="1">
        <v>149282</v>
      </c>
      <c r="K187" s="1">
        <v>111700</v>
      </c>
      <c r="L187" s="18">
        <v>0.15</v>
      </c>
      <c r="M187" s="18">
        <v>0.3507737656595431</v>
      </c>
      <c r="N187" s="18">
        <v>0.6492262343404569</v>
      </c>
      <c r="O187" s="18">
        <v>1.05</v>
      </c>
      <c r="P187" s="253"/>
      <c r="Q187" s="9"/>
      <c r="R187" s="9"/>
      <c r="S187" s="1">
        <v>12</v>
      </c>
    </row>
    <row r="188" spans="1:23" x14ac:dyDescent="0.35">
      <c r="A188" s="25">
        <v>44838</v>
      </c>
      <c r="B188" s="1" t="s">
        <v>50</v>
      </c>
      <c r="C188" s="1" t="s">
        <v>60</v>
      </c>
      <c r="D188" s="1">
        <v>1021</v>
      </c>
      <c r="E188" s="1">
        <v>708</v>
      </c>
      <c r="F188" s="72">
        <v>-0.30068493150684933</v>
      </c>
      <c r="G188" s="72">
        <v>-0.11830635118306351</v>
      </c>
      <c r="H188" s="1">
        <v>3280</v>
      </c>
      <c r="I188" s="1">
        <v>2130</v>
      </c>
      <c r="J188" s="1">
        <v>150303</v>
      </c>
      <c r="K188" s="1">
        <v>112408</v>
      </c>
      <c r="L188" s="18">
        <v>0.19</v>
      </c>
      <c r="M188" s="18">
        <v>0.30656219392752204</v>
      </c>
      <c r="N188" s="18">
        <v>0.69343780607247796</v>
      </c>
      <c r="O188" s="18">
        <v>0.68</v>
      </c>
      <c r="P188" s="253"/>
      <c r="Q188" s="9"/>
      <c r="R188" s="9"/>
      <c r="S188" s="1">
        <v>14</v>
      </c>
    </row>
    <row r="189" spans="1:23" x14ac:dyDescent="0.35">
      <c r="A189" s="25">
        <v>44839</v>
      </c>
      <c r="B189" s="1" t="s">
        <v>51</v>
      </c>
      <c r="C189" s="1" t="s">
        <v>60</v>
      </c>
      <c r="D189" s="1">
        <v>986</v>
      </c>
      <c r="E189" s="1">
        <v>752</v>
      </c>
      <c r="F189" s="72">
        <v>-0.16369804919423239</v>
      </c>
      <c r="G189" s="72">
        <v>-0.21091290661070305</v>
      </c>
      <c r="H189" s="1">
        <v>4266</v>
      </c>
      <c r="I189" s="1">
        <v>2882</v>
      </c>
      <c r="J189" s="1">
        <v>151289</v>
      </c>
      <c r="K189" s="1">
        <v>113160</v>
      </c>
      <c r="L189" s="18">
        <v>0.3</v>
      </c>
      <c r="M189" s="18">
        <v>0.23732251521298176</v>
      </c>
      <c r="N189" s="18">
        <v>0.76267748478701824</v>
      </c>
      <c r="O189" s="18">
        <v>0.76</v>
      </c>
      <c r="P189" s="253"/>
      <c r="Q189" s="9"/>
      <c r="R189" s="9"/>
      <c r="S189" s="1">
        <v>12</v>
      </c>
    </row>
    <row r="190" spans="1:23" x14ac:dyDescent="0.35">
      <c r="A190" s="25">
        <v>44840</v>
      </c>
      <c r="B190" s="1" t="s">
        <v>52</v>
      </c>
      <c r="C190" s="1" t="s">
        <v>60</v>
      </c>
      <c r="D190" s="1">
        <v>1031</v>
      </c>
      <c r="E190" s="1">
        <v>744</v>
      </c>
      <c r="F190" s="72">
        <v>2.9182879377431907E-3</v>
      </c>
      <c r="G190" s="72">
        <v>-0.12676056338028169</v>
      </c>
      <c r="H190" s="1">
        <v>5297</v>
      </c>
      <c r="I190" s="1">
        <v>3626</v>
      </c>
      <c r="J190" s="1">
        <v>152320</v>
      </c>
      <c r="K190" s="1">
        <v>113904</v>
      </c>
      <c r="L190" s="18">
        <v>0.25</v>
      </c>
      <c r="M190" s="18">
        <v>0.27837051406401553</v>
      </c>
      <c r="N190" s="18">
        <v>0.72162948593598442</v>
      </c>
      <c r="O190" s="18">
        <v>0.87</v>
      </c>
      <c r="P190" s="253"/>
      <c r="Q190" s="9"/>
      <c r="R190" s="9"/>
      <c r="S190" s="1">
        <v>11</v>
      </c>
    </row>
    <row r="191" spans="1:23" x14ac:dyDescent="0.35">
      <c r="A191" s="25">
        <v>44841</v>
      </c>
      <c r="B191" s="1" t="s">
        <v>53</v>
      </c>
      <c r="C191" s="1" t="s">
        <v>60</v>
      </c>
      <c r="D191" s="1">
        <v>1064</v>
      </c>
      <c r="E191" s="1">
        <v>473</v>
      </c>
      <c r="F191" s="72">
        <v>-9.6774193548387094E-2</v>
      </c>
      <c r="G191" s="72">
        <v>-0.32428571428571429</v>
      </c>
      <c r="H191" s="1">
        <v>6361</v>
      </c>
      <c r="I191" s="1">
        <v>4099</v>
      </c>
      <c r="J191" s="1">
        <v>153384</v>
      </c>
      <c r="K191" s="1">
        <v>114377</v>
      </c>
      <c r="L191" s="18">
        <v>0.04</v>
      </c>
      <c r="M191" s="18">
        <v>0.55545112781954886</v>
      </c>
      <c r="N191" s="18">
        <v>0.44454887218045114</v>
      </c>
      <c r="O191" s="18">
        <v>1.41</v>
      </c>
      <c r="P191" s="253"/>
      <c r="Q191" s="9"/>
      <c r="R191" s="9"/>
      <c r="S191" s="1">
        <v>7</v>
      </c>
    </row>
    <row r="192" spans="1:23" x14ac:dyDescent="0.35">
      <c r="A192" s="25">
        <v>44842</v>
      </c>
      <c r="B192" s="1" t="s">
        <v>54</v>
      </c>
      <c r="C192" s="1" t="s">
        <v>60</v>
      </c>
      <c r="D192" s="1">
        <v>961</v>
      </c>
      <c r="E192" s="1">
        <v>554</v>
      </c>
      <c r="F192" s="72">
        <v>6.5410199556541024E-2</v>
      </c>
      <c r="G192" s="72">
        <v>2.4029574861367836E-2</v>
      </c>
      <c r="H192" s="1">
        <v>7322</v>
      </c>
      <c r="I192" s="1">
        <v>4653</v>
      </c>
      <c r="J192" s="1">
        <v>154345</v>
      </c>
      <c r="K192" s="1">
        <v>114931</v>
      </c>
      <c r="L192" s="18">
        <v>0.11</v>
      </c>
      <c r="M192" s="18">
        <v>0.42351716961498437</v>
      </c>
      <c r="N192" s="18">
        <v>0.57648283038501558</v>
      </c>
      <c r="O192" s="18">
        <v>0.99</v>
      </c>
      <c r="P192" s="253"/>
      <c r="Q192" s="9"/>
      <c r="R192" s="9"/>
      <c r="S192" s="1">
        <v>9</v>
      </c>
    </row>
    <row r="193" spans="1:23" x14ac:dyDescent="0.35">
      <c r="A193" s="25">
        <v>44843</v>
      </c>
      <c r="B193" s="1" t="s">
        <v>48</v>
      </c>
      <c r="C193" s="1" t="s">
        <v>60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8">
        <v>0</v>
      </c>
      <c r="M193" s="18">
        <v>0</v>
      </c>
      <c r="N193" s="18">
        <v>0</v>
      </c>
      <c r="O193" s="18">
        <v>0</v>
      </c>
      <c r="P193" s="253"/>
      <c r="Q193" s="86"/>
      <c r="R193" s="86"/>
      <c r="S193" s="1">
        <v>0</v>
      </c>
    </row>
    <row r="194" spans="1:23" x14ac:dyDescent="0.35">
      <c r="A194" s="25">
        <v>44844</v>
      </c>
      <c r="B194" s="1" t="s">
        <v>49</v>
      </c>
      <c r="C194" s="1" t="s">
        <v>60</v>
      </c>
      <c r="D194" s="1">
        <v>1149</v>
      </c>
      <c r="E194" s="1">
        <v>692</v>
      </c>
      <c r="F194" s="72">
        <v>-0.15327929255711129</v>
      </c>
      <c r="G194" s="72">
        <v>-0.21452894438138478</v>
      </c>
      <c r="H194" s="1">
        <v>8471</v>
      </c>
      <c r="I194" s="1">
        <v>5345</v>
      </c>
      <c r="J194" s="1">
        <v>155494</v>
      </c>
      <c r="K194" s="1">
        <v>115623</v>
      </c>
      <c r="L194" s="18">
        <v>0.1</v>
      </c>
      <c r="M194" s="18">
        <v>0.4</v>
      </c>
      <c r="N194" s="18">
        <v>0.60226283724978247</v>
      </c>
      <c r="O194" s="18">
        <v>0.76</v>
      </c>
      <c r="P194" s="253"/>
      <c r="Q194" s="86"/>
      <c r="R194" s="86"/>
      <c r="S194" s="1">
        <v>14</v>
      </c>
    </row>
    <row r="195" spans="1:23" x14ac:dyDescent="0.35">
      <c r="A195" s="25">
        <v>44845</v>
      </c>
      <c r="B195" s="1" t="s">
        <v>50</v>
      </c>
      <c r="C195" s="1" t="s">
        <v>60</v>
      </c>
      <c r="D195" s="1">
        <v>1069</v>
      </c>
      <c r="E195" s="1">
        <v>643</v>
      </c>
      <c r="F195" s="72">
        <v>4.701273261508325E-2</v>
      </c>
      <c r="G195" s="72">
        <v>-9.1807909604519775E-2</v>
      </c>
      <c r="H195" s="1">
        <v>9540</v>
      </c>
      <c r="I195" s="1">
        <v>5988</v>
      </c>
      <c r="J195" s="1">
        <v>156563</v>
      </c>
      <c r="K195" s="1">
        <v>116266</v>
      </c>
      <c r="L195" s="167">
        <v>0.12</v>
      </c>
      <c r="M195" s="167">
        <v>0.4</v>
      </c>
      <c r="N195" s="167">
        <v>0.60149672591206738</v>
      </c>
      <c r="O195" s="76">
        <v>0.9</v>
      </c>
      <c r="P195" s="253"/>
      <c r="Q195" s="86"/>
      <c r="R195" s="86"/>
      <c r="S195" s="1">
        <v>11</v>
      </c>
    </row>
    <row r="196" spans="1:23" x14ac:dyDescent="0.35">
      <c r="A196" s="25">
        <v>44846</v>
      </c>
      <c r="B196" s="1" t="s">
        <v>51</v>
      </c>
      <c r="C196" s="1" t="s">
        <v>60</v>
      </c>
      <c r="D196" s="1">
        <v>996</v>
      </c>
      <c r="E196" s="1">
        <v>699</v>
      </c>
      <c r="F196" s="72">
        <v>1.0141987829614604E-2</v>
      </c>
      <c r="G196" s="72">
        <v>-7.0478723404255317E-2</v>
      </c>
      <c r="H196" s="1">
        <v>10536</v>
      </c>
      <c r="I196" s="1">
        <v>6687</v>
      </c>
      <c r="J196" s="1">
        <v>157559</v>
      </c>
      <c r="K196" s="1">
        <v>116965</v>
      </c>
      <c r="L196" s="18">
        <v>0.26</v>
      </c>
      <c r="M196" s="18">
        <v>0.3</v>
      </c>
      <c r="N196" s="18">
        <v>0.70180722891566261</v>
      </c>
      <c r="O196" s="18">
        <v>0.84</v>
      </c>
      <c r="P196" s="253"/>
      <c r="Q196" s="86"/>
      <c r="R196" s="86"/>
      <c r="S196" s="1">
        <v>11</v>
      </c>
    </row>
    <row r="197" spans="1:23" x14ac:dyDescent="0.35">
      <c r="A197" s="25">
        <v>44847</v>
      </c>
      <c r="B197" s="1" t="s">
        <v>52</v>
      </c>
      <c r="C197" s="1" t="s">
        <v>60</v>
      </c>
      <c r="D197" s="1">
        <v>981</v>
      </c>
      <c r="E197" s="1">
        <v>615</v>
      </c>
      <c r="F197" s="72">
        <v>-4.8496605237633363E-2</v>
      </c>
      <c r="G197" s="72">
        <v>-0.17338709677419356</v>
      </c>
      <c r="H197" s="1">
        <v>11517</v>
      </c>
      <c r="I197" s="1">
        <v>7302</v>
      </c>
      <c r="J197" s="1">
        <v>158540</v>
      </c>
      <c r="K197" s="1">
        <v>117580</v>
      </c>
      <c r="L197" s="18">
        <v>0.23</v>
      </c>
      <c r="M197" s="18">
        <v>0.37</v>
      </c>
      <c r="N197" s="18">
        <v>0.63</v>
      </c>
      <c r="O197" s="18">
        <v>1.1399999999999999</v>
      </c>
      <c r="P197" s="253"/>
      <c r="Q197" s="86"/>
      <c r="R197" s="86"/>
      <c r="S197" s="1">
        <v>8</v>
      </c>
    </row>
    <row r="198" spans="1:23" x14ac:dyDescent="0.35">
      <c r="A198" s="25">
        <v>44848</v>
      </c>
      <c r="B198" s="1" t="s">
        <v>53</v>
      </c>
      <c r="C198" s="1" t="s">
        <v>60</v>
      </c>
      <c r="D198" s="1">
        <v>1147</v>
      </c>
      <c r="E198" s="1">
        <v>439</v>
      </c>
      <c r="F198" s="72">
        <v>7.8007518796992484E-2</v>
      </c>
      <c r="G198" s="72">
        <v>-7.1881606765327691E-2</v>
      </c>
      <c r="H198" s="1">
        <v>12664</v>
      </c>
      <c r="I198" s="1">
        <v>7741</v>
      </c>
      <c r="J198" s="1">
        <v>159687</v>
      </c>
      <c r="K198" s="1">
        <v>118019</v>
      </c>
      <c r="L198" s="18">
        <v>0.03</v>
      </c>
      <c r="M198" s="18">
        <v>0.62</v>
      </c>
      <c r="N198" s="18">
        <v>0.38</v>
      </c>
      <c r="O198" s="18">
        <v>1.18</v>
      </c>
      <c r="P198" s="253"/>
      <c r="Q198" s="86"/>
      <c r="R198" s="86"/>
      <c r="S198" s="1">
        <v>9</v>
      </c>
    </row>
    <row r="199" spans="1:23" x14ac:dyDescent="0.35">
      <c r="A199" s="25">
        <v>44849</v>
      </c>
      <c r="B199" s="1" t="s">
        <v>54</v>
      </c>
      <c r="C199" s="1" t="s">
        <v>60</v>
      </c>
      <c r="D199" s="1">
        <v>838</v>
      </c>
      <c r="E199" s="1">
        <v>529</v>
      </c>
      <c r="F199" s="72">
        <v>-0.12799167533818939</v>
      </c>
      <c r="G199" s="72">
        <v>-4.5126353790613721E-2</v>
      </c>
      <c r="H199" s="1">
        <v>13502</v>
      </c>
      <c r="I199" s="1">
        <v>8270</v>
      </c>
      <c r="J199" s="1">
        <v>160525</v>
      </c>
      <c r="K199" s="1">
        <v>118548</v>
      </c>
      <c r="L199" s="18">
        <v>0.18</v>
      </c>
      <c r="M199" s="18">
        <v>0.17</v>
      </c>
      <c r="N199" s="18">
        <v>0.63126491646778038</v>
      </c>
      <c r="O199" s="18">
        <v>0.78</v>
      </c>
      <c r="P199" s="253"/>
      <c r="Q199" s="86"/>
      <c r="R199" s="86"/>
      <c r="S199" s="1">
        <v>10</v>
      </c>
    </row>
    <row r="200" spans="1:23" x14ac:dyDescent="0.35">
      <c r="A200" s="25">
        <v>44850</v>
      </c>
      <c r="B200" s="1" t="s">
        <v>48</v>
      </c>
      <c r="C200" s="1" t="s">
        <v>60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8">
        <v>0</v>
      </c>
      <c r="M200" s="18">
        <v>0</v>
      </c>
      <c r="N200" s="18">
        <v>0</v>
      </c>
      <c r="O200" s="18">
        <v>0</v>
      </c>
      <c r="P200" s="253"/>
      <c r="Q200" s="86"/>
      <c r="R200" s="86"/>
      <c r="S200" s="1">
        <v>0</v>
      </c>
    </row>
    <row r="201" spans="1:23" s="53" customFormat="1" x14ac:dyDescent="0.35">
      <c r="A201" s="23">
        <v>44851</v>
      </c>
      <c r="B201" s="1" t="s">
        <v>49</v>
      </c>
      <c r="C201" s="1" t="s">
        <v>60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8">
        <v>0</v>
      </c>
      <c r="M201" s="18">
        <v>0</v>
      </c>
      <c r="N201" s="18">
        <v>0</v>
      </c>
      <c r="O201" s="18">
        <v>0</v>
      </c>
      <c r="P201" s="253"/>
      <c r="Q201" s="86"/>
      <c r="R201" s="86"/>
      <c r="S201" s="1">
        <v>0</v>
      </c>
      <c r="U201"/>
      <c r="V201"/>
      <c r="W201"/>
    </row>
    <row r="202" spans="1:23" x14ac:dyDescent="0.35">
      <c r="A202" s="23">
        <v>44852</v>
      </c>
      <c r="B202" s="1" t="s">
        <v>50</v>
      </c>
      <c r="C202" s="34" t="s">
        <v>60</v>
      </c>
      <c r="D202" s="1">
        <v>1408</v>
      </c>
      <c r="E202" s="1">
        <v>540</v>
      </c>
      <c r="F202" s="72">
        <v>0.31711880261927033</v>
      </c>
      <c r="G202" s="72">
        <v>-0.16018662519440124</v>
      </c>
      <c r="H202" s="1">
        <v>14910</v>
      </c>
      <c r="I202" s="1">
        <v>8810</v>
      </c>
      <c r="J202" s="1">
        <v>161933</v>
      </c>
      <c r="K202" s="1">
        <v>119088</v>
      </c>
      <c r="L202" s="18">
        <v>0.02</v>
      </c>
      <c r="M202" s="18">
        <v>0.61647727272727271</v>
      </c>
      <c r="N202" s="18">
        <v>0.38352272727272729</v>
      </c>
      <c r="O202" s="18">
        <v>1.63</v>
      </c>
      <c r="P202" s="253"/>
      <c r="Q202" s="86"/>
      <c r="R202" s="86"/>
      <c r="S202" s="1">
        <v>8</v>
      </c>
    </row>
    <row r="203" spans="1:23" x14ac:dyDescent="0.35">
      <c r="A203" s="23">
        <v>44853</v>
      </c>
      <c r="B203" s="1" t="s">
        <v>51</v>
      </c>
      <c r="C203" s="1" t="s">
        <v>60</v>
      </c>
      <c r="D203" s="1">
        <v>1162</v>
      </c>
      <c r="E203" s="1">
        <v>642</v>
      </c>
      <c r="F203" s="72">
        <v>0.16666666666666666</v>
      </c>
      <c r="G203" s="72">
        <v>-8.15450643776824E-2</v>
      </c>
      <c r="H203" s="1">
        <v>16072</v>
      </c>
      <c r="I203" s="1">
        <v>9452</v>
      </c>
      <c r="J203" s="1">
        <v>163095</v>
      </c>
      <c r="K203" s="1">
        <v>119730</v>
      </c>
      <c r="L203" s="18">
        <v>0.09</v>
      </c>
      <c r="M203" s="18">
        <v>0.44750430292598964</v>
      </c>
      <c r="N203" s="18">
        <v>0.55249569707401036</v>
      </c>
      <c r="O203" s="18">
        <v>1.08</v>
      </c>
      <c r="P203" s="253"/>
      <c r="Q203" s="86"/>
      <c r="R203" s="86"/>
      <c r="S203" s="1">
        <v>10</v>
      </c>
    </row>
    <row r="204" spans="1:23" x14ac:dyDescent="0.35">
      <c r="A204" s="23">
        <v>44854</v>
      </c>
      <c r="B204" s="1" t="s">
        <v>52</v>
      </c>
      <c r="C204" s="34" t="s">
        <v>60</v>
      </c>
      <c r="D204" s="1">
        <v>1014</v>
      </c>
      <c r="E204" s="1">
        <v>813</v>
      </c>
      <c r="F204" s="72">
        <v>3.3639143730886847E-2</v>
      </c>
      <c r="G204" s="72">
        <v>0.32195121951219513</v>
      </c>
      <c r="H204" s="1">
        <v>17086</v>
      </c>
      <c r="I204" s="1">
        <v>10265</v>
      </c>
      <c r="J204" s="1">
        <v>164109</v>
      </c>
      <c r="K204" s="1">
        <v>120543</v>
      </c>
      <c r="L204" s="18">
        <v>0.47</v>
      </c>
      <c r="M204" s="18">
        <v>0.19822485207100593</v>
      </c>
      <c r="N204" s="18">
        <v>0.80177514792899407</v>
      </c>
      <c r="O204" s="18">
        <v>0.85</v>
      </c>
      <c r="P204" s="253"/>
      <c r="Q204" s="86"/>
      <c r="R204" s="86"/>
      <c r="S204" s="1">
        <v>11</v>
      </c>
    </row>
    <row r="205" spans="1:23" x14ac:dyDescent="0.35">
      <c r="A205" s="23">
        <v>44855</v>
      </c>
      <c r="B205" s="1" t="s">
        <v>53</v>
      </c>
      <c r="C205" s="1" t="s">
        <v>60</v>
      </c>
      <c r="D205" s="1">
        <v>760</v>
      </c>
      <c r="E205" s="1">
        <v>505</v>
      </c>
      <c r="F205" s="72">
        <v>-0.33740191804707936</v>
      </c>
      <c r="G205" s="72">
        <v>0.15034168564920272</v>
      </c>
      <c r="H205" s="1">
        <v>17846</v>
      </c>
      <c r="I205" s="1">
        <v>10770</v>
      </c>
      <c r="J205" s="1">
        <v>164869</v>
      </c>
      <c r="K205" s="1">
        <v>121048</v>
      </c>
      <c r="L205" s="18">
        <v>0.19</v>
      </c>
      <c r="M205" s="18">
        <v>0.33552631578947367</v>
      </c>
      <c r="N205" s="18">
        <v>0.66447368421052633</v>
      </c>
      <c r="O205" s="18">
        <v>0.64</v>
      </c>
      <c r="P205" s="253"/>
      <c r="Q205" s="86"/>
      <c r="R205" s="86"/>
      <c r="S205" s="1">
        <v>11</v>
      </c>
    </row>
    <row r="206" spans="1:23" x14ac:dyDescent="0.35">
      <c r="A206" s="23">
        <v>44856</v>
      </c>
      <c r="B206" s="1" t="s">
        <v>54</v>
      </c>
      <c r="C206" s="34" t="s">
        <v>60</v>
      </c>
      <c r="D206" s="1">
        <v>1064</v>
      </c>
      <c r="E206" s="1">
        <v>853</v>
      </c>
      <c r="F206" s="72">
        <v>0.26968973747016706</v>
      </c>
      <c r="G206" s="72">
        <v>0.61247637051039694</v>
      </c>
      <c r="H206" s="1">
        <v>18910</v>
      </c>
      <c r="I206" s="1">
        <v>11623</v>
      </c>
      <c r="J206" s="1">
        <v>165933</v>
      </c>
      <c r="K206" s="1">
        <v>121901</v>
      </c>
      <c r="L206" s="18">
        <v>0.03</v>
      </c>
      <c r="M206" s="18">
        <v>0.19830827067669177</v>
      </c>
      <c r="N206" s="18">
        <v>0.80169172932330823</v>
      </c>
      <c r="O206" s="18">
        <v>1.4</v>
      </c>
      <c r="P206" s="253"/>
      <c r="Q206" s="86"/>
      <c r="R206" s="86"/>
      <c r="S206" s="1">
        <v>10</v>
      </c>
    </row>
    <row r="207" spans="1:23" x14ac:dyDescent="0.35">
      <c r="A207" s="23">
        <v>44857</v>
      </c>
      <c r="B207" s="1" t="s">
        <v>48</v>
      </c>
      <c r="C207" s="1" t="s">
        <v>60</v>
      </c>
      <c r="D207" s="1">
        <v>470</v>
      </c>
      <c r="E207" s="1">
        <v>447</v>
      </c>
      <c r="F207" s="72">
        <v>0</v>
      </c>
      <c r="G207" s="72">
        <v>0</v>
      </c>
      <c r="H207" s="1">
        <v>19380</v>
      </c>
      <c r="I207" s="1">
        <v>12070</v>
      </c>
      <c r="J207" s="1">
        <v>166403</v>
      </c>
      <c r="K207" s="1">
        <v>122348</v>
      </c>
      <c r="L207" s="18">
        <v>0.96</v>
      </c>
      <c r="M207" s="18">
        <v>4.8936170212765973E-2</v>
      </c>
      <c r="N207" s="18">
        <v>0.95106382978723403</v>
      </c>
      <c r="O207" s="18">
        <v>0.31</v>
      </c>
      <c r="P207" s="253"/>
      <c r="Q207" s="86"/>
      <c r="R207" s="86"/>
      <c r="S207" s="1">
        <v>14</v>
      </c>
      <c r="U207" s="53"/>
      <c r="V207" s="53"/>
      <c r="W207" s="53"/>
    </row>
    <row r="208" spans="1:23" x14ac:dyDescent="0.35">
      <c r="A208" s="23">
        <v>44858</v>
      </c>
      <c r="B208" s="1" t="s">
        <v>49</v>
      </c>
      <c r="C208" s="1" t="s">
        <v>60</v>
      </c>
      <c r="D208" s="1">
        <v>1362</v>
      </c>
      <c r="E208" s="1">
        <v>680</v>
      </c>
      <c r="F208" s="72">
        <v>0</v>
      </c>
      <c r="G208" s="72">
        <v>0</v>
      </c>
      <c r="H208" s="1">
        <v>20742</v>
      </c>
      <c r="I208" s="1">
        <v>12750</v>
      </c>
      <c r="J208" s="1">
        <v>166231</v>
      </c>
      <c r="K208" s="1">
        <v>121728</v>
      </c>
      <c r="L208" s="18">
        <v>0.03</v>
      </c>
      <c r="M208" s="18">
        <v>0.50073421439060206</v>
      </c>
      <c r="N208" s="18">
        <v>0.49926578560939794</v>
      </c>
      <c r="O208" s="18">
        <v>1.4</v>
      </c>
      <c r="P208" s="253"/>
      <c r="Q208" s="9"/>
      <c r="R208" s="9"/>
      <c r="S208" s="1">
        <v>9</v>
      </c>
    </row>
    <row r="209" spans="1:23" x14ac:dyDescent="0.35">
      <c r="A209" s="23">
        <v>44859</v>
      </c>
      <c r="B209" s="1" t="s">
        <v>50</v>
      </c>
      <c r="C209" s="1" t="s">
        <v>60</v>
      </c>
      <c r="D209" s="1">
        <v>1341</v>
      </c>
      <c r="E209" s="1">
        <v>595</v>
      </c>
      <c r="F209" s="72">
        <v>-4.7585227272727272E-2</v>
      </c>
      <c r="G209" s="72">
        <v>0.10185185185185185</v>
      </c>
      <c r="H209" s="1">
        <v>22083</v>
      </c>
      <c r="I209" s="1">
        <v>13345</v>
      </c>
      <c r="J209" s="1">
        <v>167572</v>
      </c>
      <c r="K209" s="1">
        <v>122323</v>
      </c>
      <c r="L209" s="18">
        <v>0.03</v>
      </c>
      <c r="M209" s="18">
        <v>0.55630126771066368</v>
      </c>
      <c r="N209" s="18">
        <v>0.44369873228933632</v>
      </c>
      <c r="O209" s="18">
        <v>1.55</v>
      </c>
      <c r="P209" s="253"/>
      <c r="Q209" s="9"/>
      <c r="R209" s="9"/>
      <c r="S209" s="1">
        <v>8</v>
      </c>
    </row>
    <row r="210" spans="1:23" x14ac:dyDescent="0.35">
      <c r="A210" s="23">
        <v>44860</v>
      </c>
      <c r="B210" s="1" t="s">
        <v>51</v>
      </c>
      <c r="C210" s="1" t="s">
        <v>60</v>
      </c>
      <c r="D210" s="1">
        <v>1406</v>
      </c>
      <c r="E210" s="1">
        <v>655</v>
      </c>
      <c r="F210" s="72">
        <v>0.20998278829604131</v>
      </c>
      <c r="G210" s="72">
        <v>2.0249221183800622E-2</v>
      </c>
      <c r="H210" s="1">
        <v>23489</v>
      </c>
      <c r="I210" s="1">
        <v>14000</v>
      </c>
      <c r="J210" s="1">
        <v>168978</v>
      </c>
      <c r="K210" s="1">
        <v>122978</v>
      </c>
      <c r="L210" s="18">
        <v>0.03</v>
      </c>
      <c r="M210" s="18">
        <v>0.53413940256045511</v>
      </c>
      <c r="N210" s="18">
        <v>0.46586059743954483</v>
      </c>
      <c r="O210" s="18">
        <v>1.86</v>
      </c>
      <c r="P210" s="253"/>
      <c r="Q210" s="9"/>
      <c r="R210" s="9"/>
      <c r="S210" s="1">
        <v>7</v>
      </c>
    </row>
    <row r="211" spans="1:23" x14ac:dyDescent="0.35">
      <c r="A211" s="23">
        <v>44861</v>
      </c>
      <c r="B211" s="1" t="s">
        <v>52</v>
      </c>
      <c r="C211" s="1" t="s">
        <v>60</v>
      </c>
      <c r="D211" s="1">
        <v>1457</v>
      </c>
      <c r="E211" s="1">
        <v>472</v>
      </c>
      <c r="F211" s="72">
        <v>0.43688362919132151</v>
      </c>
      <c r="G211" s="72">
        <v>-0.4194341943419434</v>
      </c>
      <c r="H211" s="1">
        <v>24946</v>
      </c>
      <c r="I211" s="1">
        <v>14472</v>
      </c>
      <c r="J211" s="1">
        <v>170435</v>
      </c>
      <c r="K211" s="1">
        <v>123450</v>
      </c>
      <c r="L211" s="18">
        <v>0</v>
      </c>
      <c r="M211" s="18">
        <v>0.67604667124227857</v>
      </c>
      <c r="N211" s="18">
        <v>0.32395332875772137</v>
      </c>
      <c r="O211" s="18">
        <v>1.69</v>
      </c>
      <c r="P211" s="253"/>
      <c r="Q211" s="9"/>
      <c r="R211" s="9"/>
      <c r="S211" s="1">
        <v>8</v>
      </c>
    </row>
    <row r="212" spans="1:23" x14ac:dyDescent="0.35">
      <c r="A212" s="23">
        <v>44862</v>
      </c>
      <c r="B212" s="1" t="s">
        <v>53</v>
      </c>
      <c r="C212" s="1" t="s">
        <v>60</v>
      </c>
      <c r="D212" s="1">
        <v>1352</v>
      </c>
      <c r="E212" s="1">
        <v>510</v>
      </c>
      <c r="F212" s="72">
        <v>0.77894736842105261</v>
      </c>
      <c r="G212" s="72">
        <v>9.9009900990099011E-3</v>
      </c>
      <c r="H212" s="1">
        <v>26298</v>
      </c>
      <c r="I212" s="1">
        <v>14982</v>
      </c>
      <c r="J212" s="1">
        <v>171787</v>
      </c>
      <c r="K212" s="1">
        <v>123960</v>
      </c>
      <c r="L212" s="18">
        <v>0</v>
      </c>
      <c r="M212" s="18">
        <v>0.62278106508875741</v>
      </c>
      <c r="N212" s="18">
        <v>0.37721893491124259</v>
      </c>
      <c r="O212" s="18">
        <v>1.39</v>
      </c>
      <c r="P212" s="253"/>
      <c r="Q212" s="9"/>
      <c r="R212" s="9"/>
      <c r="S212" s="1">
        <v>9</v>
      </c>
    </row>
    <row r="213" spans="1:23" x14ac:dyDescent="0.35">
      <c r="A213" s="23">
        <v>44863</v>
      </c>
      <c r="B213" s="1" t="s">
        <v>54</v>
      </c>
      <c r="C213" s="1" t="s">
        <v>60</v>
      </c>
      <c r="D213" s="1">
        <v>1152</v>
      </c>
      <c r="E213" s="1">
        <v>481</v>
      </c>
      <c r="F213" s="72">
        <v>8.2706766917293228E-2</v>
      </c>
      <c r="G213" s="72">
        <v>-0.43610785463071511</v>
      </c>
      <c r="H213" s="1">
        <v>27450</v>
      </c>
      <c r="I213" s="1">
        <v>15463</v>
      </c>
      <c r="J213" s="1">
        <v>172939</v>
      </c>
      <c r="K213" s="1">
        <v>124441</v>
      </c>
      <c r="L213" s="18">
        <v>0.03</v>
      </c>
      <c r="M213" s="18">
        <v>0.58246527777777779</v>
      </c>
      <c r="N213" s="18">
        <v>0.41753472222222221</v>
      </c>
      <c r="O213" s="18">
        <v>1.07</v>
      </c>
      <c r="P213" s="253"/>
      <c r="Q213" s="9"/>
      <c r="R213" s="9"/>
      <c r="S213" s="1">
        <v>10</v>
      </c>
      <c r="U213" s="54"/>
      <c r="V213" s="54"/>
      <c r="W213" s="54"/>
    </row>
    <row r="214" spans="1:23" x14ac:dyDescent="0.35">
      <c r="A214" s="23">
        <v>44864</v>
      </c>
      <c r="B214" s="1" t="s">
        <v>48</v>
      </c>
      <c r="C214" s="1" t="s">
        <v>60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8">
        <v>0</v>
      </c>
      <c r="M214" s="18">
        <v>0</v>
      </c>
      <c r="N214" s="18">
        <v>0</v>
      </c>
      <c r="O214" s="18">
        <v>0</v>
      </c>
      <c r="P214" s="253"/>
      <c r="Q214" s="9"/>
      <c r="R214" s="9"/>
      <c r="S214" s="1">
        <v>0</v>
      </c>
    </row>
    <row r="215" spans="1:23" s="54" customFormat="1" x14ac:dyDescent="0.35">
      <c r="A215" s="58">
        <v>44865</v>
      </c>
      <c r="B215" s="56" t="s">
        <v>49</v>
      </c>
      <c r="C215" s="56" t="s">
        <v>60</v>
      </c>
      <c r="D215" s="56">
        <v>1328</v>
      </c>
      <c r="E215" s="56">
        <v>638</v>
      </c>
      <c r="F215" s="91">
        <v>-2.4963289280469897E-2</v>
      </c>
      <c r="G215" s="91">
        <v>-6.1764705882352944E-2</v>
      </c>
      <c r="H215" s="56">
        <v>28778</v>
      </c>
      <c r="I215" s="56">
        <v>16101</v>
      </c>
      <c r="J215" s="56">
        <v>173115</v>
      </c>
      <c r="K215" s="56">
        <v>124598</v>
      </c>
      <c r="L215" s="57">
        <v>0.04</v>
      </c>
      <c r="M215" s="57">
        <v>0.52</v>
      </c>
      <c r="N215" s="57">
        <v>0.48042168674698793</v>
      </c>
      <c r="O215" s="57">
        <v>1.23</v>
      </c>
      <c r="P215" s="253"/>
      <c r="Q215" s="164"/>
      <c r="R215" s="164"/>
      <c r="S215" s="56">
        <v>10</v>
      </c>
      <c r="U215"/>
      <c r="V215"/>
      <c r="W215"/>
    </row>
    <row r="216" spans="1:23" x14ac:dyDescent="0.35">
      <c r="A216" s="23">
        <v>44866</v>
      </c>
      <c r="B216" s="1" t="s">
        <v>50</v>
      </c>
      <c r="C216" s="1" t="s">
        <v>60</v>
      </c>
      <c r="D216" s="1">
        <v>1217</v>
      </c>
      <c r="E216" s="1">
        <v>528</v>
      </c>
      <c r="F216" s="72">
        <v>-9.2468307233407904E-2</v>
      </c>
      <c r="G216" s="72">
        <v>-0.11260504201680673</v>
      </c>
      <c r="H216" s="1">
        <v>1217</v>
      </c>
      <c r="I216" s="1">
        <v>528</v>
      </c>
      <c r="J216" s="1">
        <v>174332</v>
      </c>
      <c r="K216" s="1">
        <v>125126</v>
      </c>
      <c r="L216" s="18">
        <v>0.05</v>
      </c>
      <c r="M216" s="18">
        <v>0.56614626129827439</v>
      </c>
      <c r="N216" s="18">
        <v>0.43385373870172556</v>
      </c>
      <c r="O216" s="18">
        <v>1.88</v>
      </c>
      <c r="P216" s="253"/>
      <c r="Q216" s="9"/>
      <c r="R216" s="9"/>
      <c r="S216" s="1">
        <v>6</v>
      </c>
    </row>
    <row r="217" spans="1:23" x14ac:dyDescent="0.35">
      <c r="A217" s="23">
        <v>44867</v>
      </c>
      <c r="B217" s="1" t="s">
        <v>51</v>
      </c>
      <c r="C217" s="1" t="s">
        <v>60</v>
      </c>
      <c r="D217" s="1">
        <v>1055</v>
      </c>
      <c r="E217" s="1">
        <v>773</v>
      </c>
      <c r="F217" s="72">
        <v>-0.2496443812233286</v>
      </c>
      <c r="G217" s="72">
        <v>0.18015267175572519</v>
      </c>
      <c r="H217" s="1">
        <v>2272</v>
      </c>
      <c r="I217" s="1">
        <v>1301</v>
      </c>
      <c r="J217" s="1">
        <v>175387</v>
      </c>
      <c r="K217" s="1">
        <v>125899</v>
      </c>
      <c r="L217" s="18">
        <v>0.26</v>
      </c>
      <c r="M217" s="18">
        <v>0.27</v>
      </c>
      <c r="N217" s="18">
        <v>0.73</v>
      </c>
      <c r="O217" s="18">
        <v>1.0900000000000001</v>
      </c>
      <c r="P217" s="253"/>
      <c r="Q217" s="9"/>
      <c r="R217" s="9"/>
      <c r="S217" s="1">
        <v>9</v>
      </c>
    </row>
    <row r="218" spans="1:23" x14ac:dyDescent="0.35">
      <c r="A218" s="23">
        <v>44868</v>
      </c>
      <c r="B218" s="1" t="s">
        <v>52</v>
      </c>
      <c r="C218" s="1" t="s">
        <v>60</v>
      </c>
      <c r="D218" s="1">
        <v>933</v>
      </c>
      <c r="E218" s="1">
        <v>721</v>
      </c>
      <c r="F218" s="72">
        <v>-0.35964310226492796</v>
      </c>
      <c r="G218" s="72">
        <v>0.52754237288135597</v>
      </c>
      <c r="H218" s="1">
        <v>3205</v>
      </c>
      <c r="I218" s="1">
        <v>2022</v>
      </c>
      <c r="J218" s="1">
        <v>176320</v>
      </c>
      <c r="K218" s="1">
        <v>126620</v>
      </c>
      <c r="L218" s="18">
        <v>0.3</v>
      </c>
      <c r="M218" s="18">
        <v>0.23</v>
      </c>
      <c r="N218" s="18">
        <v>0.77</v>
      </c>
      <c r="O218" s="18">
        <v>0.66</v>
      </c>
      <c r="P218" s="253"/>
      <c r="Q218" s="9"/>
      <c r="R218" s="9"/>
      <c r="S218" s="1">
        <v>13</v>
      </c>
    </row>
    <row r="219" spans="1:23" x14ac:dyDescent="0.35">
      <c r="A219" s="23">
        <v>44869</v>
      </c>
      <c r="B219" s="1" t="s">
        <v>53</v>
      </c>
      <c r="C219" s="1" t="s">
        <v>60</v>
      </c>
      <c r="D219" s="1">
        <v>906</v>
      </c>
      <c r="E219" s="1">
        <v>761</v>
      </c>
      <c r="F219" s="72">
        <v>-0.32988165680473375</v>
      </c>
      <c r="G219" s="72">
        <v>0.49215686274509801</v>
      </c>
      <c r="H219" s="1">
        <v>4111</v>
      </c>
      <c r="I219" s="1">
        <v>2783</v>
      </c>
      <c r="J219" s="1">
        <v>177226</v>
      </c>
      <c r="K219" s="1">
        <v>127381</v>
      </c>
      <c r="L219" s="18">
        <v>0.43</v>
      </c>
      <c r="M219" s="18">
        <v>0.16</v>
      </c>
      <c r="N219" s="18">
        <v>0.84</v>
      </c>
      <c r="O219" s="18">
        <v>0.7</v>
      </c>
      <c r="P219" s="253"/>
      <c r="Q219" s="9"/>
      <c r="R219" s="9"/>
      <c r="S219" s="1">
        <v>12</v>
      </c>
    </row>
    <row r="220" spans="1:23" x14ac:dyDescent="0.35">
      <c r="A220" s="23">
        <v>44870</v>
      </c>
      <c r="B220" s="1" t="s">
        <v>54</v>
      </c>
      <c r="C220" s="1" t="s">
        <v>60</v>
      </c>
      <c r="D220" s="1">
        <v>776</v>
      </c>
      <c r="E220" s="1">
        <v>579</v>
      </c>
      <c r="F220" s="72">
        <v>-0.3263888888888889</v>
      </c>
      <c r="G220" s="72">
        <v>0.20374220374220375</v>
      </c>
      <c r="H220" s="1">
        <v>4887</v>
      </c>
      <c r="I220" s="1">
        <v>3362</v>
      </c>
      <c r="J220" s="1">
        <v>178002</v>
      </c>
      <c r="K220" s="1">
        <v>127960</v>
      </c>
      <c r="L220" s="18">
        <v>0.33</v>
      </c>
      <c r="M220" s="18">
        <v>0.25</v>
      </c>
      <c r="N220" s="18">
        <v>0.75</v>
      </c>
      <c r="O220" s="18">
        <v>0.9</v>
      </c>
      <c r="P220" s="253"/>
      <c r="Q220" s="9"/>
      <c r="R220" s="9"/>
      <c r="S220" s="1">
        <v>8</v>
      </c>
    </row>
    <row r="221" spans="1:23" x14ac:dyDescent="0.35">
      <c r="A221" s="23">
        <v>44871</v>
      </c>
      <c r="B221" s="1" t="s">
        <v>48</v>
      </c>
      <c r="C221" s="1" t="s">
        <v>60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8">
        <v>0</v>
      </c>
      <c r="M221" s="18">
        <v>0</v>
      </c>
      <c r="N221" s="18">
        <v>0</v>
      </c>
      <c r="O221" s="18">
        <v>0</v>
      </c>
      <c r="P221" s="253"/>
      <c r="Q221" s="9"/>
      <c r="R221" s="9"/>
      <c r="S221" s="1">
        <v>0</v>
      </c>
    </row>
    <row r="222" spans="1:23" x14ac:dyDescent="0.35">
      <c r="A222" s="23">
        <v>44872</v>
      </c>
      <c r="B222" s="1" t="s">
        <v>49</v>
      </c>
      <c r="C222" s="1" t="s">
        <v>60</v>
      </c>
      <c r="D222" s="1">
        <v>1067</v>
      </c>
      <c r="E222" s="1">
        <v>775</v>
      </c>
      <c r="F222" s="98">
        <v>-0.19653614457831325</v>
      </c>
      <c r="G222" s="98">
        <v>0.21473354231974923</v>
      </c>
      <c r="H222" s="1">
        <v>1067</v>
      </c>
      <c r="I222" s="1">
        <v>775</v>
      </c>
      <c r="J222" s="1">
        <v>178293</v>
      </c>
      <c r="K222" s="1">
        <v>128156</v>
      </c>
      <c r="L222" s="18">
        <v>0.17</v>
      </c>
      <c r="M222" s="18">
        <v>0.27366447985004683</v>
      </c>
      <c r="N222" s="18">
        <v>0.72633552014995317</v>
      </c>
      <c r="O222" s="18">
        <v>0.70568783068783059</v>
      </c>
      <c r="P222" s="253"/>
      <c r="Q222" s="9"/>
      <c r="R222" s="9"/>
      <c r="S222" s="1">
        <v>14</v>
      </c>
    </row>
    <row r="223" spans="1:23" x14ac:dyDescent="0.35">
      <c r="A223" s="23">
        <v>44873</v>
      </c>
      <c r="B223" s="1" t="s">
        <v>50</v>
      </c>
      <c r="C223" s="1" t="s">
        <v>60</v>
      </c>
      <c r="D223" s="1">
        <v>1022</v>
      </c>
      <c r="E223" s="1">
        <v>697</v>
      </c>
      <c r="F223" s="98">
        <v>-0.16023007395234182</v>
      </c>
      <c r="G223" s="98">
        <v>0.32007575757575757</v>
      </c>
      <c r="H223" s="1">
        <v>2089</v>
      </c>
      <c r="I223" s="1">
        <v>1472</v>
      </c>
      <c r="J223" s="1">
        <v>179315</v>
      </c>
      <c r="K223" s="1">
        <v>128853</v>
      </c>
      <c r="L223" s="18">
        <v>0.16</v>
      </c>
      <c r="M223" s="18">
        <v>0.31800391389432481</v>
      </c>
      <c r="N223" s="18">
        <v>0.68199608610567519</v>
      </c>
      <c r="O223" s="18">
        <v>0.9462962962962963</v>
      </c>
      <c r="P223" s="253"/>
      <c r="Q223" s="9"/>
      <c r="R223" s="9"/>
      <c r="S223" s="1">
        <v>10</v>
      </c>
    </row>
    <row r="224" spans="1:23" x14ac:dyDescent="0.35">
      <c r="A224" s="23">
        <v>44874</v>
      </c>
      <c r="B224" s="1" t="s">
        <v>51</v>
      </c>
      <c r="C224" s="1" t="s">
        <v>60</v>
      </c>
      <c r="D224" s="1">
        <v>855</v>
      </c>
      <c r="E224" s="1">
        <v>706</v>
      </c>
      <c r="F224" s="98">
        <v>-0.1895734597156398</v>
      </c>
      <c r="G224" s="98">
        <v>-8.6675291073738683E-2</v>
      </c>
      <c r="H224" s="1">
        <v>2944</v>
      </c>
      <c r="I224" s="1">
        <v>2178</v>
      </c>
      <c r="J224" s="1">
        <v>180170</v>
      </c>
      <c r="K224" s="1">
        <v>129559</v>
      </c>
      <c r="L224" s="18">
        <v>0.5</v>
      </c>
      <c r="M224" s="18">
        <v>0.17426900584795324</v>
      </c>
      <c r="N224" s="18">
        <v>0.82573099415204676</v>
      </c>
      <c r="O224" s="18">
        <v>0.65972222222222221</v>
      </c>
      <c r="P224" s="253"/>
      <c r="Q224" s="9"/>
      <c r="R224" s="9"/>
      <c r="S224" s="1">
        <v>12</v>
      </c>
    </row>
    <row r="225" spans="1:23" x14ac:dyDescent="0.35">
      <c r="A225" s="23">
        <v>44875</v>
      </c>
      <c r="B225" s="1" t="s">
        <v>52</v>
      </c>
      <c r="C225" s="1" t="s">
        <v>60</v>
      </c>
      <c r="D225" s="1">
        <v>830</v>
      </c>
      <c r="E225" s="1">
        <v>747</v>
      </c>
      <c r="F225" s="98">
        <v>-0.11039657020364416</v>
      </c>
      <c r="G225" s="98">
        <v>3.6061026352288486E-2</v>
      </c>
      <c r="H225" s="1">
        <v>3774</v>
      </c>
      <c r="I225" s="1">
        <v>2925</v>
      </c>
      <c r="J225" s="1">
        <v>181000</v>
      </c>
      <c r="K225" s="1">
        <v>130306</v>
      </c>
      <c r="L225" s="18">
        <v>0.79</v>
      </c>
      <c r="M225" s="18">
        <v>9.9999999999999978E-2</v>
      </c>
      <c r="N225" s="18">
        <v>0.9</v>
      </c>
      <c r="O225" s="18">
        <v>0.69865319865319864</v>
      </c>
      <c r="P225" s="253"/>
      <c r="Q225" s="9"/>
      <c r="R225" s="9"/>
      <c r="S225" s="1">
        <v>11</v>
      </c>
    </row>
    <row r="226" spans="1:23" x14ac:dyDescent="0.35">
      <c r="A226" s="23">
        <v>44876</v>
      </c>
      <c r="B226" s="1" t="s">
        <v>53</v>
      </c>
      <c r="C226" s="1" t="s">
        <v>60</v>
      </c>
      <c r="D226" s="1">
        <v>909</v>
      </c>
      <c r="E226" s="1">
        <v>644</v>
      </c>
      <c r="F226" s="98">
        <v>3.3112582781456954E-3</v>
      </c>
      <c r="G226" s="98">
        <v>-0.15374507227332457</v>
      </c>
      <c r="H226" s="1">
        <v>4683</v>
      </c>
      <c r="I226" s="1">
        <v>3569</v>
      </c>
      <c r="J226" s="1">
        <v>181909</v>
      </c>
      <c r="K226" s="1">
        <v>130950</v>
      </c>
      <c r="L226" s="18">
        <v>0.26</v>
      </c>
      <c r="M226" s="18">
        <v>0.29152915291529158</v>
      </c>
      <c r="N226" s="18">
        <v>0.70847084708470842</v>
      </c>
      <c r="O226" s="18">
        <v>0.60119047619047616</v>
      </c>
      <c r="P226" s="253"/>
      <c r="Q226" s="9"/>
      <c r="R226" s="9"/>
      <c r="S226" s="1">
        <v>14</v>
      </c>
    </row>
    <row r="227" spans="1:23" x14ac:dyDescent="0.35">
      <c r="A227" s="23">
        <v>44877</v>
      </c>
      <c r="B227" s="1" t="s">
        <v>54</v>
      </c>
      <c r="C227" s="1" t="s">
        <v>60</v>
      </c>
      <c r="D227" s="1">
        <v>788</v>
      </c>
      <c r="E227" s="1">
        <v>632</v>
      </c>
      <c r="F227" s="98">
        <v>1.5463917525773196E-2</v>
      </c>
      <c r="G227" s="98">
        <v>9.1537132987910191E-2</v>
      </c>
      <c r="H227" s="1">
        <v>5471</v>
      </c>
      <c r="I227" s="1">
        <v>4201</v>
      </c>
      <c r="J227" s="1">
        <v>182697</v>
      </c>
      <c r="K227" s="1">
        <v>131582</v>
      </c>
      <c r="L227" s="18">
        <v>0.46</v>
      </c>
      <c r="M227" s="18">
        <v>0.19796954314720816</v>
      </c>
      <c r="N227" s="18">
        <v>0.80203045685279184</v>
      </c>
      <c r="O227" s="18">
        <v>0.66329966329966339</v>
      </c>
      <c r="P227" s="253"/>
      <c r="Q227" s="9"/>
      <c r="R227" s="9"/>
      <c r="S227" s="1">
        <v>11</v>
      </c>
    </row>
    <row r="228" spans="1:23" x14ac:dyDescent="0.35">
      <c r="A228" s="23">
        <v>44878</v>
      </c>
      <c r="B228" s="1" t="s">
        <v>48</v>
      </c>
      <c r="C228" s="1" t="s">
        <v>60</v>
      </c>
      <c r="D228" s="1">
        <v>0</v>
      </c>
      <c r="E228" s="1">
        <v>0</v>
      </c>
      <c r="F228" s="98">
        <v>0</v>
      </c>
      <c r="G228" s="98">
        <v>0</v>
      </c>
      <c r="H228" s="1">
        <v>0</v>
      </c>
      <c r="I228" s="1">
        <v>0</v>
      </c>
      <c r="J228" s="1">
        <v>0</v>
      </c>
      <c r="K228" s="1">
        <v>0</v>
      </c>
      <c r="L228" s="18">
        <v>0</v>
      </c>
      <c r="M228" s="18">
        <v>0</v>
      </c>
      <c r="N228" s="18">
        <v>0</v>
      </c>
      <c r="O228" s="18">
        <v>0</v>
      </c>
      <c r="P228" s="253"/>
      <c r="Q228" s="9"/>
      <c r="R228" s="9"/>
      <c r="S228" s="1">
        <v>0</v>
      </c>
    </row>
    <row r="229" spans="1:23" x14ac:dyDescent="0.35">
      <c r="A229" s="23">
        <v>44879</v>
      </c>
      <c r="B229" s="1" t="s">
        <v>49</v>
      </c>
      <c r="C229" s="1" t="s">
        <v>60</v>
      </c>
      <c r="D229" s="1">
        <v>1133</v>
      </c>
      <c r="E229" s="1">
        <v>685</v>
      </c>
      <c r="F229" s="98">
        <v>6.1855670103092786E-2</v>
      </c>
      <c r="G229" s="98">
        <v>-0.11612903225806452</v>
      </c>
      <c r="H229" s="1">
        <v>6604</v>
      </c>
      <c r="I229" s="1">
        <v>4886</v>
      </c>
      <c r="J229" s="1">
        <v>183830</v>
      </c>
      <c r="K229" s="1">
        <v>132267</v>
      </c>
      <c r="L229" s="18">
        <v>0.12</v>
      </c>
      <c r="M229" s="18">
        <v>0.39541041482789052</v>
      </c>
      <c r="N229" s="18">
        <v>0.60458958517210948</v>
      </c>
      <c r="O229" s="18">
        <v>0.95</v>
      </c>
      <c r="P229" s="253"/>
      <c r="Q229" s="9"/>
      <c r="R229" s="9"/>
      <c r="S229" s="1">
        <v>11</v>
      </c>
    </row>
    <row r="230" spans="1:23" x14ac:dyDescent="0.35">
      <c r="A230" s="23">
        <v>44880</v>
      </c>
      <c r="B230" s="1" t="s">
        <v>50</v>
      </c>
      <c r="C230" s="1" t="s">
        <v>60</v>
      </c>
      <c r="D230" s="1">
        <v>1008</v>
      </c>
      <c r="E230" s="1">
        <v>771</v>
      </c>
      <c r="F230" s="98">
        <v>-1.3698630136986301E-2</v>
      </c>
      <c r="G230" s="98">
        <v>0.10616929698708752</v>
      </c>
      <c r="H230" s="1">
        <v>7612</v>
      </c>
      <c r="I230" s="1">
        <v>5657</v>
      </c>
      <c r="J230" s="1">
        <v>184838</v>
      </c>
      <c r="K230" s="1">
        <v>133038</v>
      </c>
      <c r="L230" s="18">
        <v>0.44</v>
      </c>
      <c r="M230" s="18">
        <v>0.23511904761904767</v>
      </c>
      <c r="N230" s="18">
        <v>0.76488095238095233</v>
      </c>
      <c r="O230" s="18">
        <v>0.72</v>
      </c>
      <c r="P230" s="253"/>
      <c r="Q230" s="9"/>
      <c r="R230" s="9"/>
      <c r="S230" s="1">
        <v>13</v>
      </c>
    </row>
    <row r="231" spans="1:23" x14ac:dyDescent="0.35">
      <c r="A231" s="23">
        <v>44881</v>
      </c>
      <c r="B231" s="1" t="s">
        <v>51</v>
      </c>
      <c r="C231" s="1" t="s">
        <v>60</v>
      </c>
      <c r="D231" s="1">
        <v>1045</v>
      </c>
      <c r="E231" s="1">
        <v>806</v>
      </c>
      <c r="F231" s="98">
        <v>0.22222222222222221</v>
      </c>
      <c r="G231" s="98">
        <v>0.14164305949008499</v>
      </c>
      <c r="H231" s="1">
        <v>8657</v>
      </c>
      <c r="I231" s="1">
        <v>6463</v>
      </c>
      <c r="J231" s="1">
        <v>185883</v>
      </c>
      <c r="K231" s="1">
        <v>133844</v>
      </c>
      <c r="L231" s="18">
        <v>0.36</v>
      </c>
      <c r="M231" s="18">
        <v>0.22870813397129186</v>
      </c>
      <c r="N231" s="18">
        <v>0.77129186602870814</v>
      </c>
      <c r="O231" s="18">
        <v>0.74</v>
      </c>
      <c r="P231" s="253"/>
      <c r="Q231" s="9"/>
      <c r="R231" s="9"/>
      <c r="S231" s="1">
        <v>13</v>
      </c>
    </row>
    <row r="232" spans="1:23" x14ac:dyDescent="0.35">
      <c r="A232" s="23">
        <v>44882</v>
      </c>
      <c r="B232" s="1" t="s">
        <v>52</v>
      </c>
      <c r="C232" s="1" t="s">
        <v>60</v>
      </c>
      <c r="D232" s="1">
        <v>910</v>
      </c>
      <c r="E232" s="1">
        <v>834</v>
      </c>
      <c r="F232" s="98">
        <v>9.6385542168674704E-2</v>
      </c>
      <c r="G232" s="98">
        <v>0.11646586345381527</v>
      </c>
      <c r="H232" s="1">
        <v>9567</v>
      </c>
      <c r="I232" s="1">
        <v>7297</v>
      </c>
      <c r="J232" s="1">
        <v>186793</v>
      </c>
      <c r="K232" s="1">
        <v>134678</v>
      </c>
      <c r="L232" s="18">
        <v>0.73</v>
      </c>
      <c r="M232" s="18">
        <v>8.3516483516483553E-2</v>
      </c>
      <c r="N232" s="18">
        <v>0.91648351648351645</v>
      </c>
      <c r="O232" s="18">
        <v>0.7</v>
      </c>
      <c r="P232" s="253"/>
      <c r="Q232" s="9"/>
      <c r="R232" s="9"/>
      <c r="S232" s="1">
        <v>12</v>
      </c>
    </row>
    <row r="233" spans="1:23" x14ac:dyDescent="0.35">
      <c r="A233" s="23">
        <v>44883</v>
      </c>
      <c r="B233" s="1" t="s">
        <v>53</v>
      </c>
      <c r="C233" s="1" t="s">
        <v>60</v>
      </c>
      <c r="D233" s="1">
        <v>969</v>
      </c>
      <c r="E233" s="1">
        <v>862</v>
      </c>
      <c r="F233" s="98">
        <v>6.6006600660066E-2</v>
      </c>
      <c r="G233" s="98">
        <v>0.33850931677018631</v>
      </c>
      <c r="H233" s="1">
        <v>10536</v>
      </c>
      <c r="I233" s="1">
        <v>8159</v>
      </c>
      <c r="J233" s="1">
        <v>187762</v>
      </c>
      <c r="K233" s="1">
        <v>135540</v>
      </c>
      <c r="L233" s="18">
        <v>0.69</v>
      </c>
      <c r="M233" s="18">
        <v>0.1104231166150671</v>
      </c>
      <c r="N233" s="18">
        <v>0.8895768833849329</v>
      </c>
      <c r="O233" s="18">
        <v>0.6</v>
      </c>
      <c r="P233" s="253"/>
      <c r="Q233" s="9"/>
      <c r="R233" s="9"/>
      <c r="S233" s="1">
        <v>15</v>
      </c>
    </row>
    <row r="234" spans="1:23" x14ac:dyDescent="0.35">
      <c r="A234" s="23">
        <v>44884</v>
      </c>
      <c r="B234" s="1" t="s">
        <v>54</v>
      </c>
      <c r="C234" s="1" t="s">
        <v>60</v>
      </c>
      <c r="D234" s="1">
        <v>777</v>
      </c>
      <c r="E234" s="1">
        <v>714</v>
      </c>
      <c r="F234" s="98">
        <v>-1.3959390862944163E-2</v>
      </c>
      <c r="G234" s="98">
        <v>0.12974683544303797</v>
      </c>
      <c r="H234" s="1">
        <v>11313</v>
      </c>
      <c r="I234" s="1">
        <v>8873</v>
      </c>
      <c r="J234" s="1">
        <v>188539</v>
      </c>
      <c r="K234" s="1">
        <v>136254</v>
      </c>
      <c r="L234" s="18">
        <v>0.74</v>
      </c>
      <c r="M234" s="18">
        <v>8.108108108108103E-2</v>
      </c>
      <c r="N234" s="18">
        <v>0.91891891891891897</v>
      </c>
      <c r="O234" s="18">
        <v>0.48</v>
      </c>
      <c r="P234" s="253"/>
      <c r="Q234" s="9"/>
      <c r="R234" s="9"/>
      <c r="S234" s="1">
        <v>15</v>
      </c>
    </row>
    <row r="235" spans="1:23" x14ac:dyDescent="0.35">
      <c r="A235" s="23">
        <v>44885</v>
      </c>
      <c r="B235" s="1" t="s">
        <v>48</v>
      </c>
      <c r="C235" s="1" t="s">
        <v>60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8">
        <v>0</v>
      </c>
      <c r="M235" s="18">
        <v>0</v>
      </c>
      <c r="N235" s="18">
        <v>0</v>
      </c>
      <c r="O235" s="18">
        <v>0</v>
      </c>
      <c r="P235" s="253"/>
      <c r="Q235" s="9"/>
      <c r="R235" s="9"/>
      <c r="S235" s="1">
        <v>0</v>
      </c>
    </row>
    <row r="236" spans="1:23" x14ac:dyDescent="0.35">
      <c r="A236" s="23">
        <v>44886</v>
      </c>
      <c r="B236" s="1" t="s">
        <v>49</v>
      </c>
      <c r="C236" s="1" t="s">
        <v>60</v>
      </c>
      <c r="D236" s="1">
        <v>1094</v>
      </c>
      <c r="E236" s="1">
        <v>1013</v>
      </c>
      <c r="F236" s="98">
        <v>-3.442188879082083E-2</v>
      </c>
      <c r="G236" s="98">
        <v>0.47883211678832116</v>
      </c>
      <c r="H236" s="1">
        <v>12407</v>
      </c>
      <c r="I236" s="1">
        <v>9886</v>
      </c>
      <c r="J236" s="1">
        <v>189633</v>
      </c>
      <c r="K236" s="1">
        <v>137267</v>
      </c>
      <c r="L236" s="18">
        <v>0.72</v>
      </c>
      <c r="M236" s="18">
        <v>7.0000000000000007E-2</v>
      </c>
      <c r="N236" s="18">
        <v>0.93</v>
      </c>
      <c r="O236" s="18">
        <v>0.68</v>
      </c>
      <c r="P236" s="253"/>
      <c r="Q236" s="9"/>
      <c r="R236" s="9"/>
      <c r="S236" s="1">
        <v>15</v>
      </c>
    </row>
    <row r="237" spans="1:23" x14ac:dyDescent="0.35">
      <c r="A237" s="23">
        <v>44887</v>
      </c>
      <c r="B237" s="1" t="s">
        <v>50</v>
      </c>
      <c r="C237" s="1" t="s">
        <v>60</v>
      </c>
      <c r="D237" s="1">
        <v>1007</v>
      </c>
      <c r="E237" s="1">
        <v>982</v>
      </c>
      <c r="F237" s="98">
        <v>-9.9206349206349201E-4</v>
      </c>
      <c r="G237" s="98">
        <v>0.27367055771725035</v>
      </c>
      <c r="H237" s="1">
        <v>13414</v>
      </c>
      <c r="I237" s="1">
        <v>10868</v>
      </c>
      <c r="J237" s="1">
        <v>190640</v>
      </c>
      <c r="K237" s="1">
        <v>138249</v>
      </c>
      <c r="L237" s="18">
        <v>0.91</v>
      </c>
      <c r="M237" s="18">
        <v>0.02</v>
      </c>
      <c r="N237" s="18">
        <v>0.98</v>
      </c>
      <c r="O237" s="18">
        <v>0.62</v>
      </c>
      <c r="P237" s="253"/>
      <c r="Q237" s="9"/>
      <c r="R237" s="9"/>
      <c r="S237" s="1">
        <v>15</v>
      </c>
      <c r="U237" s="54"/>
      <c r="V237" s="54"/>
      <c r="W237" s="54"/>
    </row>
    <row r="238" spans="1:23" x14ac:dyDescent="0.35">
      <c r="A238" s="23">
        <v>44888</v>
      </c>
      <c r="B238" s="1" t="s">
        <v>51</v>
      </c>
      <c r="C238" s="1" t="s">
        <v>60</v>
      </c>
      <c r="D238" s="1">
        <v>1054</v>
      </c>
      <c r="E238" s="1">
        <v>928</v>
      </c>
      <c r="F238" s="98">
        <v>8.6124401913875593E-3</v>
      </c>
      <c r="G238" s="98">
        <v>0.15136476426799009</v>
      </c>
      <c r="H238" s="1">
        <v>14468</v>
      </c>
      <c r="I238" s="1">
        <v>11796</v>
      </c>
      <c r="J238" s="1">
        <v>191694</v>
      </c>
      <c r="K238" s="1">
        <v>139177</v>
      </c>
      <c r="L238" s="18">
        <v>0.63</v>
      </c>
      <c r="M238" s="18">
        <v>0.12</v>
      </c>
      <c r="N238" s="18">
        <v>0.88</v>
      </c>
      <c r="O238" s="18">
        <v>0.75</v>
      </c>
      <c r="P238" s="253"/>
      <c r="Q238" s="9"/>
      <c r="R238" s="9"/>
      <c r="S238" s="1">
        <v>15</v>
      </c>
    </row>
    <row r="239" spans="1:23" x14ac:dyDescent="0.35">
      <c r="A239" s="23">
        <v>44889</v>
      </c>
      <c r="B239" s="1" t="s">
        <v>52</v>
      </c>
      <c r="C239" s="1" t="s">
        <v>60</v>
      </c>
      <c r="D239" s="1">
        <v>1085</v>
      </c>
      <c r="E239" s="1">
        <v>769</v>
      </c>
      <c r="F239" s="98">
        <v>0.19230769230769232</v>
      </c>
      <c r="G239" s="98">
        <v>-7.7937649880095924E-2</v>
      </c>
      <c r="H239" s="1">
        <v>15553</v>
      </c>
      <c r="I239" s="1">
        <v>12565</v>
      </c>
      <c r="J239" s="1">
        <v>192779</v>
      </c>
      <c r="K239" s="1">
        <v>139946</v>
      </c>
      <c r="L239" s="18">
        <v>0.27</v>
      </c>
      <c r="M239" s="18">
        <v>0.28999999999999998</v>
      </c>
      <c r="N239" s="18">
        <v>0.71</v>
      </c>
      <c r="O239" s="18">
        <v>0.84</v>
      </c>
      <c r="P239" s="253"/>
      <c r="Q239" s="9"/>
      <c r="R239" s="9"/>
      <c r="S239" s="1">
        <v>12</v>
      </c>
    </row>
    <row r="240" spans="1:23" x14ac:dyDescent="0.35">
      <c r="A240" s="23">
        <v>44890</v>
      </c>
      <c r="B240" s="1" t="s">
        <v>53</v>
      </c>
      <c r="C240" s="1" t="s">
        <v>60</v>
      </c>
      <c r="D240" s="1">
        <v>1294</v>
      </c>
      <c r="E240" s="1">
        <v>1106</v>
      </c>
      <c r="F240" s="98">
        <v>0.33539731682146545</v>
      </c>
      <c r="G240" s="98">
        <v>0.28306264501160094</v>
      </c>
      <c r="H240" s="1">
        <v>16847</v>
      </c>
      <c r="I240" s="1">
        <v>13671</v>
      </c>
      <c r="J240" s="1">
        <v>194073</v>
      </c>
      <c r="K240" s="1">
        <v>141052</v>
      </c>
      <c r="L240" s="18">
        <v>0.52</v>
      </c>
      <c r="M240" s="18">
        <v>0.15</v>
      </c>
      <c r="N240" s="18">
        <v>0.85</v>
      </c>
      <c r="O240" s="18">
        <v>0.8</v>
      </c>
      <c r="P240" s="253"/>
      <c r="Q240" s="9"/>
      <c r="R240" s="9"/>
      <c r="S240" s="1">
        <v>15</v>
      </c>
    </row>
    <row r="241" spans="1:23" x14ac:dyDescent="0.35">
      <c r="A241" s="23">
        <v>44891</v>
      </c>
      <c r="B241" s="1" t="s">
        <v>54</v>
      </c>
      <c r="C241" s="1" t="s">
        <v>60</v>
      </c>
      <c r="D241" s="1">
        <v>1099</v>
      </c>
      <c r="E241" s="1">
        <v>758</v>
      </c>
      <c r="F241" s="98">
        <v>0.4144144144144144</v>
      </c>
      <c r="G241" s="98">
        <v>6.1624649859943981E-2</v>
      </c>
      <c r="H241" s="1">
        <v>17946</v>
      </c>
      <c r="I241" s="1">
        <v>14429</v>
      </c>
      <c r="J241" s="1">
        <v>195172</v>
      </c>
      <c r="K241" s="1">
        <v>141810</v>
      </c>
      <c r="L241" s="18">
        <v>0.15</v>
      </c>
      <c r="M241" s="18">
        <v>0.31</v>
      </c>
      <c r="N241" s="18">
        <v>0.69</v>
      </c>
      <c r="O241" s="18">
        <v>0.93</v>
      </c>
      <c r="P241" s="253"/>
      <c r="Q241" s="9"/>
      <c r="R241" s="9"/>
      <c r="S241" s="1">
        <v>11</v>
      </c>
    </row>
    <row r="242" spans="1:23" x14ac:dyDescent="0.35">
      <c r="A242" s="23">
        <v>44892</v>
      </c>
      <c r="B242" s="1" t="s">
        <v>48</v>
      </c>
      <c r="C242" s="1" t="s">
        <v>60</v>
      </c>
      <c r="D242" s="1">
        <v>272</v>
      </c>
      <c r="E242" s="1">
        <v>208</v>
      </c>
      <c r="F242" s="98">
        <v>0</v>
      </c>
      <c r="G242" s="98">
        <v>0</v>
      </c>
      <c r="H242" s="1">
        <v>18218</v>
      </c>
      <c r="I242" s="1">
        <v>14637</v>
      </c>
      <c r="J242" s="1">
        <v>195444</v>
      </c>
      <c r="K242" s="1">
        <v>142018</v>
      </c>
      <c r="L242" s="18">
        <v>0.47</v>
      </c>
      <c r="M242" s="18">
        <v>0.24</v>
      </c>
      <c r="N242" s="18">
        <v>0.76</v>
      </c>
      <c r="O242" s="18">
        <v>0.42</v>
      </c>
      <c r="P242" s="253"/>
      <c r="Q242" s="9"/>
      <c r="R242" s="9"/>
      <c r="S242" s="1">
        <v>6</v>
      </c>
    </row>
    <row r="243" spans="1:23" x14ac:dyDescent="0.35">
      <c r="A243" s="23">
        <v>44893</v>
      </c>
      <c r="B243" s="1" t="s">
        <v>49</v>
      </c>
      <c r="C243" s="1" t="s">
        <v>60</v>
      </c>
      <c r="D243" s="1">
        <v>1812</v>
      </c>
      <c r="E243" s="1">
        <v>995</v>
      </c>
      <c r="F243" s="98">
        <v>0.65630712979890315</v>
      </c>
      <c r="G243" s="98">
        <v>-1.7769002961500493E-2</v>
      </c>
      <c r="H243" s="1">
        <v>20030</v>
      </c>
      <c r="I243" s="1">
        <v>15632</v>
      </c>
      <c r="J243" s="1">
        <v>197256</v>
      </c>
      <c r="K243" s="1">
        <v>143013</v>
      </c>
      <c r="L243" s="18">
        <v>0.05</v>
      </c>
      <c r="M243" s="18">
        <v>0.45</v>
      </c>
      <c r="N243" s="18">
        <v>0.55000000000000004</v>
      </c>
      <c r="O243" s="18">
        <v>1.2</v>
      </c>
      <c r="P243" s="253"/>
      <c r="Q243" s="9"/>
      <c r="R243" s="9"/>
      <c r="S243" s="1">
        <v>14</v>
      </c>
    </row>
    <row r="244" spans="1:23" x14ac:dyDescent="0.35">
      <c r="A244" s="23">
        <v>44894</v>
      </c>
      <c r="B244" s="1" t="s">
        <v>50</v>
      </c>
      <c r="C244" s="1" t="s">
        <v>60</v>
      </c>
      <c r="D244" s="1">
        <v>1656</v>
      </c>
      <c r="E244" s="1">
        <v>1042</v>
      </c>
      <c r="F244" s="98">
        <v>0.64448857994041708</v>
      </c>
      <c r="G244" s="98">
        <v>6.1099796334012219E-2</v>
      </c>
      <c r="H244" s="1">
        <v>21686</v>
      </c>
      <c r="I244" s="1">
        <v>16674</v>
      </c>
      <c r="J244" s="1">
        <v>198912</v>
      </c>
      <c r="K244" s="1">
        <v>144055</v>
      </c>
      <c r="L244" s="18">
        <v>0.09</v>
      </c>
      <c r="M244" s="18">
        <v>0.37</v>
      </c>
      <c r="N244" s="18">
        <v>0.63</v>
      </c>
      <c r="O244" s="18">
        <v>0.96</v>
      </c>
      <c r="P244" s="253"/>
      <c r="Q244" s="9"/>
      <c r="R244" s="9"/>
      <c r="S244" s="1">
        <v>16</v>
      </c>
      <c r="U244">
        <f>AVERAGEIF(L349:L355,"&lt;&gt;0")</f>
        <v>0.85999999999999988</v>
      </c>
    </row>
    <row r="245" spans="1:23" x14ac:dyDescent="0.35">
      <c r="A245" s="23">
        <v>44895</v>
      </c>
      <c r="B245" s="1" t="s">
        <v>51</v>
      </c>
      <c r="C245" s="1" t="s">
        <v>60</v>
      </c>
      <c r="D245" s="1">
        <v>1525</v>
      </c>
      <c r="E245" s="1">
        <v>828</v>
      </c>
      <c r="F245" s="98">
        <v>0.44686907020872868</v>
      </c>
      <c r="G245" s="98">
        <v>-0.10775862068965517</v>
      </c>
      <c r="H245" s="1">
        <v>23211</v>
      </c>
      <c r="I245" s="1">
        <v>17502</v>
      </c>
      <c r="J245" s="1">
        <v>200437</v>
      </c>
      <c r="K245" s="1">
        <v>144883</v>
      </c>
      <c r="L245" s="18">
        <v>0.02</v>
      </c>
      <c r="M245" s="18">
        <v>0.46</v>
      </c>
      <c r="N245" s="18">
        <v>0.54</v>
      </c>
      <c r="O245" s="18">
        <v>0.94</v>
      </c>
      <c r="P245" s="253"/>
      <c r="Q245" s="9"/>
      <c r="R245" s="9"/>
      <c r="S245" s="1">
        <v>15</v>
      </c>
    </row>
    <row r="246" spans="1:23" s="54" customFormat="1" x14ac:dyDescent="0.35">
      <c r="A246" s="58">
        <v>44896</v>
      </c>
      <c r="B246" s="56" t="s">
        <v>52</v>
      </c>
      <c r="C246" s="56" t="s">
        <v>60</v>
      </c>
      <c r="D246" s="56">
        <v>1363</v>
      </c>
      <c r="E246" s="56">
        <v>769</v>
      </c>
      <c r="F246" s="184">
        <v>0.25622119815668204</v>
      </c>
      <c r="G246" s="184">
        <v>0</v>
      </c>
      <c r="H246" s="56">
        <v>1363</v>
      </c>
      <c r="I246" s="56">
        <v>769</v>
      </c>
      <c r="J246" s="56">
        <v>201800</v>
      </c>
      <c r="K246" s="56">
        <v>145652</v>
      </c>
      <c r="L246" s="57">
        <v>7.0000000000000007E-2</v>
      </c>
      <c r="M246" s="57">
        <v>0.44</v>
      </c>
      <c r="N246" s="57">
        <v>0.56000000000000005</v>
      </c>
      <c r="O246" s="57">
        <v>0.59</v>
      </c>
      <c r="P246" s="253"/>
      <c r="Q246" s="164"/>
      <c r="R246" s="164"/>
      <c r="S246" s="56">
        <v>12</v>
      </c>
      <c r="U246"/>
      <c r="V246"/>
      <c r="W246"/>
    </row>
    <row r="247" spans="1:23" x14ac:dyDescent="0.35">
      <c r="A247" s="23">
        <v>44897</v>
      </c>
      <c r="B247" s="1" t="s">
        <v>53</v>
      </c>
      <c r="C247" s="1" t="s">
        <v>60</v>
      </c>
      <c r="D247" s="1">
        <v>1309</v>
      </c>
      <c r="E247" s="1">
        <v>815</v>
      </c>
      <c r="F247" s="98">
        <v>1.1591962905718702E-2</v>
      </c>
      <c r="G247" s="98">
        <v>-0.2631103074141049</v>
      </c>
      <c r="H247" s="1">
        <v>2672</v>
      </c>
      <c r="I247" s="1">
        <v>1584</v>
      </c>
      <c r="J247" s="1">
        <v>203109</v>
      </c>
      <c r="K247" s="1">
        <v>146467</v>
      </c>
      <c r="L247" s="18">
        <v>7.0000000000000007E-2</v>
      </c>
      <c r="M247" s="18">
        <v>0.38</v>
      </c>
      <c r="N247" s="18">
        <v>0.62</v>
      </c>
      <c r="O247" s="18">
        <v>0.69</v>
      </c>
      <c r="P247" s="253"/>
      <c r="Q247" s="9"/>
      <c r="R247" s="9"/>
      <c r="S247" s="1">
        <v>11</v>
      </c>
    </row>
    <row r="248" spans="1:23" x14ac:dyDescent="0.35">
      <c r="A248" s="23">
        <v>44898</v>
      </c>
      <c r="B248" s="1" t="s">
        <v>54</v>
      </c>
      <c r="C248" s="1" t="s">
        <v>60</v>
      </c>
      <c r="D248" s="1">
        <v>1066</v>
      </c>
      <c r="E248" s="1">
        <v>556</v>
      </c>
      <c r="F248" s="98">
        <v>-3.0027297543221108E-2</v>
      </c>
      <c r="G248" s="98">
        <v>-0.26649076517150394</v>
      </c>
      <c r="H248" s="1">
        <v>3738</v>
      </c>
      <c r="I248" s="1">
        <v>2140</v>
      </c>
      <c r="J248" s="1">
        <v>204175</v>
      </c>
      <c r="K248" s="1">
        <v>147023</v>
      </c>
      <c r="L248" s="18">
        <v>7.0000000000000007E-2</v>
      </c>
      <c r="M248" s="18">
        <v>0.48</v>
      </c>
      <c r="N248" s="18">
        <v>0.52</v>
      </c>
      <c r="O248" s="18">
        <v>0.64</v>
      </c>
      <c r="P248" s="253"/>
      <c r="Q248" s="9"/>
      <c r="R248" s="9"/>
      <c r="S248" s="1">
        <v>8</v>
      </c>
    </row>
    <row r="249" spans="1:23" x14ac:dyDescent="0.35">
      <c r="A249" s="23">
        <v>44899</v>
      </c>
      <c r="B249" s="1" t="s">
        <v>48</v>
      </c>
      <c r="C249" s="1" t="s">
        <v>60</v>
      </c>
      <c r="D249" s="1">
        <v>172</v>
      </c>
      <c r="E249" s="1">
        <v>147</v>
      </c>
      <c r="F249" s="98">
        <v>-0.36764705882352944</v>
      </c>
      <c r="G249" s="98">
        <v>-0.29326923076923078</v>
      </c>
      <c r="H249" s="1">
        <v>3910</v>
      </c>
      <c r="I249" s="1">
        <v>2287</v>
      </c>
      <c r="J249" s="1">
        <v>204347</v>
      </c>
      <c r="K249" s="1">
        <v>147170</v>
      </c>
      <c r="L249" s="18">
        <v>0.56000000000000005</v>
      </c>
      <c r="M249" s="18">
        <v>0.15</v>
      </c>
      <c r="N249" s="18">
        <v>0.85</v>
      </c>
      <c r="O249" s="18">
        <v>0.27</v>
      </c>
      <c r="P249" s="253"/>
      <c r="Q249" s="9"/>
      <c r="R249" s="9"/>
      <c r="S249" s="1">
        <v>5</v>
      </c>
    </row>
    <row r="250" spans="1:23" x14ac:dyDescent="0.35">
      <c r="A250" s="23">
        <v>44900</v>
      </c>
      <c r="B250" s="1" t="s">
        <v>49</v>
      </c>
      <c r="C250" s="1" t="s">
        <v>60</v>
      </c>
      <c r="D250" s="1">
        <v>1292</v>
      </c>
      <c r="E250" s="1">
        <v>857</v>
      </c>
      <c r="F250" s="98">
        <v>-0.28697571743929362</v>
      </c>
      <c r="G250" s="98">
        <v>-0.13869346733668342</v>
      </c>
      <c r="H250" s="1">
        <v>5202</v>
      </c>
      <c r="I250" s="1">
        <v>3144</v>
      </c>
      <c r="J250" s="1">
        <v>205639</v>
      </c>
      <c r="K250" s="1">
        <v>148027</v>
      </c>
      <c r="L250" s="18">
        <v>0.13</v>
      </c>
      <c r="M250" s="18">
        <v>0.34</v>
      </c>
      <c r="N250" s="18">
        <v>0.66</v>
      </c>
      <c r="O250" s="18">
        <v>0.66</v>
      </c>
      <c r="P250" s="253"/>
      <c r="Q250" s="9"/>
      <c r="R250" s="9"/>
      <c r="S250" s="1">
        <v>12</v>
      </c>
    </row>
    <row r="251" spans="1:23" x14ac:dyDescent="0.35">
      <c r="A251" s="23">
        <v>44901</v>
      </c>
      <c r="B251" s="1" t="s">
        <v>50</v>
      </c>
      <c r="C251" s="1" t="s">
        <v>60</v>
      </c>
      <c r="D251" s="1">
        <v>1135</v>
      </c>
      <c r="E251" s="1">
        <v>900</v>
      </c>
      <c r="F251" s="98">
        <v>-0.31461352657004832</v>
      </c>
      <c r="G251" s="98">
        <v>-0.1362763915547025</v>
      </c>
      <c r="H251" s="1">
        <v>6337</v>
      </c>
      <c r="I251" s="1">
        <v>4044</v>
      </c>
      <c r="J251" s="1">
        <v>206774</v>
      </c>
      <c r="K251" s="1">
        <v>148927</v>
      </c>
      <c r="L251" s="18">
        <v>0.37</v>
      </c>
      <c r="M251" s="18">
        <v>0.21</v>
      </c>
      <c r="N251" s="18">
        <v>0.79</v>
      </c>
      <c r="O251" s="18">
        <v>0.64</v>
      </c>
      <c r="P251" s="253"/>
      <c r="Q251" s="9"/>
      <c r="R251" s="9"/>
      <c r="S251" s="1">
        <v>13</v>
      </c>
    </row>
    <row r="252" spans="1:23" x14ac:dyDescent="0.35">
      <c r="A252" s="23">
        <v>44902</v>
      </c>
      <c r="B252" s="1" t="s">
        <v>51</v>
      </c>
      <c r="C252" s="1" t="s">
        <v>60</v>
      </c>
      <c r="D252" s="1">
        <v>1240</v>
      </c>
      <c r="E252" s="1">
        <v>773</v>
      </c>
      <c r="F252" s="98">
        <v>-0.18688524590163935</v>
      </c>
      <c r="G252" s="98">
        <v>-6.6425120772946863E-2</v>
      </c>
      <c r="H252" s="1">
        <v>7577</v>
      </c>
      <c r="I252" s="1">
        <v>4817</v>
      </c>
      <c r="J252" s="1">
        <v>208014</v>
      </c>
      <c r="K252" s="1">
        <v>149700</v>
      </c>
      <c r="L252" s="18">
        <v>0.06</v>
      </c>
      <c r="M252" s="18">
        <v>0.21</v>
      </c>
      <c r="N252" s="18">
        <v>0.79</v>
      </c>
      <c r="O252" s="18">
        <v>0.72</v>
      </c>
      <c r="P252" s="253"/>
      <c r="Q252" s="86"/>
      <c r="R252" s="86"/>
      <c r="S252" s="1">
        <v>10</v>
      </c>
    </row>
    <row r="253" spans="1:23" x14ac:dyDescent="0.35">
      <c r="A253" s="23">
        <v>44903</v>
      </c>
      <c r="B253" s="1" t="s">
        <v>52</v>
      </c>
      <c r="C253" s="1" t="s">
        <v>60</v>
      </c>
      <c r="D253" s="1">
        <v>1143</v>
      </c>
      <c r="E253" s="1">
        <v>705</v>
      </c>
      <c r="F253" s="98">
        <v>-0.16140865737344093</v>
      </c>
      <c r="G253" s="98">
        <v>-8.3224967490247076E-2</v>
      </c>
      <c r="H253" s="1">
        <v>8720</v>
      </c>
      <c r="I253" s="1">
        <v>5522</v>
      </c>
      <c r="J253" s="1">
        <v>209157</v>
      </c>
      <c r="K253" s="1">
        <v>150405</v>
      </c>
      <c r="L253" s="18">
        <v>0.12</v>
      </c>
      <c r="M253" s="18">
        <v>0.38</v>
      </c>
      <c r="N253" s="18">
        <v>0.62</v>
      </c>
      <c r="O253" s="18">
        <v>0.54</v>
      </c>
      <c r="P253" s="253"/>
      <c r="Q253" s="86"/>
      <c r="R253" s="86"/>
      <c r="S253" s="1">
        <v>12</v>
      </c>
    </row>
    <row r="254" spans="1:23" x14ac:dyDescent="0.35">
      <c r="A254" s="23">
        <v>44904</v>
      </c>
      <c r="B254" s="1" t="s">
        <v>53</v>
      </c>
      <c r="C254" s="1" t="s">
        <v>60</v>
      </c>
      <c r="D254" s="1">
        <v>1008</v>
      </c>
      <c r="E254" s="1">
        <v>725</v>
      </c>
      <c r="F254" s="98">
        <v>-0.22994652406417113</v>
      </c>
      <c r="G254" s="98">
        <v>-0.11042944785276074</v>
      </c>
      <c r="H254" s="1">
        <v>9728</v>
      </c>
      <c r="I254" s="1">
        <v>6247</v>
      </c>
      <c r="J254" s="1">
        <v>210165</v>
      </c>
      <c r="K254" s="1">
        <v>151130</v>
      </c>
      <c r="L254" s="18">
        <v>0.28000000000000003</v>
      </c>
      <c r="M254" s="18">
        <v>0.28000000000000003</v>
      </c>
      <c r="N254" s="18">
        <v>0.72</v>
      </c>
      <c r="O254" s="18">
        <v>0.52</v>
      </c>
      <c r="P254" s="253"/>
      <c r="Q254" s="86"/>
      <c r="R254" s="86"/>
      <c r="S254" s="1">
        <v>13</v>
      </c>
    </row>
    <row r="255" spans="1:23" x14ac:dyDescent="0.35">
      <c r="A255" s="23">
        <v>44905</v>
      </c>
      <c r="B255" s="1" t="s">
        <v>54</v>
      </c>
      <c r="C255" s="1" t="s">
        <v>60</v>
      </c>
      <c r="D255" s="1">
        <v>1028</v>
      </c>
      <c r="E255" s="1">
        <v>745</v>
      </c>
      <c r="F255" s="98">
        <v>-3.5647279549718573E-2</v>
      </c>
      <c r="G255" s="98">
        <v>0.33992805755395683</v>
      </c>
      <c r="H255" s="1">
        <v>10756</v>
      </c>
      <c r="I255" s="1">
        <v>6992</v>
      </c>
      <c r="J255" s="1">
        <v>211193</v>
      </c>
      <c r="K255" s="1">
        <v>151875</v>
      </c>
      <c r="L255" s="18">
        <v>0.24</v>
      </c>
      <c r="M255" s="18">
        <v>0.28000000000000003</v>
      </c>
      <c r="N255" s="18">
        <v>0.72</v>
      </c>
      <c r="O255" s="18">
        <v>0.86</v>
      </c>
      <c r="P255" s="253"/>
      <c r="Q255" s="86"/>
      <c r="R255" s="86"/>
      <c r="S255" s="1">
        <v>8</v>
      </c>
    </row>
    <row r="256" spans="1:23" x14ac:dyDescent="0.35">
      <c r="A256" s="23">
        <v>44906</v>
      </c>
      <c r="B256" s="1" t="s">
        <v>48</v>
      </c>
      <c r="C256" s="1" t="s">
        <v>60</v>
      </c>
      <c r="D256" s="1">
        <v>210</v>
      </c>
      <c r="E256" s="1">
        <v>209</v>
      </c>
      <c r="F256" s="98">
        <v>0.22093023255813954</v>
      </c>
      <c r="G256" s="98">
        <v>0.42176870748299322</v>
      </c>
      <c r="H256" s="1">
        <v>10966</v>
      </c>
      <c r="I256" s="1">
        <v>7201</v>
      </c>
      <c r="J256" s="1">
        <v>211403</v>
      </c>
      <c r="K256" s="1">
        <v>152084</v>
      </c>
      <c r="L256" s="18">
        <v>1</v>
      </c>
      <c r="M256" s="18">
        <v>0</v>
      </c>
      <c r="N256" s="18">
        <v>1</v>
      </c>
      <c r="O256" s="18">
        <v>0.48</v>
      </c>
      <c r="P256" s="253"/>
      <c r="Q256" s="86"/>
      <c r="R256" s="86"/>
      <c r="S256" s="1">
        <v>4</v>
      </c>
      <c r="U256" s="219">
        <f>AVERAGEIF(Q279:Q341,"&lt;&gt;0")</f>
        <v>3.5075874485596716E-3</v>
      </c>
    </row>
    <row r="257" spans="1:23" x14ac:dyDescent="0.35">
      <c r="A257" s="23">
        <v>44907</v>
      </c>
      <c r="B257" s="1" t="s">
        <v>49</v>
      </c>
      <c r="C257" s="1" t="s">
        <v>60</v>
      </c>
      <c r="D257" s="1">
        <v>1121</v>
      </c>
      <c r="E257" s="1">
        <v>995</v>
      </c>
      <c r="F257" s="98">
        <v>-0.13235294117647059</v>
      </c>
      <c r="G257" s="98">
        <v>0.16102683780630106</v>
      </c>
      <c r="H257" s="1">
        <v>12087</v>
      </c>
      <c r="I257" s="1">
        <v>8196</v>
      </c>
      <c r="J257" s="1">
        <v>212524</v>
      </c>
      <c r="K257" s="1">
        <v>153079</v>
      </c>
      <c r="L257" s="18">
        <v>0.56999999999999995</v>
      </c>
      <c r="M257" s="18">
        <v>0.11</v>
      </c>
      <c r="N257" s="18">
        <v>0.89</v>
      </c>
      <c r="O257" s="18">
        <v>0.66</v>
      </c>
      <c r="P257" s="253"/>
      <c r="Q257" s="86"/>
      <c r="R257" s="86"/>
      <c r="S257" s="1">
        <v>14</v>
      </c>
    </row>
    <row r="258" spans="1:23" x14ac:dyDescent="0.35">
      <c r="A258" s="23">
        <v>44908</v>
      </c>
      <c r="B258" s="1" t="s">
        <v>50</v>
      </c>
      <c r="C258" s="1" t="s">
        <v>60</v>
      </c>
      <c r="D258" s="1">
        <v>1165</v>
      </c>
      <c r="E258" s="1">
        <v>961</v>
      </c>
      <c r="F258" s="98">
        <v>2.643171806167401E-2</v>
      </c>
      <c r="G258" s="98">
        <v>6.7777777777777784E-2</v>
      </c>
      <c r="H258" s="1">
        <v>13252</v>
      </c>
      <c r="I258" s="1">
        <v>9157</v>
      </c>
      <c r="J258" s="1">
        <v>213689</v>
      </c>
      <c r="K258" s="1">
        <v>154040</v>
      </c>
      <c r="L258" s="18">
        <v>0.67</v>
      </c>
      <c r="M258" s="18">
        <v>0.18</v>
      </c>
      <c r="N258" s="18">
        <v>0.82</v>
      </c>
      <c r="O258" s="18">
        <v>0.59</v>
      </c>
      <c r="P258" s="253"/>
      <c r="Q258" s="86"/>
      <c r="R258" s="86"/>
      <c r="S258" s="1">
        <v>15</v>
      </c>
    </row>
    <row r="259" spans="1:23" x14ac:dyDescent="0.35">
      <c r="A259" s="23">
        <v>44909</v>
      </c>
      <c r="B259" s="1" t="s">
        <v>51</v>
      </c>
      <c r="C259" s="1" t="s">
        <v>60</v>
      </c>
      <c r="D259" s="1">
        <v>1077</v>
      </c>
      <c r="E259" s="1">
        <v>948</v>
      </c>
      <c r="F259" s="98">
        <v>-0.1314516129032258</v>
      </c>
      <c r="G259" s="98">
        <v>0.22639068564036222</v>
      </c>
      <c r="H259" s="1">
        <v>14329</v>
      </c>
      <c r="I259" s="1">
        <v>10105</v>
      </c>
      <c r="J259" s="1">
        <v>214766</v>
      </c>
      <c r="K259" s="1">
        <v>154988</v>
      </c>
      <c r="L259" s="18">
        <v>0.64</v>
      </c>
      <c r="M259" s="18">
        <v>0.12</v>
      </c>
      <c r="N259" s="18">
        <v>0.88</v>
      </c>
      <c r="O259" s="18">
        <v>0.63</v>
      </c>
      <c r="P259" s="253"/>
      <c r="Q259" s="86"/>
      <c r="R259" s="86"/>
      <c r="S259" s="1">
        <v>14</v>
      </c>
    </row>
    <row r="260" spans="1:23" x14ac:dyDescent="0.35">
      <c r="A260" s="23">
        <v>44910</v>
      </c>
      <c r="B260" s="1" t="s">
        <v>52</v>
      </c>
      <c r="C260" s="1" t="s">
        <v>60</v>
      </c>
      <c r="D260" s="1">
        <v>1006</v>
      </c>
      <c r="E260" s="1">
        <v>905</v>
      </c>
      <c r="F260" s="98">
        <v>-0.11986001749781278</v>
      </c>
      <c r="G260" s="98">
        <v>0.28368794326241137</v>
      </c>
      <c r="H260" s="1">
        <v>15335</v>
      </c>
      <c r="I260" s="1">
        <v>11010</v>
      </c>
      <c r="J260" s="1">
        <v>215772</v>
      </c>
      <c r="K260" s="1">
        <v>155893</v>
      </c>
      <c r="L260" s="18">
        <v>0.61</v>
      </c>
      <c r="M260" s="18">
        <v>0.1</v>
      </c>
      <c r="N260" s="18">
        <v>0.9</v>
      </c>
      <c r="O260" s="18">
        <v>0.56000000000000005</v>
      </c>
      <c r="P260" s="253"/>
      <c r="Q260" s="86"/>
      <c r="R260" s="86"/>
      <c r="S260" s="1">
        <v>15</v>
      </c>
    </row>
    <row r="261" spans="1:23" x14ac:dyDescent="0.35">
      <c r="A261" s="23">
        <v>44911</v>
      </c>
      <c r="B261" s="1" t="s">
        <v>53</v>
      </c>
      <c r="C261" s="1" t="s">
        <v>60</v>
      </c>
      <c r="D261" s="1">
        <v>991</v>
      </c>
      <c r="E261" s="1">
        <v>905</v>
      </c>
      <c r="F261" s="98">
        <v>-1.6865079365079364E-2</v>
      </c>
      <c r="G261" s="98">
        <v>0.24827586206896551</v>
      </c>
      <c r="H261" s="1">
        <v>16326</v>
      </c>
      <c r="I261" s="1">
        <v>11915</v>
      </c>
      <c r="J261" s="1">
        <v>216763</v>
      </c>
      <c r="K261" s="1">
        <v>156798</v>
      </c>
      <c r="L261" s="18">
        <v>0.72</v>
      </c>
      <c r="M261" s="18">
        <v>0.09</v>
      </c>
      <c r="N261" s="18">
        <v>0.91</v>
      </c>
      <c r="O261" s="18">
        <v>0.6</v>
      </c>
      <c r="P261" s="253"/>
      <c r="Q261" s="86"/>
      <c r="R261" s="86"/>
      <c r="S261" s="1">
        <v>14</v>
      </c>
    </row>
    <row r="262" spans="1:23" x14ac:dyDescent="0.35">
      <c r="A262" s="23">
        <v>44912</v>
      </c>
      <c r="B262" s="1" t="s">
        <v>54</v>
      </c>
      <c r="C262" s="1" t="s">
        <v>60</v>
      </c>
      <c r="D262" s="1">
        <v>1346</v>
      </c>
      <c r="E262" s="1">
        <v>969</v>
      </c>
      <c r="F262" s="98">
        <v>0.30933852140077822</v>
      </c>
      <c r="G262" s="98">
        <v>0.30067114093959729</v>
      </c>
      <c r="H262" s="1">
        <v>17672</v>
      </c>
      <c r="I262" s="1">
        <v>12884</v>
      </c>
      <c r="J262" s="1">
        <v>218109</v>
      </c>
      <c r="K262" s="1">
        <v>157767</v>
      </c>
      <c r="L262" s="18">
        <v>0.3</v>
      </c>
      <c r="M262" s="18">
        <v>0.28000000000000003</v>
      </c>
      <c r="N262" s="18">
        <v>0.72</v>
      </c>
      <c r="O262" s="18">
        <v>0.9</v>
      </c>
      <c r="P262" s="253"/>
      <c r="Q262" s="86"/>
      <c r="R262" s="86"/>
      <c r="S262" s="1">
        <v>10</v>
      </c>
    </row>
    <row r="263" spans="1:23" x14ac:dyDescent="0.35">
      <c r="A263" s="23">
        <v>44913</v>
      </c>
      <c r="B263" s="1" t="s">
        <v>48</v>
      </c>
      <c r="C263" s="1" t="s">
        <v>60</v>
      </c>
      <c r="D263" s="1">
        <v>169</v>
      </c>
      <c r="E263" s="1">
        <v>152</v>
      </c>
      <c r="F263" s="98">
        <v>-0.19523809523809524</v>
      </c>
      <c r="G263" s="98">
        <v>-0.27272727272727271</v>
      </c>
      <c r="H263" s="1">
        <v>17841</v>
      </c>
      <c r="I263" s="1">
        <v>13036</v>
      </c>
      <c r="J263" s="1">
        <v>218278</v>
      </c>
      <c r="K263" s="1">
        <v>157919</v>
      </c>
      <c r="L263" s="18">
        <v>0.61</v>
      </c>
      <c r="M263" s="18">
        <v>0.1</v>
      </c>
      <c r="N263" s="18">
        <v>0.9</v>
      </c>
      <c r="O263" s="18">
        <v>0.35</v>
      </c>
      <c r="P263" s="253"/>
      <c r="Q263" s="86"/>
      <c r="R263" s="86"/>
      <c r="S263" s="1">
        <v>4</v>
      </c>
    </row>
    <row r="264" spans="1:23" x14ac:dyDescent="0.35">
      <c r="A264" s="23">
        <v>44914</v>
      </c>
      <c r="B264" s="1" t="s">
        <v>49</v>
      </c>
      <c r="C264" s="1" t="s">
        <v>60</v>
      </c>
      <c r="D264" s="1">
        <v>1190</v>
      </c>
      <c r="E264" s="1">
        <v>1079</v>
      </c>
      <c r="F264" s="98">
        <f>IFERROR((Table6[[#This Row],[Calls Off]]-D257)/D257,0)</f>
        <v>6.1552185548617307E-2</v>
      </c>
      <c r="G264" s="98">
        <f>IFERROR((Table6[[#This Row],[Calls Ans]]-E257)/E257,0)</f>
        <v>8.4422110552763815E-2</v>
      </c>
      <c r="H264" s="1">
        <f>H263+Table6[[#This Row],[Calls Off]]</f>
        <v>19031</v>
      </c>
      <c r="I264" s="1">
        <f>I263+Table6[[#This Row],[Calls Ans]]</f>
        <v>14115</v>
      </c>
      <c r="J264" s="1">
        <f>J263+Table6[[#This Row],[Calls Off]]</f>
        <v>219468</v>
      </c>
      <c r="K264" s="1">
        <f>K263+Table6[[#This Row],[Calls Ans]]</f>
        <v>158998</v>
      </c>
      <c r="L264" s="18">
        <v>0.66</v>
      </c>
      <c r="M264" s="18">
        <v>0.09</v>
      </c>
      <c r="N264" s="18">
        <v>0.91</v>
      </c>
      <c r="O264" s="18">
        <v>0.71</v>
      </c>
      <c r="P264" s="253"/>
      <c r="Q264" s="86"/>
      <c r="R264" s="86"/>
      <c r="S264" s="1">
        <v>14</v>
      </c>
      <c r="U264" s="54"/>
      <c r="V264" s="54"/>
      <c r="W264" s="54"/>
    </row>
    <row r="265" spans="1:23" x14ac:dyDescent="0.35">
      <c r="A265" s="23">
        <v>44915</v>
      </c>
      <c r="B265" s="1" t="s">
        <v>50</v>
      </c>
      <c r="C265" s="1" t="s">
        <v>60</v>
      </c>
      <c r="D265" s="1">
        <v>1230</v>
      </c>
      <c r="E265" s="1">
        <v>845</v>
      </c>
      <c r="F265" s="98">
        <f>IFERROR((Table6[[#This Row],[Calls Off]]-D258)/D258,0)</f>
        <v>5.5793991416309016E-2</v>
      </c>
      <c r="G265" s="98">
        <f>IFERROR((Table6[[#This Row],[Calls Ans]]-E258)/E258,0)</f>
        <v>-0.12070759625390219</v>
      </c>
      <c r="H265" s="1">
        <f>H264+Table6[[#This Row],[Calls Off]]</f>
        <v>20261</v>
      </c>
      <c r="I265" s="1">
        <f>I264+Table6[[#This Row],[Calls Ans]]</f>
        <v>14960</v>
      </c>
      <c r="J265" s="1">
        <f>J264+Table6[[#This Row],[Calls Off]]</f>
        <v>220698</v>
      </c>
      <c r="K265" s="1">
        <f>K264+Table6[[#This Row],[Calls Ans]]</f>
        <v>159843</v>
      </c>
      <c r="L265" s="18">
        <v>0.24</v>
      </c>
      <c r="M265" s="18">
        <v>0.31</v>
      </c>
      <c r="N265" s="18">
        <v>0.69</v>
      </c>
      <c r="O265" s="18">
        <v>0.71</v>
      </c>
      <c r="P265" s="253"/>
      <c r="Q265" s="86"/>
      <c r="R265" s="86"/>
      <c r="S265" s="1">
        <v>11</v>
      </c>
    </row>
    <row r="266" spans="1:23" x14ac:dyDescent="0.35">
      <c r="A266" s="23">
        <v>44916</v>
      </c>
      <c r="B266" s="1" t="s">
        <v>51</v>
      </c>
      <c r="C266" s="1" t="s">
        <v>60</v>
      </c>
      <c r="D266" s="1">
        <v>1321</v>
      </c>
      <c r="E266" s="1">
        <v>867</v>
      </c>
      <c r="F266" s="98">
        <f>IFERROR((Table6[[#This Row],[Calls Off]]-D259)/D259,0)</f>
        <v>0.2265552460538533</v>
      </c>
      <c r="G266" s="98">
        <f>IFERROR((Table6[[#This Row],[Calls Ans]]-E259)/E259,0)</f>
        <v>-8.5443037974683542E-2</v>
      </c>
      <c r="H266" s="1">
        <f>H265+Table6[[#This Row],[Calls Off]]</f>
        <v>21582</v>
      </c>
      <c r="I266" s="1">
        <f>I265+Table6[[#This Row],[Calls Ans]]</f>
        <v>15827</v>
      </c>
      <c r="J266" s="1">
        <f>J265+Table6[[#This Row],[Calls Off]]</f>
        <v>222019</v>
      </c>
      <c r="K266" s="1">
        <f>K265+Table6[[#This Row],[Calls Ans]]</f>
        <v>160710</v>
      </c>
      <c r="L266" s="18">
        <v>0.11</v>
      </c>
      <c r="M266" s="18">
        <v>0.34</v>
      </c>
      <c r="N266" s="18">
        <v>0.66</v>
      </c>
      <c r="O266" s="18">
        <v>0.67</v>
      </c>
      <c r="P266" s="253"/>
      <c r="Q266" s="86"/>
      <c r="R266" s="86"/>
      <c r="S266" s="1">
        <v>12</v>
      </c>
    </row>
    <row r="267" spans="1:23" x14ac:dyDescent="0.35">
      <c r="A267" s="23">
        <v>44917</v>
      </c>
      <c r="B267" s="1" t="s">
        <v>52</v>
      </c>
      <c r="C267" s="1" t="s">
        <v>60</v>
      </c>
      <c r="D267" s="1">
        <v>1294</v>
      </c>
      <c r="E267" s="1">
        <v>974</v>
      </c>
      <c r="F267" s="98">
        <f>IFERROR((Table6[[#This Row],[Calls Off]]-D260)/D260,0)</f>
        <v>0.28628230616302186</v>
      </c>
      <c r="G267" s="98">
        <f>IFERROR((Table6[[#This Row],[Calls Ans]]-E260)/E260,0)</f>
        <v>7.6243093922651939E-2</v>
      </c>
      <c r="H267" s="1">
        <f>H266+Table6[[#This Row],[Calls Off]]</f>
        <v>22876</v>
      </c>
      <c r="I267" s="1">
        <f>I266+Table6[[#This Row],[Calls Ans]]</f>
        <v>16801</v>
      </c>
      <c r="J267" s="1">
        <f>J266+Table6[[#This Row],[Calls Off]]</f>
        <v>223313</v>
      </c>
      <c r="K267" s="1">
        <f>K266+Table6[[#This Row],[Calls Ans]]</f>
        <v>161684</v>
      </c>
      <c r="L267" s="18">
        <v>0.27</v>
      </c>
      <c r="M267" s="18">
        <v>0.25</v>
      </c>
      <c r="N267" s="18">
        <v>0.75</v>
      </c>
      <c r="O267" s="18">
        <v>0.6</v>
      </c>
      <c r="P267" s="253"/>
      <c r="Q267" s="86"/>
      <c r="R267" s="86"/>
      <c r="S267" s="1">
        <v>15</v>
      </c>
    </row>
    <row r="268" spans="1:23" x14ac:dyDescent="0.35">
      <c r="A268" s="23">
        <v>44918</v>
      </c>
      <c r="B268" s="1" t="s">
        <v>53</v>
      </c>
      <c r="C268" s="1" t="s">
        <v>60</v>
      </c>
      <c r="D268" s="1">
        <v>1237</v>
      </c>
      <c r="E268" s="1">
        <v>886</v>
      </c>
      <c r="F268" s="98">
        <f>IFERROR((Table6[[#This Row],[Calls Off]]-D261)/D261,0)</f>
        <v>0.24823410696266399</v>
      </c>
      <c r="G268" s="98">
        <f>IFERROR((Table6[[#This Row],[Calls Ans]]-E261)/E261,0)</f>
        <v>-2.0994475138121547E-2</v>
      </c>
      <c r="H268" s="1">
        <f>H267+Table6[[#This Row],[Calls Off]]</f>
        <v>24113</v>
      </c>
      <c r="I268" s="1">
        <f>I267+Table6[[#This Row],[Calls Ans]]</f>
        <v>17687</v>
      </c>
      <c r="J268" s="1">
        <f>J267+Table6[[#This Row],[Calls Off]]</f>
        <v>224550</v>
      </c>
      <c r="K268" s="1">
        <f>K267+Table6[[#This Row],[Calls Ans]]</f>
        <v>162570</v>
      </c>
      <c r="L268" s="18">
        <v>0.23</v>
      </c>
      <c r="M268" s="18">
        <v>0.28000000000000003</v>
      </c>
      <c r="N268" s="18">
        <v>0.72</v>
      </c>
      <c r="O268" s="18">
        <v>0.51</v>
      </c>
      <c r="P268" s="253"/>
      <c r="Q268" s="86"/>
      <c r="R268" s="86"/>
      <c r="S268" s="1">
        <v>16</v>
      </c>
    </row>
    <row r="269" spans="1:23" x14ac:dyDescent="0.35">
      <c r="A269" s="23">
        <v>44919</v>
      </c>
      <c r="B269" s="1" t="s">
        <v>54</v>
      </c>
      <c r="C269" s="1" t="s">
        <v>60</v>
      </c>
      <c r="D269" s="1">
        <v>814</v>
      </c>
      <c r="E269" s="1">
        <v>597</v>
      </c>
      <c r="F269" s="98">
        <f>IFERROR((Table6[[#This Row],[Calls Off]]-D262)/D262,0)</f>
        <v>-0.3952451708766716</v>
      </c>
      <c r="G269" s="98">
        <f>IFERROR((Table6[[#This Row],[Calls Ans]]-E262)/E262,0)</f>
        <v>-0.38390092879256965</v>
      </c>
      <c r="H269" s="1">
        <f>H268+Table6[[#This Row],[Calls Off]]</f>
        <v>24927</v>
      </c>
      <c r="I269" s="1">
        <f>I268+Table6[[#This Row],[Calls Ans]]</f>
        <v>18284</v>
      </c>
      <c r="J269" s="1">
        <f>J268+Table6[[#This Row],[Calls Off]]</f>
        <v>225364</v>
      </c>
      <c r="K269" s="1">
        <f>K268+Table6[[#This Row],[Calls Ans]]</f>
        <v>163167</v>
      </c>
      <c r="L269" s="18">
        <v>0.27</v>
      </c>
      <c r="M269" s="18">
        <v>0.27</v>
      </c>
      <c r="N269" s="18">
        <v>0.73</v>
      </c>
      <c r="O269" s="18">
        <v>0.43</v>
      </c>
      <c r="P269" s="253"/>
      <c r="Q269" s="86"/>
      <c r="R269" s="86"/>
      <c r="S269" s="1">
        <v>13</v>
      </c>
    </row>
    <row r="270" spans="1:23" x14ac:dyDescent="0.35">
      <c r="A270" s="23">
        <v>44920</v>
      </c>
      <c r="B270" s="1" t="s">
        <v>48</v>
      </c>
      <c r="C270" s="1" t="s">
        <v>60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8">
        <v>0</v>
      </c>
      <c r="M270" s="18">
        <v>0</v>
      </c>
      <c r="N270" s="18">
        <v>0</v>
      </c>
      <c r="O270" s="18">
        <v>0</v>
      </c>
      <c r="P270" s="253"/>
      <c r="Q270" s="86"/>
      <c r="R270" s="86"/>
      <c r="S270" s="1">
        <v>0</v>
      </c>
    </row>
    <row r="271" spans="1:23" x14ac:dyDescent="0.35">
      <c r="A271" s="23">
        <v>44921</v>
      </c>
      <c r="B271" s="1" t="s">
        <v>49</v>
      </c>
      <c r="C271" s="1" t="s">
        <v>60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8">
        <v>0</v>
      </c>
      <c r="M271" s="18">
        <v>0</v>
      </c>
      <c r="N271" s="18">
        <v>0</v>
      </c>
      <c r="O271" s="18">
        <v>0</v>
      </c>
      <c r="P271" s="253"/>
      <c r="Q271" s="86"/>
      <c r="R271" s="86"/>
      <c r="S271" s="1">
        <v>0</v>
      </c>
    </row>
    <row r="272" spans="1:23" x14ac:dyDescent="0.35">
      <c r="A272" s="23">
        <v>44922</v>
      </c>
      <c r="B272" s="1" t="s">
        <v>50</v>
      </c>
      <c r="C272" s="1" t="s">
        <v>60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8">
        <v>0</v>
      </c>
      <c r="M272" s="18">
        <v>0</v>
      </c>
      <c r="N272" s="18">
        <v>0</v>
      </c>
      <c r="O272" s="18">
        <v>0</v>
      </c>
      <c r="P272" s="253"/>
      <c r="Q272" s="86"/>
      <c r="R272" s="86"/>
      <c r="S272" s="1">
        <v>0</v>
      </c>
    </row>
    <row r="273" spans="1:23" x14ac:dyDescent="0.35">
      <c r="A273" s="23">
        <v>44923</v>
      </c>
      <c r="B273" s="1" t="s">
        <v>51</v>
      </c>
      <c r="C273" s="1" t="s">
        <v>60</v>
      </c>
      <c r="D273" s="1">
        <v>1453</v>
      </c>
      <c r="E273" s="1">
        <v>906</v>
      </c>
      <c r="F273" s="98">
        <f>IFERROR((Table6[[#This Row],[Calls Off]]-D266)/D266,0)</f>
        <v>9.9924299772899322E-2</v>
      </c>
      <c r="G273" s="98">
        <f>IFERROR((Table6[[#This Row],[Calls Ans]]-E266)/E266,0)</f>
        <v>4.4982698961937718E-2</v>
      </c>
      <c r="H273" s="1">
        <f>H269+Table6[[#This Row],[Calls Off]]</f>
        <v>26380</v>
      </c>
      <c r="I273" s="1">
        <f>I269+Table6[[#This Row],[Calls Ans]]</f>
        <v>19190</v>
      </c>
      <c r="J273" s="1">
        <f>J269+Table6[[#This Row],[Calls Off]]</f>
        <v>226817</v>
      </c>
      <c r="K273" s="1">
        <f>K269+Table6[[#This Row],[Calls Ans]]</f>
        <v>164073</v>
      </c>
      <c r="L273" s="18">
        <v>0.08</v>
      </c>
      <c r="M273" s="18">
        <v>0.38</v>
      </c>
      <c r="N273" s="18">
        <v>0.62</v>
      </c>
      <c r="O273" s="18">
        <v>0.65</v>
      </c>
      <c r="P273" s="253"/>
      <c r="Q273" s="86"/>
      <c r="R273" s="86"/>
      <c r="S273" s="1">
        <v>13</v>
      </c>
    </row>
    <row r="274" spans="1:23" x14ac:dyDescent="0.35">
      <c r="A274" s="23">
        <v>44924</v>
      </c>
      <c r="B274" s="1" t="s">
        <v>52</v>
      </c>
      <c r="C274" s="1" t="s">
        <v>60</v>
      </c>
      <c r="D274" s="1">
        <v>1153</v>
      </c>
      <c r="E274" s="1">
        <v>922</v>
      </c>
      <c r="F274" s="98">
        <f>IFERROR((Table6[[#This Row],[Calls Off]]-D267)/D267,0)</f>
        <v>-0.10896445131375579</v>
      </c>
      <c r="G274" s="98">
        <f>IFERROR((Table6[[#This Row],[Calls Ans]]-E267)/E267,0)</f>
        <v>-5.3388090349075976E-2</v>
      </c>
      <c r="H274" s="1">
        <f>H273+Table6[[#This Row],[Calls Off]]</f>
        <v>27533</v>
      </c>
      <c r="I274" s="1">
        <f>I273+Table6[[#This Row],[Calls Ans]]</f>
        <v>20112</v>
      </c>
      <c r="J274" s="1">
        <f>J273+Table6[[#This Row],[Calls Off]]</f>
        <v>227970</v>
      </c>
      <c r="K274" s="1">
        <f>K273+Table6[[#This Row],[Calls Ans]]</f>
        <v>164995</v>
      </c>
      <c r="L274" s="18">
        <v>0.39</v>
      </c>
      <c r="M274" s="18">
        <v>0.2</v>
      </c>
      <c r="N274" s="18">
        <v>0.8</v>
      </c>
      <c r="O274" s="18">
        <v>0.61</v>
      </c>
      <c r="P274" s="253"/>
      <c r="Q274" s="86"/>
      <c r="R274" s="86"/>
      <c r="S274" s="1">
        <v>14</v>
      </c>
    </row>
    <row r="275" spans="1:23" x14ac:dyDescent="0.35">
      <c r="A275" s="23">
        <v>44925</v>
      </c>
      <c r="B275" s="1" t="s">
        <v>53</v>
      </c>
      <c r="C275" s="1" t="s">
        <v>60</v>
      </c>
      <c r="D275" s="1">
        <v>1115</v>
      </c>
      <c r="E275" s="1">
        <v>718</v>
      </c>
      <c r="F275" s="98">
        <f>IFERROR((Table6[[#This Row],[Calls Off]]-D268)/D268,0)</f>
        <v>-9.8625707356507678E-2</v>
      </c>
      <c r="G275" s="98">
        <f>IFERROR((Table6[[#This Row],[Calls Ans]]-E268)/E268,0)</f>
        <v>-0.18961625282167044</v>
      </c>
      <c r="H275" s="1">
        <f>H274+Table6[[#This Row],[Calls Off]]</f>
        <v>28648</v>
      </c>
      <c r="I275" s="1">
        <f>I274+Table6[[#This Row],[Calls Ans]]</f>
        <v>20830</v>
      </c>
      <c r="J275" s="1">
        <f>J274+Table6[[#This Row],[Calls Off]]</f>
        <v>229085</v>
      </c>
      <c r="K275" s="1">
        <f>K274+Table6[[#This Row],[Calls Ans]]</f>
        <v>165713</v>
      </c>
      <c r="L275" s="18">
        <v>0.13</v>
      </c>
      <c r="M275" s="18">
        <v>0.36</v>
      </c>
      <c r="N275" s="18">
        <v>0.64</v>
      </c>
      <c r="O275" s="18">
        <v>0.51</v>
      </c>
      <c r="P275" s="253"/>
      <c r="Q275" s="86"/>
      <c r="R275" s="86"/>
      <c r="S275" s="1">
        <v>13</v>
      </c>
    </row>
    <row r="276" spans="1:23" x14ac:dyDescent="0.35">
      <c r="A276" s="23">
        <v>44926</v>
      </c>
      <c r="B276" s="1" t="s">
        <v>54</v>
      </c>
      <c r="C276" s="1" t="s">
        <v>60</v>
      </c>
      <c r="D276" s="1">
        <v>818</v>
      </c>
      <c r="E276" s="1">
        <v>564</v>
      </c>
      <c r="F276" s="98">
        <f>IFERROR((Table6[[#This Row],[Calls Off]]-D269)/D269,0)</f>
        <v>4.9140049140049139E-3</v>
      </c>
      <c r="G276" s="98">
        <f>IFERROR((Table6[[#This Row],[Calls Ans]]-E269)/E269,0)</f>
        <v>-5.5276381909547742E-2</v>
      </c>
      <c r="H276" s="1">
        <f>H275+Table6[[#This Row],[Calls Off]]</f>
        <v>29466</v>
      </c>
      <c r="I276" s="1">
        <f>I275+Table6[[#This Row],[Calls Ans]]</f>
        <v>21394</v>
      </c>
      <c r="J276" s="1">
        <f>J275+Table6[[#This Row],[Calls Off]]</f>
        <v>229903</v>
      </c>
      <c r="K276" s="1">
        <f>K275+Table6[[#This Row],[Calls Ans]]</f>
        <v>166277</v>
      </c>
      <c r="L276" s="18">
        <v>0.27</v>
      </c>
      <c r="M276" s="18">
        <v>0.31</v>
      </c>
      <c r="N276" s="18">
        <v>0.69</v>
      </c>
      <c r="O276" s="18">
        <v>1.31</v>
      </c>
      <c r="P276" s="253"/>
      <c r="Q276" s="86"/>
      <c r="R276" s="86"/>
      <c r="S276" s="1">
        <v>4</v>
      </c>
      <c r="U276">
        <f>AVERAGEIF(D2:D341,"&lt;&gt;0")</f>
        <v>979.56097560975604</v>
      </c>
    </row>
    <row r="277" spans="1:23" s="53" customFormat="1" x14ac:dyDescent="0.35">
      <c r="A277" s="192">
        <v>44927</v>
      </c>
      <c r="B277" s="74" t="s">
        <v>48</v>
      </c>
      <c r="C277" s="74" t="s">
        <v>60</v>
      </c>
      <c r="D277" s="74">
        <v>0</v>
      </c>
      <c r="E277" s="74">
        <v>0</v>
      </c>
      <c r="F277" s="74">
        <v>0</v>
      </c>
      <c r="G277" s="74">
        <v>0</v>
      </c>
      <c r="H277" s="74">
        <v>0</v>
      </c>
      <c r="I277" s="74">
        <v>0</v>
      </c>
      <c r="J277" s="74">
        <v>0</v>
      </c>
      <c r="K277" s="74">
        <v>0</v>
      </c>
      <c r="L277" s="2">
        <v>0</v>
      </c>
      <c r="M277" s="2">
        <v>0</v>
      </c>
      <c r="N277" s="2">
        <v>0</v>
      </c>
      <c r="O277" s="2">
        <v>0</v>
      </c>
      <c r="P277" s="253"/>
      <c r="Q277" s="100"/>
      <c r="R277" s="100"/>
      <c r="S277" s="259">
        <v>0</v>
      </c>
      <c r="U277"/>
      <c r="V277"/>
      <c r="W277"/>
    </row>
    <row r="278" spans="1:23" x14ac:dyDescent="0.35">
      <c r="A278" s="23">
        <v>44928</v>
      </c>
      <c r="B278" s="1" t="s">
        <v>49</v>
      </c>
      <c r="C278" s="1" t="s">
        <v>60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8">
        <v>0</v>
      </c>
      <c r="M278" s="18">
        <v>0</v>
      </c>
      <c r="N278" s="18">
        <v>0</v>
      </c>
      <c r="O278" s="18">
        <v>0</v>
      </c>
      <c r="P278" s="253"/>
      <c r="Q278" s="86"/>
      <c r="R278" s="86"/>
      <c r="S278" s="233">
        <v>0</v>
      </c>
    </row>
    <row r="279" spans="1:23" x14ac:dyDescent="0.35">
      <c r="A279" s="23">
        <v>44929</v>
      </c>
      <c r="B279" s="1" t="s">
        <v>50</v>
      </c>
      <c r="C279" s="1" t="s">
        <v>60</v>
      </c>
      <c r="D279" s="1">
        <v>1079</v>
      </c>
      <c r="E279" s="1">
        <v>1026</v>
      </c>
      <c r="F279" s="98">
        <f>IFERROR((Table6[[#This Row],[Calls Off]]-D272)/D272,0)</f>
        <v>0</v>
      </c>
      <c r="G279" s="98">
        <f>IFERROR((Table6[[#This Row],[Calls Ans]]-E272)/E272,0)</f>
        <v>0</v>
      </c>
      <c r="H279" s="1">
        <f>Table6[[#This Row],[Calls Off]]</f>
        <v>1079</v>
      </c>
      <c r="I279" s="1">
        <f>Table6[[#This Row],[Calls Ans]]</f>
        <v>1026</v>
      </c>
      <c r="J279" s="1">
        <f>J276+Table6[[#This Row],[Calls Off]]</f>
        <v>230982</v>
      </c>
      <c r="K279" s="1">
        <f>K276+Table6[[#This Row],[Calls Ans]]</f>
        <v>167303</v>
      </c>
      <c r="L279" s="18">
        <v>0.83</v>
      </c>
      <c r="M279" s="18">
        <v>0.05</v>
      </c>
      <c r="N279" s="18">
        <v>0.95</v>
      </c>
      <c r="O279" s="18">
        <v>0.68</v>
      </c>
      <c r="P279" s="253"/>
      <c r="Q279" s="260">
        <v>3.7962962962962963E-3</v>
      </c>
      <c r="R279" s="209">
        <v>1.8055555555555557E-2</v>
      </c>
      <c r="S279" s="1">
        <v>19</v>
      </c>
    </row>
    <row r="280" spans="1:23" x14ac:dyDescent="0.35">
      <c r="A280" s="23">
        <v>44930</v>
      </c>
      <c r="B280" s="1" t="s">
        <v>51</v>
      </c>
      <c r="C280" s="1" t="s">
        <v>60</v>
      </c>
      <c r="D280" s="1">
        <v>1021</v>
      </c>
      <c r="E280" s="1">
        <v>941</v>
      </c>
      <c r="F280" s="98">
        <f>IFERROR((Table6[[#This Row],[Calls Off]]-D273)/D273,0)</f>
        <v>-0.29731589814177561</v>
      </c>
      <c r="G280" s="98">
        <f>IFERROR((Table6[[#This Row],[Calls Ans]]-E273)/E273,0)</f>
        <v>3.8631346578366449E-2</v>
      </c>
      <c r="H280" s="1">
        <f>H279+Table6[[#This Row],[Calls Off]]</f>
        <v>2100</v>
      </c>
      <c r="I280" s="1">
        <f>I279+Table6[[#This Row],[Calls Ans]]</f>
        <v>1967</v>
      </c>
      <c r="J280" s="1">
        <f>J279+Table6[[#This Row],[Calls Off]]</f>
        <v>232003</v>
      </c>
      <c r="K280" s="1">
        <f>K279+Table6[[#This Row],[Calls Ans]]</f>
        <v>168244</v>
      </c>
      <c r="L280" s="18">
        <v>0.75</v>
      </c>
      <c r="M280" s="18">
        <v>0.08</v>
      </c>
      <c r="N280" s="18">
        <v>0.92</v>
      </c>
      <c r="O280" s="18">
        <v>0.86</v>
      </c>
      <c r="P280" s="253"/>
      <c r="Q280" s="260">
        <v>4.1203703703703706E-3</v>
      </c>
      <c r="R280" s="209">
        <v>2.361111111111111E-2</v>
      </c>
      <c r="S280" s="1">
        <v>15</v>
      </c>
    </row>
    <row r="281" spans="1:23" x14ac:dyDescent="0.35">
      <c r="A281" s="23">
        <v>44931</v>
      </c>
      <c r="B281" s="1" t="s">
        <v>52</v>
      </c>
      <c r="C281" s="1" t="s">
        <v>60</v>
      </c>
      <c r="D281" s="1">
        <v>1032</v>
      </c>
      <c r="E281" s="1">
        <v>908</v>
      </c>
      <c r="F281" s="98">
        <f>IFERROR((Table6[[#This Row],[Calls Off]]-D274)/D274,0)</f>
        <v>-0.1049436253252385</v>
      </c>
      <c r="G281" s="98">
        <f>IFERROR((Table6[[#This Row],[Calls Ans]]-E274)/E274,0)</f>
        <v>-1.5184381778741865E-2</v>
      </c>
      <c r="H281" s="1">
        <f>H280+Table6[[#This Row],[Calls Off]]</f>
        <v>3132</v>
      </c>
      <c r="I281" s="1">
        <f>I280+Table6[[#This Row],[Calls Ans]]</f>
        <v>2875</v>
      </c>
      <c r="J281" s="1">
        <f>J280+Table6[[#This Row],[Calls Off]]</f>
        <v>233035</v>
      </c>
      <c r="K281" s="1">
        <f>K280+Table6[[#This Row],[Calls Ans]]</f>
        <v>169152</v>
      </c>
      <c r="L281" s="18">
        <v>0.67</v>
      </c>
      <c r="M281" s="18">
        <v>0.12</v>
      </c>
      <c r="N281" s="18">
        <v>0.88</v>
      </c>
      <c r="O281" s="18">
        <v>0.83</v>
      </c>
      <c r="P281" s="253"/>
      <c r="Q281" s="260">
        <v>4.0972222222222226E-3</v>
      </c>
      <c r="R281" s="209">
        <v>4.1666666666666664E-2</v>
      </c>
      <c r="S281" s="1">
        <v>15</v>
      </c>
    </row>
    <row r="282" spans="1:23" x14ac:dyDescent="0.35">
      <c r="A282" s="23">
        <v>44932</v>
      </c>
      <c r="B282" s="1" t="s">
        <v>53</v>
      </c>
      <c r="C282" s="1" t="s">
        <v>60</v>
      </c>
      <c r="D282" s="1">
        <v>982</v>
      </c>
      <c r="E282" s="1">
        <v>837</v>
      </c>
      <c r="F282" s="98">
        <f>IFERROR((Table6[[#This Row],[Calls Off]]-D275)/D275,0)</f>
        <v>-0.11928251121076233</v>
      </c>
      <c r="G282" s="98">
        <f>IFERROR((Table6[[#This Row],[Calls Ans]]-E275)/E275,0)</f>
        <v>0.16573816155988857</v>
      </c>
      <c r="H282" s="1">
        <f>H281+Table6[[#This Row],[Calls Off]]</f>
        <v>4114</v>
      </c>
      <c r="I282" s="1">
        <f>I281+Table6[[#This Row],[Calls Ans]]</f>
        <v>3712</v>
      </c>
      <c r="J282" s="1">
        <f>J281+Table6[[#This Row],[Calls Off]]</f>
        <v>234017</v>
      </c>
      <c r="K282" s="1">
        <f>K281+Table6[[#This Row],[Calls Ans]]</f>
        <v>169989</v>
      </c>
      <c r="L282" s="18">
        <v>0.56999999999999995</v>
      </c>
      <c r="M282" s="18">
        <v>0.15</v>
      </c>
      <c r="N282" s="18">
        <v>0.85</v>
      </c>
      <c r="O282" s="18">
        <v>0.82</v>
      </c>
      <c r="P282" s="253"/>
      <c r="Q282" s="260">
        <v>4.0972222222222226E-3</v>
      </c>
      <c r="R282" s="209">
        <v>4.9305555555555554E-2</v>
      </c>
      <c r="S282" s="1">
        <v>14</v>
      </c>
    </row>
    <row r="283" spans="1:23" x14ac:dyDescent="0.35">
      <c r="A283" s="23">
        <v>44933</v>
      </c>
      <c r="B283" s="1" t="s">
        <v>54</v>
      </c>
      <c r="C283" s="1" t="s">
        <v>60</v>
      </c>
      <c r="D283" s="1">
        <v>819</v>
      </c>
      <c r="E283" s="1">
        <v>610</v>
      </c>
      <c r="F283" s="98">
        <f>IFERROR((Table6[[#This Row],[Calls Off]]-D276)/D276,0)</f>
        <v>1.2224938875305623E-3</v>
      </c>
      <c r="G283" s="98">
        <f>IFERROR((Table6[[#This Row],[Calls Ans]]-E276)/E276,0)</f>
        <v>8.1560283687943269E-2</v>
      </c>
      <c r="H283" s="1">
        <f>H282+Table6[[#This Row],[Calls Off]]</f>
        <v>4933</v>
      </c>
      <c r="I283" s="1">
        <f>I282+Table6[[#This Row],[Calls Ans]]</f>
        <v>4322</v>
      </c>
      <c r="J283" s="1">
        <f>J282+Table6[[#This Row],[Calls Off]]</f>
        <v>234836</v>
      </c>
      <c r="K283" s="1">
        <f>K282+Table6[[#This Row],[Calls Ans]]</f>
        <v>170599</v>
      </c>
      <c r="L283" s="18">
        <v>0.34</v>
      </c>
      <c r="M283" s="18">
        <v>0.26</v>
      </c>
      <c r="N283" s="18">
        <v>0.74</v>
      </c>
      <c r="O283" s="18">
        <v>0.76</v>
      </c>
      <c r="P283" s="253"/>
      <c r="Q283" s="260">
        <v>4.8611111111111112E-3</v>
      </c>
      <c r="R283" s="209">
        <v>8.3333333333333329E-2</v>
      </c>
      <c r="S283" s="1">
        <v>13</v>
      </c>
    </row>
    <row r="284" spans="1:23" x14ac:dyDescent="0.35">
      <c r="A284" s="23">
        <v>44934</v>
      </c>
      <c r="B284" s="1" t="s">
        <v>48</v>
      </c>
      <c r="C284" s="1" t="s">
        <v>60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8">
        <v>0</v>
      </c>
      <c r="M284" s="18">
        <v>0</v>
      </c>
      <c r="N284" s="18">
        <v>0</v>
      </c>
      <c r="O284" s="18">
        <v>0</v>
      </c>
      <c r="P284" s="253"/>
      <c r="Q284" s="260">
        <v>0</v>
      </c>
      <c r="R284" s="209">
        <v>0</v>
      </c>
      <c r="S284" s="1">
        <v>0</v>
      </c>
      <c r="U284">
        <f>AVERAGEIF(O1:O366,"&lt;&gt;0")</f>
        <v>0.7292503949435476</v>
      </c>
    </row>
    <row r="285" spans="1:23" x14ac:dyDescent="0.35">
      <c r="A285" s="23">
        <v>44935</v>
      </c>
      <c r="B285" s="1" t="s">
        <v>49</v>
      </c>
      <c r="C285" s="1" t="s">
        <v>60</v>
      </c>
      <c r="D285" s="1">
        <v>960</v>
      </c>
      <c r="E285" s="1">
        <v>931</v>
      </c>
      <c r="F285" s="1">
        <f>IFERROR((Table6[[#This Row],[Calls Off]]-D278)/D278,0)</f>
        <v>0</v>
      </c>
      <c r="G285" s="1">
        <f>IFERROR((Table6[[#This Row],[Calls Ans]]-E278)/E278,0)</f>
        <v>0</v>
      </c>
      <c r="H285" s="1">
        <f>H283+Table6[[#This Row],[Calls Off]]</f>
        <v>5893</v>
      </c>
      <c r="I285" s="1">
        <f>I283+Table6[[#This Row],[Calls Ans]]</f>
        <v>5253</v>
      </c>
      <c r="J285" s="1">
        <f>J283+Table6[[#This Row],[Calls Off]]</f>
        <v>235796</v>
      </c>
      <c r="K285" s="1">
        <f>K283+Table6[[#This Row],[Calls Ans]]</f>
        <v>171530</v>
      </c>
      <c r="L285" s="18">
        <v>0.9</v>
      </c>
      <c r="M285" s="18">
        <v>0.03</v>
      </c>
      <c r="N285" s="18">
        <v>0.97</v>
      </c>
      <c r="O285" s="18">
        <v>0.71</v>
      </c>
      <c r="P285" s="253"/>
      <c r="Q285" s="260">
        <v>3.8657407407407403E-3</v>
      </c>
      <c r="R285" s="209">
        <v>1.0416666666666666E-2</v>
      </c>
      <c r="S285" s="1">
        <v>17</v>
      </c>
    </row>
    <row r="286" spans="1:23" x14ac:dyDescent="0.35">
      <c r="A286" s="23">
        <v>44936</v>
      </c>
      <c r="B286" s="1" t="s">
        <v>50</v>
      </c>
      <c r="C286" s="1" t="s">
        <v>60</v>
      </c>
      <c r="D286" s="1">
        <v>964</v>
      </c>
      <c r="E286" s="1">
        <v>855</v>
      </c>
      <c r="F286" s="98">
        <f>IFERROR((Table6[[#This Row],[Calls Off]]-D279)/D279,0)</f>
        <v>-0.10658016682113068</v>
      </c>
      <c r="G286" s="98">
        <f>IFERROR((Table6[[#This Row],[Calls Ans]]-E279)/E279,0)</f>
        <v>-0.16666666666666666</v>
      </c>
      <c r="H286" s="1">
        <f>H285+Table6[[#This Row],[Calls Off]]</f>
        <v>6857</v>
      </c>
      <c r="I286" s="1">
        <f>I285+Table6[[#This Row],[Calls Ans]]</f>
        <v>6108</v>
      </c>
      <c r="J286" s="1">
        <f>J285+Table6[[#This Row],[Calls Off]]</f>
        <v>236760</v>
      </c>
      <c r="K286" s="1">
        <f>K285+Table6[[#This Row],[Calls Ans]]</f>
        <v>172385</v>
      </c>
      <c r="L286" s="18">
        <v>0.81</v>
      </c>
      <c r="M286" s="18">
        <v>0.11</v>
      </c>
      <c r="N286" s="18">
        <v>0.89</v>
      </c>
      <c r="O286" s="18">
        <v>0.64</v>
      </c>
      <c r="P286" s="253"/>
      <c r="Q286" s="260">
        <v>4.2476851851851851E-3</v>
      </c>
      <c r="R286" s="209">
        <v>4.2361111111111106E-2</v>
      </c>
      <c r="S286" s="1">
        <v>19</v>
      </c>
    </row>
    <row r="287" spans="1:23" x14ac:dyDescent="0.35">
      <c r="A287" s="23">
        <v>44937</v>
      </c>
      <c r="B287" s="1" t="s">
        <v>51</v>
      </c>
      <c r="C287" s="1" t="s">
        <v>60</v>
      </c>
      <c r="D287" s="1">
        <v>978</v>
      </c>
      <c r="E287" s="1">
        <v>925</v>
      </c>
      <c r="F287" s="98">
        <f>IFERROR((Table6[[#This Row],[Calls Off]]-D280)/D280,0)</f>
        <v>-4.2115572967678747E-2</v>
      </c>
      <c r="G287" s="98">
        <f>IFERROR((Table6[[#This Row],[Calls Ans]]-E280)/E280,0)</f>
        <v>-1.7003188097768331E-2</v>
      </c>
      <c r="H287" s="1">
        <f>H286+Table6[[#This Row],[Calls Off]]</f>
        <v>7835</v>
      </c>
      <c r="I287" s="1">
        <f>I286+Table6[[#This Row],[Calls Ans]]</f>
        <v>7033</v>
      </c>
      <c r="J287" s="1">
        <f>J286+Table6[[#This Row],[Calls Off]]</f>
        <v>237738</v>
      </c>
      <c r="K287" s="1">
        <f>K286+Table6[[#This Row],[Calls Ans]]</f>
        <v>173310</v>
      </c>
      <c r="L287" s="18">
        <v>0.84</v>
      </c>
      <c r="M287" s="18">
        <v>0.05</v>
      </c>
      <c r="N287" s="18">
        <v>0.95</v>
      </c>
      <c r="O287" s="18">
        <v>0.61</v>
      </c>
      <c r="P287" s="253"/>
      <c r="Q287" s="260">
        <v>3.5879629629629634E-3</v>
      </c>
      <c r="R287" s="209">
        <v>1.5972222222222224E-2</v>
      </c>
      <c r="S287" s="1">
        <v>18</v>
      </c>
    </row>
    <row r="288" spans="1:23" x14ac:dyDescent="0.35">
      <c r="A288" s="23">
        <v>44938</v>
      </c>
      <c r="B288" s="1" t="s">
        <v>52</v>
      </c>
      <c r="C288" s="1" t="s">
        <v>60</v>
      </c>
      <c r="D288" s="1">
        <v>960</v>
      </c>
      <c r="E288" s="1">
        <v>939</v>
      </c>
      <c r="F288" s="98">
        <f>IFERROR((Table6[[#This Row],[Calls Off]]-D281)/D281,0)</f>
        <v>-6.9767441860465115E-2</v>
      </c>
      <c r="G288" s="98">
        <f>IFERROR((Table6[[#This Row],[Calls Ans]]-E281)/E281,0)</f>
        <v>3.4140969162995596E-2</v>
      </c>
      <c r="H288" s="1">
        <f>H287+Table6[[#This Row],[Calls Off]]</f>
        <v>8795</v>
      </c>
      <c r="I288" s="1">
        <f>I287+Table6[[#This Row],[Calls Ans]]</f>
        <v>7972</v>
      </c>
      <c r="J288" s="1">
        <f>J287+Table6[[#This Row],[Calls Off]]</f>
        <v>238698</v>
      </c>
      <c r="K288" s="1">
        <f>K287+Table6[[#This Row],[Calls Ans]]</f>
        <v>174249</v>
      </c>
      <c r="L288" s="18">
        <v>0.96</v>
      </c>
      <c r="M288" s="18">
        <v>0.02</v>
      </c>
      <c r="N288" s="18">
        <v>0.98</v>
      </c>
      <c r="O288" s="18">
        <v>0.53</v>
      </c>
      <c r="P288" s="253"/>
      <c r="Q288" s="260">
        <v>3.402777777777778E-3</v>
      </c>
      <c r="R288" s="209">
        <v>6.2499999999999995E-3</v>
      </c>
      <c r="S288" s="1">
        <v>20</v>
      </c>
    </row>
    <row r="289" spans="1:23" x14ac:dyDescent="0.35">
      <c r="A289" s="23">
        <v>44939</v>
      </c>
      <c r="B289" s="1" t="s">
        <v>53</v>
      </c>
      <c r="C289" s="1" t="s">
        <v>60</v>
      </c>
      <c r="D289" s="1">
        <v>933</v>
      </c>
      <c r="E289" s="1">
        <v>902</v>
      </c>
      <c r="F289" s="98">
        <f>IFERROR((Table6[[#This Row],[Calls Off]]-D282)/D282,0)</f>
        <v>-4.9898167006109981E-2</v>
      </c>
      <c r="G289" s="98">
        <f>IFERROR((Table6[[#This Row],[Calls Ans]]-E282)/E282,0)</f>
        <v>7.765830346475508E-2</v>
      </c>
      <c r="H289" s="1">
        <f>H288+Table6[[#This Row],[Calls Off]]</f>
        <v>9728</v>
      </c>
      <c r="I289" s="1">
        <f>I288+Table6[[#This Row],[Calls Ans]]</f>
        <v>8874</v>
      </c>
      <c r="J289" s="1">
        <f>J288+Table6[[#This Row],[Calls Off]]</f>
        <v>239631</v>
      </c>
      <c r="K289" s="1">
        <f>K288+Table6[[#This Row],[Calls Ans]]</f>
        <v>175151</v>
      </c>
      <c r="L289" s="18">
        <v>0.91</v>
      </c>
      <c r="M289" s="18">
        <v>0.03</v>
      </c>
      <c r="N289" s="18">
        <v>0.97</v>
      </c>
      <c r="O289" s="18">
        <v>0.61</v>
      </c>
      <c r="P289" s="253"/>
      <c r="Q289" s="260">
        <v>3.6342592592592594E-3</v>
      </c>
      <c r="R289" s="209">
        <v>9.0277777777777787E-3</v>
      </c>
      <c r="S289" s="1">
        <v>18</v>
      </c>
    </row>
    <row r="290" spans="1:23" x14ac:dyDescent="0.35">
      <c r="A290" s="23">
        <v>44940</v>
      </c>
      <c r="B290" s="1" t="s">
        <v>54</v>
      </c>
      <c r="C290" s="1" t="s">
        <v>60</v>
      </c>
      <c r="D290" s="1">
        <v>659</v>
      </c>
      <c r="E290" s="1">
        <v>617</v>
      </c>
      <c r="F290" s="98">
        <f>IFERROR((Table6[[#This Row],[Calls Off]]-D283)/D283,0)</f>
        <v>-0.19536019536019536</v>
      </c>
      <c r="G290" s="98">
        <f>IFERROR((Table6[[#This Row],[Calls Ans]]-E283)/E283,0)</f>
        <v>1.1475409836065573E-2</v>
      </c>
      <c r="H290" s="1">
        <f>H289+Table6[[#This Row],[Calls Off]]</f>
        <v>10387</v>
      </c>
      <c r="I290" s="1">
        <f>I289+Table6[[#This Row],[Calls Ans]]</f>
        <v>9491</v>
      </c>
      <c r="J290" s="1">
        <f>J289+Table6[[#This Row],[Calls Off]]</f>
        <v>240290</v>
      </c>
      <c r="K290" s="1">
        <f>K289+Table6[[#This Row],[Calls Ans]]</f>
        <v>175768</v>
      </c>
      <c r="L290" s="18">
        <v>0.81</v>
      </c>
      <c r="M290" s="18">
        <v>0.06</v>
      </c>
      <c r="N290" s="18">
        <v>0.94</v>
      </c>
      <c r="O290" s="18">
        <v>0.52</v>
      </c>
      <c r="P290" s="253"/>
      <c r="Q290" s="260">
        <v>3.2870370370370371E-3</v>
      </c>
      <c r="R290" s="209">
        <v>1.7361111111111112E-2</v>
      </c>
      <c r="S290" s="1">
        <v>13</v>
      </c>
    </row>
    <row r="291" spans="1:23" x14ac:dyDescent="0.35">
      <c r="A291" s="23">
        <v>44941</v>
      </c>
      <c r="B291" s="1" t="s">
        <v>48</v>
      </c>
      <c r="C291" s="1" t="s">
        <v>60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8">
        <v>0</v>
      </c>
      <c r="M291" s="18">
        <v>0</v>
      </c>
      <c r="N291" s="18">
        <v>0</v>
      </c>
      <c r="O291" s="18">
        <v>0</v>
      </c>
      <c r="P291" s="253"/>
      <c r="Q291" s="260">
        <v>0</v>
      </c>
      <c r="R291" s="209">
        <v>0</v>
      </c>
      <c r="S291" s="1">
        <v>0</v>
      </c>
    </row>
    <row r="292" spans="1:23" x14ac:dyDescent="0.35">
      <c r="A292" s="23">
        <v>44942</v>
      </c>
      <c r="B292" s="1" t="s">
        <v>49</v>
      </c>
      <c r="C292" s="1" t="s">
        <v>60</v>
      </c>
      <c r="D292" s="1">
        <v>946</v>
      </c>
      <c r="E292" s="1">
        <v>879</v>
      </c>
      <c r="F292" s="98">
        <f>IFERROR((Table6[[#This Row],[Calls Off]]-D285)/D285,0)</f>
        <v>-1.4583333333333334E-2</v>
      </c>
      <c r="G292" s="98">
        <f>IFERROR((Table6[[#This Row],[Calls Ans]]-E285)/E285,0)</f>
        <v>-5.5853920515574654E-2</v>
      </c>
      <c r="H292" s="1">
        <f>H290+Table6[[#This Row],[Calls Off]]</f>
        <v>11333</v>
      </c>
      <c r="I292" s="1">
        <f>I290+Table6[[#This Row],[Calls Ans]]</f>
        <v>10370</v>
      </c>
      <c r="J292" s="1">
        <f>J290+Table6[[#This Row],[Calls Off]]</f>
        <v>241236</v>
      </c>
      <c r="K292" s="1">
        <f>K290+Table6[[#This Row],[Calls Ans]]</f>
        <v>176647</v>
      </c>
      <c r="L292" s="18">
        <v>0.79</v>
      </c>
      <c r="M292" s="18">
        <v>7.0000000000000007E-2</v>
      </c>
      <c r="N292" s="18">
        <v>0.93</v>
      </c>
      <c r="O292" s="18">
        <v>0.65</v>
      </c>
      <c r="P292" s="253"/>
      <c r="Q292" s="260">
        <v>3.5300925925925925E-3</v>
      </c>
      <c r="R292" s="209">
        <v>2.1527777777777781E-2</v>
      </c>
      <c r="S292" s="1">
        <v>16</v>
      </c>
    </row>
    <row r="293" spans="1:23" x14ac:dyDescent="0.35">
      <c r="A293" s="23">
        <v>44943</v>
      </c>
      <c r="B293" s="1" t="s">
        <v>50</v>
      </c>
      <c r="C293" s="1" t="s">
        <v>60</v>
      </c>
      <c r="D293" s="1">
        <v>903</v>
      </c>
      <c r="E293" s="1">
        <v>861</v>
      </c>
      <c r="F293" s="98">
        <f>IFERROR((Table6[[#This Row],[Calls Off]]-D286)/D286,0)</f>
        <v>-6.3278008298755184E-2</v>
      </c>
      <c r="G293" s="98">
        <f>IFERROR((Table6[[#This Row],[Calls Ans]]-E286)/E286,0)</f>
        <v>7.0175438596491229E-3</v>
      </c>
      <c r="H293" s="1">
        <f>H292+Table6[[#This Row],[Calls Off]]</f>
        <v>12236</v>
      </c>
      <c r="I293" s="1">
        <f>I292+Table6[[#This Row],[Calls Ans]]</f>
        <v>11231</v>
      </c>
      <c r="J293" s="1">
        <f>J292+Table6[[#This Row],[Calls Off]]</f>
        <v>242139</v>
      </c>
      <c r="K293" s="1">
        <f>K292+Table6[[#This Row],[Calls Ans]]</f>
        <v>177508</v>
      </c>
      <c r="L293" s="18">
        <v>0.9</v>
      </c>
      <c r="M293" s="18">
        <v>0.05</v>
      </c>
      <c r="N293" s="18">
        <v>0.95</v>
      </c>
      <c r="O293" s="18">
        <v>0.52</v>
      </c>
      <c r="P293" s="253"/>
      <c r="Q293" s="260">
        <v>3.6574074074074074E-3</v>
      </c>
      <c r="R293" s="209">
        <v>4.1666666666666666E-3</v>
      </c>
      <c r="S293" s="1">
        <v>20</v>
      </c>
      <c r="U293" s="53"/>
      <c r="V293" s="53"/>
      <c r="W293" s="53"/>
    </row>
    <row r="294" spans="1:23" x14ac:dyDescent="0.35">
      <c r="A294" s="23">
        <v>44944</v>
      </c>
      <c r="B294" s="1" t="s">
        <v>51</v>
      </c>
      <c r="C294" s="1" t="s">
        <v>60</v>
      </c>
      <c r="D294" s="1">
        <v>943</v>
      </c>
      <c r="E294" s="1">
        <v>915</v>
      </c>
      <c r="F294" s="98">
        <f>IFERROR((Table6[[#This Row],[Calls Off]]-D287)/D287,0)</f>
        <v>-3.5787321063394682E-2</v>
      </c>
      <c r="G294" s="98">
        <f>IFERROR((Table6[[#This Row],[Calls Ans]]-E287)/E287,0)</f>
        <v>-1.0810810810810811E-2</v>
      </c>
      <c r="H294" s="1">
        <f>H293+Table6[[#This Row],[Calls Off]]</f>
        <v>13179</v>
      </c>
      <c r="I294" s="1">
        <f>I293+Table6[[#This Row],[Calls Ans]]</f>
        <v>12146</v>
      </c>
      <c r="J294" s="1">
        <f>J293+Table6[[#This Row],[Calls Off]]</f>
        <v>243082</v>
      </c>
      <c r="K294" s="1">
        <f>K293+Table6[[#This Row],[Calls Ans]]</f>
        <v>178423</v>
      </c>
      <c r="L294" s="18">
        <v>0.95</v>
      </c>
      <c r="M294" s="18">
        <v>0.03</v>
      </c>
      <c r="N294" s="18">
        <v>0.97</v>
      </c>
      <c r="O294" s="18">
        <v>0.52</v>
      </c>
      <c r="P294" s="253"/>
      <c r="Q294" s="260">
        <v>3.8425925925925923E-3</v>
      </c>
      <c r="R294" s="209">
        <v>6.2499999999999995E-3</v>
      </c>
      <c r="S294" s="1">
        <v>17</v>
      </c>
    </row>
    <row r="295" spans="1:23" x14ac:dyDescent="0.35">
      <c r="A295" s="23">
        <v>44945</v>
      </c>
      <c r="B295" s="1" t="s">
        <v>52</v>
      </c>
      <c r="C295" s="1" t="s">
        <v>60</v>
      </c>
      <c r="D295" s="1">
        <v>939</v>
      </c>
      <c r="E295" s="1">
        <v>923</v>
      </c>
      <c r="F295" s="98">
        <f>IFERROR((Table6[[#This Row],[Calls Off]]-D288)/D288,0)</f>
        <v>-2.1874999999999999E-2</v>
      </c>
      <c r="G295" s="98">
        <f>IFERROR((Table6[[#This Row],[Calls Ans]]-E288)/E288,0)</f>
        <v>-1.7039403620873271E-2</v>
      </c>
      <c r="H295" s="1">
        <f>H294+Table6[[#This Row],[Calls Off]]</f>
        <v>14118</v>
      </c>
      <c r="I295" s="1">
        <f>I294+Table6[[#This Row],[Calls Ans]]</f>
        <v>13069</v>
      </c>
      <c r="J295" s="1">
        <f>J294+Table6[[#This Row],[Calls Off]]</f>
        <v>244021</v>
      </c>
      <c r="K295" s="1">
        <f>K294+Table6[[#This Row],[Calls Ans]]</f>
        <v>179346</v>
      </c>
      <c r="L295" s="18">
        <v>0.98</v>
      </c>
      <c r="M295" s="18">
        <v>0.02</v>
      </c>
      <c r="N295" s="18">
        <v>0.98</v>
      </c>
      <c r="O295" s="18">
        <v>0.63</v>
      </c>
      <c r="P295" s="253"/>
      <c r="Q295" s="260">
        <v>3.9120370370370368E-3</v>
      </c>
      <c r="R295" s="209">
        <v>3.472222222222222E-3</v>
      </c>
      <c r="S295" s="1">
        <v>19</v>
      </c>
    </row>
    <row r="296" spans="1:23" x14ac:dyDescent="0.35">
      <c r="A296" s="23">
        <v>44946</v>
      </c>
      <c r="B296" s="1" t="s">
        <v>53</v>
      </c>
      <c r="C296" s="1" t="s">
        <v>60</v>
      </c>
      <c r="D296" s="1">
        <v>749</v>
      </c>
      <c r="E296" s="1">
        <v>718</v>
      </c>
      <c r="F296" s="98">
        <f>IFERROR((Table6[[#This Row],[Calls Off]]-D289)/D289,0)</f>
        <v>-0.19721329046087888</v>
      </c>
      <c r="G296" s="98">
        <f>IFERROR((Table6[[#This Row],[Calls Ans]]-E289)/E289,0)</f>
        <v>-0.2039911308203991</v>
      </c>
      <c r="H296" s="1">
        <f>H295+Table6[[#This Row],[Calls Off]]</f>
        <v>14867</v>
      </c>
      <c r="I296" s="1">
        <f>I295+Table6[[#This Row],[Calls Ans]]</f>
        <v>13787</v>
      </c>
      <c r="J296" s="1">
        <f>J295+Table6[[#This Row],[Calls Off]]</f>
        <v>244770</v>
      </c>
      <c r="K296" s="1">
        <f>K295+Table6[[#This Row],[Calls Ans]]</f>
        <v>180064</v>
      </c>
      <c r="L296" s="18">
        <v>0.93</v>
      </c>
      <c r="M296" s="18">
        <v>0.04</v>
      </c>
      <c r="N296" s="18">
        <v>0.95</v>
      </c>
      <c r="O296" s="18">
        <v>0.5</v>
      </c>
      <c r="P296" s="253"/>
      <c r="Q296" s="260">
        <v>3.7500000000000003E-3</v>
      </c>
      <c r="R296" s="209">
        <v>8.3333333333333332E-3</v>
      </c>
      <c r="S296" s="1">
        <v>18</v>
      </c>
    </row>
    <row r="297" spans="1:23" x14ac:dyDescent="0.35">
      <c r="A297" s="23">
        <v>44947</v>
      </c>
      <c r="B297" s="1" t="s">
        <v>54</v>
      </c>
      <c r="C297" s="1" t="s">
        <v>60</v>
      </c>
      <c r="D297" s="1">
        <v>672</v>
      </c>
      <c r="E297" s="1">
        <v>646</v>
      </c>
      <c r="F297" s="98">
        <f>IFERROR((Table6[[#This Row],[Calls Off]]-D290)/D290,0)</f>
        <v>1.9726858877086494E-2</v>
      </c>
      <c r="G297" s="98">
        <f>IFERROR((Table6[[#This Row],[Calls Ans]]-E290)/E290,0)</f>
        <v>4.7001620745542948E-2</v>
      </c>
      <c r="H297" s="1">
        <f>H296+Table6[[#This Row],[Calls Off]]</f>
        <v>15539</v>
      </c>
      <c r="I297" s="1">
        <f>I296+Table6[[#This Row],[Calls Ans]]</f>
        <v>14433</v>
      </c>
      <c r="J297" s="1">
        <f>J296+Table6[[#This Row],[Calls Off]]</f>
        <v>245442</v>
      </c>
      <c r="K297" s="1">
        <f>K296+Table6[[#This Row],[Calls Ans]]</f>
        <v>180710</v>
      </c>
      <c r="L297" s="18">
        <v>0.9</v>
      </c>
      <c r="M297" s="18">
        <v>0.04</v>
      </c>
      <c r="N297" s="18">
        <v>0.96</v>
      </c>
      <c r="O297" s="18">
        <v>0.49</v>
      </c>
      <c r="P297" s="253"/>
      <c r="Q297" s="260">
        <v>2.9513888888888892E-3</v>
      </c>
      <c r="R297" s="209">
        <v>9.7222222222222224E-3</v>
      </c>
      <c r="S297" s="1">
        <v>13</v>
      </c>
    </row>
    <row r="298" spans="1:23" x14ac:dyDescent="0.35">
      <c r="A298" s="23">
        <v>44948</v>
      </c>
      <c r="B298" s="1" t="s">
        <v>48</v>
      </c>
      <c r="C298" s="1" t="s">
        <v>60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8">
        <v>0</v>
      </c>
      <c r="M298" s="18">
        <v>0</v>
      </c>
      <c r="N298" s="18">
        <v>0</v>
      </c>
      <c r="O298" s="18">
        <v>0</v>
      </c>
      <c r="P298" s="253"/>
      <c r="Q298" s="260">
        <v>0</v>
      </c>
      <c r="R298" s="209">
        <v>0</v>
      </c>
      <c r="S298" s="1">
        <v>0</v>
      </c>
    </row>
    <row r="299" spans="1:23" x14ac:dyDescent="0.35">
      <c r="A299" s="23">
        <v>44949</v>
      </c>
      <c r="B299" s="1" t="s">
        <v>49</v>
      </c>
      <c r="C299" s="1" t="s">
        <v>60</v>
      </c>
      <c r="D299" s="1">
        <v>959</v>
      </c>
      <c r="E299" s="1">
        <v>941</v>
      </c>
      <c r="F299" s="98">
        <f>IFERROR((Table6[[#This Row],[Calls Off]]-D292)/D292,0)</f>
        <v>1.3742071881606765E-2</v>
      </c>
      <c r="G299" s="98">
        <f>IFERROR((Table6[[#This Row],[Calls Ans]]-E292)/E292,0)</f>
        <v>7.0534698521046643E-2</v>
      </c>
      <c r="H299" s="1">
        <f>H297+Table6[[#This Row],[Calls Off]]</f>
        <v>16498</v>
      </c>
      <c r="I299" s="1">
        <f>I297+Table6[[#This Row],[Calls Ans]]</f>
        <v>15374</v>
      </c>
      <c r="J299" s="1">
        <f>J297+Table6[[#This Row],[Calls Off]]</f>
        <v>246401</v>
      </c>
      <c r="K299" s="1">
        <f>K297+Table6[[#This Row],[Calls Ans]]</f>
        <v>181651</v>
      </c>
      <c r="L299" s="18">
        <v>0.97</v>
      </c>
      <c r="M299" s="18">
        <v>0.02</v>
      </c>
      <c r="N299" s="18">
        <v>0.98</v>
      </c>
      <c r="O299" s="18">
        <v>0.52</v>
      </c>
      <c r="P299" s="253"/>
      <c r="Q299" s="260">
        <v>3.3333333333333331E-3</v>
      </c>
      <c r="R299" s="209">
        <v>1.3888888888888889E-3</v>
      </c>
      <c r="S299" s="1">
        <v>20</v>
      </c>
    </row>
    <row r="300" spans="1:23" x14ac:dyDescent="0.35">
      <c r="A300" s="23">
        <v>44950</v>
      </c>
      <c r="B300" s="1" t="s">
        <v>50</v>
      </c>
      <c r="C300" s="1" t="s">
        <v>60</v>
      </c>
      <c r="D300" s="1">
        <v>927</v>
      </c>
      <c r="E300" s="1">
        <v>895</v>
      </c>
      <c r="F300" s="98">
        <f>IFERROR((Table6[[#This Row],[Calls Off]]-D293)/D293,0)</f>
        <v>2.6578073089700997E-2</v>
      </c>
      <c r="G300" s="98">
        <f>IFERROR((Table6[[#This Row],[Calls Ans]]-E293)/E293,0)</f>
        <v>3.9488966318234613E-2</v>
      </c>
      <c r="H300" s="1">
        <f>H299+Table6[[#This Row],[Calls Off]]</f>
        <v>17425</v>
      </c>
      <c r="I300" s="1">
        <f>I299+Table6[[#This Row],[Calls Ans]]</f>
        <v>16269</v>
      </c>
      <c r="J300" s="1">
        <f>J299+Table6[[#This Row],[Calls Off]]</f>
        <v>247328</v>
      </c>
      <c r="K300" s="1">
        <f>K299+Table6[[#This Row],[Calls Ans]]</f>
        <v>182546</v>
      </c>
      <c r="L300" s="18">
        <v>0.9</v>
      </c>
      <c r="M300" s="18">
        <v>0.03</v>
      </c>
      <c r="N300" s="18">
        <v>0.97</v>
      </c>
      <c r="O300" s="18">
        <v>0.56999999999999995</v>
      </c>
      <c r="P300" s="253"/>
      <c r="Q300" s="260">
        <v>3.8541666666666663E-3</v>
      </c>
      <c r="R300" s="209">
        <v>9.7222222222222224E-3</v>
      </c>
      <c r="S300" s="1">
        <v>20</v>
      </c>
    </row>
    <row r="301" spans="1:23" x14ac:dyDescent="0.35">
      <c r="A301" s="23">
        <v>44951</v>
      </c>
      <c r="B301" s="1" t="s">
        <v>51</v>
      </c>
      <c r="C301" s="1" t="s">
        <v>60</v>
      </c>
      <c r="D301" s="1">
        <v>914</v>
      </c>
      <c r="E301" s="1">
        <v>897</v>
      </c>
      <c r="F301" s="98">
        <f>IFERROR((Table6[[#This Row],[Calls Off]]-D294)/D294,0)</f>
        <v>-3.0752916224814422E-2</v>
      </c>
      <c r="G301" s="98">
        <f>IFERROR((Table6[[#This Row],[Calls Ans]]-E294)/E294,0)</f>
        <v>-1.9672131147540985E-2</v>
      </c>
      <c r="H301" s="1">
        <f>H300+Table6[[#This Row],[Calls Off]]</f>
        <v>18339</v>
      </c>
      <c r="I301" s="1">
        <f>I300+Table6[[#This Row],[Calls Ans]]</f>
        <v>17166</v>
      </c>
      <c r="J301" s="1">
        <f>J300+Table6[[#This Row],[Calls Off]]</f>
        <v>248242</v>
      </c>
      <c r="K301" s="1">
        <f>K300+Table6[[#This Row],[Calls Ans]]</f>
        <v>183443</v>
      </c>
      <c r="L301" s="18">
        <v>0.98</v>
      </c>
      <c r="M301" s="18">
        <v>0.02</v>
      </c>
      <c r="N301" s="18">
        <v>0.98</v>
      </c>
      <c r="O301" s="18">
        <v>0.57999999999999996</v>
      </c>
      <c r="P301" s="253"/>
      <c r="Q301" s="260">
        <v>3.6689814814814814E-3</v>
      </c>
      <c r="R301" s="209">
        <v>4.1666666666666666E-3</v>
      </c>
      <c r="S301" s="1">
        <v>19</v>
      </c>
    </row>
    <row r="302" spans="1:23" x14ac:dyDescent="0.35">
      <c r="A302" s="23">
        <v>44952</v>
      </c>
      <c r="B302" s="1" t="s">
        <v>52</v>
      </c>
      <c r="C302" s="1" t="s">
        <v>60</v>
      </c>
      <c r="D302" s="1">
        <v>893</v>
      </c>
      <c r="E302" s="1">
        <v>865</v>
      </c>
      <c r="F302" s="98">
        <f>IFERROR((Table6[[#This Row],[Calls Off]]-D295)/D295,0)</f>
        <v>-4.898828541001065E-2</v>
      </c>
      <c r="G302" s="98">
        <f>IFERROR((Table6[[#This Row],[Calls Ans]]-E295)/E295,0)</f>
        <v>-6.2838569880823397E-2</v>
      </c>
      <c r="H302" s="1">
        <f>H301+Table6[[#This Row],[Calls Off]]</f>
        <v>19232</v>
      </c>
      <c r="I302" s="1">
        <f>I301+Table6[[#This Row],[Calls Ans]]</f>
        <v>18031</v>
      </c>
      <c r="J302" s="1">
        <f>J301+Table6[[#This Row],[Calls Off]]</f>
        <v>249135</v>
      </c>
      <c r="K302" s="1">
        <f>K301+Table6[[#This Row],[Calls Ans]]</f>
        <v>184308</v>
      </c>
      <c r="L302" s="18">
        <v>0.95</v>
      </c>
      <c r="M302" s="18">
        <v>0.03</v>
      </c>
      <c r="N302" s="18">
        <v>0.97</v>
      </c>
      <c r="O302" s="18">
        <v>0.49</v>
      </c>
      <c r="P302" s="253"/>
      <c r="Q302" s="260">
        <v>2.9050925925925928E-3</v>
      </c>
      <c r="R302" s="209">
        <v>6.2499999999999995E-3</v>
      </c>
      <c r="S302" s="1">
        <v>17</v>
      </c>
    </row>
    <row r="303" spans="1:23" x14ac:dyDescent="0.35">
      <c r="A303" s="23">
        <v>44953</v>
      </c>
      <c r="B303" s="1" t="s">
        <v>53</v>
      </c>
      <c r="C303" s="1" t="s">
        <v>60</v>
      </c>
      <c r="D303" s="1">
        <v>948</v>
      </c>
      <c r="E303" s="1">
        <v>901</v>
      </c>
      <c r="F303" s="98">
        <f>IFERROR((Table6[[#This Row],[Calls Off]]-D296)/D296,0)</f>
        <v>0.26568758344459281</v>
      </c>
      <c r="G303" s="98">
        <f>IFERROR((Table6[[#This Row],[Calls Ans]]-E296)/E296,0)</f>
        <v>0.25487465181058494</v>
      </c>
      <c r="H303" s="1">
        <f>H302+Table6[[#This Row],[Calls Off]]</f>
        <v>20180</v>
      </c>
      <c r="I303" s="1">
        <f>I302+Table6[[#This Row],[Calls Ans]]</f>
        <v>18932</v>
      </c>
      <c r="J303" s="1">
        <f>J302+Table6[[#This Row],[Calls Off]]</f>
        <v>250083</v>
      </c>
      <c r="K303" s="1">
        <f>K302+Table6[[#This Row],[Calls Ans]]</f>
        <v>185209</v>
      </c>
      <c r="L303" s="18">
        <v>0.84</v>
      </c>
      <c r="M303" s="18">
        <v>0.05</v>
      </c>
      <c r="N303" s="18">
        <v>0.95</v>
      </c>
      <c r="O303" s="18">
        <v>0.48</v>
      </c>
      <c r="P303" s="253"/>
      <c r="Q303" s="260">
        <v>3.37962962962963E-3</v>
      </c>
      <c r="R303" s="209">
        <v>1.4583333333333332E-2</v>
      </c>
      <c r="S303" s="1">
        <v>14</v>
      </c>
    </row>
    <row r="304" spans="1:23" x14ac:dyDescent="0.35">
      <c r="A304" s="23">
        <v>44954</v>
      </c>
      <c r="B304" s="1" t="s">
        <v>54</v>
      </c>
      <c r="C304" s="1" t="s">
        <v>60</v>
      </c>
      <c r="D304" s="1">
        <v>815</v>
      </c>
      <c r="E304" s="1">
        <v>783</v>
      </c>
      <c r="F304" s="98">
        <f>IFERROR((Table6[[#This Row],[Calls Off]]-D297)/D297,0)</f>
        <v>0.21279761904761904</v>
      </c>
      <c r="G304" s="98">
        <f>IFERROR((Table6[[#This Row],[Calls Ans]]-E297)/E297,0)</f>
        <v>0.21207430340557276</v>
      </c>
      <c r="H304" s="1">
        <f>H303+Table6[[#This Row],[Calls Off]]</f>
        <v>20995</v>
      </c>
      <c r="I304" s="1">
        <f>I303+Table6[[#This Row],[Calls Ans]]</f>
        <v>19715</v>
      </c>
      <c r="J304" s="1">
        <f>J303+Table6[[#This Row],[Calls Off]]</f>
        <v>250898</v>
      </c>
      <c r="K304" s="1">
        <f>K303+Table6[[#This Row],[Calls Ans]]</f>
        <v>185992</v>
      </c>
      <c r="L304" s="18">
        <v>0.87</v>
      </c>
      <c r="M304" s="18">
        <v>0.04</v>
      </c>
      <c r="N304" s="18">
        <v>0.96</v>
      </c>
      <c r="O304" s="18">
        <v>0.48</v>
      </c>
      <c r="P304" s="253"/>
      <c r="Q304" s="260">
        <v>2.9513888888888892E-3</v>
      </c>
      <c r="R304" s="209">
        <v>1.2499999999999999E-2</v>
      </c>
      <c r="S304" s="1">
        <v>16</v>
      </c>
    </row>
    <row r="305" spans="1:23" x14ac:dyDescent="0.35">
      <c r="A305" s="23">
        <v>44955</v>
      </c>
      <c r="B305" s="1" t="s">
        <v>48</v>
      </c>
      <c r="C305" s="1" t="s">
        <v>60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8">
        <v>0</v>
      </c>
      <c r="M305" s="18">
        <v>0</v>
      </c>
      <c r="N305" s="18">
        <v>0</v>
      </c>
      <c r="O305" s="18">
        <v>0</v>
      </c>
      <c r="P305" s="253"/>
      <c r="Q305" s="260">
        <v>0</v>
      </c>
      <c r="R305" s="209">
        <v>0</v>
      </c>
      <c r="S305" s="1">
        <v>0</v>
      </c>
    </row>
    <row r="306" spans="1:23" x14ac:dyDescent="0.35">
      <c r="A306" s="23">
        <v>44956</v>
      </c>
      <c r="B306" s="1" t="s">
        <v>49</v>
      </c>
      <c r="C306" s="1" t="s">
        <v>60</v>
      </c>
      <c r="D306" s="1">
        <v>1048</v>
      </c>
      <c r="E306" s="1">
        <v>1006</v>
      </c>
      <c r="F306" s="98">
        <f>IFERROR((Table6[[#This Row],[Calls Off]]-D299)/D299,0)</f>
        <v>9.2805005213764336E-2</v>
      </c>
      <c r="G306" s="98">
        <f>IFERROR((Table6[[#This Row],[Calls Ans]]-E299)/E299,0)</f>
        <v>6.9075451647183844E-2</v>
      </c>
      <c r="H306" s="1">
        <f>H304+Table6[[#This Row],[Calls Off]]</f>
        <v>22043</v>
      </c>
      <c r="I306" s="1">
        <f>I304+Table6[[#This Row],[Calls Ans]]</f>
        <v>20721</v>
      </c>
      <c r="J306" s="1">
        <f>J304+Table6[[#This Row],[Calls Off]]</f>
        <v>251946</v>
      </c>
      <c r="K306" s="1">
        <f>K304+Table6[[#This Row],[Calls Ans]]</f>
        <v>186998</v>
      </c>
      <c r="L306" s="18">
        <v>0.9</v>
      </c>
      <c r="M306" s="18">
        <v>0.04</v>
      </c>
      <c r="N306" s="18">
        <v>0.96</v>
      </c>
      <c r="O306" s="18">
        <v>0.55000000000000004</v>
      </c>
      <c r="P306" s="253"/>
      <c r="Q306" s="260">
        <v>3.4722222222222225E-3</v>
      </c>
      <c r="R306" s="209">
        <v>1.0416666666666666E-2</v>
      </c>
      <c r="S306" s="1">
        <v>21</v>
      </c>
    </row>
    <row r="307" spans="1:23" x14ac:dyDescent="0.35">
      <c r="A307" s="23">
        <v>44957</v>
      </c>
      <c r="B307" s="1" t="s">
        <v>50</v>
      </c>
      <c r="C307" s="1" t="s">
        <v>60</v>
      </c>
      <c r="D307" s="1">
        <v>931</v>
      </c>
      <c r="E307" s="1">
        <v>905</v>
      </c>
      <c r="F307" s="98">
        <f>IFERROR((Table6[[#This Row],[Calls Off]]-D300)/D300,0)</f>
        <v>4.3149946062567418E-3</v>
      </c>
      <c r="G307" s="98">
        <f>IFERROR((Table6[[#This Row],[Calls Ans]]-E300)/E300,0)</f>
        <v>1.11731843575419E-2</v>
      </c>
      <c r="H307" s="1">
        <f>H306+Table6[[#This Row],[Calls Off]]</f>
        <v>22974</v>
      </c>
      <c r="I307" s="1">
        <f>I306+Table6[[#This Row],[Calls Ans]]</f>
        <v>21626</v>
      </c>
      <c r="J307" s="1">
        <f>J306+Table6[[#This Row],[Calls Off]]</f>
        <v>252877</v>
      </c>
      <c r="K307" s="1">
        <f>K306+Table6[[#This Row],[Calls Ans]]</f>
        <v>187903</v>
      </c>
      <c r="L307" s="18">
        <v>0.93</v>
      </c>
      <c r="M307" s="18">
        <v>0.03</v>
      </c>
      <c r="N307" s="18">
        <v>0.97</v>
      </c>
      <c r="O307" s="18">
        <v>0.56000000000000005</v>
      </c>
      <c r="P307" s="253"/>
      <c r="Q307" s="260">
        <v>3.9004629629629636E-3</v>
      </c>
      <c r="R307" s="209">
        <v>1.7361111111111112E-2</v>
      </c>
      <c r="S307" s="1">
        <v>21</v>
      </c>
    </row>
    <row r="308" spans="1:23" x14ac:dyDescent="0.35">
      <c r="A308" s="23">
        <v>44958</v>
      </c>
      <c r="B308" s="1" t="s">
        <v>51</v>
      </c>
      <c r="C308" s="34" t="s">
        <v>60</v>
      </c>
      <c r="D308" s="1">
        <v>819</v>
      </c>
      <c r="E308" s="1">
        <v>787</v>
      </c>
      <c r="F308" s="98">
        <f>IFERROR((Table6[[#This Row],[Calls Off]]-D301)/D301,0)</f>
        <v>-0.10393873085339168</v>
      </c>
      <c r="G308" s="98">
        <f>IFERROR((Table6[[#This Row],[Calls Ans]]-E301)/E301,0)</f>
        <v>-0.12263099219620958</v>
      </c>
      <c r="H308" s="1">
        <f>Table6[[#This Row],[Calls Off]]</f>
        <v>819</v>
      </c>
      <c r="I308" s="1">
        <f>Table6[[#This Row],[Calls Ans]]</f>
        <v>787</v>
      </c>
      <c r="J308" s="1">
        <f>J307+Table6[[#This Row],[Calls Off]]</f>
        <v>253696</v>
      </c>
      <c r="K308" s="1">
        <f>K307+Table6[[#This Row],[Calls Ans]]</f>
        <v>188690</v>
      </c>
      <c r="L308" s="18">
        <v>0.87</v>
      </c>
      <c r="M308" s="18">
        <v>0.04</v>
      </c>
      <c r="N308" s="18">
        <v>0.96</v>
      </c>
      <c r="O308" s="18">
        <v>0.46</v>
      </c>
      <c r="P308" s="253"/>
      <c r="Q308" s="260">
        <v>3.4722222222222225E-3</v>
      </c>
      <c r="R308" s="209">
        <v>1.6666666666666666E-2</v>
      </c>
      <c r="S308" s="1">
        <v>16</v>
      </c>
    </row>
    <row r="309" spans="1:23" x14ac:dyDescent="0.35">
      <c r="A309" s="23">
        <v>44959</v>
      </c>
      <c r="B309" s="1" t="s">
        <v>52</v>
      </c>
      <c r="C309" s="1" t="s">
        <v>60</v>
      </c>
      <c r="D309" s="1">
        <v>913</v>
      </c>
      <c r="E309" s="1">
        <v>747</v>
      </c>
      <c r="F309" s="98">
        <f>IFERROR((Table6[[#This Row],[Calls Off]]-D302)/D302,0)</f>
        <v>2.2396416573348264E-2</v>
      </c>
      <c r="G309" s="98">
        <f>IFERROR((Table6[[#This Row],[Calls Ans]]-E302)/E302,0)</f>
        <v>-0.13641618497109825</v>
      </c>
      <c r="H309" s="1">
        <f>H308+Table6[[#This Row],[Calls Off]]</f>
        <v>1732</v>
      </c>
      <c r="I309" s="1">
        <f>I308+Table6[[#This Row],[Calls Ans]]</f>
        <v>1534</v>
      </c>
      <c r="J309" s="1">
        <f>J308+Table6[[#This Row],[Calls Off]]</f>
        <v>254609</v>
      </c>
      <c r="K309" s="1">
        <f>K308+Table6[[#This Row],[Calls Ans]]</f>
        <v>189437</v>
      </c>
      <c r="L309" s="18">
        <v>0.8</v>
      </c>
      <c r="M309" s="18">
        <v>0.18</v>
      </c>
      <c r="N309" s="18">
        <v>0.82</v>
      </c>
      <c r="O309" s="18">
        <v>0.49</v>
      </c>
      <c r="P309" s="253"/>
      <c r="Q309" s="260">
        <v>3.4722222222222225E-3</v>
      </c>
      <c r="R309" s="209">
        <v>1.3888888888888888E-2</v>
      </c>
      <c r="S309" s="1">
        <v>14</v>
      </c>
    </row>
    <row r="310" spans="1:23" x14ac:dyDescent="0.35">
      <c r="A310" s="23">
        <v>44960</v>
      </c>
      <c r="B310" s="1" t="s">
        <v>53</v>
      </c>
      <c r="C310" s="1" t="s">
        <v>60</v>
      </c>
      <c r="D310" s="1">
        <v>804</v>
      </c>
      <c r="E310" s="1">
        <v>725</v>
      </c>
      <c r="F310" s="98">
        <f>IFERROR((Table6[[#This Row],[Calls Off]]-D303)/D303,0)</f>
        <v>-0.15189873417721519</v>
      </c>
      <c r="G310" s="98">
        <f>IFERROR((Table6[[#This Row],[Calls Ans]]-E303)/E303,0)</f>
        <v>-0.19533851276359601</v>
      </c>
      <c r="H310" s="1">
        <f>H309+Table6[[#This Row],[Calls Off]]</f>
        <v>2536</v>
      </c>
      <c r="I310" s="1">
        <f>I309+Table6[[#This Row],[Calls Ans]]</f>
        <v>2259</v>
      </c>
      <c r="J310" s="1">
        <f>J309+Table6[[#This Row],[Calls Off]]</f>
        <v>255413</v>
      </c>
      <c r="K310" s="1">
        <f>K309+Table6[[#This Row],[Calls Ans]]</f>
        <v>190162</v>
      </c>
      <c r="L310" s="18">
        <v>0.75</v>
      </c>
      <c r="M310" s="18">
        <v>0.1</v>
      </c>
      <c r="N310" s="18">
        <v>0.9</v>
      </c>
      <c r="O310" s="18">
        <v>0.52</v>
      </c>
      <c r="P310" s="253"/>
      <c r="Q310" s="260">
        <v>3.4722222222222225E-3</v>
      </c>
      <c r="R310" s="209">
        <v>3.1944444444444449E-2</v>
      </c>
      <c r="S310" s="1">
        <v>13</v>
      </c>
    </row>
    <row r="311" spans="1:23" x14ac:dyDescent="0.35">
      <c r="A311" s="23">
        <v>44961</v>
      </c>
      <c r="B311" s="1" t="s">
        <v>54</v>
      </c>
      <c r="C311" s="1" t="s">
        <v>60</v>
      </c>
      <c r="D311" s="1">
        <v>716</v>
      </c>
      <c r="E311" s="1">
        <v>628</v>
      </c>
      <c r="F311" s="98">
        <f>IFERROR((Table6[[#This Row],[Calls Off]]-D304)/D304,0)</f>
        <v>-0.12147239263803682</v>
      </c>
      <c r="G311" s="98">
        <f>IFERROR((Table6[[#This Row],[Calls Ans]]-E304)/E304,0)</f>
        <v>-0.19795657726692209</v>
      </c>
      <c r="H311" s="1">
        <f>H310+Table6[[#This Row],[Calls Off]]</f>
        <v>3252</v>
      </c>
      <c r="I311" s="1">
        <f>I310+Table6[[#This Row],[Calls Ans]]</f>
        <v>2887</v>
      </c>
      <c r="J311" s="1">
        <f>J310+Table6[[#This Row],[Calls Off]]</f>
        <v>256129</v>
      </c>
      <c r="K311" s="1">
        <f>K310+Table6[[#This Row],[Calls Ans]]</f>
        <v>190790</v>
      </c>
      <c r="L311" s="18">
        <v>0.62</v>
      </c>
      <c r="M311" s="18">
        <v>0.12</v>
      </c>
      <c r="N311" s="18">
        <v>0.88</v>
      </c>
      <c r="O311" s="18">
        <v>0.57999999999999996</v>
      </c>
      <c r="P311" s="253"/>
      <c r="Q311" s="260">
        <v>3.4722222222222225E-3</v>
      </c>
      <c r="R311" s="209">
        <v>7.6388888888888895E-2</v>
      </c>
      <c r="S311" s="1">
        <v>10</v>
      </c>
    </row>
    <row r="312" spans="1:23" x14ac:dyDescent="0.35">
      <c r="A312" s="23">
        <v>44962</v>
      </c>
      <c r="B312" s="1" t="s">
        <v>48</v>
      </c>
      <c r="C312" s="1" t="s">
        <v>60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8">
        <v>0</v>
      </c>
      <c r="M312" s="18">
        <v>0</v>
      </c>
      <c r="N312" s="18">
        <v>0</v>
      </c>
      <c r="O312" s="18">
        <v>0</v>
      </c>
      <c r="P312" s="253"/>
      <c r="Q312" s="260">
        <v>0</v>
      </c>
      <c r="R312" s="209">
        <v>0</v>
      </c>
      <c r="S312" s="1">
        <v>0</v>
      </c>
    </row>
    <row r="313" spans="1:23" x14ac:dyDescent="0.35">
      <c r="A313" s="23">
        <v>44963</v>
      </c>
      <c r="B313" s="1" t="s">
        <v>49</v>
      </c>
      <c r="C313" s="1" t="s">
        <v>60</v>
      </c>
      <c r="D313" s="1">
        <v>956</v>
      </c>
      <c r="E313" s="1">
        <v>918</v>
      </c>
      <c r="F313" s="98">
        <f>IFERROR((Table6[[#This Row],[Calls Off]]-D306)/D306,0)</f>
        <v>-8.7786259541984726E-2</v>
      </c>
      <c r="G313" s="98">
        <f>IFERROR((Table6[[#This Row],[Calls Ans]]-E306)/E306,0)</f>
        <v>-8.74751491053678E-2</v>
      </c>
      <c r="H313" s="1">
        <f>H311+Table6[[#This Row],[Calls Off]]</f>
        <v>4208</v>
      </c>
      <c r="I313" s="1">
        <f>I311+Table6[[#This Row],[Calls Ans]]</f>
        <v>3805</v>
      </c>
      <c r="J313" s="1">
        <f>J311+Table6[[#This Row],[Calls Off]]</f>
        <v>257085</v>
      </c>
      <c r="K313" s="1">
        <f>K311+Table6[[#This Row],[Calls Ans]]</f>
        <v>191708</v>
      </c>
      <c r="L313" s="18">
        <v>0.87</v>
      </c>
      <c r="M313" s="18">
        <v>0.04</v>
      </c>
      <c r="N313" s="18">
        <v>0.96</v>
      </c>
      <c r="O313" s="18">
        <v>0.65</v>
      </c>
      <c r="P313" s="253"/>
      <c r="Q313" s="260">
        <v>3.1134259259259262E-3</v>
      </c>
      <c r="R313" s="209">
        <v>1.3194444444444444E-2</v>
      </c>
      <c r="S313" s="1">
        <v>13</v>
      </c>
    </row>
    <row r="314" spans="1:23" x14ac:dyDescent="0.35">
      <c r="A314" s="23">
        <v>44964</v>
      </c>
      <c r="B314" s="1" t="s">
        <v>50</v>
      </c>
      <c r="C314" s="1" t="s">
        <v>60</v>
      </c>
      <c r="D314" s="1">
        <v>796</v>
      </c>
      <c r="E314" s="1">
        <v>774</v>
      </c>
      <c r="F314" s="98">
        <f>IFERROR((Table6[[#This Row],[Calls Off]]-D307)/D307,0)</f>
        <v>-0.14500537056928034</v>
      </c>
      <c r="G314" s="98">
        <f>IFERROR((Table6[[#This Row],[Calls Ans]]-E307)/E307,0)</f>
        <v>-0.14475138121546963</v>
      </c>
      <c r="H314" s="1">
        <f>H313+Table6[[#This Row],[Calls Off]]</f>
        <v>5004</v>
      </c>
      <c r="I314" s="1">
        <f>I313+Table6[[#This Row],[Calls Ans]]</f>
        <v>4579</v>
      </c>
      <c r="J314" s="1">
        <f>J313+Table6[[#This Row],[Calls Off]]</f>
        <v>257881</v>
      </c>
      <c r="K314" s="1">
        <f>K313+Table6[[#This Row],[Calls Ans]]</f>
        <v>192482</v>
      </c>
      <c r="L314" s="18">
        <v>0.95</v>
      </c>
      <c r="M314" s="18">
        <v>0.03</v>
      </c>
      <c r="N314" s="18">
        <v>0.97</v>
      </c>
      <c r="O314" s="18">
        <v>0.45</v>
      </c>
      <c r="P314" s="253"/>
      <c r="Q314" s="260">
        <v>3.1481481481481482E-3</v>
      </c>
      <c r="R314" s="209">
        <v>4.8611111111111112E-3</v>
      </c>
      <c r="S314" s="1">
        <v>16</v>
      </c>
    </row>
    <row r="315" spans="1:23" x14ac:dyDescent="0.35">
      <c r="A315" s="23">
        <v>44965</v>
      </c>
      <c r="B315" s="1" t="s">
        <v>51</v>
      </c>
      <c r="C315" s="1" t="s">
        <v>60</v>
      </c>
      <c r="D315" s="1">
        <v>825</v>
      </c>
      <c r="E315" s="1">
        <v>799</v>
      </c>
      <c r="F315" s="98">
        <f>IFERROR((Table6[[#This Row],[Calls Off]]-D308)/D308,0)</f>
        <v>7.326007326007326E-3</v>
      </c>
      <c r="G315" s="98">
        <f>IFERROR((Table6[[#This Row],[Calls Ans]]-E308)/E308,0)</f>
        <v>1.5247776365946633E-2</v>
      </c>
      <c r="H315" s="1">
        <f>H314+Table6[[#This Row],[Calls Off]]</f>
        <v>5829</v>
      </c>
      <c r="I315" s="1">
        <f>I314+Table6[[#This Row],[Calls Ans]]</f>
        <v>5378</v>
      </c>
      <c r="J315" s="1">
        <f>J314+Table6[[#This Row],[Calls Off]]</f>
        <v>258706</v>
      </c>
      <c r="K315" s="1">
        <f>K314+Table6[[#This Row],[Calls Ans]]</f>
        <v>193281</v>
      </c>
      <c r="L315" s="18">
        <v>0.92</v>
      </c>
      <c r="M315" s="18">
        <v>0.03</v>
      </c>
      <c r="N315" s="18">
        <v>0.97</v>
      </c>
      <c r="O315" s="18">
        <v>0.53</v>
      </c>
      <c r="P315" s="253"/>
      <c r="Q315" s="260">
        <v>3.0555555555555557E-3</v>
      </c>
      <c r="R315" s="209">
        <v>1.3194444444444444E-2</v>
      </c>
      <c r="S315" s="1">
        <v>14</v>
      </c>
      <c r="V315" s="276" t="s">
        <v>96</v>
      </c>
      <c r="W315" s="276"/>
    </row>
    <row r="316" spans="1:23" x14ac:dyDescent="0.35">
      <c r="A316" s="23">
        <v>44966</v>
      </c>
      <c r="B316" s="1" t="s">
        <v>52</v>
      </c>
      <c r="C316" s="1" t="s">
        <v>60</v>
      </c>
      <c r="D316" s="1">
        <v>784</v>
      </c>
      <c r="E316" s="1">
        <v>775</v>
      </c>
      <c r="F316" s="98">
        <f>IFERROR((Table6[[#This Row],[Calls Off]]-D309)/D309,0)</f>
        <v>-0.14129244249726178</v>
      </c>
      <c r="G316" s="98">
        <f>IFERROR((Table6[[#This Row],[Calls Ans]]-E309)/E309,0)</f>
        <v>3.7483266398929051E-2</v>
      </c>
      <c r="H316" s="1">
        <f>H315+Table6[[#This Row],[Calls Off]]</f>
        <v>6613</v>
      </c>
      <c r="I316" s="1">
        <f>I315+Table6[[#This Row],[Calls Ans]]</f>
        <v>6153</v>
      </c>
      <c r="J316" s="1">
        <f>J315+Table6[[#This Row],[Calls Off]]</f>
        <v>259490</v>
      </c>
      <c r="K316" s="1">
        <f>K315+Table6[[#This Row],[Calls Ans]]</f>
        <v>194056</v>
      </c>
      <c r="L316" s="18">
        <v>1</v>
      </c>
      <c r="M316" s="18">
        <v>0.01</v>
      </c>
      <c r="N316" s="18">
        <v>0.99</v>
      </c>
      <c r="O316" s="18">
        <v>0.48</v>
      </c>
      <c r="P316" s="253"/>
      <c r="Q316" s="260">
        <v>3.2986111111111111E-3</v>
      </c>
      <c r="R316" s="209">
        <v>2.0833333333333333E-3</v>
      </c>
      <c r="S316" s="1">
        <v>15</v>
      </c>
      <c r="V316" t="s">
        <v>97</v>
      </c>
      <c r="W316" t="s">
        <v>98</v>
      </c>
    </row>
    <row r="317" spans="1:23" x14ac:dyDescent="0.35">
      <c r="A317" s="23">
        <v>44967</v>
      </c>
      <c r="B317" s="1" t="s">
        <v>53</v>
      </c>
      <c r="C317" s="1" t="s">
        <v>60</v>
      </c>
      <c r="D317" s="1">
        <v>755</v>
      </c>
      <c r="E317" s="1">
        <v>733</v>
      </c>
      <c r="F317" s="98">
        <f>IFERROR((Table6[[#This Row],[Calls Off]]-D310)/D310,0)</f>
        <v>-6.0945273631840796E-2</v>
      </c>
      <c r="G317" s="98">
        <f>IFERROR((Table6[[#This Row],[Calls Ans]]-E310)/E310,0)</f>
        <v>1.1034482758620689E-2</v>
      </c>
      <c r="H317" s="1">
        <f>H316+Table6[[#This Row],[Calls Off]]</f>
        <v>7368</v>
      </c>
      <c r="I317" s="1">
        <f>I316+Table6[[#This Row],[Calls Ans]]</f>
        <v>6886</v>
      </c>
      <c r="J317" s="1">
        <f>J316+Table6[[#This Row],[Calls Off]]</f>
        <v>260245</v>
      </c>
      <c r="K317" s="1">
        <f>K316+Table6[[#This Row],[Calls Ans]]</f>
        <v>194789</v>
      </c>
      <c r="L317" s="18">
        <v>0.97</v>
      </c>
      <c r="M317" s="18">
        <v>0.03</v>
      </c>
      <c r="N317" s="18">
        <v>0.97</v>
      </c>
      <c r="O317" s="18">
        <v>0.45</v>
      </c>
      <c r="P317" s="253"/>
      <c r="Q317" s="260">
        <v>3.4722222222222225E-3</v>
      </c>
      <c r="R317" s="209">
        <v>5.5555555555555558E-3</v>
      </c>
      <c r="S317" s="1">
        <v>15</v>
      </c>
      <c r="V317" t="s">
        <v>99</v>
      </c>
      <c r="W317" s="219">
        <v>0</v>
      </c>
    </row>
    <row r="318" spans="1:23" x14ac:dyDescent="0.35">
      <c r="A318" s="23">
        <v>44968</v>
      </c>
      <c r="B318" s="1" t="s">
        <v>54</v>
      </c>
      <c r="C318" s="1" t="s">
        <v>60</v>
      </c>
      <c r="D318" s="1">
        <v>588</v>
      </c>
      <c r="E318" s="1">
        <v>572</v>
      </c>
      <c r="F318" s="98">
        <f>IFERROR((Table6[[#This Row],[Calls Off]]-D311)/D311,0)</f>
        <v>-0.1787709497206704</v>
      </c>
      <c r="G318" s="98">
        <f>IFERROR((Table6[[#This Row],[Calls Ans]]-E311)/E311,0)</f>
        <v>-8.9171974522292988E-2</v>
      </c>
      <c r="H318" s="1">
        <f>H317+Table6[[#This Row],[Calls Off]]</f>
        <v>7956</v>
      </c>
      <c r="I318" s="1">
        <f>I317+Table6[[#This Row],[Calls Ans]]</f>
        <v>7458</v>
      </c>
      <c r="J318" s="1">
        <f>J317+Table6[[#This Row],[Calls Off]]</f>
        <v>260833</v>
      </c>
      <c r="K318" s="1">
        <f>K317+Table6[[#This Row],[Calls Ans]]</f>
        <v>195361</v>
      </c>
      <c r="L318" s="18">
        <v>0.97</v>
      </c>
      <c r="M318" s="18">
        <v>0.03</v>
      </c>
      <c r="N318" s="18">
        <v>0.97</v>
      </c>
      <c r="O318" s="18">
        <v>0.44</v>
      </c>
      <c r="P318" s="253"/>
      <c r="Q318" s="260">
        <v>3.2175925925925922E-3</v>
      </c>
      <c r="R318" s="209">
        <v>9.7222222222222224E-3</v>
      </c>
      <c r="S318" s="1">
        <v>12</v>
      </c>
      <c r="V318" t="s">
        <v>100</v>
      </c>
      <c r="W318" s="219">
        <v>0.10416666666666667</v>
      </c>
    </row>
    <row r="319" spans="1:23" x14ac:dyDescent="0.35">
      <c r="A319" s="23">
        <v>44969</v>
      </c>
      <c r="B319" s="1" t="s">
        <v>48</v>
      </c>
      <c r="C319" s="1" t="s">
        <v>60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8">
        <v>0</v>
      </c>
      <c r="M319" s="18">
        <v>0</v>
      </c>
      <c r="N319" s="18">
        <v>0</v>
      </c>
      <c r="O319" s="18">
        <v>0</v>
      </c>
      <c r="P319" s="253"/>
      <c r="Q319" s="260">
        <v>0</v>
      </c>
      <c r="R319" s="209">
        <v>0</v>
      </c>
      <c r="S319" s="1">
        <v>0</v>
      </c>
      <c r="V319" t="s">
        <v>101</v>
      </c>
      <c r="W319" s="219">
        <v>0.10416666666666667</v>
      </c>
    </row>
    <row r="320" spans="1:23" x14ac:dyDescent="0.35">
      <c r="A320" s="23">
        <v>44970</v>
      </c>
      <c r="B320" s="1" t="s">
        <v>49</v>
      </c>
      <c r="C320" s="1" t="s">
        <v>60</v>
      </c>
      <c r="D320" s="1">
        <v>810</v>
      </c>
      <c r="E320" s="1">
        <v>798</v>
      </c>
      <c r="F320" s="98">
        <f>IFERROR((Table6[[#This Row],[Calls Off]]-D313)/D313,0)</f>
        <v>-0.15271966527196654</v>
      </c>
      <c r="G320" s="98">
        <f>IFERROR((Table6[[#This Row],[Calls Ans]]-E313)/E313,0)</f>
        <v>-0.13071895424836602</v>
      </c>
      <c r="H320" s="1">
        <f>H318+Table6[[#This Row],[Calls Off]]</f>
        <v>8766</v>
      </c>
      <c r="I320" s="1">
        <f>I318+Table6[[#This Row],[Calls Ans]]</f>
        <v>8256</v>
      </c>
      <c r="J320" s="1">
        <f>J318+Table6[[#This Row],[Calls Off]]</f>
        <v>261643</v>
      </c>
      <c r="K320" s="1">
        <f>K318+Table6[[#This Row],[Calls Ans]]</f>
        <v>196159</v>
      </c>
      <c r="L320" s="18">
        <v>0.98</v>
      </c>
      <c r="M320" s="18">
        <v>0.01</v>
      </c>
      <c r="N320" s="18">
        <v>0.99</v>
      </c>
      <c r="O320" s="18">
        <v>0.46</v>
      </c>
      <c r="P320" s="253"/>
      <c r="Q320" s="260">
        <v>3.0439814814814817E-3</v>
      </c>
      <c r="R320" s="209">
        <v>2.7777777777777779E-3</v>
      </c>
      <c r="S320" s="1">
        <v>16</v>
      </c>
      <c r="V320" t="s">
        <v>102</v>
      </c>
      <c r="W320" s="219">
        <v>0.20833333333333334</v>
      </c>
    </row>
    <row r="321" spans="1:23" x14ac:dyDescent="0.35">
      <c r="A321" s="23">
        <v>44971</v>
      </c>
      <c r="B321" s="1" t="s">
        <v>50</v>
      </c>
      <c r="C321" s="1" t="s">
        <v>60</v>
      </c>
      <c r="D321" s="1">
        <v>766</v>
      </c>
      <c r="E321" s="1">
        <v>739</v>
      </c>
      <c r="F321" s="98">
        <f>IFERROR((Table6[[#This Row],[Calls Off]]-D314)/D314,0)</f>
        <v>-3.7688442211055273E-2</v>
      </c>
      <c r="G321" s="98">
        <f>IFERROR((Table6[[#This Row],[Calls Ans]]-E314)/E314,0)</f>
        <v>-4.5219638242894059E-2</v>
      </c>
      <c r="H321" s="1">
        <f>H320+Table6[[#This Row],[Calls Off]]</f>
        <v>9532</v>
      </c>
      <c r="I321" s="1">
        <f>I320+Table6[[#This Row],[Calls Ans]]</f>
        <v>8995</v>
      </c>
      <c r="J321" s="1">
        <f>J320+Table6[[#This Row],[Calls Off]]</f>
        <v>262409</v>
      </c>
      <c r="K321" s="1">
        <f>K320+Table6[[#This Row],[Calls Ans]]</f>
        <v>196898</v>
      </c>
      <c r="L321" s="18">
        <v>0.92</v>
      </c>
      <c r="M321" s="18">
        <v>0.04</v>
      </c>
      <c r="N321" s="18">
        <v>0.96</v>
      </c>
      <c r="O321" s="18">
        <v>0.38</v>
      </c>
      <c r="P321" s="253"/>
      <c r="Q321" s="260">
        <v>3.6921296296296294E-3</v>
      </c>
      <c r="R321" s="209">
        <v>9.7222222222222224E-3</v>
      </c>
      <c r="S321" s="1">
        <v>18</v>
      </c>
      <c r="V321" t="s">
        <v>98</v>
      </c>
      <c r="W321" s="219" cm="1">
        <f t="array" ref="W321">AVERAGEIF(chart_ATT_JAM, "&lt;&gt;0")</f>
        <v>3.3071844993141286E-3</v>
      </c>
    </row>
    <row r="322" spans="1:23" x14ac:dyDescent="0.35">
      <c r="A322" s="23">
        <v>44972</v>
      </c>
      <c r="B322" s="1" t="s">
        <v>51</v>
      </c>
      <c r="C322" s="1" t="s">
        <v>60</v>
      </c>
      <c r="D322" s="1">
        <v>733</v>
      </c>
      <c r="E322" s="1">
        <v>711</v>
      </c>
      <c r="F322" s="98">
        <f>IFERROR((Table6[[#This Row],[Calls Off]]-D315)/D315,0)</f>
        <v>-0.11151515151515151</v>
      </c>
      <c r="G322" s="98">
        <f>IFERROR((Table6[[#This Row],[Calls Ans]]-E315)/E315,0)</f>
        <v>-0.11013767209011265</v>
      </c>
      <c r="H322" s="1">
        <f>H321+Table6[[#This Row],[Calls Off]]</f>
        <v>10265</v>
      </c>
      <c r="I322" s="1">
        <f>I321+Table6[[#This Row],[Calls Ans]]</f>
        <v>9706</v>
      </c>
      <c r="J322" s="1">
        <f>J321+Table6[[#This Row],[Calls Off]]</f>
        <v>263142</v>
      </c>
      <c r="K322" s="1">
        <f>K321+Table6[[#This Row],[Calls Ans]]</f>
        <v>197609</v>
      </c>
      <c r="L322" s="18">
        <v>0.94</v>
      </c>
      <c r="M322" s="18">
        <v>0.03</v>
      </c>
      <c r="N322" s="18">
        <v>0.97</v>
      </c>
      <c r="O322" s="18">
        <v>0.41</v>
      </c>
      <c r="P322" s="253"/>
      <c r="Q322" s="260">
        <v>3.5763888888888889E-3</v>
      </c>
      <c r="R322" s="209">
        <v>8.3333333333333332E-3</v>
      </c>
      <c r="S322" s="1">
        <v>16</v>
      </c>
    </row>
    <row r="323" spans="1:23" x14ac:dyDescent="0.35">
      <c r="A323" s="23">
        <v>44973</v>
      </c>
      <c r="B323" s="1" t="s">
        <v>52</v>
      </c>
      <c r="C323" s="1" t="s">
        <v>60</v>
      </c>
      <c r="D323" s="1">
        <v>761</v>
      </c>
      <c r="E323" s="1">
        <v>753</v>
      </c>
      <c r="F323" s="98">
        <f>IFERROR((Table6[[#This Row],[Calls Off]]-D316)/D316,0)</f>
        <v>-2.9336734693877552E-2</v>
      </c>
      <c r="G323" s="98">
        <f>IFERROR((Table6[[#This Row],[Calls Ans]]-E316)/E316,0)</f>
        <v>-2.838709677419355E-2</v>
      </c>
      <c r="H323" s="1">
        <f>H322+Table6[[#This Row],[Calls Off]]</f>
        <v>11026</v>
      </c>
      <c r="I323" s="1">
        <f>I322+Table6[[#This Row],[Calls Ans]]</f>
        <v>10459</v>
      </c>
      <c r="J323" s="1">
        <f>J322+Table6[[#This Row],[Calls Off]]</f>
        <v>263903</v>
      </c>
      <c r="K323" s="1">
        <f>K322+Table6[[#This Row],[Calls Ans]]</f>
        <v>198362</v>
      </c>
      <c r="L323" s="18">
        <v>0.98</v>
      </c>
      <c r="M323" s="18">
        <v>0.01</v>
      </c>
      <c r="N323" s="18">
        <v>0.99</v>
      </c>
      <c r="O323" s="18">
        <v>0.44</v>
      </c>
      <c r="P323" s="253"/>
      <c r="Q323" s="260">
        <v>3.8310185185185183E-3</v>
      </c>
      <c r="R323" s="209">
        <v>8.3333333333333332E-3</v>
      </c>
      <c r="S323" s="1">
        <v>16</v>
      </c>
    </row>
    <row r="324" spans="1:23" x14ac:dyDescent="0.35">
      <c r="A324" s="23">
        <v>44974</v>
      </c>
      <c r="B324" s="1" t="s">
        <v>53</v>
      </c>
      <c r="C324" s="1" t="s">
        <v>60</v>
      </c>
      <c r="D324" s="1">
        <v>766</v>
      </c>
      <c r="E324" s="1">
        <v>749</v>
      </c>
      <c r="F324" s="98">
        <f>IFERROR((Table6[[#This Row],[Calls Off]]-D317)/D317,0)</f>
        <v>1.456953642384106E-2</v>
      </c>
      <c r="G324" s="98">
        <f>IFERROR((Table6[[#This Row],[Calls Ans]]-E317)/E317,0)</f>
        <v>2.1828103683492497E-2</v>
      </c>
      <c r="H324" s="1">
        <f>H323+Table6[[#This Row],[Calls Off]]</f>
        <v>11792</v>
      </c>
      <c r="I324" s="1">
        <f>I323+Table6[[#This Row],[Calls Ans]]</f>
        <v>11208</v>
      </c>
      <c r="J324" s="1">
        <f>J323+Table6[[#This Row],[Calls Off]]</f>
        <v>264669</v>
      </c>
      <c r="K324" s="1">
        <f>K323+Table6[[#This Row],[Calls Ans]]</f>
        <v>199111</v>
      </c>
      <c r="L324" s="18">
        <v>0.97</v>
      </c>
      <c r="M324" s="18">
        <v>0.02</v>
      </c>
      <c r="N324" s="18">
        <v>0.98</v>
      </c>
      <c r="O324" s="18">
        <v>0.57999999999999996</v>
      </c>
      <c r="P324" s="253"/>
      <c r="Q324" s="260">
        <v>3.2175925925925922E-3</v>
      </c>
      <c r="R324" s="209">
        <v>4.8611111111111112E-3</v>
      </c>
      <c r="S324" s="1">
        <v>12</v>
      </c>
    </row>
    <row r="325" spans="1:23" x14ac:dyDescent="0.35">
      <c r="A325" s="23">
        <v>44975</v>
      </c>
      <c r="B325" s="1" t="s">
        <v>54</v>
      </c>
      <c r="C325" s="1" t="s">
        <v>60</v>
      </c>
      <c r="D325" s="1">
        <v>718</v>
      </c>
      <c r="E325" s="1">
        <v>678</v>
      </c>
      <c r="F325" s="98">
        <f>IFERROR((Table6[[#This Row],[Calls Off]]-D318)/D318,0)</f>
        <v>0.22108843537414966</v>
      </c>
      <c r="G325" s="98">
        <f>IFERROR((Table6[[#This Row],[Calls Ans]]-E318)/E318,0)</f>
        <v>0.18531468531468531</v>
      </c>
      <c r="H325" s="1">
        <f>H324+Table6[[#This Row],[Calls Off]]</f>
        <v>12510</v>
      </c>
      <c r="I325" s="1">
        <f>I324+Table6[[#This Row],[Calls Ans]]</f>
        <v>11886</v>
      </c>
      <c r="J325" s="1">
        <f>J324+Table6[[#This Row],[Calls Off]]</f>
        <v>265387</v>
      </c>
      <c r="K325" s="1">
        <f>K324+Table6[[#This Row],[Calls Ans]]</f>
        <v>199789</v>
      </c>
      <c r="L325" s="18">
        <v>0.87</v>
      </c>
      <c r="M325" s="18">
        <v>0.06</v>
      </c>
      <c r="N325" s="18">
        <v>0.94</v>
      </c>
      <c r="O325" s="18">
        <v>0.48</v>
      </c>
      <c r="P325" s="253"/>
      <c r="Q325" s="260">
        <v>3.5995370370370374E-3</v>
      </c>
      <c r="R325" s="209">
        <v>1.3194444444444444E-2</v>
      </c>
      <c r="S325" s="1">
        <v>13</v>
      </c>
    </row>
    <row r="326" spans="1:23" x14ac:dyDescent="0.35">
      <c r="A326" s="23">
        <v>44976</v>
      </c>
      <c r="B326" s="1" t="s">
        <v>48</v>
      </c>
      <c r="C326" s="1" t="s">
        <v>60</v>
      </c>
      <c r="D326" s="1">
        <v>41</v>
      </c>
      <c r="E326" s="1">
        <v>41</v>
      </c>
      <c r="F326" s="98">
        <f>IFERROR((Table6[[#This Row],[Calls Off]]-D319)/D319,0)</f>
        <v>0</v>
      </c>
      <c r="G326" s="98">
        <f>IFERROR((Table6[[#This Row],[Calls Ans]]-E319)/E319,0)</f>
        <v>0</v>
      </c>
      <c r="H326" s="1">
        <f>H325+Table6[[#This Row],[Calls Off]]</f>
        <v>12551</v>
      </c>
      <c r="I326" s="1">
        <f>I325+Table6[[#This Row],[Calls Ans]]</f>
        <v>11927</v>
      </c>
      <c r="J326" s="1">
        <f>J325+Table6[[#This Row],[Calls Off]]</f>
        <v>265428</v>
      </c>
      <c r="K326" s="1">
        <f>K325+Table6[[#This Row],[Calls Ans]]</f>
        <v>199830</v>
      </c>
      <c r="L326" s="18">
        <v>0.99</v>
      </c>
      <c r="M326" s="18">
        <v>0</v>
      </c>
      <c r="N326" s="18">
        <v>1</v>
      </c>
      <c r="O326" s="18">
        <v>0.13</v>
      </c>
      <c r="P326" s="253"/>
      <c r="Q326" s="260">
        <v>1.5509259259259259E-3</v>
      </c>
      <c r="R326" s="209">
        <v>4.8611111111111112E-3</v>
      </c>
      <c r="S326" s="1">
        <v>3</v>
      </c>
    </row>
    <row r="327" spans="1:23" x14ac:dyDescent="0.35">
      <c r="A327" s="23">
        <v>44977</v>
      </c>
      <c r="B327" s="1" t="s">
        <v>49</v>
      </c>
      <c r="C327" s="1" t="s">
        <v>60</v>
      </c>
      <c r="D327" s="1">
        <v>840</v>
      </c>
      <c r="E327" s="1">
        <v>825</v>
      </c>
      <c r="F327" s="98">
        <f>IFERROR((Table6[[#This Row],[Calls Off]]-D320)/D320,0)</f>
        <v>3.7037037037037035E-2</v>
      </c>
      <c r="G327" s="98">
        <f>IFERROR((Table6[[#This Row],[Calls Ans]]-E320)/E320,0)</f>
        <v>3.3834586466165412E-2</v>
      </c>
      <c r="H327" s="1">
        <f>H325+Table6[[#This Row],[Calls Off]]</f>
        <v>13350</v>
      </c>
      <c r="I327" s="1">
        <f>I325+Table6[[#This Row],[Calls Ans]]</f>
        <v>12711</v>
      </c>
      <c r="J327" s="1">
        <f>J325+Table6[[#This Row],[Calls Off]]</f>
        <v>266227</v>
      </c>
      <c r="K327" s="1">
        <f>K325+Table6[[#This Row],[Calls Ans]]</f>
        <v>200614</v>
      </c>
      <c r="L327" s="18">
        <v>0.97</v>
      </c>
      <c r="M327" s="18">
        <v>0.02</v>
      </c>
      <c r="N327" s="18">
        <v>0.98</v>
      </c>
      <c r="O327" s="18">
        <v>0.5</v>
      </c>
      <c r="P327" s="253"/>
      <c r="Q327" s="260">
        <v>3.1134259259259262E-3</v>
      </c>
      <c r="R327" s="209">
        <v>3.472222222222222E-3</v>
      </c>
      <c r="S327" s="1">
        <v>17</v>
      </c>
    </row>
    <row r="328" spans="1:23" x14ac:dyDescent="0.35">
      <c r="A328" s="23">
        <v>44978</v>
      </c>
      <c r="B328" s="1" t="s">
        <v>50</v>
      </c>
      <c r="C328" s="1" t="s">
        <v>60</v>
      </c>
      <c r="D328" s="1">
        <v>798</v>
      </c>
      <c r="E328" s="1">
        <v>767</v>
      </c>
      <c r="F328" s="98">
        <f>IFERROR((Table6[[#This Row],[Calls Off]]-D321)/D321,0)</f>
        <v>4.1775456919060053E-2</v>
      </c>
      <c r="G328" s="98">
        <f>IFERROR((Table6[[#This Row],[Calls Ans]]-E321)/E321,0)</f>
        <v>3.7889039242219216E-2</v>
      </c>
      <c r="H328" s="1">
        <f>H327+Table6[[#This Row],[Calls Off]]</f>
        <v>14148</v>
      </c>
      <c r="I328" s="1">
        <f>I327+Table6[[#This Row],[Calls Ans]]</f>
        <v>13478</v>
      </c>
      <c r="J328" s="1">
        <f>J327+Table6[[#This Row],[Calls Off]]</f>
        <v>267025</v>
      </c>
      <c r="K328" s="1">
        <f>K327+Table6[[#This Row],[Calls Ans]]</f>
        <v>201381</v>
      </c>
      <c r="L328" s="18">
        <v>0.92</v>
      </c>
      <c r="M328" s="18">
        <v>0.04</v>
      </c>
      <c r="N328" s="18">
        <v>0.96</v>
      </c>
      <c r="O328" s="18">
        <v>0.56999999999999995</v>
      </c>
      <c r="P328" s="253"/>
      <c r="Q328" s="260">
        <v>3.8194444444444443E-3</v>
      </c>
      <c r="R328" s="209">
        <v>9.0277777777777787E-3</v>
      </c>
      <c r="S328" s="1">
        <v>17</v>
      </c>
    </row>
    <row r="329" spans="1:23" x14ac:dyDescent="0.35">
      <c r="A329" s="23">
        <v>44979</v>
      </c>
      <c r="B329" s="1" t="s">
        <v>51</v>
      </c>
      <c r="C329" s="1" t="s">
        <v>60</v>
      </c>
      <c r="D329" s="1">
        <v>0</v>
      </c>
      <c r="E329" s="1">
        <v>0</v>
      </c>
      <c r="F329" s="98">
        <f>IFERROR((Table6[[#This Row],[Calls Off]]-D322)/D322,0)</f>
        <v>-1</v>
      </c>
      <c r="G329" s="98">
        <f>IFERROR((Table6[[#This Row],[Calls Ans]]-E322)/E322,0)</f>
        <v>-1</v>
      </c>
      <c r="H329" s="1">
        <f>H328+Table6[[#This Row],[Calls Off]]</f>
        <v>14148</v>
      </c>
      <c r="I329" s="1">
        <f>I328+Table6[[#This Row],[Calls Ans]]</f>
        <v>13478</v>
      </c>
      <c r="J329" s="1">
        <f>J328+Table6[[#This Row],[Calls Off]]</f>
        <v>267025</v>
      </c>
      <c r="K329" s="1">
        <f>K328+Table6[[#This Row],[Calls Ans]]</f>
        <v>201381</v>
      </c>
      <c r="L329" s="18">
        <v>0</v>
      </c>
      <c r="M329" s="18">
        <v>0</v>
      </c>
      <c r="N329" s="18">
        <v>0</v>
      </c>
      <c r="O329" s="18">
        <v>0</v>
      </c>
      <c r="P329" s="253"/>
      <c r="Q329" s="260">
        <v>0</v>
      </c>
      <c r="R329" s="209">
        <v>0</v>
      </c>
      <c r="S329" s="1">
        <v>0</v>
      </c>
    </row>
    <row r="330" spans="1:23" x14ac:dyDescent="0.35">
      <c r="A330" s="23">
        <v>44980</v>
      </c>
      <c r="B330" s="1" t="s">
        <v>52</v>
      </c>
      <c r="C330" s="1" t="s">
        <v>60</v>
      </c>
      <c r="D330" s="1">
        <v>973</v>
      </c>
      <c r="E330" s="1">
        <v>913</v>
      </c>
      <c r="F330" s="98">
        <f>IFERROR((Table6[[#This Row],[Calls Off]]-D323)/D323,0)</f>
        <v>0.27858081471747698</v>
      </c>
      <c r="G330" s="98">
        <f>IFERROR((Table6[[#This Row],[Calls Ans]]-E323)/E323,0)</f>
        <v>0.21248339973439576</v>
      </c>
      <c r="H330" s="1">
        <f>H329+Table6[[#This Row],[Calls Off]]</f>
        <v>15121</v>
      </c>
      <c r="I330" s="1">
        <f>I329+Table6[[#This Row],[Calls Ans]]</f>
        <v>14391</v>
      </c>
      <c r="J330" s="1">
        <f>J329+Table6[[#This Row],[Calls Off]]</f>
        <v>267998</v>
      </c>
      <c r="K330" s="1">
        <f>K329+Table6[[#This Row],[Calls Ans]]</f>
        <v>202294</v>
      </c>
      <c r="L330" s="18">
        <v>0.74</v>
      </c>
      <c r="M330" s="18">
        <v>0.06</v>
      </c>
      <c r="N330" s="18">
        <v>0.94</v>
      </c>
      <c r="O330" s="18">
        <v>0.69</v>
      </c>
      <c r="P330" s="253"/>
      <c r="Q330" s="260">
        <v>3.1944444444444442E-3</v>
      </c>
      <c r="R330" s="209">
        <v>2.361111111111111E-2</v>
      </c>
      <c r="S330" s="1">
        <v>14</v>
      </c>
    </row>
    <row r="331" spans="1:23" x14ac:dyDescent="0.35">
      <c r="A331" s="23">
        <v>44981</v>
      </c>
      <c r="B331" s="1" t="s">
        <v>53</v>
      </c>
      <c r="C331" s="1" t="s">
        <v>60</v>
      </c>
      <c r="D331" s="1">
        <v>910</v>
      </c>
      <c r="E331" s="1">
        <v>794</v>
      </c>
      <c r="F331" s="98">
        <f>IFERROR((Table6[[#This Row],[Calls Off]]-D324)/D324,0)</f>
        <v>0.18798955613577023</v>
      </c>
      <c r="G331" s="98">
        <f>IFERROR((Table6[[#This Row],[Calls Ans]]-E324)/E324,0)</f>
        <v>6.008010680907877E-2</v>
      </c>
      <c r="H331" s="1">
        <f>H330+Table6[[#This Row],[Calls Off]]</f>
        <v>16031</v>
      </c>
      <c r="I331" s="1">
        <f>I330+Table6[[#This Row],[Calls Ans]]</f>
        <v>15185</v>
      </c>
      <c r="J331" s="1">
        <f>J330+Table6[[#This Row],[Calls Off]]</f>
        <v>268908</v>
      </c>
      <c r="K331" s="1">
        <f>K330+Table6[[#This Row],[Calls Ans]]</f>
        <v>203088</v>
      </c>
      <c r="L331" s="18">
        <v>0.59</v>
      </c>
      <c r="M331" s="18">
        <v>0.13</v>
      </c>
      <c r="N331" s="18">
        <v>0.87</v>
      </c>
      <c r="O331" s="18">
        <v>0.91</v>
      </c>
      <c r="P331" s="253"/>
      <c r="Q331" s="260">
        <v>3.7731481481481483E-3</v>
      </c>
      <c r="R331" s="209">
        <v>4.3750000000000004E-2</v>
      </c>
      <c r="S331" s="1">
        <v>11</v>
      </c>
    </row>
    <row r="332" spans="1:23" x14ac:dyDescent="0.35">
      <c r="A332" s="23">
        <v>44982</v>
      </c>
      <c r="B332" s="1" t="s">
        <v>54</v>
      </c>
      <c r="C332" s="1" t="s">
        <v>60</v>
      </c>
      <c r="D332" s="1">
        <v>709</v>
      </c>
      <c r="E332" s="1">
        <v>658</v>
      </c>
      <c r="F332" s="98">
        <f>IFERROR((Table6[[#This Row],[Calls Off]]-D325)/D325,0)</f>
        <v>-1.2534818941504178E-2</v>
      </c>
      <c r="G332" s="98">
        <f>IFERROR((Table6[[#This Row],[Calls Ans]]-E325)/E325,0)</f>
        <v>-2.9498525073746312E-2</v>
      </c>
      <c r="H332" s="1">
        <f>H331+Table6[[#This Row],[Calls Off]]</f>
        <v>16740</v>
      </c>
      <c r="I332" s="1">
        <f>I331+Table6[[#This Row],[Calls Ans]]</f>
        <v>15843</v>
      </c>
      <c r="J332" s="1">
        <f>J331+Table6[[#This Row],[Calls Off]]</f>
        <v>269617</v>
      </c>
      <c r="K332" s="1">
        <f>K331+Table6[[#This Row],[Calls Ans]]</f>
        <v>203746</v>
      </c>
      <c r="L332" s="18">
        <v>0.8</v>
      </c>
      <c r="M332" s="18">
        <v>7.0000000000000007E-2</v>
      </c>
      <c r="N332" s="18">
        <v>0.93</v>
      </c>
      <c r="O332" s="18">
        <v>0.69</v>
      </c>
      <c r="P332" s="253"/>
      <c r="Q332" s="260">
        <v>3.7731481481481483E-3</v>
      </c>
      <c r="R332" s="209">
        <v>1.8055555555555557E-2</v>
      </c>
      <c r="S332" s="1">
        <v>12</v>
      </c>
    </row>
    <row r="333" spans="1:23" x14ac:dyDescent="0.35">
      <c r="A333" s="23">
        <v>44983</v>
      </c>
      <c r="B333" s="1" t="s">
        <v>48</v>
      </c>
      <c r="C333" s="1" t="s">
        <v>60</v>
      </c>
      <c r="D333" s="1">
        <v>0</v>
      </c>
      <c r="E333" s="1">
        <v>0</v>
      </c>
      <c r="F333" s="98">
        <v>0</v>
      </c>
      <c r="G333" s="98">
        <v>0</v>
      </c>
      <c r="H333" s="1">
        <v>0</v>
      </c>
      <c r="I333" s="1">
        <v>0</v>
      </c>
      <c r="J333" s="1">
        <v>0</v>
      </c>
      <c r="K333" s="1">
        <v>0</v>
      </c>
      <c r="L333" s="18">
        <v>0</v>
      </c>
      <c r="M333" s="18">
        <v>0</v>
      </c>
      <c r="N333" s="18">
        <v>0</v>
      </c>
      <c r="O333" s="18">
        <v>0</v>
      </c>
      <c r="P333" s="253"/>
      <c r="Q333" s="260">
        <v>0</v>
      </c>
      <c r="R333" s="209">
        <v>0</v>
      </c>
      <c r="S333" s="1">
        <v>0</v>
      </c>
    </row>
    <row r="334" spans="1:23" x14ac:dyDescent="0.35">
      <c r="A334" s="23">
        <v>44984</v>
      </c>
      <c r="B334" s="1" t="s">
        <v>49</v>
      </c>
      <c r="C334" s="1" t="s">
        <v>60</v>
      </c>
      <c r="D334" s="1">
        <v>1044</v>
      </c>
      <c r="E334" s="1">
        <v>998</v>
      </c>
      <c r="F334" s="98">
        <f>IFERROR((Table6[[#This Row],[Calls Off]]-D327)/D327,0)</f>
        <v>0.24285714285714285</v>
      </c>
      <c r="G334" s="98">
        <f>IFERROR((Table6[[#This Row],[Calls Ans]]-E327)/E327,0)</f>
        <v>0.20969696969696969</v>
      </c>
      <c r="H334" s="1">
        <f>H332+Table6[[#This Row],[Calls Off]]</f>
        <v>17784</v>
      </c>
      <c r="I334" s="1">
        <f>I332+Table6[[#This Row],[Calls Ans]]</f>
        <v>16841</v>
      </c>
      <c r="J334" s="1">
        <f>J332+Table6[[#This Row],[Calls Off]]</f>
        <v>270661</v>
      </c>
      <c r="K334" s="1">
        <f>K332+Table6[[#This Row],[Calls Ans]]</f>
        <v>204744</v>
      </c>
      <c r="L334" s="18">
        <v>0.88</v>
      </c>
      <c r="M334" s="18">
        <v>0.04</v>
      </c>
      <c r="N334" s="18">
        <v>0.96</v>
      </c>
      <c r="O334" s="18">
        <v>0.62</v>
      </c>
      <c r="P334" s="253"/>
      <c r="Q334" s="260">
        <v>2.9976851851851853E-3</v>
      </c>
      <c r="R334" s="209">
        <v>1.3194444444444444E-2</v>
      </c>
      <c r="S334" s="1">
        <v>16</v>
      </c>
    </row>
    <row r="335" spans="1:23" x14ac:dyDescent="0.35">
      <c r="A335" s="23">
        <v>44985</v>
      </c>
      <c r="B335" s="1" t="s">
        <v>50</v>
      </c>
      <c r="C335" s="1" t="s">
        <v>60</v>
      </c>
      <c r="D335" s="1">
        <v>945</v>
      </c>
      <c r="E335" s="1">
        <v>896</v>
      </c>
      <c r="F335" s="98">
        <f>IFERROR((Table6[[#This Row],[Calls Off]]-D328)/D328,0)</f>
        <v>0.18421052631578946</v>
      </c>
      <c r="G335" s="98">
        <f>IFERROR((Table6[[#This Row],[Calls Ans]]-E328)/E328,0)</f>
        <v>0.16818774445893089</v>
      </c>
      <c r="H335" s="1">
        <f>H334+Table6[[#This Row],[Calls Off]]</f>
        <v>18729</v>
      </c>
      <c r="I335" s="1">
        <f>I334+Table6[[#This Row],[Calls Ans]]</f>
        <v>17737</v>
      </c>
      <c r="J335" s="1">
        <f>J334+Table6[[#This Row],[Calls Off]]</f>
        <v>271606</v>
      </c>
      <c r="K335" s="1">
        <f>K334+Table6[[#This Row],[Calls Ans]]</f>
        <v>205640</v>
      </c>
      <c r="L335" s="18">
        <v>0.83</v>
      </c>
      <c r="M335" s="18">
        <v>0.05</v>
      </c>
      <c r="N335" s="18">
        <v>0.95</v>
      </c>
      <c r="O335" s="18">
        <v>0.66</v>
      </c>
      <c r="P335" s="253"/>
      <c r="Q335" s="260">
        <v>3.3101851851851851E-3</v>
      </c>
      <c r="R335" s="209">
        <v>4.1666666666666664E-2</v>
      </c>
      <c r="S335" s="1">
        <v>15</v>
      </c>
    </row>
    <row r="336" spans="1:23" x14ac:dyDescent="0.35">
      <c r="A336" s="23">
        <v>44986</v>
      </c>
      <c r="B336" s="1" t="s">
        <v>51</v>
      </c>
      <c r="C336" s="1" t="s">
        <v>60</v>
      </c>
      <c r="D336" s="1">
        <v>893</v>
      </c>
      <c r="E336" s="1">
        <v>812</v>
      </c>
      <c r="F336" s="98">
        <f>IFERROR((Table6[[#This Row],[Calls Off]]-D329)/D329,0)</f>
        <v>0</v>
      </c>
      <c r="G336" s="98">
        <f>IFERROR((Table6[[#This Row],[Calls Ans]]-E329)/E329,0)</f>
        <v>0</v>
      </c>
      <c r="H336" s="1">
        <f>Table6[[#This Row],[Calls Off]]</f>
        <v>893</v>
      </c>
      <c r="I336" s="1">
        <f>Table6[[#This Row],[Calls Ans]]</f>
        <v>812</v>
      </c>
      <c r="J336" s="1">
        <f>J335+Table6[[#This Row],[Calls Off]]</f>
        <v>272499</v>
      </c>
      <c r="K336" s="1">
        <f>K335+Table6[[#This Row],[Calls Ans]]</f>
        <v>206452</v>
      </c>
      <c r="L336" s="18">
        <v>0.71</v>
      </c>
      <c r="M336" s="18">
        <v>0.09</v>
      </c>
      <c r="N336" s="18">
        <v>0.91</v>
      </c>
      <c r="O336" s="18">
        <v>0.69</v>
      </c>
      <c r="P336" s="253"/>
      <c r="Q336" s="260">
        <v>3.8425925925925923E-3</v>
      </c>
      <c r="R336" s="209">
        <v>2.6388888888888889E-2</v>
      </c>
      <c r="S336" s="1">
        <v>15</v>
      </c>
    </row>
    <row r="337" spans="1:23" x14ac:dyDescent="0.35">
      <c r="A337" s="23">
        <v>44987</v>
      </c>
      <c r="B337" s="1" t="s">
        <v>52</v>
      </c>
      <c r="C337" s="1" t="s">
        <v>60</v>
      </c>
      <c r="D337" s="1">
        <v>839</v>
      </c>
      <c r="E337" s="1">
        <v>816</v>
      </c>
      <c r="F337" s="98">
        <f>IFERROR((Table6[[#This Row],[Calls Off]]-D330)/D330,0)</f>
        <v>-0.13771839671120248</v>
      </c>
      <c r="G337" s="98">
        <f>IFERROR((Table6[[#This Row],[Calls Ans]]-E330)/E330,0)</f>
        <v>-0.10624315443592552</v>
      </c>
      <c r="H337" s="1">
        <f>H336+Table6[[#This Row],[Calls Off]]</f>
        <v>1732</v>
      </c>
      <c r="I337" s="1">
        <f>I336+Table6[[#This Row],[Calls Ans]]</f>
        <v>1628</v>
      </c>
      <c r="J337" s="1">
        <f>J336+Table6[[#This Row],[Calls Off]]</f>
        <v>273338</v>
      </c>
      <c r="K337" s="1">
        <f>K336+Table6[[#This Row],[Calls Ans]]</f>
        <v>207268</v>
      </c>
      <c r="L337" s="18">
        <v>0.89</v>
      </c>
      <c r="M337" s="18">
        <v>0.03</v>
      </c>
      <c r="N337" s="18">
        <v>0.97</v>
      </c>
      <c r="O337" s="18">
        <v>0.6</v>
      </c>
      <c r="P337" s="253"/>
      <c r="Q337" s="260">
        <v>3.7731481481481483E-3</v>
      </c>
      <c r="R337" s="209">
        <v>1.1111111111111112E-2</v>
      </c>
      <c r="S337" s="1">
        <v>17</v>
      </c>
    </row>
    <row r="338" spans="1:23" x14ac:dyDescent="0.35">
      <c r="A338" s="23">
        <v>44988</v>
      </c>
      <c r="B338" s="1" t="s">
        <v>53</v>
      </c>
      <c r="C338" s="1" t="s">
        <v>60</v>
      </c>
      <c r="D338" s="1">
        <v>808</v>
      </c>
      <c r="E338" s="1">
        <v>816</v>
      </c>
      <c r="F338" s="98">
        <f>IFERROR((Table6[[#This Row],[Calls Off]]-D331)/D331,0)</f>
        <v>-0.11208791208791209</v>
      </c>
      <c r="G338" s="98">
        <f>IFERROR((Table6[[#This Row],[Calls Ans]]-E331)/E331,0)</f>
        <v>2.7707808564231738E-2</v>
      </c>
      <c r="H338" s="1">
        <f>H337+Table6[[#This Row],[Calls Off]]</f>
        <v>2540</v>
      </c>
      <c r="I338" s="1">
        <f>I337+Table6[[#This Row],[Calls Ans]]</f>
        <v>2444</v>
      </c>
      <c r="J338" s="1">
        <f>J337+Table6[[#This Row],[Calls Off]]</f>
        <v>274146</v>
      </c>
      <c r="K338" s="1">
        <f>K337+Table6[[#This Row],[Calls Ans]]</f>
        <v>208084</v>
      </c>
      <c r="L338" s="18">
        <v>0.97</v>
      </c>
      <c r="M338" s="18">
        <v>0.02</v>
      </c>
      <c r="N338" s="18">
        <v>0.98</v>
      </c>
      <c r="O338" s="18">
        <v>0.55000000000000004</v>
      </c>
      <c r="P338" s="253"/>
      <c r="Q338" s="260">
        <v>3.5532407407407405E-3</v>
      </c>
      <c r="R338" s="209">
        <v>5.5555555555555558E-3</v>
      </c>
      <c r="S338" s="1">
        <v>17</v>
      </c>
    </row>
    <row r="339" spans="1:23" x14ac:dyDescent="0.35">
      <c r="A339" s="23">
        <v>44989</v>
      </c>
      <c r="B339" s="1" t="s">
        <v>54</v>
      </c>
      <c r="C339" s="1" t="s">
        <v>60</v>
      </c>
      <c r="D339" s="1">
        <v>601</v>
      </c>
      <c r="E339" s="1">
        <v>578</v>
      </c>
      <c r="F339" s="98">
        <f>IFERROR((Table6[[#This Row],[Calls Off]]-D332)/D332,0)</f>
        <v>-0.15232722143864599</v>
      </c>
      <c r="G339" s="98">
        <f>IFERROR((Table6[[#This Row],[Calls Ans]]-E332)/E332,0)</f>
        <v>-0.12158054711246201</v>
      </c>
      <c r="H339" s="1">
        <f>H338+Table6[[#This Row],[Calls Off]]</f>
        <v>3141</v>
      </c>
      <c r="I339" s="1">
        <f>I338+Table6[[#This Row],[Calls Ans]]</f>
        <v>3022</v>
      </c>
      <c r="J339" s="1">
        <f>J338+Table6[[#This Row],[Calls Off]]</f>
        <v>274747</v>
      </c>
      <c r="K339" s="1">
        <f>K338+Table6[[#This Row],[Calls Ans]]</f>
        <v>208662</v>
      </c>
      <c r="L339" s="18">
        <v>0.88</v>
      </c>
      <c r="M339" s="18">
        <v>0.04</v>
      </c>
      <c r="N339" s="18">
        <v>0.96</v>
      </c>
      <c r="O339" s="18">
        <v>0.6</v>
      </c>
      <c r="P339" s="253"/>
      <c r="Q339" s="260">
        <v>3.0902777777777777E-3</v>
      </c>
      <c r="R339" s="209">
        <v>1.3888888888888888E-2</v>
      </c>
      <c r="S339" s="1">
        <v>10</v>
      </c>
    </row>
    <row r="340" spans="1:23" x14ac:dyDescent="0.35">
      <c r="A340" s="23">
        <v>44990</v>
      </c>
      <c r="B340" s="1" t="s">
        <v>48</v>
      </c>
      <c r="C340" s="1" t="s">
        <v>60</v>
      </c>
      <c r="D340" s="1">
        <v>0</v>
      </c>
      <c r="E340" s="1">
        <v>0</v>
      </c>
      <c r="F340" s="98">
        <v>0</v>
      </c>
      <c r="G340" s="98">
        <v>0</v>
      </c>
      <c r="H340" s="1">
        <v>0</v>
      </c>
      <c r="I340" s="1">
        <v>0</v>
      </c>
      <c r="J340" s="1">
        <v>0</v>
      </c>
      <c r="K340" s="1">
        <v>0</v>
      </c>
      <c r="L340" s="18">
        <v>0</v>
      </c>
      <c r="M340" s="18">
        <v>0</v>
      </c>
      <c r="N340" s="18">
        <v>0</v>
      </c>
      <c r="O340" s="18">
        <v>0</v>
      </c>
      <c r="P340" s="253"/>
      <c r="Q340" s="260">
        <v>0</v>
      </c>
      <c r="R340" s="209">
        <v>0</v>
      </c>
      <c r="S340" s="1">
        <v>0</v>
      </c>
    </row>
    <row r="341" spans="1:23" x14ac:dyDescent="0.35">
      <c r="A341" s="23">
        <v>44991</v>
      </c>
      <c r="B341" s="1" t="s">
        <v>49</v>
      </c>
      <c r="C341" s="1" t="s">
        <v>60</v>
      </c>
      <c r="D341" s="1">
        <v>964</v>
      </c>
      <c r="E341" s="1">
        <v>908</v>
      </c>
      <c r="F341" s="98">
        <f>IFERROR((Table6[[#This Row],[Calls Off]]-D334)/D334,0)</f>
        <v>-7.662835249042145E-2</v>
      </c>
      <c r="G341" s="98">
        <f>IFERROR((Table6[[#This Row],[Calls Ans]]-E334)/E334,0)</f>
        <v>-9.0180360721442893E-2</v>
      </c>
      <c r="H341" s="1">
        <f>H339+Table6[[#This Row],[Calls Off]]</f>
        <v>4105</v>
      </c>
      <c r="I341" s="1">
        <f>I339+Table6[[#This Row],[Calls Ans]]</f>
        <v>3930</v>
      </c>
      <c r="J341" s="1">
        <f>J339+Table6[[#This Row],[Calls Off]]</f>
        <v>275711</v>
      </c>
      <c r="K341" s="1">
        <f>K339+Table6[[#This Row],[Calls Ans]]</f>
        <v>209570</v>
      </c>
      <c r="L341" s="18">
        <v>0.85</v>
      </c>
      <c r="M341" s="18">
        <v>0.06</v>
      </c>
      <c r="N341" s="18">
        <v>0.94</v>
      </c>
      <c r="O341" s="18">
        <v>0.63</v>
      </c>
      <c r="P341" s="253"/>
      <c r="Q341" s="260">
        <v>3.3564814814814811E-3</v>
      </c>
      <c r="R341" s="209">
        <v>1.3888888888888888E-2</v>
      </c>
      <c r="S341" s="1">
        <v>16</v>
      </c>
      <c r="W341" s="228">
        <v>0.86736111111111114</v>
      </c>
    </row>
    <row r="342" spans="1:23" x14ac:dyDescent="0.35">
      <c r="A342" s="23">
        <v>44992</v>
      </c>
      <c r="B342" s="42" t="s">
        <v>50</v>
      </c>
      <c r="C342" s="1" t="s">
        <v>60</v>
      </c>
      <c r="D342" s="42">
        <v>850</v>
      </c>
      <c r="E342" s="42">
        <v>830</v>
      </c>
      <c r="F342" s="98">
        <f>IFERROR((Table6[[#This Row],[Calls Off]]-D335)/D335,0)</f>
        <v>-0.10052910052910052</v>
      </c>
      <c r="G342" s="98">
        <f>IFERROR((Table6[[#This Row],[Calls Ans]]-E335)/E335,0)</f>
        <v>-7.3660714285714288E-2</v>
      </c>
      <c r="H342" s="1">
        <f>H341+Table6[[#This Row],[Calls Off]]</f>
        <v>4955</v>
      </c>
      <c r="I342" s="1">
        <f>I341+Table6[[#This Row],[Calls Ans]]</f>
        <v>4760</v>
      </c>
      <c r="J342" s="1">
        <f>J341+Table6[[#This Row],[Calls Off]]</f>
        <v>276561</v>
      </c>
      <c r="K342" s="1">
        <f>K341+Table6[[#This Row],[Calls Ans]]</f>
        <v>210400</v>
      </c>
      <c r="L342" s="52">
        <v>0.93</v>
      </c>
      <c r="M342" s="52">
        <v>0.02</v>
      </c>
      <c r="N342" s="52">
        <v>0.98</v>
      </c>
      <c r="O342" s="52">
        <v>0.41</v>
      </c>
      <c r="P342" s="253"/>
      <c r="Q342" s="260">
        <v>2.8240740740740739E-3</v>
      </c>
      <c r="R342" s="209">
        <v>6.9444444444444441E-3</v>
      </c>
      <c r="S342" s="42">
        <v>19</v>
      </c>
    </row>
    <row r="343" spans="1:23" x14ac:dyDescent="0.35">
      <c r="A343" s="23">
        <v>44993</v>
      </c>
      <c r="B343" s="1" t="s">
        <v>51</v>
      </c>
      <c r="C343" s="1" t="s">
        <v>60</v>
      </c>
      <c r="D343" s="1">
        <v>1438</v>
      </c>
      <c r="E343" s="1">
        <v>1348</v>
      </c>
      <c r="F343" s="98">
        <f>IFERROR((Table6[[#This Row],[Calls Off]]-D336)/D336,0)</f>
        <v>0.61030235162374025</v>
      </c>
      <c r="G343" s="98">
        <f>IFERROR((Table6[[#This Row],[Calls Ans]]-E336)/E336,0)</f>
        <v>0.66009852216748766</v>
      </c>
      <c r="H343" s="1">
        <f>H342+Table6[[#This Row],[Calls Off]]</f>
        <v>6393</v>
      </c>
      <c r="I343" s="1">
        <f>I342+Table6[[#This Row],[Calls Ans]]</f>
        <v>6108</v>
      </c>
      <c r="J343" s="1">
        <f>J342+Table6[[#This Row],[Calls Off]]</f>
        <v>277999</v>
      </c>
      <c r="K343" s="1">
        <f>K342+Table6[[#This Row],[Calls Ans]]</f>
        <v>211748</v>
      </c>
      <c r="L343" s="18">
        <v>0.84</v>
      </c>
      <c r="M343" s="18">
        <v>0.06</v>
      </c>
      <c r="N343" s="18">
        <v>0.94</v>
      </c>
      <c r="O343" s="18">
        <v>1.1599999999999999</v>
      </c>
      <c r="P343" s="253"/>
      <c r="Q343" s="260">
        <v>3.3680555555555551E-3</v>
      </c>
      <c r="R343" s="209">
        <v>1.7361111111111112E-2</v>
      </c>
      <c r="S343" s="1">
        <v>13</v>
      </c>
    </row>
    <row r="344" spans="1:23" x14ac:dyDescent="0.35">
      <c r="A344" s="23">
        <v>44994</v>
      </c>
      <c r="B344" s="1" t="s">
        <v>52</v>
      </c>
      <c r="C344" s="1" t="s">
        <v>60</v>
      </c>
      <c r="D344" s="1">
        <v>972</v>
      </c>
      <c r="E344" s="1">
        <v>930</v>
      </c>
      <c r="F344" s="98">
        <f>IFERROR((Table6[[#This Row],[Calls Off]]-D337)/D337,0)</f>
        <v>0.15852205005959474</v>
      </c>
      <c r="G344" s="98">
        <f>IFERROR((Table6[[#This Row],[Calls Ans]]-E337)/E337,0)</f>
        <v>0.13970588235294118</v>
      </c>
      <c r="H344" s="1">
        <f>Table6[[#This Row],[Calls Off]]+H343</f>
        <v>7365</v>
      </c>
      <c r="I344" s="1">
        <f>Table6[[#This Row],[Calls Ans]]+I343</f>
        <v>7038</v>
      </c>
      <c r="J344" s="1">
        <f>J343+Table6[[#This Row],[Calls Off]]</f>
        <v>278971</v>
      </c>
      <c r="K344" s="1">
        <f>K343+Table6[[#This Row],[Calls Ans]]</f>
        <v>212678</v>
      </c>
      <c r="L344" s="18">
        <v>0.82</v>
      </c>
      <c r="M344" s="18">
        <v>0.04</v>
      </c>
      <c r="N344" s="18">
        <v>0.96</v>
      </c>
      <c r="O344" s="18">
        <v>0.69</v>
      </c>
      <c r="P344" s="253"/>
      <c r="Q344" s="260">
        <v>3.5763888888888889E-3</v>
      </c>
      <c r="R344" s="209">
        <v>1.2499999999999999E-2</v>
      </c>
      <c r="S344" s="1">
        <v>16</v>
      </c>
    </row>
    <row r="345" spans="1:23" x14ac:dyDescent="0.35">
      <c r="A345" s="23">
        <v>44995</v>
      </c>
      <c r="B345" s="1" t="s">
        <v>53</v>
      </c>
      <c r="C345" s="1" t="s">
        <v>60</v>
      </c>
      <c r="D345" s="1">
        <v>947</v>
      </c>
      <c r="E345" s="1">
        <v>869</v>
      </c>
      <c r="F345" s="98">
        <f>IFERROR((Table6[[#This Row],[Calls Off]]-D338)/D338,0)</f>
        <v>0.17202970297029702</v>
      </c>
      <c r="G345" s="98">
        <f>IFERROR((Table6[[#This Row],[Calls Ans]]-E338)/E338,0)</f>
        <v>6.4950980392156868E-2</v>
      </c>
      <c r="H345" s="1">
        <f>H344+Table6[[#This Row],[Calls Off]]</f>
        <v>8312</v>
      </c>
      <c r="I345" s="1">
        <f>I344+Table6[[#This Row],[Calls Ans]]</f>
        <v>7907</v>
      </c>
      <c r="J345" s="1">
        <f>J344+Table6[[#This Row],[Calls Off]]</f>
        <v>279918</v>
      </c>
      <c r="K345" s="1">
        <f>K344+Table6[[#This Row],[Calls Ans]]</f>
        <v>213547</v>
      </c>
      <c r="L345" s="18">
        <v>0.77</v>
      </c>
      <c r="M345" s="18">
        <v>0.08</v>
      </c>
      <c r="N345" s="18">
        <v>0.92</v>
      </c>
      <c r="O345" s="18">
        <v>0.68</v>
      </c>
      <c r="P345" s="253"/>
      <c r="Q345" s="260">
        <v>3.0439814814814817E-3</v>
      </c>
      <c r="R345" s="209">
        <v>4.3055555555555562E-2</v>
      </c>
      <c r="S345" s="1">
        <v>13</v>
      </c>
      <c r="V345" cm="1">
        <f t="array" ref="V345">_xlfn.STDEV.P(IF(Q279:Q341 &lt;&gt; 0,Q279:Q341))</f>
        <v>4.616182925521977E-4</v>
      </c>
    </row>
    <row r="346" spans="1:23" x14ac:dyDescent="0.35">
      <c r="A346" s="23">
        <v>44996</v>
      </c>
      <c r="B346" s="1" t="s">
        <v>54</v>
      </c>
      <c r="C346" s="1" t="s">
        <v>60</v>
      </c>
      <c r="D346" s="1">
        <v>657</v>
      </c>
      <c r="E346" s="1">
        <v>638</v>
      </c>
      <c r="F346" s="98">
        <f>IFERROR((Table6[[#This Row],[Calls Off]]-D339)/D339,0)</f>
        <v>9.3178036605657238E-2</v>
      </c>
      <c r="G346" s="98">
        <f>IFERROR((Table6[[#This Row],[Calls Ans]]-E339)/E339,0)</f>
        <v>0.10380622837370242</v>
      </c>
      <c r="H346" s="1">
        <f>H345+Table6[[#This Row],[Calls Off]]</f>
        <v>8969</v>
      </c>
      <c r="I346" s="1">
        <f>I345+Table6[[#This Row],[Calls Ans]]</f>
        <v>8545</v>
      </c>
      <c r="J346" s="1">
        <f>J345+Table6[[#This Row],[Calls Off]]</f>
        <v>280575</v>
      </c>
      <c r="K346" s="1">
        <f>K345+Table6[[#This Row],[Calls Ans]]</f>
        <v>214185</v>
      </c>
      <c r="L346" s="18">
        <v>0.9</v>
      </c>
      <c r="M346" s="18">
        <v>0.03</v>
      </c>
      <c r="N346" s="18">
        <v>0.97</v>
      </c>
      <c r="O346" s="18">
        <v>0.52</v>
      </c>
      <c r="P346" s="253"/>
      <c r="Q346" s="260">
        <v>3.6342592592592594E-3</v>
      </c>
      <c r="R346" s="209">
        <v>8.3333333333333332E-3</v>
      </c>
      <c r="S346" s="1">
        <v>15</v>
      </c>
    </row>
    <row r="347" spans="1:23" x14ac:dyDescent="0.35">
      <c r="A347" s="23">
        <v>44997</v>
      </c>
      <c r="B347" s="1" t="s">
        <v>48</v>
      </c>
      <c r="C347" s="1" t="s">
        <v>60</v>
      </c>
      <c r="D347" s="1">
        <v>0</v>
      </c>
      <c r="E347" s="1">
        <v>0</v>
      </c>
      <c r="F347" s="98">
        <v>0</v>
      </c>
      <c r="G347" s="98">
        <v>0</v>
      </c>
      <c r="H347" s="1">
        <v>0</v>
      </c>
      <c r="I347" s="1">
        <v>0</v>
      </c>
      <c r="J347" s="1">
        <v>0</v>
      </c>
      <c r="K347" s="1">
        <v>0</v>
      </c>
      <c r="L347" s="18">
        <v>0</v>
      </c>
      <c r="M347" s="18">
        <v>0</v>
      </c>
      <c r="N347" s="18">
        <v>0</v>
      </c>
      <c r="O347" s="18">
        <v>0</v>
      </c>
      <c r="P347" s="253"/>
      <c r="Q347" s="260">
        <v>0</v>
      </c>
      <c r="R347" s="209">
        <v>0</v>
      </c>
      <c r="S347" s="1">
        <v>0</v>
      </c>
    </row>
    <row r="348" spans="1:23" x14ac:dyDescent="0.35">
      <c r="A348" s="23">
        <v>44998</v>
      </c>
      <c r="B348" s="1" t="s">
        <v>49</v>
      </c>
      <c r="C348" s="1" t="s">
        <v>60</v>
      </c>
      <c r="D348" s="1">
        <v>940</v>
      </c>
      <c r="E348" s="1">
        <v>914</v>
      </c>
      <c r="F348" s="98">
        <f>IFERROR((Table6[[#This Row],[Calls Off]]-D341)/D341,0)</f>
        <v>-2.4896265560165973E-2</v>
      </c>
      <c r="G348" s="98">
        <f>IFERROR((Table6[[#This Row],[Calls Ans]]-E341)/E341,0)</f>
        <v>6.6079295154185024E-3</v>
      </c>
      <c r="H348" s="1">
        <f>H346+Table6[[#This Row],[Calls Off]]</f>
        <v>9909</v>
      </c>
      <c r="I348" s="1">
        <f>I346+Table6[[#This Row],[Calls Ans]]</f>
        <v>9459</v>
      </c>
      <c r="J348" s="1">
        <f>J346+Table6[[#This Row],[Calls Off]]</f>
        <v>281515</v>
      </c>
      <c r="K348" s="1">
        <f>K346+Table6[[#This Row],[Calls Ans]]</f>
        <v>215099</v>
      </c>
      <c r="L348" s="18">
        <v>0.9</v>
      </c>
      <c r="M348" s="18">
        <v>0.03</v>
      </c>
      <c r="N348" s="18">
        <v>0.97</v>
      </c>
      <c r="O348" s="18">
        <v>0.56000000000000005</v>
      </c>
      <c r="P348" s="253"/>
      <c r="Q348" s="260">
        <v>3.1250000000000002E-3</v>
      </c>
      <c r="R348" s="209">
        <v>9.0277777777777787E-3</v>
      </c>
      <c r="S348" s="1">
        <v>17</v>
      </c>
    </row>
    <row r="349" spans="1:23" x14ac:dyDescent="0.35">
      <c r="A349" s="23">
        <v>44999</v>
      </c>
      <c r="B349" s="1" t="s">
        <v>50</v>
      </c>
      <c r="C349" s="1" t="s">
        <v>60</v>
      </c>
      <c r="D349" s="1">
        <v>866</v>
      </c>
      <c r="E349" s="1">
        <v>750</v>
      </c>
      <c r="F349" s="98">
        <f>IFERROR((Table6[[#This Row],[Calls Off]]-D341)/D341,0)</f>
        <v>-0.1016597510373444</v>
      </c>
      <c r="G349" s="98">
        <f>IFERROR((Table6[[#This Row],[Calls Ans]]-E341)/E341,0)</f>
        <v>-0.17400881057268722</v>
      </c>
      <c r="H349" s="1">
        <f>H348+Table6[[#This Row],[Calls Off]]</f>
        <v>10775</v>
      </c>
      <c r="I349" s="1">
        <f>I348+Table6[[#This Row],[Calls Ans]]</f>
        <v>10209</v>
      </c>
      <c r="J349" s="1">
        <f>J348+Table6[[#This Row],[Calls Off]]</f>
        <v>282381</v>
      </c>
      <c r="K349" s="1">
        <f>K348+Table6[[#This Row],[Calls Ans]]</f>
        <v>215849</v>
      </c>
      <c r="L349" s="18">
        <v>0.79</v>
      </c>
      <c r="M349" s="18">
        <v>0.13</v>
      </c>
      <c r="N349" s="18">
        <v>0.87</v>
      </c>
      <c r="O349" s="18">
        <v>0.43</v>
      </c>
      <c r="P349" s="253"/>
      <c r="Q349" s="260">
        <v>3.1250000000000002E-3</v>
      </c>
      <c r="R349" s="209">
        <v>9.0277777777777787E-3</v>
      </c>
      <c r="S349" s="1">
        <v>18</v>
      </c>
    </row>
    <row r="350" spans="1:23" x14ac:dyDescent="0.35">
      <c r="A350" s="23">
        <v>45000</v>
      </c>
      <c r="B350" s="1" t="s">
        <v>51</v>
      </c>
      <c r="C350" s="1" t="s">
        <v>60</v>
      </c>
      <c r="D350" s="1">
        <v>781</v>
      </c>
      <c r="E350" s="1">
        <v>766</v>
      </c>
      <c r="F350" s="98">
        <f>IFERROR((Table6[[#This Row],[Calls Off]]-D343)/D343,0)</f>
        <v>-0.45688456189151599</v>
      </c>
      <c r="G350" s="98">
        <f>IFERROR((Table6[[#This Row],[Calls Ans]]-E343)/E343,0)</f>
        <v>-0.43175074183976259</v>
      </c>
      <c r="H350" s="1">
        <f>H349+Table6[[#This Row],[Calls Off]]</f>
        <v>11556</v>
      </c>
      <c r="I350" s="1">
        <f>I349+Table6[[#This Row],[Calls Ans]]</f>
        <v>10975</v>
      </c>
      <c r="J350" s="1">
        <f>J349+Table6[[#This Row],[Calls Off]]</f>
        <v>283162</v>
      </c>
      <c r="K350" s="1">
        <f>K349+Table6[[#This Row],[Calls Ans]]</f>
        <v>216615</v>
      </c>
      <c r="L350" s="18">
        <v>0.92</v>
      </c>
      <c r="M350" s="18">
        <v>1.9206145966709345E-2</v>
      </c>
      <c r="N350" s="18">
        <v>0.98</v>
      </c>
      <c r="O350" s="18">
        <v>0.63959986772486777</v>
      </c>
      <c r="P350" s="253"/>
      <c r="Q350" s="260">
        <v>3.5069444444444445E-3</v>
      </c>
      <c r="R350" s="200">
        <v>9.7222222222222224E-3</v>
      </c>
      <c r="S350" s="1">
        <v>14</v>
      </c>
    </row>
    <row r="351" spans="1:23" x14ac:dyDescent="0.35">
      <c r="A351" s="23">
        <v>45001</v>
      </c>
      <c r="B351" s="1" t="s">
        <v>52</v>
      </c>
      <c r="C351" s="1" t="s">
        <v>60</v>
      </c>
      <c r="D351" s="1">
        <v>762</v>
      </c>
      <c r="E351" s="1">
        <v>695</v>
      </c>
      <c r="F351" s="98">
        <f>IFERROR((Table6[[#This Row],[Calls Off]]-D344)/D344,0)</f>
        <v>-0.21604938271604937</v>
      </c>
      <c r="G351" s="98">
        <f>IFERROR((Table6[[#This Row],[Calls Ans]]-E344)/E344,0)</f>
        <v>-0.25268817204301075</v>
      </c>
      <c r="H351" s="1">
        <f>Table6[[#This Row],[Calls Off]]+H350</f>
        <v>12318</v>
      </c>
      <c r="I351" s="1">
        <f>Table6[[#This Row],[Calls Ans]]+I350</f>
        <v>11670</v>
      </c>
      <c r="J351" s="1">
        <f>J350+Table6[[#This Row],[Calls Off]]</f>
        <v>283924</v>
      </c>
      <c r="K351" s="1">
        <f>K350+Table6[[#This Row],[Calls Ans]]</f>
        <v>217310</v>
      </c>
      <c r="L351" s="18">
        <v>0.75</v>
      </c>
      <c r="M351" s="18">
        <v>8.7926509186351712E-2</v>
      </c>
      <c r="N351" s="18">
        <v>0.91</v>
      </c>
      <c r="O351" s="18">
        <v>0.62289292497625837</v>
      </c>
      <c r="P351" s="253"/>
      <c r="Q351" s="260">
        <v>3.4953703703703705E-3</v>
      </c>
      <c r="R351" s="200">
        <v>2.5694444444444447E-2</v>
      </c>
      <c r="S351" s="1">
        <v>13</v>
      </c>
    </row>
    <row r="352" spans="1:23" x14ac:dyDescent="0.35">
      <c r="A352" s="23">
        <v>45002</v>
      </c>
      <c r="B352" s="1" t="s">
        <v>53</v>
      </c>
      <c r="C352" s="1" t="s">
        <v>60</v>
      </c>
      <c r="D352" s="1">
        <v>732</v>
      </c>
      <c r="E352" s="1">
        <v>703</v>
      </c>
      <c r="F352" s="98">
        <f>IFERROR((Table6[[#This Row],[Calls Off]]-D345)/D345,0)</f>
        <v>-0.22703273495248152</v>
      </c>
      <c r="G352" s="98">
        <f>IFERROR((Table6[[#This Row],[Calls Ans]]-E345)/E345,0)</f>
        <v>-0.19102416570771003</v>
      </c>
      <c r="H352" s="1">
        <f>H351+Table6[[#This Row],[Calls Off]]</f>
        <v>13050</v>
      </c>
      <c r="I352" s="1">
        <f>I351+Table6[[#This Row],[Calls Ans]]</f>
        <v>12373</v>
      </c>
      <c r="J352" s="1">
        <f>J351+Table6[[#This Row],[Calls Off]]</f>
        <v>284656</v>
      </c>
      <c r="K352" s="1">
        <f>K351+Table6[[#This Row],[Calls Ans]]</f>
        <v>218013</v>
      </c>
      <c r="L352" s="18">
        <v>0.86</v>
      </c>
      <c r="M352" s="18">
        <v>3.9617486338797817E-2</v>
      </c>
      <c r="N352" s="18">
        <v>0.96</v>
      </c>
      <c r="O352" s="18">
        <v>0.59442193930041165</v>
      </c>
      <c r="P352" s="253"/>
      <c r="Q352" s="260">
        <v>3.0439814814814817E-3</v>
      </c>
      <c r="R352" s="200">
        <v>1.5277777777777777E-2</v>
      </c>
      <c r="S352" s="1">
        <v>12</v>
      </c>
    </row>
    <row r="353" spans="1:19" x14ac:dyDescent="0.35">
      <c r="A353" s="23">
        <v>45003</v>
      </c>
      <c r="B353" s="1" t="s">
        <v>54</v>
      </c>
      <c r="C353" s="1" t="s">
        <v>60</v>
      </c>
      <c r="D353" s="1">
        <v>662</v>
      </c>
      <c r="E353" s="1">
        <v>638</v>
      </c>
      <c r="F353" s="98">
        <f>IFERROR((Table6[[#This Row],[Calls Off]]-D346)/D346,0)</f>
        <v>7.6103500761035003E-3</v>
      </c>
      <c r="G353" s="98">
        <f>IFERROR((Table6[[#This Row],[Calls Ans]]-E346)/E346,0)</f>
        <v>0</v>
      </c>
      <c r="H353" s="1">
        <f>H352+Table6[[#This Row],[Calls Off]]</f>
        <v>13712</v>
      </c>
      <c r="I353" s="1">
        <f>I352+Table6[[#This Row],[Calls Ans]]</f>
        <v>13011</v>
      </c>
      <c r="J353" s="1">
        <f>J352+Table6[[#This Row],[Calls Off]]</f>
        <v>285318</v>
      </c>
      <c r="K353" s="1">
        <f>K352+Table6[[#This Row],[Calls Ans]]</f>
        <v>218651</v>
      </c>
      <c r="L353" s="18">
        <v>0.95</v>
      </c>
      <c r="M353" s="18">
        <v>3.6253776435045321E-2</v>
      </c>
      <c r="N353" s="18">
        <v>0.96</v>
      </c>
      <c r="O353" s="18">
        <v>0.53961894586894588</v>
      </c>
      <c r="P353" s="253"/>
      <c r="Q353" s="260">
        <v>3.2986111111111111E-3</v>
      </c>
      <c r="R353" s="200">
        <v>5.5555555555555558E-3</v>
      </c>
      <c r="S353" s="1">
        <v>13</v>
      </c>
    </row>
    <row r="354" spans="1:19" x14ac:dyDescent="0.35">
      <c r="A354" s="23">
        <v>45004</v>
      </c>
      <c r="B354" s="1" t="s">
        <v>48</v>
      </c>
      <c r="C354" s="1" t="s">
        <v>60</v>
      </c>
      <c r="D354" s="1">
        <v>0</v>
      </c>
      <c r="E354" s="1">
        <v>0</v>
      </c>
      <c r="F354" s="98">
        <v>0</v>
      </c>
      <c r="G354" s="98">
        <v>0</v>
      </c>
      <c r="H354" s="1">
        <v>0</v>
      </c>
      <c r="I354" s="1">
        <v>0</v>
      </c>
      <c r="J354" s="1">
        <v>0</v>
      </c>
      <c r="K354" s="1">
        <v>0</v>
      </c>
      <c r="L354" s="18">
        <v>0</v>
      </c>
      <c r="M354" s="18">
        <v>0</v>
      </c>
      <c r="N354" s="18">
        <v>0</v>
      </c>
      <c r="O354" s="18">
        <v>0</v>
      </c>
      <c r="P354" s="253"/>
      <c r="Q354" s="260">
        <v>0</v>
      </c>
      <c r="R354" s="1">
        <v>0</v>
      </c>
      <c r="S354" s="1">
        <v>0</v>
      </c>
    </row>
    <row r="355" spans="1:19" x14ac:dyDescent="0.35">
      <c r="A355" s="23">
        <v>45005</v>
      </c>
      <c r="B355" s="1" t="s">
        <v>49</v>
      </c>
      <c r="C355" s="1" t="s">
        <v>60</v>
      </c>
      <c r="D355" s="1">
        <v>880</v>
      </c>
      <c r="E355" s="1">
        <v>855</v>
      </c>
      <c r="F355" s="98">
        <f>IFERROR((Table6[[#This Row],[Calls Off]]-D348)/D348,0)</f>
        <v>-6.3829787234042548E-2</v>
      </c>
      <c r="G355" s="98">
        <f>IFERROR((Table6[[#This Row],[Calls Ans]]-E348)/E348,0)</f>
        <v>-6.4551422319474833E-2</v>
      </c>
      <c r="H355" s="1">
        <f>H353+Table6[[#This Row],[Calls Off]]</f>
        <v>14592</v>
      </c>
      <c r="I355" s="1">
        <f>I353+Table6[[#This Row],[Calls Ans]]</f>
        <v>13866</v>
      </c>
      <c r="J355" s="1">
        <f>J353+Table6[[#This Row],[Calls Off]]</f>
        <v>286198</v>
      </c>
      <c r="K355" s="1">
        <f>K353+Table6[[#This Row],[Calls Ans]]</f>
        <v>219506</v>
      </c>
      <c r="L355" s="18">
        <v>0.89</v>
      </c>
      <c r="M355" s="18">
        <v>2.8409090909090908E-2</v>
      </c>
      <c r="N355" s="18">
        <v>0.97</v>
      </c>
      <c r="O355" s="18">
        <v>0.56956018518518514</v>
      </c>
      <c r="P355" s="253"/>
      <c r="Q355" s="260">
        <v>2.9976851851851853E-3</v>
      </c>
      <c r="R355" s="200">
        <v>1.3888888888888888E-2</v>
      </c>
      <c r="S355" s="1">
        <v>15</v>
      </c>
    </row>
    <row r="356" spans="1:19" x14ac:dyDescent="0.35">
      <c r="A356" s="23">
        <v>45006</v>
      </c>
      <c r="B356" s="1" t="s">
        <v>50</v>
      </c>
      <c r="C356" s="1" t="s">
        <v>60</v>
      </c>
      <c r="D356" s="1">
        <v>843</v>
      </c>
      <c r="E356" s="1">
        <v>823</v>
      </c>
      <c r="F356" s="98">
        <f>IFERROR((Table6[[#This Row],[Calls Off]]-D348)/D348,0)</f>
        <v>-0.10319148936170212</v>
      </c>
      <c r="G356" s="98">
        <f>IFERROR((Table6[[#This Row],[Calls Ans]]-E348)/E348,0)</f>
        <v>-9.9562363238512031E-2</v>
      </c>
      <c r="H356" s="1">
        <f>H355+Table6[[#This Row],[Calls Off]]</f>
        <v>15435</v>
      </c>
      <c r="I356" s="1">
        <f>I355+Table6[[#This Row],[Calls Ans]]</f>
        <v>14689</v>
      </c>
      <c r="J356" s="1">
        <f>J355+Table6[[#This Row],[Calls Off]]</f>
        <v>287041</v>
      </c>
      <c r="K356" s="1">
        <f>K355+Table6[[#This Row],[Calls Ans]]</f>
        <v>220329</v>
      </c>
      <c r="L356" s="18">
        <v>0.94</v>
      </c>
      <c r="M356" s="18">
        <v>0.02</v>
      </c>
      <c r="N356" s="18">
        <v>0.98</v>
      </c>
      <c r="O356" s="18">
        <v>0.47</v>
      </c>
      <c r="P356" s="253"/>
      <c r="Q356" s="260">
        <v>3.1018518518518517E-3</v>
      </c>
      <c r="R356" s="200">
        <v>1.8749999999999999E-2</v>
      </c>
      <c r="S356" s="1">
        <v>18</v>
      </c>
    </row>
    <row r="357" spans="1:19" x14ac:dyDescent="0.35">
      <c r="A357" s="23">
        <v>45007</v>
      </c>
      <c r="B357" s="1" t="s">
        <v>51</v>
      </c>
      <c r="C357" s="1" t="s">
        <v>60</v>
      </c>
      <c r="D357" s="1">
        <v>1190</v>
      </c>
      <c r="E357" s="1">
        <v>1105</v>
      </c>
      <c r="F357" s="98">
        <f>IFERROR((Table6[[#This Row],[Calls Off]]-D350)/D350,0)</f>
        <v>0.52368758002560822</v>
      </c>
      <c r="G357" s="98">
        <f>IFERROR((Table6[[#This Row],[Calls Ans]]-E350)/E350,0)</f>
        <v>0.44255874673629242</v>
      </c>
      <c r="H357" s="1">
        <f>H356+Table6[[#This Row],[Calls Off]]</f>
        <v>16625</v>
      </c>
      <c r="I357" s="1">
        <f>I356+Table6[[#This Row],[Calls Ans]]</f>
        <v>15794</v>
      </c>
      <c r="J357" s="1">
        <f>J356+Table6[[#This Row],[Calls Off]]</f>
        <v>288231</v>
      </c>
      <c r="K357" s="1">
        <f>K356+Table6[[#This Row],[Calls Ans]]</f>
        <v>221434</v>
      </c>
      <c r="L357" s="18">
        <v>0.79</v>
      </c>
      <c r="M357" s="18">
        <v>7.0000000000000007E-2</v>
      </c>
      <c r="N357" s="18">
        <v>0.93</v>
      </c>
      <c r="O357" s="18">
        <v>0.9</v>
      </c>
      <c r="P357" s="253"/>
      <c r="Q357" s="260">
        <v>3.9004629629629636E-3</v>
      </c>
      <c r="R357" s="200">
        <v>6.9444444444444441E-3</v>
      </c>
      <c r="S357" s="1">
        <v>16</v>
      </c>
    </row>
    <row r="358" spans="1:19" x14ac:dyDescent="0.35">
      <c r="A358" s="23">
        <v>45008</v>
      </c>
      <c r="B358" s="1" t="s">
        <v>52</v>
      </c>
      <c r="C358" s="1" t="s">
        <v>60</v>
      </c>
      <c r="D358" s="1">
        <v>904</v>
      </c>
      <c r="E358" s="1">
        <v>848</v>
      </c>
      <c r="F358" s="98">
        <f>IFERROR((Table6[[#This Row],[Calls Off]]-D351)/D351,0)</f>
        <v>0.18635170603674542</v>
      </c>
      <c r="G358" s="98">
        <f>IFERROR((Table6[[#This Row],[Calls Ans]]-E351)/E351,0)</f>
        <v>0.22014388489208633</v>
      </c>
      <c r="H358" s="1">
        <f>Table6[[#This Row],[Calls Off]]+H357</f>
        <v>17529</v>
      </c>
      <c r="I358" s="1">
        <f>Table6[[#This Row],[Calls Ans]]+I357</f>
        <v>16642</v>
      </c>
      <c r="J358" s="1">
        <f>J357+Table6[[#This Row],[Calls Off]]</f>
        <v>289135</v>
      </c>
      <c r="K358" s="1">
        <f>K357+Table6[[#This Row],[Calls Ans]]</f>
        <v>222282</v>
      </c>
      <c r="L358" s="18">
        <v>0.85</v>
      </c>
      <c r="M358" s="18">
        <v>0.06</v>
      </c>
      <c r="N358" s="18">
        <v>0.94</v>
      </c>
      <c r="O358" s="18">
        <v>0.91</v>
      </c>
      <c r="P358" s="253"/>
      <c r="Q358" s="260">
        <v>3.5416666666666665E-3</v>
      </c>
      <c r="R358" s="200">
        <v>1.4583333333333332E-2</v>
      </c>
      <c r="S358" s="1">
        <v>11</v>
      </c>
    </row>
    <row r="359" spans="1:19" x14ac:dyDescent="0.35">
      <c r="A359" s="23">
        <v>45009</v>
      </c>
      <c r="B359" s="1" t="s">
        <v>53</v>
      </c>
      <c r="C359" s="1" t="s">
        <v>60</v>
      </c>
      <c r="D359" s="1">
        <v>924</v>
      </c>
      <c r="E359" s="1">
        <v>894</v>
      </c>
      <c r="F359" s="98">
        <f>IFERROR((Table6[[#This Row],[Calls Off]]-D352)/D352,0)</f>
        <v>0.26229508196721313</v>
      </c>
      <c r="G359" s="98">
        <f>IFERROR((Table6[[#This Row],[Calls Ans]]-E352)/E352,0)</f>
        <v>0.27169274537695592</v>
      </c>
      <c r="H359" s="1">
        <f>H358+Table6[[#This Row],[Calls Off]]</f>
        <v>18453</v>
      </c>
      <c r="I359" s="1">
        <f>I358+Table6[[#This Row],[Calls Ans]]</f>
        <v>17536</v>
      </c>
      <c r="J359" s="1">
        <f>J358+Table6[[#This Row],[Calls Off]]</f>
        <v>290059</v>
      </c>
      <c r="K359" s="1">
        <f>K358+Table6[[#This Row],[Calls Ans]]</f>
        <v>223176</v>
      </c>
      <c r="L359" s="18">
        <v>0.92</v>
      </c>
      <c r="M359" s="18">
        <v>0.03</v>
      </c>
      <c r="N359" s="18">
        <v>0.97</v>
      </c>
      <c r="O359" s="18">
        <v>0.57999999999999996</v>
      </c>
      <c r="P359" s="253"/>
      <c r="Q359" s="260">
        <v>2.9398148148148148E-3</v>
      </c>
      <c r="R359" s="200">
        <v>9.7222222222222224E-3</v>
      </c>
      <c r="S359" s="1">
        <v>15</v>
      </c>
    </row>
    <row r="360" spans="1:19" x14ac:dyDescent="0.35">
      <c r="A360" s="23">
        <v>45010</v>
      </c>
      <c r="B360" s="1" t="s">
        <v>54</v>
      </c>
      <c r="C360" s="1" t="s">
        <v>60</v>
      </c>
      <c r="D360" s="1">
        <v>715</v>
      </c>
      <c r="E360" s="1">
        <v>661</v>
      </c>
      <c r="F360" s="98">
        <f>IFERROR((Table6[[#This Row],[Calls Off]]-D353)/D353,0)</f>
        <v>8.0060422960725075E-2</v>
      </c>
      <c r="G360" s="98">
        <f>IFERROR((Table6[[#This Row],[Calls Ans]]-E353)/E353,0)</f>
        <v>3.6050156739811913E-2</v>
      </c>
      <c r="H360" s="1">
        <f>H359+Table6[[#This Row],[Calls Off]]</f>
        <v>19168</v>
      </c>
      <c r="I360" s="1">
        <f>I359+Table6[[#This Row],[Calls Ans]]</f>
        <v>18197</v>
      </c>
      <c r="J360" s="1">
        <f>J359+Table6[[#This Row],[Calls Off]]</f>
        <v>290774</v>
      </c>
      <c r="K360" s="1">
        <f>K359+Table6[[#This Row],[Calls Ans]]</f>
        <v>223837</v>
      </c>
      <c r="L360" s="18">
        <v>0.76</v>
      </c>
      <c r="M360" s="18">
        <v>0.08</v>
      </c>
      <c r="N360" s="18">
        <v>0.92</v>
      </c>
      <c r="O360" s="18">
        <v>0.6</v>
      </c>
      <c r="P360" s="253"/>
      <c r="Q360" s="260">
        <v>3.2638888888888887E-3</v>
      </c>
      <c r="R360" s="200">
        <v>2.4305555555555556E-2</v>
      </c>
      <c r="S360" s="1">
        <v>12</v>
      </c>
    </row>
    <row r="361" spans="1:19" x14ac:dyDescent="0.35">
      <c r="A361" s="23">
        <v>45011</v>
      </c>
      <c r="B361" s="1" t="s">
        <v>48</v>
      </c>
      <c r="C361" s="1" t="s">
        <v>60</v>
      </c>
      <c r="D361" s="1">
        <v>0</v>
      </c>
      <c r="E361" s="1">
        <v>0</v>
      </c>
      <c r="F361" s="98">
        <v>0</v>
      </c>
      <c r="G361" s="98">
        <v>0</v>
      </c>
      <c r="H361" s="1">
        <v>0</v>
      </c>
      <c r="I361" s="1">
        <v>0</v>
      </c>
      <c r="J361" s="1">
        <v>0</v>
      </c>
      <c r="K361" s="1">
        <v>0</v>
      </c>
      <c r="L361" s="18">
        <v>0</v>
      </c>
      <c r="M361" s="18">
        <v>0</v>
      </c>
      <c r="N361" s="18">
        <v>0</v>
      </c>
      <c r="O361" s="18">
        <v>0</v>
      </c>
      <c r="P361" s="253"/>
      <c r="Q361" s="260">
        <v>0</v>
      </c>
      <c r="R361" s="200">
        <v>0</v>
      </c>
      <c r="S361" s="1">
        <v>0</v>
      </c>
    </row>
    <row r="362" spans="1:19" x14ac:dyDescent="0.35">
      <c r="A362" s="23">
        <v>45012</v>
      </c>
      <c r="B362" s="1" t="s">
        <v>49</v>
      </c>
      <c r="C362" s="1" t="s">
        <v>60</v>
      </c>
      <c r="D362" s="1">
        <v>953</v>
      </c>
      <c r="E362" s="1">
        <v>937</v>
      </c>
      <c r="F362" s="98">
        <f>IFERROR((Table6[[#This Row],[Calls Off]]-D355)/D355,0)</f>
        <v>8.2954545454545461E-2</v>
      </c>
      <c r="G362" s="98">
        <f>IFERROR((Table6[[#This Row],[Calls Ans]]-E355)/E355,0)</f>
        <v>9.5906432748538009E-2</v>
      </c>
      <c r="H362" s="1">
        <f>H360+Table6[[#This Row],[Calls Off]]</f>
        <v>20121</v>
      </c>
      <c r="I362" s="1">
        <f>I360+Table6[[#This Row],[Calls Ans]]</f>
        <v>19134</v>
      </c>
      <c r="J362" s="1">
        <f>J360+Table6[[#This Row],[Calls Off]]</f>
        <v>291727</v>
      </c>
      <c r="K362" s="1">
        <f>K360+Table6[[#This Row],[Calls Ans]]</f>
        <v>224774</v>
      </c>
      <c r="L362" s="18">
        <v>0.97</v>
      </c>
      <c r="M362" s="18">
        <v>0.02</v>
      </c>
      <c r="N362" s="18">
        <v>0.98</v>
      </c>
      <c r="O362" s="18">
        <v>0.6</v>
      </c>
      <c r="P362" s="253"/>
      <c r="Q362" s="260">
        <v>3.2638888888888887E-3</v>
      </c>
      <c r="R362" s="200">
        <v>2.4305555555555556E-2</v>
      </c>
      <c r="S362" s="1">
        <v>17</v>
      </c>
    </row>
    <row r="363" spans="1:19" x14ac:dyDescent="0.35">
      <c r="A363" s="23">
        <v>45013</v>
      </c>
      <c r="B363" s="1" t="s">
        <v>50</v>
      </c>
      <c r="C363" s="1" t="s">
        <v>60</v>
      </c>
      <c r="D363" s="1">
        <v>935</v>
      </c>
      <c r="E363" s="1">
        <v>916</v>
      </c>
      <c r="F363" s="98">
        <f>IFERROR((Table6[[#This Row],[Calls Off]]-D355)/D355,0)</f>
        <v>6.25E-2</v>
      </c>
      <c r="G363" s="98">
        <f>IFERROR((Table6[[#This Row],[Calls Ans]]-E355)/E355,0)</f>
        <v>7.1345029239766086E-2</v>
      </c>
      <c r="H363" s="1">
        <f>H362+Table6[[#This Row],[Calls Off]]</f>
        <v>21056</v>
      </c>
      <c r="I363" s="1">
        <f>I362+Table6[[#This Row],[Calls Ans]]</f>
        <v>20050</v>
      </c>
      <c r="J363" s="1">
        <f>J362+Table6[[#This Row],[Calls Off]]</f>
        <v>292662</v>
      </c>
      <c r="K363" s="1">
        <f>K362+Table6[[#This Row],[Calls Ans]]</f>
        <v>225690</v>
      </c>
      <c r="L363" s="18">
        <v>0.95</v>
      </c>
      <c r="M363" s="18">
        <v>0.02</v>
      </c>
      <c r="N363" s="18">
        <v>0.98</v>
      </c>
      <c r="O363" s="18">
        <v>0.55000000000000004</v>
      </c>
      <c r="P363" s="253"/>
      <c r="Q363" s="260">
        <v>3.0555555555555557E-3</v>
      </c>
      <c r="R363" s="200">
        <v>6.2499999999999995E-3</v>
      </c>
      <c r="S363" s="1">
        <v>17</v>
      </c>
    </row>
    <row r="364" spans="1:19" x14ac:dyDescent="0.35">
      <c r="A364" s="23">
        <v>45014</v>
      </c>
      <c r="B364" s="1" t="s">
        <v>51</v>
      </c>
      <c r="C364" s="1" t="s">
        <v>60</v>
      </c>
      <c r="D364" s="1">
        <v>967</v>
      </c>
      <c r="E364" s="1">
        <v>900</v>
      </c>
      <c r="F364" s="98">
        <f>IFERROR((Table6[[#This Row],[Calls Off]]-D357)/D357,0)</f>
        <v>-0.18739495798319328</v>
      </c>
      <c r="G364" s="98">
        <f>IFERROR((Table6[[#This Row],[Calls Ans]]-E357)/E357,0)</f>
        <v>-0.18552036199095023</v>
      </c>
      <c r="H364" s="1">
        <f>H363+Table6[[#This Row],[Calls Off]]</f>
        <v>22023</v>
      </c>
      <c r="I364" s="1">
        <f>I363+Table6[[#This Row],[Calls Ans]]</f>
        <v>20950</v>
      </c>
      <c r="J364" s="1">
        <f>J363+Table6[[#This Row],[Calls Off]]</f>
        <v>293629</v>
      </c>
      <c r="K364" s="1">
        <f>K363+Table6[[#This Row],[Calls Ans]]</f>
        <v>226590</v>
      </c>
      <c r="L364" s="18">
        <v>0.81</v>
      </c>
      <c r="M364" s="18">
        <v>7.0000000000000007E-2</v>
      </c>
      <c r="N364" s="18">
        <v>0.93</v>
      </c>
      <c r="O364" s="18">
        <v>0.69</v>
      </c>
      <c r="P364" s="253"/>
      <c r="Q364" s="260">
        <v>3.2407407407407406E-3</v>
      </c>
      <c r="R364" s="200">
        <v>1.8749999999999999E-2</v>
      </c>
      <c r="S364" s="1">
        <v>14</v>
      </c>
    </row>
    <row r="365" spans="1:19" x14ac:dyDescent="0.35">
      <c r="A365" s="23">
        <v>45015</v>
      </c>
      <c r="B365" s="1" t="s">
        <v>52</v>
      </c>
      <c r="C365" s="1" t="s">
        <v>60</v>
      </c>
      <c r="D365" s="1">
        <v>899</v>
      </c>
      <c r="E365" s="1">
        <v>847</v>
      </c>
      <c r="F365" s="98">
        <f>IFERROR((Table6[[#This Row],[Calls Off]]-D358)/D358,0)</f>
        <v>-5.5309734513274336E-3</v>
      </c>
      <c r="G365" s="98">
        <f>IFERROR((Table6[[#This Row],[Calls Ans]]-E358)/E358,0)</f>
        <v>-1.1792452830188679E-3</v>
      </c>
      <c r="H365" s="1">
        <f>Table6[[#This Row],[Calls Off]]+H364</f>
        <v>22922</v>
      </c>
      <c r="I365" s="1">
        <f>Table6[[#This Row],[Calls Ans]]+I364</f>
        <v>21797</v>
      </c>
      <c r="J365" s="1">
        <f>J364+Table6[[#This Row],[Calls Off]]</f>
        <v>294528</v>
      </c>
      <c r="K365" s="1">
        <f>K364+Table6[[#This Row],[Calls Ans]]</f>
        <v>227437</v>
      </c>
      <c r="L365" s="18">
        <v>0.87</v>
      </c>
      <c r="M365" s="18">
        <v>0.06</v>
      </c>
      <c r="N365" s="18">
        <v>0.94</v>
      </c>
      <c r="O365" s="18">
        <v>0.69</v>
      </c>
      <c r="P365" s="253"/>
      <c r="Q365" s="260">
        <v>3.1944444444444442E-3</v>
      </c>
      <c r="R365" s="200">
        <v>1.2499999999999999E-2</v>
      </c>
      <c r="S365" s="1">
        <v>13</v>
      </c>
    </row>
    <row r="366" spans="1:19" x14ac:dyDescent="0.35">
      <c r="A366" s="23">
        <v>45016</v>
      </c>
      <c r="B366" s="1" t="s">
        <v>53</v>
      </c>
      <c r="C366" s="1" t="s">
        <v>60</v>
      </c>
      <c r="D366" s="1">
        <v>903</v>
      </c>
      <c r="E366" s="1">
        <v>858</v>
      </c>
      <c r="F366" s="98">
        <f>IFERROR((Table6[[#This Row],[Calls Off]]-D359)/D359,0)</f>
        <v>-2.2727272727272728E-2</v>
      </c>
      <c r="G366" s="98">
        <f>IFERROR((Table6[[#This Row],[Calls Ans]]-E359)/E359,0)</f>
        <v>-4.0268456375838924E-2</v>
      </c>
      <c r="H366" s="1">
        <f>H365+Table6[[#This Row],[Calls Off]]</f>
        <v>23825</v>
      </c>
      <c r="I366" s="1">
        <f>I365+Table6[[#This Row],[Calls Ans]]</f>
        <v>22655</v>
      </c>
      <c r="J366" s="1">
        <f>J365+Table6[[#This Row],[Calls Off]]</f>
        <v>295431</v>
      </c>
      <c r="K366" s="1">
        <f>K365+Table6[[#This Row],[Calls Ans]]</f>
        <v>228295</v>
      </c>
      <c r="L366" s="18">
        <v>0.89</v>
      </c>
      <c r="M366" s="18">
        <v>0.05</v>
      </c>
      <c r="N366" s="18">
        <v>0.95</v>
      </c>
      <c r="O366" s="18">
        <v>0.69</v>
      </c>
      <c r="P366" s="253"/>
      <c r="Q366" s="260">
        <v>3.1365740740740742E-3</v>
      </c>
      <c r="R366" s="200">
        <v>1.1805555555555555E-2</v>
      </c>
      <c r="S366" s="1">
        <v>13</v>
      </c>
    </row>
  </sheetData>
  <mergeCells count="1">
    <mergeCell ref="V315:W315"/>
  </mergeCells>
  <phoneticPr fontId="8" type="noConversion"/>
  <dataValidations count="2">
    <dataValidation type="list" allowBlank="1" showInputMessage="1" showErrorMessage="1" sqref="V108:V109" xr:uid="{FBA57D66-F6AC-40AC-964A-9278872D5B4B}">
      <formula1>period_JAM</formula1>
    </dataValidation>
    <dataValidation type="list" allowBlank="1" showInputMessage="1" showErrorMessage="1" sqref="AA5:AA6" xr:uid="{6CC75CCD-1067-4C29-A1E8-6BF8008E2F40}">
      <formula1>WoW_dates_JAM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03D8-B9E4-4B6C-9E6D-FBF14BCC2AFB}">
  <sheetPr codeName="Sheet10"/>
  <dimension ref="A1:AM366"/>
  <sheetViews>
    <sheetView zoomScale="70" zoomScaleNormal="70" workbookViewId="0">
      <pane xSplit="1" ySplit="1" topLeftCell="I290" activePane="bottomRight" state="frozen"/>
      <selection pane="topRight" activeCell="B1" sqref="B1"/>
      <selection pane="bottomLeft" activeCell="A2" sqref="A2"/>
      <selection pane="bottomRight" activeCell="Q301" sqref="Q301:Q366"/>
    </sheetView>
  </sheetViews>
  <sheetFormatPr defaultRowHeight="14.5" x14ac:dyDescent="0.35"/>
  <cols>
    <col min="2" max="2" width="19" style="15" bestFit="1" customWidth="1"/>
    <col min="3" max="3" width="7.36328125" style="15" customWidth="1"/>
    <col min="4" max="4" width="10.36328125" customWidth="1"/>
    <col min="5" max="5" width="10" customWidth="1"/>
    <col min="6" max="6" width="21" customWidth="1"/>
    <col min="7" max="7" width="19.90625" customWidth="1"/>
    <col min="8" max="8" width="21.81640625" bestFit="1" customWidth="1"/>
    <col min="9" max="9" width="18.36328125" bestFit="1" customWidth="1"/>
    <col min="10" max="10" width="21.7265625" customWidth="1"/>
    <col min="11" max="11" width="18.453125" customWidth="1"/>
    <col min="12" max="13" width="10.36328125" customWidth="1"/>
    <col min="14" max="16" width="11.36328125" customWidth="1"/>
    <col min="19" max="19" width="11" bestFit="1" customWidth="1"/>
    <col min="20" max="20" width="22.08984375" bestFit="1" customWidth="1"/>
    <col min="21" max="21" width="24.1796875" bestFit="1" customWidth="1"/>
    <col min="24" max="24" width="10.6328125" bestFit="1" customWidth="1"/>
  </cols>
  <sheetData>
    <row r="1" spans="1:25" x14ac:dyDescent="0.35">
      <c r="A1" s="27" t="s">
        <v>36</v>
      </c>
      <c r="B1" s="30" t="s">
        <v>55</v>
      </c>
      <c r="C1" s="30" t="s">
        <v>59</v>
      </c>
      <c r="D1" s="30" t="s">
        <v>58</v>
      </c>
      <c r="E1" s="30" t="s">
        <v>34</v>
      </c>
      <c r="F1" s="30" t="s">
        <v>154</v>
      </c>
      <c r="G1" s="30" t="s">
        <v>61</v>
      </c>
      <c r="H1" s="30" t="s">
        <v>56</v>
      </c>
      <c r="I1" s="30" t="s">
        <v>57</v>
      </c>
      <c r="J1" s="30" t="s">
        <v>153</v>
      </c>
      <c r="K1" s="30" t="s">
        <v>152</v>
      </c>
      <c r="L1" s="30" t="s">
        <v>32</v>
      </c>
      <c r="M1" s="30" t="s">
        <v>5</v>
      </c>
      <c r="N1" s="30" t="s">
        <v>4</v>
      </c>
      <c r="O1" s="30" t="s">
        <v>33</v>
      </c>
      <c r="P1" s="30" t="s">
        <v>7</v>
      </c>
      <c r="Q1" s="27" t="s">
        <v>82</v>
      </c>
      <c r="R1" s="27" t="s">
        <v>80</v>
      </c>
    </row>
    <row r="2" spans="1:25" x14ac:dyDescent="0.35">
      <c r="A2" s="23">
        <v>44652</v>
      </c>
      <c r="B2" s="39" t="s">
        <v>53</v>
      </c>
      <c r="C2" s="9" t="s">
        <v>60</v>
      </c>
      <c r="D2" s="1">
        <v>649</v>
      </c>
      <c r="E2" s="1">
        <v>575</v>
      </c>
      <c r="F2" s="72">
        <v>-0.14717477003942181</v>
      </c>
      <c r="G2" s="72">
        <v>-7.407407407407407E-2</v>
      </c>
      <c r="H2" s="1">
        <v>649</v>
      </c>
      <c r="I2" s="1">
        <v>575</v>
      </c>
      <c r="J2" s="1">
        <v>649</v>
      </c>
      <c r="K2" s="1">
        <v>575</v>
      </c>
      <c r="L2" s="18">
        <v>0.65</v>
      </c>
      <c r="M2" s="18">
        <v>0.11</v>
      </c>
      <c r="N2" s="18">
        <v>0.89</v>
      </c>
      <c r="O2" s="18">
        <v>0.84</v>
      </c>
      <c r="P2" s="18">
        <v>1</v>
      </c>
      <c r="Q2" s="137"/>
      <c r="R2" s="137"/>
    </row>
    <row r="3" spans="1:25" x14ac:dyDescent="0.35">
      <c r="A3" s="33">
        <v>44653</v>
      </c>
      <c r="B3" s="9" t="s">
        <v>54</v>
      </c>
      <c r="C3" s="39" t="s">
        <v>60</v>
      </c>
      <c r="D3" s="1">
        <v>203</v>
      </c>
      <c r="E3" s="1">
        <v>201</v>
      </c>
      <c r="F3" s="72">
        <v>-0.40816326530612246</v>
      </c>
      <c r="G3" s="72">
        <v>0</v>
      </c>
      <c r="H3" s="1">
        <v>852</v>
      </c>
      <c r="I3" s="1">
        <v>776</v>
      </c>
      <c r="J3" s="1">
        <v>852</v>
      </c>
      <c r="K3" s="1">
        <v>776</v>
      </c>
      <c r="L3" s="18">
        <v>0.97</v>
      </c>
      <c r="M3" s="18">
        <v>0.01</v>
      </c>
      <c r="N3" s="18">
        <v>0.99</v>
      </c>
      <c r="O3" s="18">
        <v>0.28000000000000003</v>
      </c>
      <c r="P3" s="18">
        <v>1</v>
      </c>
      <c r="Q3" s="18"/>
      <c r="R3" s="18"/>
    </row>
    <row r="4" spans="1:25" x14ac:dyDescent="0.35">
      <c r="A4" s="33">
        <v>44654</v>
      </c>
      <c r="B4" s="39" t="s">
        <v>48</v>
      </c>
      <c r="C4" s="39" t="s">
        <v>60</v>
      </c>
      <c r="D4" s="34">
        <v>0</v>
      </c>
      <c r="E4" s="34">
        <v>0</v>
      </c>
      <c r="F4" s="71">
        <v>0</v>
      </c>
      <c r="G4" s="71">
        <v>0</v>
      </c>
      <c r="H4" s="34">
        <v>0</v>
      </c>
      <c r="I4" s="34">
        <v>0</v>
      </c>
      <c r="J4" s="34">
        <v>0</v>
      </c>
      <c r="K4" s="34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/>
      <c r="R4" s="40"/>
    </row>
    <row r="5" spans="1:25" x14ac:dyDescent="0.35">
      <c r="A5" s="23">
        <v>44655</v>
      </c>
      <c r="B5" s="9" t="s">
        <v>49</v>
      </c>
      <c r="C5" s="9" t="s">
        <v>60</v>
      </c>
      <c r="D5" s="1">
        <v>756</v>
      </c>
      <c r="E5" s="1">
        <v>636</v>
      </c>
      <c r="F5" s="72">
        <v>-9.3525179856115109E-2</v>
      </c>
      <c r="G5" s="72">
        <v>-0.1335149863760218</v>
      </c>
      <c r="H5" s="1">
        <v>1608</v>
      </c>
      <c r="I5" s="1">
        <v>1412</v>
      </c>
      <c r="J5" s="1">
        <v>1608</v>
      </c>
      <c r="K5" s="1">
        <v>1412</v>
      </c>
      <c r="L5" s="18">
        <v>0.57999999999999996</v>
      </c>
      <c r="M5" s="18">
        <v>0.16</v>
      </c>
      <c r="N5" s="18">
        <v>0.84</v>
      </c>
      <c r="O5" s="18">
        <v>0.94</v>
      </c>
      <c r="P5" s="18">
        <v>1</v>
      </c>
      <c r="Q5" s="18"/>
      <c r="R5" s="18"/>
    </row>
    <row r="6" spans="1:25" x14ac:dyDescent="0.35">
      <c r="A6" s="33">
        <v>44656</v>
      </c>
      <c r="B6" s="39" t="s">
        <v>50</v>
      </c>
      <c r="C6" s="39" t="s">
        <v>60</v>
      </c>
      <c r="D6" s="34">
        <v>743</v>
      </c>
      <c r="E6" s="34">
        <v>632</v>
      </c>
      <c r="F6" s="71">
        <v>-5.3547523427041497E-3</v>
      </c>
      <c r="G6" s="71">
        <v>-1.5576323987538941E-2</v>
      </c>
      <c r="H6" s="34">
        <v>2351</v>
      </c>
      <c r="I6" s="34">
        <v>2044</v>
      </c>
      <c r="J6" s="34">
        <v>2351</v>
      </c>
      <c r="K6" s="34">
        <v>2044</v>
      </c>
      <c r="L6" s="40">
        <v>0.59</v>
      </c>
      <c r="M6" s="40">
        <v>0.15</v>
      </c>
      <c r="N6" s="40">
        <v>0.85</v>
      </c>
      <c r="O6" s="40">
        <v>0.92</v>
      </c>
      <c r="P6" s="40">
        <v>1</v>
      </c>
      <c r="Q6" s="40"/>
      <c r="R6" s="40"/>
    </row>
    <row r="7" spans="1:25" x14ac:dyDescent="0.35">
      <c r="A7" s="23">
        <v>44657</v>
      </c>
      <c r="B7" s="9" t="s">
        <v>51</v>
      </c>
      <c r="C7" s="9" t="s">
        <v>60</v>
      </c>
      <c r="D7" s="1">
        <v>646</v>
      </c>
      <c r="E7" s="1">
        <v>553</v>
      </c>
      <c r="F7" s="72">
        <v>-0.13055181695827725</v>
      </c>
      <c r="G7" s="72">
        <v>-0.12776025236593061</v>
      </c>
      <c r="H7" s="1">
        <v>2997</v>
      </c>
      <c r="I7" s="1">
        <v>2597</v>
      </c>
      <c r="J7" s="1">
        <v>2997</v>
      </c>
      <c r="K7" s="1">
        <v>2597</v>
      </c>
      <c r="L7" s="18">
        <v>0.67</v>
      </c>
      <c r="M7" s="18">
        <v>0.14000000000000001</v>
      </c>
      <c r="N7" s="18">
        <v>0.86</v>
      </c>
      <c r="O7" s="18">
        <v>0.81</v>
      </c>
      <c r="P7" s="18">
        <v>1</v>
      </c>
      <c r="Q7" s="18"/>
      <c r="R7" s="18"/>
      <c r="S7" s="6" t="s">
        <v>70</v>
      </c>
      <c r="T7" s="7" t="s">
        <v>66</v>
      </c>
      <c r="U7" s="115" t="s">
        <v>67</v>
      </c>
      <c r="X7" t="s">
        <v>68</v>
      </c>
      <c r="Y7" s="16">
        <v>44655</v>
      </c>
    </row>
    <row r="8" spans="1:25" x14ac:dyDescent="0.35">
      <c r="A8" s="33">
        <v>44658</v>
      </c>
      <c r="B8" s="39" t="s">
        <v>52</v>
      </c>
      <c r="C8" s="39" t="s">
        <v>60</v>
      </c>
      <c r="D8" s="34">
        <v>587</v>
      </c>
      <c r="E8" s="34">
        <v>548</v>
      </c>
      <c r="F8" s="71">
        <v>-0.22148541114058357</v>
      </c>
      <c r="G8" s="71">
        <v>-0.15170278637770898</v>
      </c>
      <c r="H8" s="34">
        <v>3584</v>
      </c>
      <c r="I8" s="34">
        <v>3145</v>
      </c>
      <c r="J8" s="34">
        <v>3584</v>
      </c>
      <c r="K8" s="34">
        <v>3145</v>
      </c>
      <c r="L8" s="40">
        <v>0.77</v>
      </c>
      <c r="M8" s="40">
        <v>7.0000000000000007E-2</v>
      </c>
      <c r="N8" s="40">
        <v>0.93</v>
      </c>
      <c r="O8" s="40">
        <v>0.65</v>
      </c>
      <c r="P8" s="40">
        <v>1</v>
      </c>
      <c r="Q8" s="40"/>
      <c r="R8" s="40"/>
      <c r="S8" s="29">
        <v>44655</v>
      </c>
      <c r="T8" s="1" cm="1">
        <f t="array" ref="T8">SUMIFS(calls_off_OECS,period_OECS,"&gt;="&amp;S8,period_OECS,"&lt;"&amp;S9)</f>
        <v>3463</v>
      </c>
      <c r="U8" s="116" cm="1">
        <f t="array" ref="U8">SUMIFS(calls_ans_OECS,period_OECS,"&gt;="&amp;S8,period_OECS,"&lt;"&amp;S9)</f>
        <v>3020</v>
      </c>
      <c r="X8" t="s">
        <v>69</v>
      </c>
      <c r="Y8" s="16">
        <v>45012</v>
      </c>
    </row>
    <row r="9" spans="1:25" x14ac:dyDescent="0.35">
      <c r="A9" s="23">
        <v>44659</v>
      </c>
      <c r="B9" s="9" t="s">
        <v>53</v>
      </c>
      <c r="C9" s="9" t="s">
        <v>60</v>
      </c>
      <c r="D9" s="1">
        <v>526</v>
      </c>
      <c r="E9" s="1">
        <v>489</v>
      </c>
      <c r="F9" s="72">
        <v>-0.18952234206471494</v>
      </c>
      <c r="G9" s="72">
        <v>-0.14956521739130435</v>
      </c>
      <c r="H9" s="1">
        <v>4110</v>
      </c>
      <c r="I9" s="1">
        <v>3634</v>
      </c>
      <c r="J9" s="1">
        <v>4110</v>
      </c>
      <c r="K9" s="1">
        <v>3634</v>
      </c>
      <c r="L9" s="18">
        <v>0.8</v>
      </c>
      <c r="M9" s="18">
        <v>7.0000000000000007E-2</v>
      </c>
      <c r="N9" s="18">
        <v>0.93</v>
      </c>
      <c r="O9" s="18">
        <v>0.76</v>
      </c>
      <c r="P9" s="18">
        <v>1</v>
      </c>
      <c r="Q9" s="18"/>
      <c r="R9" s="18"/>
      <c r="S9" s="29">
        <f>S8+7</f>
        <v>44662</v>
      </c>
      <c r="T9" s="1" cm="1">
        <f t="array" ref="T9">SUMIFS(calls_off_OECS,period_OECS,"&gt;="&amp;S9,period_OECS,"&lt;"&amp;S10)</f>
        <v>2668</v>
      </c>
      <c r="U9" s="116" cm="1">
        <f t="array" ref="U9">SUMIFS(calls_ans_OECS,period_OECS,"&gt;="&amp;S9,period_OECS,"&lt;"&amp;S10)</f>
        <v>2427</v>
      </c>
    </row>
    <row r="10" spans="1:25" x14ac:dyDescent="0.35">
      <c r="A10" s="33">
        <v>44660</v>
      </c>
      <c r="B10" s="39" t="s">
        <v>54</v>
      </c>
      <c r="C10" s="39" t="s">
        <v>60</v>
      </c>
      <c r="D10" s="34">
        <v>205</v>
      </c>
      <c r="E10" s="34">
        <v>162</v>
      </c>
      <c r="F10" s="71">
        <v>9.852216748768473E-3</v>
      </c>
      <c r="G10" s="71">
        <v>-0.19402985074626866</v>
      </c>
      <c r="H10" s="34">
        <v>4315</v>
      </c>
      <c r="I10" s="34">
        <v>3796</v>
      </c>
      <c r="J10" s="34">
        <v>4315</v>
      </c>
      <c r="K10" s="34">
        <v>3796</v>
      </c>
      <c r="L10" s="40">
        <v>0.52</v>
      </c>
      <c r="M10" s="40">
        <v>0.21</v>
      </c>
      <c r="N10" s="40">
        <v>0.79</v>
      </c>
      <c r="O10" s="40">
        <v>0.54</v>
      </c>
      <c r="P10" s="40">
        <v>1</v>
      </c>
      <c r="Q10" s="40"/>
      <c r="R10" s="40"/>
      <c r="S10" s="29">
        <f t="shared" ref="S10:S60" si="0">S9+7</f>
        <v>44669</v>
      </c>
      <c r="T10" s="1" cm="1">
        <f t="array" ref="T10">SUMIFS(calls_off_OECS,period_OECS,"&gt;="&amp;S10,period_OECS,"&lt;"&amp;S11)</f>
        <v>2697</v>
      </c>
      <c r="U10" s="116" cm="1">
        <f t="array" ref="U10">SUMIFS(calls_ans_OECS,period_OECS,"&gt;="&amp;S10,period_OECS,"&lt;"&amp;S11)</f>
        <v>2354</v>
      </c>
    </row>
    <row r="11" spans="1:25" x14ac:dyDescent="0.35">
      <c r="A11" s="254">
        <v>44661</v>
      </c>
      <c r="B11" s="9" t="s">
        <v>48</v>
      </c>
      <c r="C11" s="9" t="s">
        <v>60</v>
      </c>
      <c r="D11" s="1">
        <v>0</v>
      </c>
      <c r="E11" s="1">
        <v>0</v>
      </c>
      <c r="F11" s="72">
        <v>0</v>
      </c>
      <c r="G11" s="72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/>
      <c r="R11" s="18"/>
      <c r="S11" s="29">
        <f t="shared" si="0"/>
        <v>44676</v>
      </c>
      <c r="T11" s="1" cm="1">
        <f t="array" ref="T11">SUMIFS(calls_off_OECS,period_OECS,"&gt;="&amp;S11,period_OECS,"&lt;"&amp;S12)</f>
        <v>3294</v>
      </c>
      <c r="U11" s="116" cm="1">
        <f t="array" ref="U11">SUMIFS(calls_ans_OECS,period_OECS,"&gt;="&amp;S11,period_OECS,"&lt;"&amp;S12)</f>
        <v>3059</v>
      </c>
    </row>
    <row r="12" spans="1:25" x14ac:dyDescent="0.35">
      <c r="A12" s="255">
        <v>44662</v>
      </c>
      <c r="B12" s="39" t="s">
        <v>49</v>
      </c>
      <c r="C12" s="39" t="s">
        <v>60</v>
      </c>
      <c r="D12" s="34">
        <v>711</v>
      </c>
      <c r="E12" s="34">
        <v>652</v>
      </c>
      <c r="F12" s="71">
        <v>-5.9523809523809521E-2</v>
      </c>
      <c r="G12" s="71">
        <v>2.5157232704402517E-2</v>
      </c>
      <c r="H12" s="34">
        <v>5026</v>
      </c>
      <c r="I12" s="34">
        <v>4448</v>
      </c>
      <c r="J12" s="34">
        <v>5026</v>
      </c>
      <c r="K12" s="34">
        <v>4448</v>
      </c>
      <c r="L12" s="40">
        <v>0.76</v>
      </c>
      <c r="M12" s="40">
        <v>0.08</v>
      </c>
      <c r="N12" s="40">
        <v>0.92</v>
      </c>
      <c r="O12" s="40">
        <v>0.77</v>
      </c>
      <c r="P12" s="40">
        <v>1</v>
      </c>
      <c r="Q12" s="40"/>
      <c r="R12" s="40"/>
      <c r="S12" s="29">
        <f t="shared" si="0"/>
        <v>44683</v>
      </c>
      <c r="T12" s="1" cm="1">
        <f t="array" ref="T12">SUMIFS(calls_off_OECS,period_OECS,"&gt;="&amp;S12,period_OECS,"&lt;"&amp;S13)</f>
        <v>3343</v>
      </c>
      <c r="U12" s="116" cm="1">
        <f t="array" ref="U12">SUMIFS(calls_ans_OECS,period_OECS,"&gt;="&amp;S12,period_OECS,"&lt;"&amp;S13)</f>
        <v>2944</v>
      </c>
    </row>
    <row r="13" spans="1:25" x14ac:dyDescent="0.35">
      <c r="A13" s="254">
        <v>44663</v>
      </c>
      <c r="B13" s="9" t="s">
        <v>50</v>
      </c>
      <c r="C13" s="9" t="s">
        <v>60</v>
      </c>
      <c r="D13" s="1">
        <v>600</v>
      </c>
      <c r="E13" s="1">
        <v>565</v>
      </c>
      <c r="F13" s="72">
        <v>-0.19246298788694483</v>
      </c>
      <c r="G13" s="72">
        <v>-0.1060126582278481</v>
      </c>
      <c r="H13" s="1">
        <v>5626</v>
      </c>
      <c r="I13" s="1">
        <v>5013</v>
      </c>
      <c r="J13" s="1">
        <v>5626</v>
      </c>
      <c r="K13" s="1">
        <v>5013</v>
      </c>
      <c r="L13" s="18">
        <v>0.79</v>
      </c>
      <c r="M13" s="18">
        <v>0.06</v>
      </c>
      <c r="N13" s="18">
        <v>0.94</v>
      </c>
      <c r="O13" s="18">
        <v>0.78</v>
      </c>
      <c r="P13" s="18">
        <v>1</v>
      </c>
      <c r="Q13" s="18"/>
      <c r="R13" s="18"/>
      <c r="S13" s="29">
        <f t="shared" si="0"/>
        <v>44690</v>
      </c>
      <c r="T13" s="1" cm="1">
        <f t="array" ref="T13">SUMIFS(calls_off_OECS,period_OECS,"&gt;="&amp;S13,period_OECS,"&lt;"&amp;S14)</f>
        <v>3168</v>
      </c>
      <c r="U13" s="116" cm="1">
        <f t="array" ref="U13">SUMIFS(calls_ans_OECS,period_OECS,"&gt;="&amp;S13,period_OECS,"&lt;"&amp;S14)</f>
        <v>2970</v>
      </c>
    </row>
    <row r="14" spans="1:25" x14ac:dyDescent="0.35">
      <c r="A14" s="255">
        <v>44664</v>
      </c>
      <c r="B14" s="39" t="s">
        <v>51</v>
      </c>
      <c r="C14" s="39" t="s">
        <v>60</v>
      </c>
      <c r="D14" s="34">
        <v>596</v>
      </c>
      <c r="E14" s="34">
        <v>547</v>
      </c>
      <c r="F14" s="71">
        <v>-7.7399380804953566E-2</v>
      </c>
      <c r="G14" s="71">
        <v>-1.0849909584086799E-2</v>
      </c>
      <c r="H14" s="34">
        <v>6222</v>
      </c>
      <c r="I14" s="34">
        <v>5560</v>
      </c>
      <c r="J14" s="34">
        <v>6222</v>
      </c>
      <c r="K14" s="34">
        <v>5560</v>
      </c>
      <c r="L14" s="40">
        <v>0.78</v>
      </c>
      <c r="M14" s="40">
        <v>0.08</v>
      </c>
      <c r="N14" s="40">
        <v>0.92</v>
      </c>
      <c r="O14" s="40">
        <v>0.77</v>
      </c>
      <c r="P14" s="40">
        <v>1</v>
      </c>
      <c r="Q14" s="40"/>
      <c r="R14" s="40"/>
      <c r="S14" s="29">
        <f t="shared" si="0"/>
        <v>44697</v>
      </c>
      <c r="T14" s="1" cm="1">
        <f t="array" ref="T14">SUMIFS(calls_off_OECS,period_OECS,"&gt;="&amp;S14,period_OECS,"&lt;"&amp;S15)</f>
        <v>2975</v>
      </c>
      <c r="U14" s="116" cm="1">
        <f t="array" ref="U14">SUMIFS(calls_ans_OECS,period_OECS,"&gt;="&amp;S14,period_OECS,"&lt;"&amp;S15)</f>
        <v>2807</v>
      </c>
    </row>
    <row r="15" spans="1:25" x14ac:dyDescent="0.35">
      <c r="A15" s="254">
        <v>44665</v>
      </c>
      <c r="B15" s="9" t="s">
        <v>52</v>
      </c>
      <c r="C15" s="9" t="s">
        <v>60</v>
      </c>
      <c r="D15" s="1">
        <v>548</v>
      </c>
      <c r="E15" s="1">
        <v>482</v>
      </c>
      <c r="F15" s="72">
        <v>-6.6439522998296419E-2</v>
      </c>
      <c r="G15" s="72">
        <v>-0.12043795620437957</v>
      </c>
      <c r="H15" s="1">
        <v>6770</v>
      </c>
      <c r="I15" s="1">
        <v>6042</v>
      </c>
      <c r="J15" s="1">
        <v>6770</v>
      </c>
      <c r="K15" s="1">
        <v>6042</v>
      </c>
      <c r="L15" s="18">
        <v>0.75</v>
      </c>
      <c r="M15" s="18">
        <v>0.12</v>
      </c>
      <c r="N15" s="18">
        <v>0.88</v>
      </c>
      <c r="O15" s="18">
        <v>0.68</v>
      </c>
      <c r="P15" s="18">
        <v>1</v>
      </c>
      <c r="Q15" s="18"/>
      <c r="R15" s="18"/>
      <c r="S15" s="29">
        <f>S14+7</f>
        <v>44704</v>
      </c>
      <c r="T15" s="1" cm="1">
        <f t="array" ref="T15">SUMIFS(calls_off_OECS,period_OECS,"&gt;="&amp;S15,period_OECS,"&lt;"&amp;S16)</f>
        <v>2843</v>
      </c>
      <c r="U15" s="116" cm="1">
        <f t="array" ref="U15">SUMIFS(calls_ans_OECS,period_OECS,"&gt;="&amp;S15,period_OECS,"&lt;"&amp;S16)</f>
        <v>2673</v>
      </c>
    </row>
    <row r="16" spans="1:25" x14ac:dyDescent="0.35">
      <c r="A16" s="255">
        <v>44666</v>
      </c>
      <c r="B16" s="39" t="s">
        <v>53</v>
      </c>
      <c r="C16" s="39" t="s">
        <v>60</v>
      </c>
      <c r="D16" s="34">
        <v>0</v>
      </c>
      <c r="E16" s="34">
        <v>0</v>
      </c>
      <c r="F16" s="71">
        <v>0</v>
      </c>
      <c r="G16" s="71">
        <v>0</v>
      </c>
      <c r="H16" s="34">
        <v>0</v>
      </c>
      <c r="I16" s="34">
        <v>0</v>
      </c>
      <c r="J16" s="34">
        <v>0</v>
      </c>
      <c r="K16" s="34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/>
      <c r="R16" s="40"/>
      <c r="S16" s="29">
        <f t="shared" si="0"/>
        <v>44711</v>
      </c>
      <c r="T16" s="1" cm="1">
        <f t="array" ref="T16">SUMIFS(calls_off_OECS,period_OECS,"&gt;="&amp;S16,period_OECS,"&lt;"&amp;S17)</f>
        <v>3030</v>
      </c>
      <c r="U16" s="116" cm="1">
        <f t="array" ref="U16">SUMIFS(calls_ans_OECS,period_OECS,"&gt;="&amp;S16,period_OECS,"&lt;"&amp;S17)</f>
        <v>2827</v>
      </c>
    </row>
    <row r="17" spans="1:21" x14ac:dyDescent="0.35">
      <c r="A17" s="254">
        <v>44667</v>
      </c>
      <c r="B17" s="9" t="s">
        <v>54</v>
      </c>
      <c r="C17" s="9" t="s">
        <v>60</v>
      </c>
      <c r="D17" s="1">
        <v>213</v>
      </c>
      <c r="E17" s="1">
        <v>181</v>
      </c>
      <c r="F17" s="72">
        <v>3.9024390243902439E-2</v>
      </c>
      <c r="G17" s="72">
        <v>0.11728395061728394</v>
      </c>
      <c r="H17" s="1">
        <v>6983</v>
      </c>
      <c r="I17" s="1">
        <v>6223</v>
      </c>
      <c r="J17" s="1">
        <v>6983</v>
      </c>
      <c r="K17" s="1">
        <v>6223</v>
      </c>
      <c r="L17" s="18">
        <v>0.79</v>
      </c>
      <c r="M17" s="18">
        <v>0.15</v>
      </c>
      <c r="N17" s="18">
        <v>0.85</v>
      </c>
      <c r="O17" s="18">
        <v>0.54</v>
      </c>
      <c r="P17" s="18">
        <v>1</v>
      </c>
      <c r="Q17" s="18"/>
      <c r="R17" s="18"/>
      <c r="S17" s="29">
        <f t="shared" si="0"/>
        <v>44718</v>
      </c>
      <c r="T17" s="1" cm="1">
        <f t="array" ref="T17">SUMIFS(calls_off_OECS,period_OECS,"&gt;="&amp;S17,period_OECS,"&lt;"&amp;S18)</f>
        <v>2680</v>
      </c>
      <c r="U17" s="116" cm="1">
        <f t="array" ref="U17">SUMIFS(calls_ans_OECS,period_OECS,"&gt;="&amp;S17,period_OECS,"&lt;"&amp;S18)</f>
        <v>2468</v>
      </c>
    </row>
    <row r="18" spans="1:21" x14ac:dyDescent="0.35">
      <c r="A18" s="255">
        <v>44668</v>
      </c>
      <c r="B18" s="39" t="s">
        <v>48</v>
      </c>
      <c r="C18" s="39" t="s">
        <v>60</v>
      </c>
      <c r="D18" s="34">
        <v>0</v>
      </c>
      <c r="E18" s="34">
        <v>0</v>
      </c>
      <c r="F18" s="71">
        <v>0</v>
      </c>
      <c r="G18" s="71">
        <v>0</v>
      </c>
      <c r="H18" s="34">
        <v>0</v>
      </c>
      <c r="I18" s="34">
        <v>0</v>
      </c>
      <c r="J18" s="34">
        <v>0</v>
      </c>
      <c r="K18" s="34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/>
      <c r="R18" s="40"/>
      <c r="S18" s="29">
        <f t="shared" si="0"/>
        <v>44725</v>
      </c>
      <c r="T18" s="1" cm="1">
        <f t="array" ref="T18">SUMIFS(calls_off_OECS,period_OECS,"&gt;="&amp;S18,period_OECS,"&lt;"&amp;S19)</f>
        <v>2604</v>
      </c>
      <c r="U18" s="116" cm="1">
        <f t="array" ref="U18">SUMIFS(calls_ans_OECS,period_OECS,"&gt;="&amp;S18,period_OECS,"&lt;"&amp;S19)</f>
        <v>2366</v>
      </c>
    </row>
    <row r="19" spans="1:21" x14ac:dyDescent="0.35">
      <c r="A19" s="254">
        <v>44669</v>
      </c>
      <c r="B19" s="9" t="s">
        <v>49</v>
      </c>
      <c r="C19" s="9" t="s">
        <v>60</v>
      </c>
      <c r="D19" s="1">
        <v>0</v>
      </c>
      <c r="E19" s="1">
        <v>0</v>
      </c>
      <c r="F19" s="72">
        <v>0</v>
      </c>
      <c r="G19" s="72">
        <v>0</v>
      </c>
      <c r="H19" s="1">
        <v>0</v>
      </c>
      <c r="I19" s="1">
        <v>0</v>
      </c>
      <c r="J19" s="1">
        <v>0</v>
      </c>
      <c r="K19" s="1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/>
      <c r="R19" s="18"/>
      <c r="S19" s="29">
        <f t="shared" si="0"/>
        <v>44732</v>
      </c>
      <c r="T19" s="1" cm="1">
        <f t="array" ref="T19">SUMIFS(calls_off_OECS,period_OECS,"&gt;="&amp;S19,period_OECS,"&lt;"&amp;S20)</f>
        <v>2951</v>
      </c>
      <c r="U19" s="116" cm="1">
        <f t="array" ref="U19">SUMIFS(calls_ans_OECS,period_OECS,"&gt;="&amp;S19,period_OECS,"&lt;"&amp;S20)</f>
        <v>2538</v>
      </c>
    </row>
    <row r="20" spans="1:21" x14ac:dyDescent="0.35">
      <c r="A20" s="255">
        <v>44670</v>
      </c>
      <c r="B20" s="39" t="s">
        <v>50</v>
      </c>
      <c r="C20" s="39" t="s">
        <v>60</v>
      </c>
      <c r="D20" s="34">
        <v>723</v>
      </c>
      <c r="E20" s="34">
        <v>605</v>
      </c>
      <c r="F20" s="71">
        <v>0.20499999999999999</v>
      </c>
      <c r="G20" s="71">
        <v>7.0796460176991149E-2</v>
      </c>
      <c r="H20" s="34">
        <v>7706</v>
      </c>
      <c r="I20" s="34">
        <v>6828</v>
      </c>
      <c r="J20" s="34">
        <v>7706</v>
      </c>
      <c r="K20" s="34">
        <v>6828</v>
      </c>
      <c r="L20" s="40">
        <v>0.55000000000000004</v>
      </c>
      <c r="M20" s="40">
        <v>0.16</v>
      </c>
      <c r="N20" s="40">
        <v>0.84</v>
      </c>
      <c r="O20" s="40">
        <v>0.85</v>
      </c>
      <c r="P20" s="40">
        <v>1</v>
      </c>
      <c r="Q20" s="40"/>
      <c r="R20" s="40"/>
      <c r="S20" s="29">
        <f t="shared" si="0"/>
        <v>44739</v>
      </c>
      <c r="T20" s="1" cm="1">
        <f t="array" ref="T20">SUMIFS(calls_off_OECS,period_OECS,"&gt;="&amp;S20,period_OECS,"&lt;"&amp;S21)</f>
        <v>2689</v>
      </c>
      <c r="U20" s="116" cm="1">
        <f t="array" ref="U20">SUMIFS(calls_ans_OECS,period_OECS,"&gt;="&amp;S20,period_OECS,"&lt;"&amp;S21)</f>
        <v>2479</v>
      </c>
    </row>
    <row r="21" spans="1:21" x14ac:dyDescent="0.35">
      <c r="A21" s="254">
        <v>44671</v>
      </c>
      <c r="B21" s="9" t="s">
        <v>51</v>
      </c>
      <c r="C21" s="9" t="s">
        <v>60</v>
      </c>
      <c r="D21" s="1">
        <v>594</v>
      </c>
      <c r="E21" s="1">
        <v>524</v>
      </c>
      <c r="F21" s="72">
        <v>-3.3557046979865771E-3</v>
      </c>
      <c r="G21" s="72">
        <v>-4.2047531992687383E-2</v>
      </c>
      <c r="H21" s="1">
        <v>8300</v>
      </c>
      <c r="I21" s="1">
        <v>7352</v>
      </c>
      <c r="J21" s="1">
        <v>8300</v>
      </c>
      <c r="K21" s="1">
        <v>7352</v>
      </c>
      <c r="L21" s="18">
        <v>0.71</v>
      </c>
      <c r="M21" s="18">
        <v>0.12</v>
      </c>
      <c r="N21" s="18">
        <v>0.88</v>
      </c>
      <c r="O21" s="18">
        <v>0.73</v>
      </c>
      <c r="P21" s="18">
        <v>1</v>
      </c>
      <c r="Q21" s="18"/>
      <c r="R21" s="18"/>
      <c r="S21" s="29">
        <f t="shared" si="0"/>
        <v>44746</v>
      </c>
      <c r="T21" s="1" cm="1">
        <f t="array" ref="T21">SUMIFS(calls_off_OECS,period_OECS,"&gt;="&amp;S21,period_OECS,"&lt;"&amp;S22)</f>
        <v>2911</v>
      </c>
      <c r="U21" s="116" cm="1">
        <f t="array" ref="U21">SUMIFS(calls_ans_OECS,period_OECS,"&gt;="&amp;S21,period_OECS,"&lt;"&amp;S22)</f>
        <v>2692</v>
      </c>
    </row>
    <row r="22" spans="1:21" x14ac:dyDescent="0.35">
      <c r="A22" s="255">
        <v>44672</v>
      </c>
      <c r="B22" s="39" t="s">
        <v>52</v>
      </c>
      <c r="C22" s="39" t="s">
        <v>60</v>
      </c>
      <c r="D22" s="34">
        <v>588</v>
      </c>
      <c r="E22" s="34">
        <v>528</v>
      </c>
      <c r="F22" s="71">
        <v>7.2992700729927001E-2</v>
      </c>
      <c r="G22" s="71">
        <v>9.5435684647302899E-2</v>
      </c>
      <c r="H22" s="34">
        <v>8888</v>
      </c>
      <c r="I22" s="34">
        <v>7880</v>
      </c>
      <c r="J22" s="34">
        <v>8888</v>
      </c>
      <c r="K22" s="34">
        <v>7880</v>
      </c>
      <c r="L22" s="40">
        <v>0.68</v>
      </c>
      <c r="M22" s="40">
        <v>0.1</v>
      </c>
      <c r="N22" s="40">
        <v>0.9</v>
      </c>
      <c r="O22" s="40">
        <v>0.77</v>
      </c>
      <c r="P22" s="40">
        <v>1</v>
      </c>
      <c r="Q22" s="40"/>
      <c r="R22" s="40"/>
      <c r="S22" s="35">
        <f t="shared" si="0"/>
        <v>44753</v>
      </c>
      <c r="T22" s="1" cm="1">
        <f t="array" ref="T22">SUMIFS(calls_off_OECS,period_OECS,"&gt;="&amp;S22,period_OECS,"&lt;"&amp;S23)</f>
        <v>2759</v>
      </c>
      <c r="U22" s="116" cm="1">
        <f t="array" ref="U22">SUMIFS(calls_ans_OECS,period_OECS,"&gt;="&amp;S22,period_OECS,"&lt;"&amp;S23)</f>
        <v>2584</v>
      </c>
    </row>
    <row r="23" spans="1:21" x14ac:dyDescent="0.35">
      <c r="A23" s="254">
        <v>44673</v>
      </c>
      <c r="B23" s="9" t="s">
        <v>53</v>
      </c>
      <c r="C23" s="9" t="s">
        <v>60</v>
      </c>
      <c r="D23" s="1">
        <v>592</v>
      </c>
      <c r="E23" s="1">
        <v>517</v>
      </c>
      <c r="F23" s="72">
        <v>0</v>
      </c>
      <c r="G23" s="72">
        <v>0</v>
      </c>
      <c r="H23" s="1">
        <v>9480</v>
      </c>
      <c r="I23" s="1">
        <v>8397</v>
      </c>
      <c r="J23" s="1">
        <v>9480</v>
      </c>
      <c r="K23" s="1">
        <v>8397</v>
      </c>
      <c r="L23" s="18">
        <v>0.7</v>
      </c>
      <c r="M23" s="18">
        <v>0.13</v>
      </c>
      <c r="N23" s="18">
        <v>0.87</v>
      </c>
      <c r="O23" s="18">
        <v>0.72</v>
      </c>
      <c r="P23" s="18">
        <v>1</v>
      </c>
      <c r="Q23" s="18"/>
      <c r="R23" s="18"/>
      <c r="S23" s="35">
        <f t="shared" si="0"/>
        <v>44760</v>
      </c>
      <c r="T23" s="1" cm="1">
        <f t="array" ref="T23">SUMIFS(calls_off_OECS,period_OECS,"&gt;="&amp;S23,period_OECS,"&lt;"&amp;S24)</f>
        <v>2499</v>
      </c>
      <c r="U23" s="116" cm="1">
        <f t="array" ref="U23">SUMIFS(calls_ans_OECS,period_OECS,"&gt;="&amp;S23,period_OECS,"&lt;"&amp;S24)</f>
        <v>2344</v>
      </c>
    </row>
    <row r="24" spans="1:21" x14ac:dyDescent="0.35">
      <c r="A24" s="255">
        <v>44674</v>
      </c>
      <c r="B24" s="39" t="s">
        <v>54</v>
      </c>
      <c r="C24" s="39" t="s">
        <v>60</v>
      </c>
      <c r="D24" s="34">
        <v>200</v>
      </c>
      <c r="E24" s="34">
        <v>180</v>
      </c>
      <c r="F24" s="71">
        <v>-6.1032863849765258E-2</v>
      </c>
      <c r="G24" s="71">
        <v>-5.5248618784530384E-3</v>
      </c>
      <c r="H24" s="34">
        <v>9680</v>
      </c>
      <c r="I24" s="34">
        <v>8577</v>
      </c>
      <c r="J24" s="34">
        <v>9680</v>
      </c>
      <c r="K24" s="34">
        <v>8577</v>
      </c>
      <c r="L24" s="40">
        <v>0.8</v>
      </c>
      <c r="M24" s="40">
        <v>0.1</v>
      </c>
      <c r="N24" s="40">
        <v>0.9</v>
      </c>
      <c r="O24" s="40">
        <v>0.25</v>
      </c>
      <c r="P24" s="40">
        <v>1</v>
      </c>
      <c r="Q24" s="40"/>
      <c r="R24" s="40"/>
      <c r="S24" s="35">
        <f t="shared" si="0"/>
        <v>44767</v>
      </c>
      <c r="T24" s="1" cm="1">
        <f t="array" ref="T24">SUMIFS(calls_off_OECS,period_OECS,"&gt;="&amp;S24,period_OECS,"&lt;"&amp;S25)</f>
        <v>3143</v>
      </c>
      <c r="U24" s="116">
        <f>SUMIFS(E18:E264,A19:A265,"&gt;="&amp;S24,A18:A264,"&lt;"&amp;S25)</f>
        <v>2858</v>
      </c>
    </row>
    <row r="25" spans="1:21" x14ac:dyDescent="0.35">
      <c r="A25" s="254">
        <v>44675</v>
      </c>
      <c r="B25" s="9" t="s">
        <v>48</v>
      </c>
      <c r="C25" s="9" t="s">
        <v>60</v>
      </c>
      <c r="D25" s="1">
        <v>0</v>
      </c>
      <c r="E25" s="1">
        <v>0</v>
      </c>
      <c r="F25" s="72">
        <v>0</v>
      </c>
      <c r="G25" s="72">
        <v>0</v>
      </c>
      <c r="H25" s="1">
        <v>0</v>
      </c>
      <c r="I25" s="1">
        <v>0</v>
      </c>
      <c r="J25" s="1">
        <v>0</v>
      </c>
      <c r="K25" s="1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/>
      <c r="R25" s="18"/>
      <c r="S25" s="35">
        <f t="shared" si="0"/>
        <v>44774</v>
      </c>
      <c r="T25" s="1" cm="1">
        <f t="array" ref="T25">SUMIFS(calls_off_OECS,period_OECS,"&gt;="&amp;S25,period_OECS,"&lt;"&amp;S26)</f>
        <v>2387</v>
      </c>
      <c r="U25" s="116">
        <f>SUMIFS(E19:E259,A20:A260,"&gt;="&amp;S25,A19:A259,"&lt;"&amp;S26)</f>
        <v>2166</v>
      </c>
    </row>
    <row r="26" spans="1:21" x14ac:dyDescent="0.35">
      <c r="A26" s="255">
        <v>44676</v>
      </c>
      <c r="B26" s="39" t="s">
        <v>49</v>
      </c>
      <c r="C26" s="39" t="s">
        <v>60</v>
      </c>
      <c r="D26" s="34">
        <v>687</v>
      </c>
      <c r="E26" s="34">
        <v>608</v>
      </c>
      <c r="F26" s="71">
        <v>0</v>
      </c>
      <c r="G26" s="71">
        <v>0</v>
      </c>
      <c r="H26" s="34">
        <v>10367</v>
      </c>
      <c r="I26" s="34">
        <v>9185</v>
      </c>
      <c r="J26" s="34">
        <v>10367</v>
      </c>
      <c r="K26" s="34">
        <v>9185</v>
      </c>
      <c r="L26" s="40">
        <v>0.66</v>
      </c>
      <c r="M26" s="40">
        <v>0.11</v>
      </c>
      <c r="N26" s="40">
        <v>0.89</v>
      </c>
      <c r="O26" s="40">
        <v>0.72</v>
      </c>
      <c r="P26" s="40">
        <v>1</v>
      </c>
      <c r="Q26" s="40"/>
      <c r="R26" s="40"/>
      <c r="S26" s="35">
        <f t="shared" si="0"/>
        <v>44781</v>
      </c>
      <c r="T26" s="1" cm="1">
        <f t="array" ref="T26">SUMIFS(calls_off_OECS,period_OECS,"&gt;="&amp;S26,period_OECS,"&lt;"&amp;S27)</f>
        <v>2927</v>
      </c>
      <c r="U26" s="116">
        <f>SUMIFS(E2:E366,A2:A366,"&gt;="&amp;S26,A2:A366,"&lt;"&amp;S27)</f>
        <v>2730</v>
      </c>
    </row>
    <row r="27" spans="1:21" x14ac:dyDescent="0.35">
      <c r="A27" s="254">
        <v>44677</v>
      </c>
      <c r="B27" s="9" t="s">
        <v>50</v>
      </c>
      <c r="C27" s="9" t="s">
        <v>60</v>
      </c>
      <c r="D27" s="1">
        <v>638</v>
      </c>
      <c r="E27" s="1">
        <v>589</v>
      </c>
      <c r="F27" s="72">
        <v>-0.11756569847856155</v>
      </c>
      <c r="G27" s="72">
        <v>-2.6446280991735537E-2</v>
      </c>
      <c r="H27" s="1">
        <v>11005</v>
      </c>
      <c r="I27" s="1">
        <v>9774</v>
      </c>
      <c r="J27" s="1">
        <v>11005</v>
      </c>
      <c r="K27" s="1">
        <v>9774</v>
      </c>
      <c r="L27" s="18">
        <v>0.79</v>
      </c>
      <c r="M27" s="18">
        <v>0.08</v>
      </c>
      <c r="N27" s="18">
        <v>0.92</v>
      </c>
      <c r="O27" s="18">
        <v>0.79</v>
      </c>
      <c r="P27" s="18">
        <v>1</v>
      </c>
      <c r="Q27" s="18"/>
      <c r="R27" s="18"/>
      <c r="S27" s="35">
        <f t="shared" si="0"/>
        <v>44788</v>
      </c>
      <c r="T27" s="1" cm="1">
        <f t="array" ref="T27">SUMIFS(calls_off_OECS,period_OECS,"&gt;="&amp;S27,period_OECS,"&lt;"&amp;S28)</f>
        <v>2864</v>
      </c>
      <c r="U27" s="116">
        <f>SUMIFS(E3:E259,A3:A259,"&gt;="&amp;S27,A3:A259,"&lt;"&amp;S28)</f>
        <v>2634</v>
      </c>
    </row>
    <row r="28" spans="1:21" x14ac:dyDescent="0.35">
      <c r="A28" s="255">
        <v>44678</v>
      </c>
      <c r="B28" s="39" t="s">
        <v>51</v>
      </c>
      <c r="C28" s="39" t="s">
        <v>60</v>
      </c>
      <c r="D28" s="34">
        <v>594</v>
      </c>
      <c r="E28" s="34">
        <v>562</v>
      </c>
      <c r="F28" s="71">
        <v>0</v>
      </c>
      <c r="G28" s="71">
        <v>7.2519083969465645E-2</v>
      </c>
      <c r="H28" s="34">
        <v>11599</v>
      </c>
      <c r="I28" s="34">
        <v>10336</v>
      </c>
      <c r="J28" s="34">
        <v>11599</v>
      </c>
      <c r="K28" s="34">
        <v>10336</v>
      </c>
      <c r="L28" s="40">
        <v>0.89</v>
      </c>
      <c r="M28" s="40">
        <v>0.05</v>
      </c>
      <c r="N28" s="40">
        <v>0.95</v>
      </c>
      <c r="O28" s="40">
        <v>0.54</v>
      </c>
      <c r="P28" s="40">
        <v>1</v>
      </c>
      <c r="Q28" s="40"/>
      <c r="R28" s="40"/>
      <c r="S28" s="35">
        <f t="shared" si="0"/>
        <v>44795</v>
      </c>
      <c r="T28" s="1" cm="1">
        <f t="array" ref="T28">SUMIFS(calls_off_OECS,period_OECS,"&gt;="&amp;S28,period_OECS,"&lt;"&amp;S29)</f>
        <v>1970</v>
      </c>
      <c r="U28" s="116">
        <f>SUMIFS(Table2[Calls Ans],Table2[Date],"&gt;="&amp;S28,A2:A366,"&lt;"&amp;S29)</f>
        <v>1836</v>
      </c>
    </row>
    <row r="29" spans="1:21" x14ac:dyDescent="0.35">
      <c r="A29" s="254">
        <v>44679</v>
      </c>
      <c r="B29" s="9" t="s">
        <v>52</v>
      </c>
      <c r="C29" s="9" t="s">
        <v>60</v>
      </c>
      <c r="D29" s="1">
        <v>514</v>
      </c>
      <c r="E29" s="1">
        <v>492</v>
      </c>
      <c r="F29" s="72">
        <v>-0.12585034013605442</v>
      </c>
      <c r="G29" s="72">
        <v>-6.8181818181818177E-2</v>
      </c>
      <c r="H29" s="1">
        <v>12113</v>
      </c>
      <c r="I29" s="1">
        <v>10828</v>
      </c>
      <c r="J29" s="1">
        <v>12113</v>
      </c>
      <c r="K29" s="1">
        <v>10828</v>
      </c>
      <c r="L29" s="18">
        <v>0.9</v>
      </c>
      <c r="M29" s="18">
        <v>0.04</v>
      </c>
      <c r="N29" s="18">
        <v>0.96</v>
      </c>
      <c r="O29" s="18">
        <v>0.59</v>
      </c>
      <c r="P29" s="18">
        <v>1</v>
      </c>
      <c r="Q29" s="18"/>
      <c r="R29" s="18"/>
      <c r="S29" s="35">
        <f t="shared" si="0"/>
        <v>44802</v>
      </c>
      <c r="T29" s="1" cm="1">
        <f t="array" ref="T29">SUMIFS(calls_off_OECS,period_OECS,"&gt;="&amp;S29,period_OECS,"&lt;"&amp;S30)</f>
        <v>2476</v>
      </c>
      <c r="U29" s="116">
        <f>SUMIFS(Table2[Calls Ans],Table2[Date],"&gt;="&amp;S29,Table2[Date],"&lt;"&amp;S30)</f>
        <v>2229</v>
      </c>
    </row>
    <row r="30" spans="1:21" x14ac:dyDescent="0.35">
      <c r="A30" s="255">
        <v>44680</v>
      </c>
      <c r="B30" s="39" t="s">
        <v>53</v>
      </c>
      <c r="C30" s="39" t="s">
        <v>60</v>
      </c>
      <c r="D30" s="34">
        <v>631</v>
      </c>
      <c r="E30" s="34">
        <v>588</v>
      </c>
      <c r="F30" s="71">
        <v>6.5878378378378372E-2</v>
      </c>
      <c r="G30" s="71">
        <v>0.13733075435203096</v>
      </c>
      <c r="H30" s="34">
        <v>12744</v>
      </c>
      <c r="I30" s="34">
        <v>11416</v>
      </c>
      <c r="J30" s="34">
        <v>12744</v>
      </c>
      <c r="K30" s="34">
        <v>11416</v>
      </c>
      <c r="L30" s="40">
        <v>0.77</v>
      </c>
      <c r="M30" s="40">
        <v>7.0000000000000007E-2</v>
      </c>
      <c r="N30" s="40">
        <v>0.93</v>
      </c>
      <c r="O30" s="40">
        <v>0.54</v>
      </c>
      <c r="P30" s="40">
        <v>1</v>
      </c>
      <c r="Q30" s="40"/>
      <c r="R30" s="40"/>
      <c r="S30" s="35">
        <f t="shared" si="0"/>
        <v>44809</v>
      </c>
      <c r="T30" s="1" cm="1">
        <f t="array" ref="T30">SUMIFS(calls_off_OECS,period_OECS,"&gt;="&amp;S30,period_OECS,"&lt;"&amp;S31)</f>
        <v>3244</v>
      </c>
      <c r="U30" s="116">
        <f>SUMIFS(Table2[Calls Ans],Table2[Date],"&gt;="&amp;S30,Table2[Date],"&lt;"&amp;S31)</f>
        <v>2921</v>
      </c>
    </row>
    <row r="31" spans="1:21" x14ac:dyDescent="0.35">
      <c r="A31" s="254">
        <v>44681</v>
      </c>
      <c r="B31" s="9" t="s">
        <v>54</v>
      </c>
      <c r="C31" s="9" t="s">
        <v>60</v>
      </c>
      <c r="D31" s="1">
        <v>230</v>
      </c>
      <c r="E31" s="1">
        <v>220</v>
      </c>
      <c r="F31" s="72">
        <v>0.15</v>
      </c>
      <c r="G31" s="72">
        <v>0.22222222222222221</v>
      </c>
      <c r="H31" s="1">
        <v>12974</v>
      </c>
      <c r="I31" s="1">
        <v>11636</v>
      </c>
      <c r="J31" s="1">
        <v>12974</v>
      </c>
      <c r="K31" s="1">
        <v>11636</v>
      </c>
      <c r="L31" s="18">
        <v>0.9</v>
      </c>
      <c r="M31" s="18">
        <v>0.04</v>
      </c>
      <c r="N31" s="18">
        <v>0.96</v>
      </c>
      <c r="O31" s="18">
        <v>0.55000000000000004</v>
      </c>
      <c r="P31" s="18">
        <v>1</v>
      </c>
      <c r="Q31" s="18"/>
      <c r="R31" s="18"/>
      <c r="S31" s="35">
        <f t="shared" si="0"/>
        <v>44816</v>
      </c>
      <c r="T31" s="1" cm="1">
        <f t="array" ref="T31">SUMIFS(calls_off_OECS,period_OECS,"&gt;="&amp;S31,period_OECS,"&lt;"&amp;S32)</f>
        <v>2783</v>
      </c>
      <c r="U31" s="116">
        <f>SUMIFS(Table2[Calls Ans],Table2[Date],"&gt;="&amp;S31,Table2[Date],"&lt;"&amp;S32)</f>
        <v>2582</v>
      </c>
    </row>
    <row r="32" spans="1:21" x14ac:dyDescent="0.35">
      <c r="A32" s="255">
        <v>44682</v>
      </c>
      <c r="B32" s="39" t="s">
        <v>48</v>
      </c>
      <c r="C32" s="39" t="s">
        <v>60</v>
      </c>
      <c r="D32" s="34">
        <v>0</v>
      </c>
      <c r="E32" s="34">
        <v>0</v>
      </c>
      <c r="F32" s="71">
        <v>0</v>
      </c>
      <c r="G32" s="71">
        <v>0</v>
      </c>
      <c r="H32" s="34">
        <v>0</v>
      </c>
      <c r="I32" s="34">
        <v>0</v>
      </c>
      <c r="J32" s="34">
        <v>0</v>
      </c>
      <c r="K32" s="34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/>
      <c r="R32" s="40"/>
      <c r="S32" s="35">
        <f t="shared" si="0"/>
        <v>44823</v>
      </c>
      <c r="T32" s="1" cm="1">
        <f t="array" ref="T32">SUMIFS(calls_off_OECS,period_OECS,"&gt;="&amp;S32,period_OECS,"&lt;"&amp;S33)</f>
        <v>2753</v>
      </c>
      <c r="U32" s="116">
        <f>SUMIFS(Table2[Calls Ans],Table2[Date],"&gt;="&amp;S32,Table2[Date],"&lt;"&amp;S33)</f>
        <v>2530</v>
      </c>
    </row>
    <row r="33" spans="1:24" x14ac:dyDescent="0.35">
      <c r="A33" s="254">
        <v>44683</v>
      </c>
      <c r="B33" s="9" t="s">
        <v>49</v>
      </c>
      <c r="C33" s="9" t="s">
        <v>60</v>
      </c>
      <c r="D33" s="1">
        <v>0</v>
      </c>
      <c r="E33" s="1">
        <v>0</v>
      </c>
      <c r="F33" s="72">
        <v>0</v>
      </c>
      <c r="G33" s="72">
        <v>0</v>
      </c>
      <c r="H33" s="1">
        <v>0</v>
      </c>
      <c r="I33" s="1">
        <v>0</v>
      </c>
      <c r="J33" s="1">
        <v>0</v>
      </c>
      <c r="K33" s="1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/>
      <c r="R33" s="18"/>
      <c r="S33" s="35">
        <f t="shared" si="0"/>
        <v>44830</v>
      </c>
      <c r="T33" s="1" cm="1">
        <f t="array" ref="T33">SUMIFS(calls_off_OECS,period_OECS,"&gt;="&amp;S33,period_OECS,"&lt;"&amp;S34)</f>
        <v>2897</v>
      </c>
      <c r="U33" s="116">
        <f>SUMIFS(Table2[Calls Ans],Table2[Date],"&gt;="&amp;S33,Table2[Date],"&lt;"&amp;S34)</f>
        <v>2657</v>
      </c>
    </row>
    <row r="34" spans="1:24" x14ac:dyDescent="0.35">
      <c r="A34" s="255">
        <v>44684</v>
      </c>
      <c r="B34" s="39" t="s">
        <v>50</v>
      </c>
      <c r="C34" s="39" t="s">
        <v>60</v>
      </c>
      <c r="D34" s="34">
        <v>818</v>
      </c>
      <c r="E34" s="34">
        <v>706</v>
      </c>
      <c r="F34" s="71">
        <v>0.28213166144200624</v>
      </c>
      <c r="G34" s="71">
        <v>0.19864176570458403</v>
      </c>
      <c r="H34" s="34">
        <v>818</v>
      </c>
      <c r="I34" s="34">
        <v>706</v>
      </c>
      <c r="J34" s="34">
        <v>13792</v>
      </c>
      <c r="K34" s="34">
        <v>12342</v>
      </c>
      <c r="L34" s="40">
        <v>0.61</v>
      </c>
      <c r="M34" s="40">
        <v>0.14000000000000001</v>
      </c>
      <c r="N34" s="40">
        <v>0.86</v>
      </c>
      <c r="O34" s="40">
        <v>0.71</v>
      </c>
      <c r="P34" s="40">
        <v>1</v>
      </c>
      <c r="Q34" s="40"/>
      <c r="R34" s="40"/>
      <c r="S34" s="35">
        <f t="shared" si="0"/>
        <v>44837</v>
      </c>
      <c r="T34" s="1" cm="1">
        <f t="array" ref="T34">SUMIFS(calls_off_OECS,period_OECS,"&gt;="&amp;S34,period_OECS,"&lt;"&amp;S35)</f>
        <v>2897</v>
      </c>
      <c r="U34" s="116">
        <f>SUMIFS(Table2[Calls Ans],Table2[Date],"&gt;="&amp;S34,Table2[Date],"&lt;"&amp;S35)</f>
        <v>2719</v>
      </c>
    </row>
    <row r="35" spans="1:24" x14ac:dyDescent="0.35">
      <c r="A35" s="254">
        <v>44685</v>
      </c>
      <c r="B35" s="9" t="s">
        <v>51</v>
      </c>
      <c r="C35" s="9" t="s">
        <v>60</v>
      </c>
      <c r="D35" s="1">
        <v>690</v>
      </c>
      <c r="E35" s="1">
        <v>632</v>
      </c>
      <c r="F35" s="72">
        <v>0.16161616161616163</v>
      </c>
      <c r="G35" s="72">
        <v>0.12455516014234876</v>
      </c>
      <c r="H35" s="1">
        <v>1508</v>
      </c>
      <c r="I35" s="1">
        <v>1338</v>
      </c>
      <c r="J35" s="1">
        <v>14482</v>
      </c>
      <c r="K35" s="1">
        <v>12974</v>
      </c>
      <c r="L35" s="18">
        <v>0.82</v>
      </c>
      <c r="M35" s="18">
        <v>0.08</v>
      </c>
      <c r="N35" s="18">
        <v>0.92</v>
      </c>
      <c r="O35" s="18">
        <v>0.72</v>
      </c>
      <c r="P35" s="18">
        <v>1</v>
      </c>
      <c r="Q35" s="18"/>
      <c r="R35" s="18"/>
      <c r="S35" s="35">
        <f>S34+7</f>
        <v>44844</v>
      </c>
      <c r="T35" s="1" cm="1">
        <f t="array" ref="T35">SUMIFS(calls_off_OECS,period_OECS,"&gt;="&amp;S35,period_OECS,"&lt;"&amp;S36)</f>
        <v>2914</v>
      </c>
      <c r="U35" s="116">
        <f>SUMIFS(Table2[Calls Ans],Table2[Date],"&gt;="&amp;S35,Table2[Date],"&lt;"&amp;S36)</f>
        <v>2714</v>
      </c>
    </row>
    <row r="36" spans="1:24" x14ac:dyDescent="0.35">
      <c r="A36" s="255">
        <v>44686</v>
      </c>
      <c r="B36" s="39" t="s">
        <v>52</v>
      </c>
      <c r="C36" s="39" t="s">
        <v>60</v>
      </c>
      <c r="D36" s="34">
        <v>702</v>
      </c>
      <c r="E36" s="34">
        <v>628</v>
      </c>
      <c r="F36" s="71">
        <v>0.36575875486381321</v>
      </c>
      <c r="G36" s="71">
        <v>0.27642276422764228</v>
      </c>
      <c r="H36" s="34">
        <v>2210</v>
      </c>
      <c r="I36" s="34">
        <v>1966</v>
      </c>
      <c r="J36" s="34">
        <v>15184</v>
      </c>
      <c r="K36" s="34">
        <v>13602</v>
      </c>
      <c r="L36" s="40">
        <v>0.73</v>
      </c>
      <c r="M36" s="40">
        <v>0.11</v>
      </c>
      <c r="N36" s="40">
        <v>0.89</v>
      </c>
      <c r="O36" s="40">
        <v>0.77</v>
      </c>
      <c r="P36" s="40">
        <v>1</v>
      </c>
      <c r="Q36" s="40"/>
      <c r="R36" s="40"/>
      <c r="S36" s="35">
        <f t="shared" si="0"/>
        <v>44851</v>
      </c>
      <c r="T36" s="1" cm="1">
        <f t="array" ref="T36">SUMIFS(calls_off_OECS,period_OECS,"&gt;="&amp;S36,period_OECS,"&lt;"&amp;S37)</f>
        <v>2628</v>
      </c>
      <c r="U36" s="116">
        <f>SUMIFS(Table2[Calls Ans],Table2[Date],"&gt;="&amp;S36,Table2[Date],"&lt;"&amp;S37)</f>
        <v>2433</v>
      </c>
    </row>
    <row r="37" spans="1:24" x14ac:dyDescent="0.35">
      <c r="A37" s="254">
        <v>44687</v>
      </c>
      <c r="B37" s="9" t="s">
        <v>53</v>
      </c>
      <c r="C37" s="9" t="s">
        <v>60</v>
      </c>
      <c r="D37" s="1">
        <v>827</v>
      </c>
      <c r="E37" s="1">
        <v>709</v>
      </c>
      <c r="F37" s="72">
        <v>0.31061806656101426</v>
      </c>
      <c r="G37" s="72">
        <v>0.20578231292517007</v>
      </c>
      <c r="H37" s="1">
        <v>3037</v>
      </c>
      <c r="I37" s="1">
        <v>2675</v>
      </c>
      <c r="J37" s="1">
        <v>16011</v>
      </c>
      <c r="K37" s="1">
        <v>14311</v>
      </c>
      <c r="L37" s="18">
        <v>0.64</v>
      </c>
      <c r="M37" s="18">
        <v>0.14000000000000001</v>
      </c>
      <c r="N37" s="18">
        <v>0.86</v>
      </c>
      <c r="O37" s="18">
        <v>0.69</v>
      </c>
      <c r="P37" s="18">
        <v>1</v>
      </c>
      <c r="Q37" s="18"/>
      <c r="R37" s="18"/>
      <c r="S37" s="35">
        <f t="shared" si="0"/>
        <v>44858</v>
      </c>
      <c r="T37" s="1" cm="1">
        <f t="array" ref="T37">SUMIFS(calls_off_OECS,period_OECS,"&gt;="&amp;S37,period_OECS,"&lt;"&amp;S38)</f>
        <v>2692</v>
      </c>
      <c r="U37" s="116">
        <f>SUMIFS(Table2[Calls Ans],Table2[Date],"&gt;="&amp;S37,Table2[Date],"&lt;"&amp;S38)</f>
        <v>2516</v>
      </c>
    </row>
    <row r="38" spans="1:24" x14ac:dyDescent="0.35">
      <c r="A38" s="255">
        <v>44688</v>
      </c>
      <c r="B38" s="39" t="s">
        <v>54</v>
      </c>
      <c r="C38" s="39" t="s">
        <v>60</v>
      </c>
      <c r="D38" s="34">
        <v>306</v>
      </c>
      <c r="E38" s="34">
        <v>269</v>
      </c>
      <c r="F38" s="71">
        <v>0.33043478260869563</v>
      </c>
      <c r="G38" s="71">
        <v>0.22272727272727272</v>
      </c>
      <c r="H38" s="34">
        <v>3343</v>
      </c>
      <c r="I38" s="34">
        <v>2944</v>
      </c>
      <c r="J38" s="34">
        <v>16317</v>
      </c>
      <c r="K38" s="34">
        <v>14580</v>
      </c>
      <c r="L38" s="40">
        <v>0.66</v>
      </c>
      <c r="M38" s="40">
        <v>0.12</v>
      </c>
      <c r="N38" s="40">
        <v>0.88</v>
      </c>
      <c r="O38" s="40">
        <v>0.65</v>
      </c>
      <c r="P38" s="40">
        <v>1</v>
      </c>
      <c r="Q38" s="40"/>
      <c r="R38" s="40"/>
      <c r="S38" s="35">
        <f t="shared" si="0"/>
        <v>44865</v>
      </c>
      <c r="T38" s="1" cm="1">
        <f t="array" ref="T38">SUMIFS(calls_off_OECS,period_OECS,"&gt;="&amp;S38,period_OECS,"&lt;"&amp;S39)</f>
        <v>2955</v>
      </c>
      <c r="U38" s="116">
        <f>SUMIFS(Table2[Calls Ans],Table2[Date],"&gt;="&amp;S38,Table2[Date],"&lt;"&amp;S39)</f>
        <v>2763</v>
      </c>
    </row>
    <row r="39" spans="1:24" x14ac:dyDescent="0.35">
      <c r="A39" s="254">
        <v>44689</v>
      </c>
      <c r="B39" s="9" t="s">
        <v>48</v>
      </c>
      <c r="C39" s="9" t="s">
        <v>60</v>
      </c>
      <c r="D39" s="1">
        <v>0</v>
      </c>
      <c r="E39" s="1">
        <v>0</v>
      </c>
      <c r="F39" s="72">
        <v>0</v>
      </c>
      <c r="G39" s="72">
        <v>0</v>
      </c>
      <c r="H39" s="1">
        <v>0</v>
      </c>
      <c r="I39" s="1">
        <v>0</v>
      </c>
      <c r="J39" s="1">
        <v>0</v>
      </c>
      <c r="K39" s="1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/>
      <c r="R39" s="18"/>
      <c r="S39" s="35">
        <f t="shared" si="0"/>
        <v>44872</v>
      </c>
      <c r="T39" s="1" cm="1">
        <f t="array" ref="T39">SUMIFS(calls_off_OECS,period_OECS,"&gt;="&amp;S39,period_OECS,"&lt;"&amp;S40)</f>
        <v>3473</v>
      </c>
      <c r="U39" s="116">
        <f>SUMIFS(Table2[Calls Ans],Table2[Date],"&gt;="&amp;S39,Table2[Date],"&lt;"&amp;S40)</f>
        <v>3328</v>
      </c>
      <c r="W39">
        <f>(Table8[[#This Row],[Sum of Calls - Offered]]-T38)/T38</f>
        <v>0.17529610829103215</v>
      </c>
      <c r="X39">
        <f>(Table8[[#This Row],[Sum of Calls - Answered]]-U38)/U38</f>
        <v>0.20448787549764749</v>
      </c>
    </row>
    <row r="40" spans="1:24" x14ac:dyDescent="0.35">
      <c r="A40" s="255">
        <v>44690</v>
      </c>
      <c r="B40" s="39" t="s">
        <v>49</v>
      </c>
      <c r="C40" s="39" t="s">
        <v>60</v>
      </c>
      <c r="D40" s="34">
        <v>754</v>
      </c>
      <c r="E40" s="34">
        <v>689</v>
      </c>
      <c r="F40" s="71">
        <v>0</v>
      </c>
      <c r="G40" s="71">
        <v>0</v>
      </c>
      <c r="H40" s="34">
        <v>4097</v>
      </c>
      <c r="I40" s="34">
        <v>3633</v>
      </c>
      <c r="J40" s="34">
        <v>17071</v>
      </c>
      <c r="K40" s="34">
        <v>15269</v>
      </c>
      <c r="L40" s="40">
        <v>0.76</v>
      </c>
      <c r="M40" s="40">
        <v>0.09</v>
      </c>
      <c r="N40" s="40">
        <v>0.91</v>
      </c>
      <c r="O40" s="40">
        <v>0.82</v>
      </c>
      <c r="P40" s="40">
        <v>1</v>
      </c>
      <c r="Q40" s="40"/>
      <c r="R40" s="40"/>
      <c r="S40" s="35">
        <f t="shared" si="0"/>
        <v>44879</v>
      </c>
      <c r="T40" s="1" cm="1">
        <f t="array" ref="T40">SUMIFS(calls_off_OECS,period_OECS,"&gt;="&amp;S40,period_OECS,"&lt;"&amp;S41)</f>
        <v>3495</v>
      </c>
      <c r="U40" s="116">
        <f>SUMIFS(Table2[Calls Ans],Table2[Date],"&gt;="&amp;S40,Table2[Date],"&lt;"&amp;S41)</f>
        <v>3312</v>
      </c>
    </row>
    <row r="41" spans="1:24" x14ac:dyDescent="0.35">
      <c r="A41" s="254">
        <v>44691</v>
      </c>
      <c r="B41" s="9" t="s">
        <v>50</v>
      </c>
      <c r="C41" s="9" t="s">
        <v>60</v>
      </c>
      <c r="D41" s="1">
        <v>663</v>
      </c>
      <c r="E41" s="1">
        <v>615</v>
      </c>
      <c r="F41" s="72">
        <v>-0.18948655256723718</v>
      </c>
      <c r="G41" s="72">
        <v>-0.12889518413597734</v>
      </c>
      <c r="H41" s="1">
        <v>4760</v>
      </c>
      <c r="I41" s="1">
        <v>4248</v>
      </c>
      <c r="J41" s="1">
        <v>17734</v>
      </c>
      <c r="K41" s="1">
        <v>15884</v>
      </c>
      <c r="L41" s="18">
        <v>0.83</v>
      </c>
      <c r="M41" s="18">
        <v>7.0000000000000007E-2</v>
      </c>
      <c r="N41" s="18">
        <v>0.93</v>
      </c>
      <c r="O41" s="18">
        <v>0.6</v>
      </c>
      <c r="P41" s="18">
        <v>1</v>
      </c>
      <c r="Q41" s="18"/>
      <c r="R41" s="18"/>
      <c r="S41" s="35">
        <f t="shared" si="0"/>
        <v>44886</v>
      </c>
      <c r="T41" s="1" cm="1">
        <f t="array" ref="T41">SUMIFS(calls_off_OECS,period_OECS,"&gt;="&amp;S41,period_OECS,"&lt;"&amp;S42)</f>
        <v>4127</v>
      </c>
      <c r="U41" s="116" cm="1">
        <f t="array" ref="U41">SUMIFS(calls_ans_OECS, period_OECS,"&gt;="&amp;S41,period_OECS,"&lt;"&amp;S42)</f>
        <v>3930</v>
      </c>
    </row>
    <row r="42" spans="1:24" x14ac:dyDescent="0.35">
      <c r="A42" s="255">
        <v>44692</v>
      </c>
      <c r="B42" s="39" t="s">
        <v>51</v>
      </c>
      <c r="C42" s="39" t="s">
        <v>60</v>
      </c>
      <c r="D42" s="34">
        <v>545</v>
      </c>
      <c r="E42" s="34">
        <v>516</v>
      </c>
      <c r="F42" s="71">
        <v>-0.21014492753623187</v>
      </c>
      <c r="G42" s="71">
        <v>-0.18354430379746836</v>
      </c>
      <c r="H42" s="34">
        <v>5305</v>
      </c>
      <c r="I42" s="34">
        <v>4764</v>
      </c>
      <c r="J42" s="34">
        <v>18279</v>
      </c>
      <c r="K42" s="34">
        <v>16400</v>
      </c>
      <c r="L42" s="40">
        <v>0.76</v>
      </c>
      <c r="M42" s="40">
        <v>0.09</v>
      </c>
      <c r="N42" s="40">
        <v>0.91</v>
      </c>
      <c r="O42" s="40">
        <v>0.82</v>
      </c>
      <c r="P42" s="40">
        <v>1</v>
      </c>
      <c r="Q42" s="40"/>
      <c r="R42" s="40"/>
      <c r="S42" s="35">
        <f t="shared" si="0"/>
        <v>44893</v>
      </c>
      <c r="T42" s="1" cm="1">
        <f t="array" ref="T42">SUMIFS(calls_off_OECS,period_OECS,"&gt;="&amp;S42,period_OECS,"&lt;"&amp;S43)</f>
        <v>4539</v>
      </c>
      <c r="U42" s="116" cm="1">
        <f t="array" ref="U42">SUMIFS(calls_ans_OECS, period_OECS,"&gt;="&amp;S42,period_OECS,"&lt;"&amp;S43)</f>
        <v>4283</v>
      </c>
    </row>
    <row r="43" spans="1:24" x14ac:dyDescent="0.35">
      <c r="A43" s="254">
        <v>44693</v>
      </c>
      <c r="B43" s="9" t="s">
        <v>52</v>
      </c>
      <c r="C43" s="9" t="s">
        <v>60</v>
      </c>
      <c r="D43" s="1">
        <v>476</v>
      </c>
      <c r="E43" s="1">
        <v>454</v>
      </c>
      <c r="F43" s="72">
        <v>-0.32193732193732194</v>
      </c>
      <c r="G43" s="72">
        <v>-0.27707006369426751</v>
      </c>
      <c r="H43" s="1">
        <v>5781</v>
      </c>
      <c r="I43" s="1">
        <v>5218</v>
      </c>
      <c r="J43" s="1">
        <v>18755</v>
      </c>
      <c r="K43" s="1">
        <v>16854</v>
      </c>
      <c r="L43" s="18">
        <v>0.9</v>
      </c>
      <c r="M43" s="18">
        <v>0.05</v>
      </c>
      <c r="N43" s="18">
        <v>0.95</v>
      </c>
      <c r="O43" s="18">
        <v>0.45</v>
      </c>
      <c r="P43" s="18">
        <v>1</v>
      </c>
      <c r="Q43" s="18"/>
      <c r="R43" s="18"/>
      <c r="S43" s="35">
        <f t="shared" si="0"/>
        <v>44900</v>
      </c>
      <c r="T43" s="1" cm="1">
        <f t="array" ref="T43">SUMIFS(calls_off_OECS,period_OECS,"&gt;="&amp;S43,period_OECS,"&lt;"&amp;S44)</f>
        <v>3463</v>
      </c>
      <c r="U43" s="116" cm="1">
        <f t="array" ref="U43">SUMIFS(calls_ans_OECS, period_OECS,"&gt;="&amp;S43,period_OECS,"&lt;"&amp;S44)</f>
        <v>3304</v>
      </c>
    </row>
    <row r="44" spans="1:24" x14ac:dyDescent="0.35">
      <c r="A44" s="255">
        <v>44694</v>
      </c>
      <c r="B44" s="39" t="s">
        <v>53</v>
      </c>
      <c r="C44" s="39" t="s">
        <v>60</v>
      </c>
      <c r="D44" s="34">
        <v>569</v>
      </c>
      <c r="E44" s="34">
        <v>538</v>
      </c>
      <c r="F44" s="71">
        <v>-0.31197097944377267</v>
      </c>
      <c r="G44" s="71">
        <v>-0.24118476727785615</v>
      </c>
      <c r="H44" s="34">
        <v>6350</v>
      </c>
      <c r="I44" s="34">
        <v>5756</v>
      </c>
      <c r="J44" s="34">
        <v>19324</v>
      </c>
      <c r="K44" s="34">
        <v>17392</v>
      </c>
      <c r="L44" s="40">
        <v>0.87</v>
      </c>
      <c r="M44" s="40">
        <v>0.05</v>
      </c>
      <c r="N44" s="40">
        <v>0.95</v>
      </c>
      <c r="O44" s="40">
        <v>0.62</v>
      </c>
      <c r="P44" s="40">
        <v>1</v>
      </c>
      <c r="Q44" s="40"/>
      <c r="R44" s="40"/>
      <c r="S44" s="35">
        <f t="shared" si="0"/>
        <v>44907</v>
      </c>
      <c r="T44" s="1" cm="1">
        <f t="array" ref="T44">SUMIFS(calls_off_OECS,period_OECS,"&gt;="&amp;S44,period_OECS,"&lt;"&amp;S45)</f>
        <v>3542</v>
      </c>
      <c r="U44" s="116" cm="1">
        <f t="array" ref="U44">SUMIFS(calls_ans_OECS, period_OECS,"&gt;="&amp;S44,period_OECS,"&lt;"&amp;S45)</f>
        <v>3302</v>
      </c>
    </row>
    <row r="45" spans="1:24" x14ac:dyDescent="0.35">
      <c r="A45" s="254">
        <v>44695</v>
      </c>
      <c r="B45" s="9" t="s">
        <v>54</v>
      </c>
      <c r="C45" s="9" t="s">
        <v>60</v>
      </c>
      <c r="D45" s="1">
        <v>161</v>
      </c>
      <c r="E45" s="1">
        <v>158</v>
      </c>
      <c r="F45" s="72">
        <v>-0.47385620915032678</v>
      </c>
      <c r="G45" s="72">
        <v>-0.41263940520446096</v>
      </c>
      <c r="H45" s="1">
        <v>6511</v>
      </c>
      <c r="I45" s="1">
        <v>5914</v>
      </c>
      <c r="J45" s="1">
        <v>19485</v>
      </c>
      <c r="K45" s="1">
        <v>17550</v>
      </c>
      <c r="L45" s="18">
        <v>0.92</v>
      </c>
      <c r="M45" s="18">
        <v>0.02</v>
      </c>
      <c r="N45" s="18">
        <v>0.98</v>
      </c>
      <c r="O45" s="18">
        <v>0.53</v>
      </c>
      <c r="P45" s="18">
        <v>1</v>
      </c>
      <c r="Q45" s="18"/>
      <c r="R45" s="18"/>
      <c r="S45" s="35">
        <f t="shared" si="0"/>
        <v>44914</v>
      </c>
      <c r="T45" s="1" cm="1">
        <f t="array" ref="T45">SUMIFS(calls_off_OECS,period_OECS,"&gt;="&amp;S45,period_OECS,"&lt;"&amp;S46)</f>
        <v>3933</v>
      </c>
      <c r="U45" s="116" cm="1">
        <f t="array" ref="U45">SUMIFS(calls_ans_OECS, period_OECS,"&gt;="&amp;S45,period_OECS,"&lt;"&amp;S46)</f>
        <v>3662</v>
      </c>
    </row>
    <row r="46" spans="1:24" x14ac:dyDescent="0.35">
      <c r="A46" s="255">
        <v>44696</v>
      </c>
      <c r="B46" s="39" t="s">
        <v>48</v>
      </c>
      <c r="C46" s="39" t="s">
        <v>60</v>
      </c>
      <c r="D46" s="34">
        <v>0</v>
      </c>
      <c r="E46" s="34">
        <v>0</v>
      </c>
      <c r="F46" s="71">
        <v>0</v>
      </c>
      <c r="G46" s="71">
        <v>0</v>
      </c>
      <c r="H46" s="34">
        <v>0</v>
      </c>
      <c r="I46" s="34">
        <v>0</v>
      </c>
      <c r="J46" s="34">
        <v>0</v>
      </c>
      <c r="K46" s="34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/>
      <c r="R46" s="40"/>
      <c r="S46" s="35">
        <f t="shared" si="0"/>
        <v>44921</v>
      </c>
      <c r="T46" s="1" cm="1">
        <f t="array" ref="T46">SUMIFS(calls_off_OECS,period_OECS,"&gt;="&amp;S46,period_OECS,"&lt;"&amp;S47)</f>
        <v>1877</v>
      </c>
      <c r="U46" s="116" cm="1">
        <f t="array" ref="U46">SUMIFS(calls_ans_OECS, period_OECS,"&gt;="&amp;S46,period_OECS,"&lt;"&amp;S47)</f>
        <v>1822</v>
      </c>
    </row>
    <row r="47" spans="1:24" x14ac:dyDescent="0.35">
      <c r="A47" s="254">
        <v>44697</v>
      </c>
      <c r="B47" s="9" t="s">
        <v>49</v>
      </c>
      <c r="C47" s="9" t="s">
        <v>60</v>
      </c>
      <c r="D47" s="1">
        <v>599</v>
      </c>
      <c r="E47" s="1">
        <v>577</v>
      </c>
      <c r="F47" s="72">
        <v>-0.20557029177718833</v>
      </c>
      <c r="G47" s="72">
        <v>-0.1625544267053701</v>
      </c>
      <c r="H47" s="1">
        <v>7110</v>
      </c>
      <c r="I47" s="1">
        <v>6491</v>
      </c>
      <c r="J47" s="1">
        <v>20084</v>
      </c>
      <c r="K47" s="1">
        <v>18127</v>
      </c>
      <c r="L47" s="18">
        <v>0.83</v>
      </c>
      <c r="M47" s="18">
        <v>0.04</v>
      </c>
      <c r="N47" s="18">
        <v>0.96</v>
      </c>
      <c r="O47" s="18">
        <v>0.66</v>
      </c>
      <c r="P47" s="18">
        <v>1</v>
      </c>
      <c r="Q47" s="18"/>
      <c r="R47" s="18"/>
      <c r="S47" s="35">
        <f t="shared" si="0"/>
        <v>44928</v>
      </c>
      <c r="T47" s="1" cm="1">
        <f t="array" ref="T47">SUMIFS(calls_off_OECS,period_OECS,"&gt;="&amp;S47,period_OECS,"&lt;"&amp;S48)</f>
        <v>2079</v>
      </c>
      <c r="U47" s="116" cm="1">
        <f t="array" ref="U47">SUMIFS(calls_ans_OECS, period_OECS,"&gt;="&amp;S47,period_OECS,"&lt;"&amp;S48)</f>
        <v>2022</v>
      </c>
    </row>
    <row r="48" spans="1:24" x14ac:dyDescent="0.35">
      <c r="A48" s="255">
        <v>44698</v>
      </c>
      <c r="B48" s="39" t="s">
        <v>50</v>
      </c>
      <c r="C48" s="39" t="s">
        <v>60</v>
      </c>
      <c r="D48" s="34">
        <v>621</v>
      </c>
      <c r="E48" s="34">
        <v>591</v>
      </c>
      <c r="F48" s="71">
        <v>-6.3348416289592757E-2</v>
      </c>
      <c r="G48" s="71">
        <v>-3.9024390243902439E-2</v>
      </c>
      <c r="H48" s="34">
        <v>7731</v>
      </c>
      <c r="I48" s="34">
        <v>7082</v>
      </c>
      <c r="J48" s="34">
        <v>20705</v>
      </c>
      <c r="K48" s="34">
        <v>18718</v>
      </c>
      <c r="L48" s="40">
        <v>0.81</v>
      </c>
      <c r="M48" s="40">
        <v>0.05</v>
      </c>
      <c r="N48" s="40">
        <v>0.95</v>
      </c>
      <c r="O48" s="40">
        <v>0.69</v>
      </c>
      <c r="P48" s="40">
        <v>1</v>
      </c>
      <c r="Q48" s="40"/>
      <c r="R48" s="40"/>
      <c r="S48" s="35">
        <f t="shared" si="0"/>
        <v>44935</v>
      </c>
      <c r="T48" s="1" cm="1">
        <f t="array" ref="T48">SUMIFS(calls_off_OECS,period_OECS,"&gt;="&amp;S48,period_OECS,"&lt;"&amp;S49)</f>
        <v>2627</v>
      </c>
      <c r="U48" s="116" cm="1">
        <f t="array" ref="U48">SUMIFS(calls_ans_OECS, period_OECS,"&gt;="&amp;S48,period_OECS,"&lt;"&amp;S49)</f>
        <v>2504</v>
      </c>
    </row>
    <row r="49" spans="1:21" x14ac:dyDescent="0.35">
      <c r="A49" s="254">
        <v>44699</v>
      </c>
      <c r="B49" s="9" t="s">
        <v>51</v>
      </c>
      <c r="C49" s="9" t="s">
        <v>60</v>
      </c>
      <c r="D49" s="1">
        <v>578</v>
      </c>
      <c r="E49" s="1">
        <v>543</v>
      </c>
      <c r="F49" s="72">
        <v>6.0550458715596334E-2</v>
      </c>
      <c r="G49" s="72">
        <v>5.232558139534884E-2</v>
      </c>
      <c r="H49" s="1">
        <v>8309</v>
      </c>
      <c r="I49" s="1">
        <v>7625</v>
      </c>
      <c r="J49" s="1">
        <v>21283</v>
      </c>
      <c r="K49" s="1">
        <v>19261</v>
      </c>
      <c r="L49" s="18">
        <v>0.85</v>
      </c>
      <c r="M49" s="18">
        <v>0.05</v>
      </c>
      <c r="N49" s="18">
        <v>0.95</v>
      </c>
      <c r="O49" s="18">
        <v>0.54</v>
      </c>
      <c r="P49" s="18">
        <v>1</v>
      </c>
      <c r="Q49" s="18"/>
      <c r="R49" s="18"/>
      <c r="S49" s="35">
        <f t="shared" si="0"/>
        <v>44942</v>
      </c>
      <c r="T49" s="1" cm="1">
        <f t="array" ref="T49">SUMIFS(calls_off_OECS,period_OECS,"&gt;="&amp;S49,period_OECS,"&lt;"&amp;S50)</f>
        <v>2163</v>
      </c>
      <c r="U49" s="116" cm="1">
        <f t="array" ref="U49">SUMIFS(calls_ans_OECS, period_OECS,"&gt;="&amp;S49,period_OECS,"&lt;"&amp;S50)</f>
        <v>2077</v>
      </c>
    </row>
    <row r="50" spans="1:21" x14ac:dyDescent="0.35">
      <c r="A50" s="255">
        <v>44700</v>
      </c>
      <c r="B50" s="39" t="s">
        <v>52</v>
      </c>
      <c r="C50" s="39" t="s">
        <v>60</v>
      </c>
      <c r="D50" s="34">
        <v>513</v>
      </c>
      <c r="E50" s="34">
        <v>484</v>
      </c>
      <c r="F50" s="71">
        <v>7.7731092436974791E-2</v>
      </c>
      <c r="G50" s="71">
        <v>6.6079295154185022E-2</v>
      </c>
      <c r="H50" s="34">
        <v>8822</v>
      </c>
      <c r="I50" s="34">
        <v>8109</v>
      </c>
      <c r="J50" s="34">
        <v>21796</v>
      </c>
      <c r="K50" s="34">
        <v>19745</v>
      </c>
      <c r="L50" s="40">
        <v>0.86</v>
      </c>
      <c r="M50" s="40">
        <v>0.06</v>
      </c>
      <c r="N50" s="40">
        <v>0.94</v>
      </c>
      <c r="O50" s="40">
        <v>0.56999999999999995</v>
      </c>
      <c r="P50" s="40">
        <v>1</v>
      </c>
      <c r="Q50" s="40"/>
      <c r="R50" s="40"/>
      <c r="S50" s="35">
        <f t="shared" si="0"/>
        <v>44949</v>
      </c>
      <c r="T50" s="1" cm="1">
        <f t="array" ref="T50">SUMIFS(calls_off_OECS,period_OECS,"&gt;="&amp;S50,period_OECS,"&lt;"&amp;S51)</f>
        <v>2291</v>
      </c>
      <c r="U50" s="116" cm="1">
        <f t="array" ref="U50">SUMIFS(calls_ans_OECS, period_OECS,"&gt;="&amp;S50,period_OECS,"&lt;"&amp;S51)</f>
        <v>2198</v>
      </c>
    </row>
    <row r="51" spans="1:21" x14ac:dyDescent="0.35">
      <c r="A51" s="254">
        <v>44701</v>
      </c>
      <c r="B51" s="9" t="s">
        <v>53</v>
      </c>
      <c r="C51" s="9" t="s">
        <v>60</v>
      </c>
      <c r="D51" s="1">
        <v>495</v>
      </c>
      <c r="E51" s="1">
        <v>450</v>
      </c>
      <c r="F51" s="72">
        <v>-0.13005272407732865</v>
      </c>
      <c r="G51" s="72">
        <v>-0.16356877323420074</v>
      </c>
      <c r="H51" s="1">
        <v>9317</v>
      </c>
      <c r="I51" s="1">
        <v>8559</v>
      </c>
      <c r="J51" s="1">
        <v>22291</v>
      </c>
      <c r="K51" s="1">
        <v>20195</v>
      </c>
      <c r="L51" s="18">
        <v>0.77</v>
      </c>
      <c r="M51" s="18">
        <v>0.09</v>
      </c>
      <c r="N51" s="18">
        <v>0.91</v>
      </c>
      <c r="O51" s="18">
        <v>0.55000000000000004</v>
      </c>
      <c r="P51" s="18">
        <v>1</v>
      </c>
      <c r="Q51" s="18"/>
      <c r="R51" s="18"/>
      <c r="S51" s="35">
        <f t="shared" si="0"/>
        <v>44956</v>
      </c>
      <c r="T51" s="1" cm="1">
        <f t="array" ref="T51">SUMIFS(calls_off_OECS,period_OECS,"&gt;="&amp;S51,period_OECS,"&lt;"&amp;S52)</f>
        <v>2698</v>
      </c>
      <c r="U51" s="116" cm="1">
        <f t="array" ref="U51">SUMIFS(calls_ans_OECS, period_OECS,"&gt;="&amp;S51,period_OECS,"&lt;"&amp;S52)</f>
        <v>2549</v>
      </c>
    </row>
    <row r="52" spans="1:21" x14ac:dyDescent="0.35">
      <c r="A52" s="255">
        <v>44702</v>
      </c>
      <c r="B52" s="39" t="s">
        <v>54</v>
      </c>
      <c r="C52" s="39" t="s">
        <v>60</v>
      </c>
      <c r="D52" s="34">
        <v>169</v>
      </c>
      <c r="E52" s="34">
        <v>162</v>
      </c>
      <c r="F52" s="71">
        <v>4.9689440993788817E-2</v>
      </c>
      <c r="G52" s="71">
        <v>2.5316455696202531E-2</v>
      </c>
      <c r="H52" s="34">
        <v>9486</v>
      </c>
      <c r="I52" s="34">
        <v>8721</v>
      </c>
      <c r="J52" s="34">
        <v>22460</v>
      </c>
      <c r="K52" s="34">
        <v>20357</v>
      </c>
      <c r="L52" s="40">
        <v>0.87</v>
      </c>
      <c r="M52" s="40">
        <v>0.04</v>
      </c>
      <c r="N52" s="40">
        <v>0.96</v>
      </c>
      <c r="O52" s="40">
        <v>0.66</v>
      </c>
      <c r="P52" s="40">
        <v>1</v>
      </c>
      <c r="Q52" s="40"/>
      <c r="R52" s="40"/>
      <c r="S52" s="35">
        <f t="shared" si="0"/>
        <v>44963</v>
      </c>
      <c r="T52" s="1" cm="1">
        <f t="array" ref="T52">SUMIFS(calls_off_OECS,period_OECS,"&gt;="&amp;S52,period_OECS,"&lt;"&amp;S53)</f>
        <v>2253</v>
      </c>
      <c r="U52" s="116" cm="1">
        <f t="array" ref="U52">SUMIFS(calls_ans_OECS, period_OECS,"&gt;="&amp;S52,period_OECS,"&lt;"&amp;S53)</f>
        <v>2167</v>
      </c>
    </row>
    <row r="53" spans="1:21" x14ac:dyDescent="0.35">
      <c r="A53" s="254">
        <v>44703</v>
      </c>
      <c r="B53" s="9" t="s">
        <v>48</v>
      </c>
      <c r="C53" s="9" t="s">
        <v>60</v>
      </c>
      <c r="D53" s="1">
        <v>0</v>
      </c>
      <c r="E53" s="1">
        <v>0</v>
      </c>
      <c r="F53" s="72">
        <v>0</v>
      </c>
      <c r="G53" s="72">
        <v>0</v>
      </c>
      <c r="H53" s="1">
        <v>0</v>
      </c>
      <c r="I53" s="1">
        <v>0</v>
      </c>
      <c r="J53" s="1">
        <v>0</v>
      </c>
      <c r="K53" s="1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/>
      <c r="R53" s="18"/>
      <c r="S53" s="35">
        <f t="shared" si="0"/>
        <v>44970</v>
      </c>
      <c r="T53" s="1" cm="1">
        <f t="array" ref="T53">SUMIFS(calls_off_OECS,period_OECS,"&gt;="&amp;S53,period_OECS,"&lt;"&amp;S54)</f>
        <v>1975</v>
      </c>
      <c r="U53" s="116" cm="1">
        <f t="array" ref="U53">SUMIFS(calls_ans_OECS, period_OECS,"&gt;="&amp;S53,period_OECS,"&lt;"&amp;S54)</f>
        <v>1905</v>
      </c>
    </row>
    <row r="54" spans="1:21" x14ac:dyDescent="0.35">
      <c r="A54" s="255">
        <v>44704</v>
      </c>
      <c r="B54" s="39" t="s">
        <v>49</v>
      </c>
      <c r="C54" s="39" t="s">
        <v>60</v>
      </c>
      <c r="D54" s="34">
        <v>577</v>
      </c>
      <c r="E54" s="34">
        <v>527</v>
      </c>
      <c r="F54" s="71">
        <v>-3.6727879799666109E-2</v>
      </c>
      <c r="G54" s="71">
        <v>-8.6655112651646451E-2</v>
      </c>
      <c r="H54" s="34">
        <v>10063</v>
      </c>
      <c r="I54" s="34">
        <v>9248</v>
      </c>
      <c r="J54" s="34">
        <v>23037</v>
      </c>
      <c r="K54" s="34">
        <v>20884</v>
      </c>
      <c r="L54" s="40">
        <v>0.76</v>
      </c>
      <c r="M54" s="40">
        <v>0.09</v>
      </c>
      <c r="N54" s="40">
        <v>0.91</v>
      </c>
      <c r="O54" s="40">
        <v>0.54</v>
      </c>
      <c r="P54" s="40">
        <v>1</v>
      </c>
      <c r="Q54" s="40"/>
      <c r="R54" s="40"/>
      <c r="S54" s="35">
        <f t="shared" si="0"/>
        <v>44977</v>
      </c>
      <c r="T54" s="1" cm="1">
        <f t="array" ref="T54">SUMIFS(calls_off_OECS,period_OECS,"&gt;="&amp;S54,period_OECS,"&lt;"&amp;S55)</f>
        <v>2125</v>
      </c>
      <c r="U54" s="116" cm="1">
        <f t="array" ref="U54">SUMIFS(calls_ans_OECS, period_OECS,"&gt;="&amp;S54,period_OECS,"&lt;"&amp;S55)</f>
        <v>2052</v>
      </c>
    </row>
    <row r="55" spans="1:21" x14ac:dyDescent="0.35">
      <c r="A55" s="254">
        <v>44705</v>
      </c>
      <c r="B55" s="9" t="s">
        <v>50</v>
      </c>
      <c r="C55" s="9" t="s">
        <v>60</v>
      </c>
      <c r="D55" s="1">
        <v>587</v>
      </c>
      <c r="E55" s="1">
        <v>559</v>
      </c>
      <c r="F55" s="72">
        <v>-5.4750402576489533E-2</v>
      </c>
      <c r="G55" s="72">
        <v>-5.4145516074450083E-2</v>
      </c>
      <c r="H55" s="1">
        <v>10650</v>
      </c>
      <c r="I55" s="1">
        <v>9807</v>
      </c>
      <c r="J55" s="1">
        <v>23624</v>
      </c>
      <c r="K55" s="1">
        <v>21443</v>
      </c>
      <c r="L55" s="18">
        <v>0.84</v>
      </c>
      <c r="M55" s="18">
        <v>0.05</v>
      </c>
      <c r="N55" s="18">
        <v>0.95</v>
      </c>
      <c r="O55" s="18">
        <v>0.54</v>
      </c>
      <c r="P55" s="18">
        <v>1</v>
      </c>
      <c r="Q55" s="18"/>
      <c r="R55" s="18"/>
      <c r="S55" s="35">
        <f t="shared" si="0"/>
        <v>44984</v>
      </c>
      <c r="T55" s="1" cm="1">
        <f t="array" ref="T55">SUMIFS(calls_off_OECS,period_OECS,"&gt;="&amp;S55,period_OECS,"&lt;"&amp;S56)</f>
        <v>2489</v>
      </c>
      <c r="U55" s="116" cm="1">
        <f t="array" ref="U55">SUMIFS(calls_ans_OECS, period_OECS,"&gt;="&amp;S55,period_OECS,"&lt;"&amp;S56)</f>
        <v>2368</v>
      </c>
    </row>
    <row r="56" spans="1:21" x14ac:dyDescent="0.35">
      <c r="A56" s="255">
        <v>44706</v>
      </c>
      <c r="B56" s="39" t="s">
        <v>51</v>
      </c>
      <c r="C56" s="39" t="s">
        <v>60</v>
      </c>
      <c r="D56" s="34">
        <v>564</v>
      </c>
      <c r="E56" s="34">
        <v>510</v>
      </c>
      <c r="F56" s="71">
        <v>-2.4221453287197232E-2</v>
      </c>
      <c r="G56" s="71">
        <v>-6.0773480662983423E-2</v>
      </c>
      <c r="H56" s="34">
        <v>11214</v>
      </c>
      <c r="I56" s="34">
        <v>10317</v>
      </c>
      <c r="J56" s="34">
        <v>24188</v>
      </c>
      <c r="K56" s="34">
        <v>21953</v>
      </c>
      <c r="L56" s="40">
        <v>0.75</v>
      </c>
      <c r="M56" s="40">
        <v>0.1</v>
      </c>
      <c r="N56" s="40">
        <v>0.9</v>
      </c>
      <c r="O56" s="40">
        <v>0.61</v>
      </c>
      <c r="P56" s="40">
        <v>1</v>
      </c>
      <c r="Q56" s="40"/>
      <c r="R56" s="40"/>
      <c r="S56" s="35">
        <f t="shared" si="0"/>
        <v>44991</v>
      </c>
      <c r="T56" s="1" cm="1">
        <f t="array" ref="T56">SUMIFS(calls_off_OECS,period_OECS,"&gt;="&amp;S56,period_OECS,"&lt;"&amp;S57)</f>
        <v>2340</v>
      </c>
      <c r="U56" s="116" cm="1">
        <f t="array" ref="U56">SUMIFS(calls_ans_OECS, period_OECS,"&gt;="&amp;S56,period_OECS,"&lt;"&amp;S57)</f>
        <v>2240</v>
      </c>
    </row>
    <row r="57" spans="1:21" x14ac:dyDescent="0.35">
      <c r="A57" s="254">
        <v>44707</v>
      </c>
      <c r="B57" s="9" t="s">
        <v>52</v>
      </c>
      <c r="C57" s="9" t="s">
        <v>60</v>
      </c>
      <c r="D57" s="1">
        <v>480</v>
      </c>
      <c r="E57" s="1">
        <v>470</v>
      </c>
      <c r="F57" s="72">
        <v>-6.4327485380116955E-2</v>
      </c>
      <c r="G57" s="72">
        <v>-2.8925619834710745E-2</v>
      </c>
      <c r="H57" s="1">
        <v>11694</v>
      </c>
      <c r="I57" s="1">
        <v>10787</v>
      </c>
      <c r="J57" s="1">
        <v>24668</v>
      </c>
      <c r="K57" s="1">
        <v>22423</v>
      </c>
      <c r="L57" s="18">
        <v>0.8</v>
      </c>
      <c r="M57" s="18">
        <v>0.02</v>
      </c>
      <c r="N57" s="18">
        <v>0.98</v>
      </c>
      <c r="O57" s="18">
        <v>0.54</v>
      </c>
      <c r="P57" s="18">
        <v>1</v>
      </c>
      <c r="Q57" s="18"/>
      <c r="R57" s="18"/>
      <c r="S57" s="35">
        <f t="shared" si="0"/>
        <v>44998</v>
      </c>
      <c r="T57" s="1" cm="1">
        <f t="array" ref="T57">SUMIFS(calls_off_OECS,period_OECS,"&gt;="&amp;S57,period_OECS,"&lt;"&amp;S58)</f>
        <v>1915</v>
      </c>
      <c r="U57" s="116" cm="1">
        <f t="array" ref="U57">SUMIFS(calls_ans_OECS, period_OECS,"&gt;="&amp;S57,period_OECS,"&lt;"&amp;S58)</f>
        <v>1826</v>
      </c>
    </row>
    <row r="58" spans="1:21" x14ac:dyDescent="0.35">
      <c r="A58" s="255">
        <v>44708</v>
      </c>
      <c r="B58" s="39" t="s">
        <v>53</v>
      </c>
      <c r="C58" s="39" t="s">
        <v>60</v>
      </c>
      <c r="D58" s="34">
        <v>488</v>
      </c>
      <c r="E58" s="34">
        <v>465</v>
      </c>
      <c r="F58" s="71">
        <v>-1.4141414141414142E-2</v>
      </c>
      <c r="G58" s="71">
        <v>3.3333333333333333E-2</v>
      </c>
      <c r="H58" s="34">
        <v>12182</v>
      </c>
      <c r="I58" s="34">
        <v>11252</v>
      </c>
      <c r="J58" s="34">
        <v>25156</v>
      </c>
      <c r="K58" s="34">
        <v>22888</v>
      </c>
      <c r="L58" s="40">
        <v>0.93</v>
      </c>
      <c r="M58" s="40">
        <v>0.05</v>
      </c>
      <c r="N58" s="40">
        <v>0.95</v>
      </c>
      <c r="O58" s="40">
        <v>0.43</v>
      </c>
      <c r="P58" s="40">
        <v>1</v>
      </c>
      <c r="Q58" s="40"/>
      <c r="R58" s="40"/>
      <c r="S58" s="35">
        <f t="shared" si="0"/>
        <v>45005</v>
      </c>
      <c r="T58" s="1" cm="1">
        <f t="array" ref="T58">SUMIFS(calls_off_OECS,period_OECS,"&gt;="&amp;S58,period_OECS,"&lt;"&amp;S59)</f>
        <v>2387</v>
      </c>
      <c r="U58" s="116" cm="1">
        <f t="array" ref="U58">SUMIFS(calls_ans_OECS, period_OECS,"&gt;="&amp;S58,period_OECS,"&lt;"&amp;S59)</f>
        <v>2273</v>
      </c>
    </row>
    <row r="59" spans="1:21" x14ac:dyDescent="0.35">
      <c r="A59" s="254">
        <v>44709</v>
      </c>
      <c r="B59" s="9" t="s">
        <v>54</v>
      </c>
      <c r="C59" s="9" t="s">
        <v>60</v>
      </c>
      <c r="D59" s="1">
        <v>147</v>
      </c>
      <c r="E59" s="1">
        <v>142</v>
      </c>
      <c r="F59" s="72">
        <v>-0.13017751479289941</v>
      </c>
      <c r="G59" s="72">
        <v>-0.12345679012345678</v>
      </c>
      <c r="H59" s="1">
        <v>12329</v>
      </c>
      <c r="I59" s="1">
        <v>11394</v>
      </c>
      <c r="J59" s="1">
        <v>25303</v>
      </c>
      <c r="K59" s="1">
        <v>23030</v>
      </c>
      <c r="L59" s="18">
        <v>0.92</v>
      </c>
      <c r="M59" s="18">
        <v>0.03</v>
      </c>
      <c r="N59" s="18">
        <v>0.97</v>
      </c>
      <c r="O59" s="18">
        <v>0.43</v>
      </c>
      <c r="P59" s="18">
        <v>1</v>
      </c>
      <c r="Q59" s="18"/>
      <c r="R59" s="18"/>
      <c r="S59" s="35">
        <f t="shared" si="0"/>
        <v>45012</v>
      </c>
      <c r="T59" s="1" cm="1">
        <f t="array" ref="T59">SUMIFS(calls_off_OECS,period_OECS,"&gt;="&amp;S59,period_OECS,"&lt;"&amp;S60)</f>
        <v>2324</v>
      </c>
      <c r="U59" s="116" cm="1">
        <f t="array" ref="U59">SUMIFS(calls_ans_OECS, period_OECS,"&gt;="&amp;S59,period_OECS,"&lt;"&amp;S60)</f>
        <v>2206</v>
      </c>
    </row>
    <row r="60" spans="1:21" x14ac:dyDescent="0.35">
      <c r="A60" s="255">
        <v>44710</v>
      </c>
      <c r="B60" s="39" t="s">
        <v>48</v>
      </c>
      <c r="C60" s="39" t="s">
        <v>60</v>
      </c>
      <c r="D60" s="34">
        <v>0</v>
      </c>
      <c r="E60" s="34">
        <v>0</v>
      </c>
      <c r="F60" s="71">
        <v>0</v>
      </c>
      <c r="G60" s="71">
        <v>0</v>
      </c>
      <c r="H60" s="34">
        <v>0</v>
      </c>
      <c r="I60" s="34">
        <v>0</v>
      </c>
      <c r="J60" s="34">
        <v>0</v>
      </c>
      <c r="K60" s="34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/>
      <c r="R60" s="40"/>
      <c r="S60" s="35">
        <f t="shared" si="0"/>
        <v>45019</v>
      </c>
      <c r="T60" s="1" cm="1">
        <f t="array" ref="T60">SUMIFS(calls_off_OECS,period_OECS,"&gt;="&amp;S60,period_OECS,"&lt;"&amp;S61)</f>
        <v>0</v>
      </c>
      <c r="U60" s="116">
        <f>SUMIFS(E54:E161,A55:A162,"&gt;="&amp;S60,A54:A161,"&lt;"&amp;S61)</f>
        <v>0</v>
      </c>
    </row>
    <row r="61" spans="1:21" x14ac:dyDescent="0.35">
      <c r="A61" s="254">
        <v>44711</v>
      </c>
      <c r="B61" s="9" t="s">
        <v>49</v>
      </c>
      <c r="C61" s="9" t="s">
        <v>60</v>
      </c>
      <c r="D61" s="1">
        <v>514</v>
      </c>
      <c r="E61" s="1">
        <v>480</v>
      </c>
      <c r="F61" s="72">
        <v>-0.10918544194107452</v>
      </c>
      <c r="G61" s="72">
        <v>-8.9184060721062622E-2</v>
      </c>
      <c r="H61" s="1">
        <v>12843</v>
      </c>
      <c r="I61" s="1">
        <v>11874</v>
      </c>
      <c r="J61" s="1">
        <v>25817</v>
      </c>
      <c r="K61" s="1">
        <v>23510</v>
      </c>
      <c r="L61" s="18">
        <v>0.87</v>
      </c>
      <c r="M61" s="18">
        <v>7.0000000000000007E-2</v>
      </c>
      <c r="N61" s="18">
        <v>0.93</v>
      </c>
      <c r="O61" s="18">
        <v>0.56999999999999995</v>
      </c>
      <c r="P61" s="18">
        <v>1</v>
      </c>
      <c r="Q61" s="18"/>
      <c r="R61" s="18"/>
    </row>
    <row r="62" spans="1:21" x14ac:dyDescent="0.35">
      <c r="A62" s="255">
        <v>44712</v>
      </c>
      <c r="B62" s="39" t="s">
        <v>50</v>
      </c>
      <c r="C62" s="39" t="s">
        <v>60</v>
      </c>
      <c r="D62" s="34">
        <v>601</v>
      </c>
      <c r="E62" s="34">
        <v>549</v>
      </c>
      <c r="F62" s="71">
        <v>2.385008517887564E-2</v>
      </c>
      <c r="G62" s="71">
        <v>-1.7889087656529516E-2</v>
      </c>
      <c r="H62" s="34">
        <v>13444</v>
      </c>
      <c r="I62" s="34">
        <v>12423</v>
      </c>
      <c r="J62" s="34">
        <v>26418</v>
      </c>
      <c r="K62" s="34">
        <v>24059</v>
      </c>
      <c r="L62" s="40">
        <v>0.77</v>
      </c>
      <c r="M62" s="40">
        <v>0.09</v>
      </c>
      <c r="N62" s="40">
        <v>0.91</v>
      </c>
      <c r="O62" s="40">
        <v>0.66</v>
      </c>
      <c r="P62" s="40">
        <v>1</v>
      </c>
      <c r="Q62" s="40"/>
      <c r="R62" s="40"/>
    </row>
    <row r="63" spans="1:21" x14ac:dyDescent="0.35">
      <c r="A63" s="254">
        <v>44713</v>
      </c>
      <c r="B63" s="9" t="s">
        <v>51</v>
      </c>
      <c r="C63" s="9" t="s">
        <v>60</v>
      </c>
      <c r="D63" s="1">
        <v>588</v>
      </c>
      <c r="E63" s="1">
        <v>552</v>
      </c>
      <c r="F63" s="72">
        <v>4.2553191489361701E-2</v>
      </c>
      <c r="G63" s="72">
        <v>8.2352941176470587E-2</v>
      </c>
      <c r="H63" s="1">
        <v>588</v>
      </c>
      <c r="I63" s="1">
        <v>552</v>
      </c>
      <c r="J63" s="1">
        <v>27006</v>
      </c>
      <c r="K63" s="1">
        <v>24611</v>
      </c>
      <c r="L63" s="18">
        <v>0.8</v>
      </c>
      <c r="M63" s="18">
        <v>0.06</v>
      </c>
      <c r="N63" s="18">
        <v>0.94</v>
      </c>
      <c r="O63" s="18">
        <v>0.64</v>
      </c>
      <c r="P63" s="18">
        <v>1</v>
      </c>
      <c r="Q63" s="18"/>
      <c r="R63" s="18"/>
    </row>
    <row r="64" spans="1:21" x14ac:dyDescent="0.35">
      <c r="A64" s="255">
        <v>44714</v>
      </c>
      <c r="B64" s="39" t="s">
        <v>52</v>
      </c>
      <c r="C64" s="39" t="s">
        <v>60</v>
      </c>
      <c r="D64" s="34">
        <v>493</v>
      </c>
      <c r="E64" s="34">
        <v>464</v>
      </c>
      <c r="F64" s="71">
        <v>2.7083333333333334E-2</v>
      </c>
      <c r="G64" s="71">
        <v>-1.276595744680851E-2</v>
      </c>
      <c r="H64" s="34">
        <v>1081</v>
      </c>
      <c r="I64" s="34">
        <v>1016</v>
      </c>
      <c r="J64" s="34">
        <v>27499</v>
      </c>
      <c r="K64" s="34">
        <v>25075</v>
      </c>
      <c r="L64" s="40">
        <v>0.86</v>
      </c>
      <c r="M64" s="40">
        <v>0.06</v>
      </c>
      <c r="N64" s="40">
        <v>0.94</v>
      </c>
      <c r="O64" s="40">
        <v>0.66</v>
      </c>
      <c r="P64" s="40">
        <v>1</v>
      </c>
      <c r="Q64" s="40"/>
      <c r="R64" s="40"/>
    </row>
    <row r="65" spans="1:18" x14ac:dyDescent="0.35">
      <c r="A65" s="254">
        <v>44715</v>
      </c>
      <c r="B65" s="9" t="s">
        <v>53</v>
      </c>
      <c r="C65" s="9" t="s">
        <v>60</v>
      </c>
      <c r="D65" s="1">
        <v>618</v>
      </c>
      <c r="E65" s="1">
        <v>576</v>
      </c>
      <c r="F65" s="72">
        <v>0.26639344262295084</v>
      </c>
      <c r="G65" s="72">
        <v>0.23870967741935484</v>
      </c>
      <c r="H65" s="1">
        <v>1699</v>
      </c>
      <c r="I65" s="1">
        <v>1592</v>
      </c>
      <c r="J65" s="1">
        <v>28117</v>
      </c>
      <c r="K65" s="1">
        <v>25651</v>
      </c>
      <c r="L65" s="18">
        <v>0.66</v>
      </c>
      <c r="M65" s="18">
        <v>7.0000000000000007E-2</v>
      </c>
      <c r="N65" s="18">
        <v>0.93</v>
      </c>
      <c r="O65" s="18">
        <v>0.82</v>
      </c>
      <c r="P65" s="18">
        <v>1</v>
      </c>
      <c r="Q65" s="18"/>
      <c r="R65" s="18"/>
    </row>
    <row r="66" spans="1:18" x14ac:dyDescent="0.35">
      <c r="A66" s="255">
        <v>44716</v>
      </c>
      <c r="B66" s="39" t="s">
        <v>54</v>
      </c>
      <c r="C66" s="39" t="s">
        <v>60</v>
      </c>
      <c r="D66" s="34">
        <v>216</v>
      </c>
      <c r="E66" s="34">
        <v>206</v>
      </c>
      <c r="F66" s="71">
        <v>0.46938775510204084</v>
      </c>
      <c r="G66" s="71">
        <v>0.45070422535211269</v>
      </c>
      <c r="H66" s="34">
        <v>1915</v>
      </c>
      <c r="I66" s="34">
        <v>1798</v>
      </c>
      <c r="J66" s="34">
        <v>28333</v>
      </c>
      <c r="K66" s="34">
        <v>25857</v>
      </c>
      <c r="L66" s="40">
        <v>0.64</v>
      </c>
      <c r="M66" s="40">
        <v>0.05</v>
      </c>
      <c r="N66" s="40">
        <v>0.95</v>
      </c>
      <c r="O66" s="40">
        <v>0.87</v>
      </c>
      <c r="P66" s="40">
        <v>1</v>
      </c>
      <c r="Q66" s="40"/>
      <c r="R66" s="40"/>
    </row>
    <row r="67" spans="1:18" x14ac:dyDescent="0.35">
      <c r="A67" s="254">
        <v>44717</v>
      </c>
      <c r="B67" s="9" t="s">
        <v>48</v>
      </c>
      <c r="C67" s="9" t="s">
        <v>60</v>
      </c>
      <c r="D67" s="1">
        <v>0</v>
      </c>
      <c r="E67" s="1">
        <v>0</v>
      </c>
      <c r="F67" s="72">
        <v>0</v>
      </c>
      <c r="G67" s="72">
        <v>0</v>
      </c>
      <c r="H67" s="1">
        <v>0</v>
      </c>
      <c r="I67" s="1">
        <v>0</v>
      </c>
      <c r="J67" s="1">
        <v>0</v>
      </c>
      <c r="K67" s="1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/>
      <c r="R67" s="18"/>
    </row>
    <row r="68" spans="1:18" x14ac:dyDescent="0.35">
      <c r="A68" s="255">
        <v>44718</v>
      </c>
      <c r="B68" s="39" t="s">
        <v>49</v>
      </c>
      <c r="C68" s="39" t="s">
        <v>60</v>
      </c>
      <c r="D68" s="34">
        <v>0</v>
      </c>
      <c r="E68" s="34">
        <v>0</v>
      </c>
      <c r="F68" s="71">
        <v>0</v>
      </c>
      <c r="G68" s="71">
        <v>0</v>
      </c>
      <c r="H68" s="34">
        <v>0</v>
      </c>
      <c r="I68" s="34">
        <v>0</v>
      </c>
      <c r="J68" s="34">
        <v>0</v>
      </c>
      <c r="K68" s="34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/>
      <c r="R68" s="40"/>
    </row>
    <row r="69" spans="1:18" x14ac:dyDescent="0.35">
      <c r="A69" s="254">
        <v>44719</v>
      </c>
      <c r="B69" s="9" t="s">
        <v>50</v>
      </c>
      <c r="C69" s="9" t="s">
        <v>60</v>
      </c>
      <c r="D69" s="1">
        <v>734</v>
      </c>
      <c r="E69" s="1">
        <v>677</v>
      </c>
      <c r="F69" s="72">
        <v>0.22129783693843594</v>
      </c>
      <c r="G69" s="72">
        <v>0.2331511839708561</v>
      </c>
      <c r="H69" s="1">
        <v>2649</v>
      </c>
      <c r="I69" s="1">
        <v>2475</v>
      </c>
      <c r="J69" s="1">
        <v>29067</v>
      </c>
      <c r="K69" s="1">
        <v>26534</v>
      </c>
      <c r="L69" s="18">
        <v>0.73</v>
      </c>
      <c r="M69" s="18">
        <v>0.08</v>
      </c>
      <c r="N69" s="18">
        <v>0.92</v>
      </c>
      <c r="O69" s="18">
        <v>0.66</v>
      </c>
      <c r="P69" s="18">
        <v>1</v>
      </c>
      <c r="Q69" s="18"/>
      <c r="R69" s="18"/>
    </row>
    <row r="70" spans="1:18" x14ac:dyDescent="0.35">
      <c r="A70" s="255">
        <v>44720</v>
      </c>
      <c r="B70" s="39" t="s">
        <v>51</v>
      </c>
      <c r="C70" s="39" t="s">
        <v>60</v>
      </c>
      <c r="D70" s="34">
        <v>673</v>
      </c>
      <c r="E70" s="34">
        <v>615</v>
      </c>
      <c r="F70" s="71">
        <v>0.14455782312925169</v>
      </c>
      <c r="G70" s="71">
        <v>0.11413043478260869</v>
      </c>
      <c r="H70" s="34">
        <v>3322</v>
      </c>
      <c r="I70" s="34">
        <v>3090</v>
      </c>
      <c r="J70" s="34">
        <v>29740</v>
      </c>
      <c r="K70" s="34">
        <v>27149</v>
      </c>
      <c r="L70" s="40">
        <v>0.78</v>
      </c>
      <c r="M70" s="40">
        <v>0.09</v>
      </c>
      <c r="N70" s="40">
        <v>0.91</v>
      </c>
      <c r="O70" s="40">
        <v>0.72</v>
      </c>
      <c r="P70" s="40">
        <v>1</v>
      </c>
      <c r="Q70" s="40"/>
      <c r="R70" s="40"/>
    </row>
    <row r="71" spans="1:18" x14ac:dyDescent="0.35">
      <c r="A71" s="254">
        <v>44721</v>
      </c>
      <c r="B71" s="9" t="s">
        <v>52</v>
      </c>
      <c r="C71" s="9" t="s">
        <v>60</v>
      </c>
      <c r="D71" s="1">
        <v>601</v>
      </c>
      <c r="E71" s="1">
        <v>544</v>
      </c>
      <c r="F71" s="72">
        <v>0.21906693711967545</v>
      </c>
      <c r="G71" s="72">
        <v>0.17241379310344829</v>
      </c>
      <c r="H71" s="1">
        <v>3923</v>
      </c>
      <c r="I71" s="1">
        <v>3634</v>
      </c>
      <c r="J71" s="1">
        <v>30341</v>
      </c>
      <c r="K71" s="1">
        <v>27693</v>
      </c>
      <c r="L71" s="18">
        <v>0.76</v>
      </c>
      <c r="M71" s="18">
        <v>0.09</v>
      </c>
      <c r="N71" s="18">
        <v>0.91</v>
      </c>
      <c r="O71" s="18">
        <v>0.76</v>
      </c>
      <c r="P71" s="18">
        <v>1</v>
      </c>
      <c r="Q71" s="18"/>
      <c r="R71" s="18"/>
    </row>
    <row r="72" spans="1:18" x14ac:dyDescent="0.35">
      <c r="A72" s="255">
        <v>44722</v>
      </c>
      <c r="B72" s="39" t="s">
        <v>53</v>
      </c>
      <c r="C72" s="39" t="s">
        <v>60</v>
      </c>
      <c r="D72" s="34">
        <v>505</v>
      </c>
      <c r="E72" s="34">
        <v>471</v>
      </c>
      <c r="F72" s="71">
        <v>-0.18284789644012944</v>
      </c>
      <c r="G72" s="71">
        <v>-0.18229166666666666</v>
      </c>
      <c r="H72" s="34">
        <v>4428</v>
      </c>
      <c r="I72" s="34">
        <v>4105</v>
      </c>
      <c r="J72" s="34">
        <v>30846</v>
      </c>
      <c r="K72" s="34">
        <v>28164</v>
      </c>
      <c r="L72" s="40">
        <v>0.54</v>
      </c>
      <c r="M72" s="40">
        <v>7.0000000000000007E-2</v>
      </c>
      <c r="N72" s="40">
        <v>0.93</v>
      </c>
      <c r="O72" s="40">
        <v>0.86</v>
      </c>
      <c r="P72" s="40">
        <v>1</v>
      </c>
      <c r="Q72" s="40"/>
      <c r="R72" s="40"/>
    </row>
    <row r="73" spans="1:18" x14ac:dyDescent="0.35">
      <c r="A73" s="254">
        <v>44723</v>
      </c>
      <c r="B73" s="9" t="s">
        <v>54</v>
      </c>
      <c r="C73" s="9" t="s">
        <v>60</v>
      </c>
      <c r="D73" s="1">
        <v>167</v>
      </c>
      <c r="E73" s="1">
        <v>161</v>
      </c>
      <c r="F73" s="72">
        <v>-0.22685185185185186</v>
      </c>
      <c r="G73" s="72">
        <v>-0.21844660194174756</v>
      </c>
      <c r="H73" s="1">
        <v>4595</v>
      </c>
      <c r="I73" s="1">
        <v>4266</v>
      </c>
      <c r="J73" s="1">
        <v>31013</v>
      </c>
      <c r="K73" s="1">
        <v>28325</v>
      </c>
      <c r="L73" s="18">
        <v>0.86</v>
      </c>
      <c r="M73" s="18">
        <v>0.04</v>
      </c>
      <c r="N73" s="18">
        <v>0.96</v>
      </c>
      <c r="O73" s="18">
        <v>0.48</v>
      </c>
      <c r="P73" s="18">
        <v>1</v>
      </c>
      <c r="Q73" s="18"/>
      <c r="R73" s="18"/>
    </row>
    <row r="74" spans="1:18" x14ac:dyDescent="0.35">
      <c r="A74" s="255">
        <v>44724</v>
      </c>
      <c r="B74" s="39" t="s">
        <v>48</v>
      </c>
      <c r="C74" s="39" t="s">
        <v>60</v>
      </c>
      <c r="D74" s="34">
        <v>0</v>
      </c>
      <c r="E74" s="34">
        <v>0</v>
      </c>
      <c r="F74" s="71">
        <v>0</v>
      </c>
      <c r="G74" s="71">
        <v>0</v>
      </c>
      <c r="H74" s="34">
        <v>0</v>
      </c>
      <c r="I74" s="34">
        <v>0</v>
      </c>
      <c r="J74" s="34">
        <v>0</v>
      </c>
      <c r="K74" s="34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/>
      <c r="R74" s="40"/>
    </row>
    <row r="75" spans="1:18" x14ac:dyDescent="0.35">
      <c r="A75" s="254">
        <v>44725</v>
      </c>
      <c r="B75" s="9" t="s">
        <v>49</v>
      </c>
      <c r="C75" s="9" t="s">
        <v>60</v>
      </c>
      <c r="D75" s="1">
        <v>538</v>
      </c>
      <c r="E75" s="1">
        <v>507</v>
      </c>
      <c r="F75" s="72">
        <v>0</v>
      </c>
      <c r="G75" s="72">
        <v>0</v>
      </c>
      <c r="H75" s="1">
        <v>5133</v>
      </c>
      <c r="I75" s="1">
        <v>4773</v>
      </c>
      <c r="J75" s="1">
        <v>31551</v>
      </c>
      <c r="K75" s="1">
        <v>28832</v>
      </c>
      <c r="L75" s="18">
        <v>0.86</v>
      </c>
      <c r="M75" s="18">
        <v>0.06</v>
      </c>
      <c r="N75" s="18">
        <v>0.94</v>
      </c>
      <c r="O75" s="18">
        <v>0.49</v>
      </c>
      <c r="P75" s="18">
        <v>1</v>
      </c>
      <c r="Q75" s="18"/>
      <c r="R75" s="18"/>
    </row>
    <row r="76" spans="1:18" x14ac:dyDescent="0.35">
      <c r="A76" s="255">
        <v>44726</v>
      </c>
      <c r="B76" s="39" t="s">
        <v>50</v>
      </c>
      <c r="C76" s="39" t="s">
        <v>60</v>
      </c>
      <c r="D76" s="34">
        <v>526</v>
      </c>
      <c r="E76" s="34">
        <v>456</v>
      </c>
      <c r="F76" s="71">
        <v>-0.28337874659400547</v>
      </c>
      <c r="G76" s="71">
        <v>-0.32644017725258495</v>
      </c>
      <c r="H76" s="34">
        <v>5659</v>
      </c>
      <c r="I76" s="34">
        <v>5229</v>
      </c>
      <c r="J76" s="34">
        <v>32077</v>
      </c>
      <c r="K76" s="34">
        <v>29288</v>
      </c>
      <c r="L76" s="40">
        <v>0.75</v>
      </c>
      <c r="M76" s="40">
        <v>0.13</v>
      </c>
      <c r="N76" s="40">
        <v>0.87</v>
      </c>
      <c r="O76" s="40">
        <v>0.53</v>
      </c>
      <c r="P76" s="40">
        <v>1</v>
      </c>
      <c r="Q76" s="40"/>
      <c r="R76" s="40"/>
    </row>
    <row r="77" spans="1:18" x14ac:dyDescent="0.35">
      <c r="A77" s="254">
        <v>44727</v>
      </c>
      <c r="B77" s="9" t="s">
        <v>51</v>
      </c>
      <c r="C77" s="9" t="s">
        <v>60</v>
      </c>
      <c r="D77" s="1">
        <v>448</v>
      </c>
      <c r="E77" s="1">
        <v>428</v>
      </c>
      <c r="F77" s="72">
        <v>-0.33432392273402672</v>
      </c>
      <c r="G77" s="72">
        <v>-0.30406504065040652</v>
      </c>
      <c r="H77" s="1">
        <v>6107</v>
      </c>
      <c r="I77" s="1">
        <v>5657</v>
      </c>
      <c r="J77" s="1">
        <v>32525</v>
      </c>
      <c r="K77" s="1">
        <v>29716</v>
      </c>
      <c r="L77" s="18">
        <v>0.88</v>
      </c>
      <c r="M77" s="18">
        <v>0.04</v>
      </c>
      <c r="N77" s="18">
        <v>0.96</v>
      </c>
      <c r="O77" s="18">
        <v>0.49</v>
      </c>
      <c r="P77" s="18">
        <v>1</v>
      </c>
      <c r="Q77" s="18"/>
      <c r="R77" s="18"/>
    </row>
    <row r="78" spans="1:18" x14ac:dyDescent="0.35">
      <c r="A78" s="255">
        <v>44728</v>
      </c>
      <c r="B78" s="39" t="s">
        <v>52</v>
      </c>
      <c r="C78" s="39" t="s">
        <v>60</v>
      </c>
      <c r="D78" s="34">
        <v>345</v>
      </c>
      <c r="E78" s="34">
        <v>303</v>
      </c>
      <c r="F78" s="71">
        <v>-0.42595673876871881</v>
      </c>
      <c r="G78" s="71">
        <v>-0.44301470588235292</v>
      </c>
      <c r="H78" s="34">
        <v>6452</v>
      </c>
      <c r="I78" s="34">
        <v>5960</v>
      </c>
      <c r="J78" s="34">
        <v>32870</v>
      </c>
      <c r="K78" s="34">
        <v>30019</v>
      </c>
      <c r="L78" s="40">
        <v>0.73</v>
      </c>
      <c r="M78" s="40">
        <v>0.12</v>
      </c>
      <c r="N78" s="40">
        <v>0.88</v>
      </c>
      <c r="O78" s="40">
        <v>0.43</v>
      </c>
      <c r="P78" s="40">
        <v>1</v>
      </c>
      <c r="Q78" s="40"/>
      <c r="R78" s="40"/>
    </row>
    <row r="79" spans="1:18" x14ac:dyDescent="0.35">
      <c r="A79" s="254">
        <v>44729</v>
      </c>
      <c r="B79" s="9" t="s">
        <v>53</v>
      </c>
      <c r="C79" s="9" t="s">
        <v>60</v>
      </c>
      <c r="D79" s="1">
        <v>557</v>
      </c>
      <c r="E79" s="1">
        <v>490</v>
      </c>
      <c r="F79" s="72">
        <v>0.10297029702970296</v>
      </c>
      <c r="G79" s="72">
        <v>4.0339702760084924E-2</v>
      </c>
      <c r="H79" s="1">
        <v>7009</v>
      </c>
      <c r="I79" s="1">
        <v>6450</v>
      </c>
      <c r="J79" s="1">
        <v>33427</v>
      </c>
      <c r="K79" s="1">
        <v>30509</v>
      </c>
      <c r="L79" s="18">
        <v>0.67</v>
      </c>
      <c r="M79" s="18">
        <v>0.12</v>
      </c>
      <c r="N79" s="18">
        <v>0.88</v>
      </c>
      <c r="O79" s="18">
        <v>0.56999999999999995</v>
      </c>
      <c r="P79" s="18">
        <v>1</v>
      </c>
      <c r="Q79" s="18"/>
      <c r="R79" s="18"/>
    </row>
    <row r="80" spans="1:18" x14ac:dyDescent="0.35">
      <c r="A80" s="255">
        <v>44730</v>
      </c>
      <c r="B80" s="39" t="s">
        <v>54</v>
      </c>
      <c r="C80" s="39" t="s">
        <v>60</v>
      </c>
      <c r="D80" s="34">
        <v>190</v>
      </c>
      <c r="E80" s="34">
        <v>182</v>
      </c>
      <c r="F80" s="71">
        <v>0.1377245508982036</v>
      </c>
      <c r="G80" s="71">
        <v>0.13043478260869565</v>
      </c>
      <c r="H80" s="34">
        <v>7199</v>
      </c>
      <c r="I80" s="34">
        <v>6632</v>
      </c>
      <c r="J80" s="34">
        <v>33617</v>
      </c>
      <c r="K80" s="34">
        <v>30691</v>
      </c>
      <c r="L80" s="40">
        <v>0.85</v>
      </c>
      <c r="M80" s="40">
        <v>0.04</v>
      </c>
      <c r="N80" s="40">
        <v>0.96</v>
      </c>
      <c r="O80" s="40">
        <v>0.61</v>
      </c>
      <c r="P80" s="40">
        <v>1</v>
      </c>
      <c r="Q80" s="40"/>
      <c r="R80" s="40"/>
    </row>
    <row r="81" spans="1:18" x14ac:dyDescent="0.35">
      <c r="A81" s="254">
        <v>44731</v>
      </c>
      <c r="B81" s="9" t="s">
        <v>48</v>
      </c>
      <c r="C81" s="9" t="s">
        <v>60</v>
      </c>
      <c r="D81" s="1">
        <v>0</v>
      </c>
      <c r="E81" s="1">
        <v>0</v>
      </c>
      <c r="F81" s="72">
        <v>0</v>
      </c>
      <c r="G81" s="72">
        <v>0</v>
      </c>
      <c r="H81" s="1">
        <v>0</v>
      </c>
      <c r="I81" s="1">
        <v>0</v>
      </c>
      <c r="J81" s="1">
        <v>0</v>
      </c>
      <c r="K81" s="1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/>
      <c r="R81" s="18"/>
    </row>
    <row r="82" spans="1:18" x14ac:dyDescent="0.35">
      <c r="A82" s="255">
        <v>44732</v>
      </c>
      <c r="B82" s="39" t="s">
        <v>49</v>
      </c>
      <c r="C82" s="39" t="s">
        <v>60</v>
      </c>
      <c r="D82" s="34">
        <v>598</v>
      </c>
      <c r="E82" s="34">
        <v>548</v>
      </c>
      <c r="F82" s="71">
        <v>0.11152416356877323</v>
      </c>
      <c r="G82" s="71">
        <v>8.0867850098619326E-2</v>
      </c>
      <c r="H82" s="34">
        <v>7797</v>
      </c>
      <c r="I82" s="34">
        <v>7180</v>
      </c>
      <c r="J82" s="34">
        <v>34215</v>
      </c>
      <c r="K82" s="34">
        <v>31239</v>
      </c>
      <c r="L82" s="40">
        <v>0.75</v>
      </c>
      <c r="M82" s="40">
        <v>0.08</v>
      </c>
      <c r="N82" s="40">
        <v>0.92</v>
      </c>
      <c r="O82" s="40">
        <v>0.65</v>
      </c>
      <c r="P82" s="40">
        <v>1</v>
      </c>
      <c r="Q82" s="40"/>
      <c r="R82" s="40"/>
    </row>
    <row r="83" spans="1:18" x14ac:dyDescent="0.35">
      <c r="A83" s="254">
        <v>44733</v>
      </c>
      <c r="B83" s="9" t="s">
        <v>50</v>
      </c>
      <c r="C83" s="9" t="s">
        <v>60</v>
      </c>
      <c r="D83" s="1">
        <v>483</v>
      </c>
      <c r="E83" s="1">
        <v>439</v>
      </c>
      <c r="F83" s="72">
        <v>-8.17490494296578E-2</v>
      </c>
      <c r="G83" s="72">
        <v>-3.7280701754385963E-2</v>
      </c>
      <c r="H83" s="1">
        <v>8280</v>
      </c>
      <c r="I83" s="1">
        <v>7619</v>
      </c>
      <c r="J83" s="1">
        <v>34698</v>
      </c>
      <c r="K83" s="1">
        <v>31678</v>
      </c>
      <c r="L83" s="18">
        <v>0.77</v>
      </c>
      <c r="M83" s="18">
        <v>0.09</v>
      </c>
      <c r="N83" s="18">
        <v>0.91</v>
      </c>
      <c r="O83" s="18">
        <v>0.52</v>
      </c>
      <c r="P83" s="18">
        <v>1</v>
      </c>
      <c r="Q83" s="18"/>
      <c r="R83" s="18"/>
    </row>
    <row r="84" spans="1:18" x14ac:dyDescent="0.35">
      <c r="A84" s="255">
        <v>44734</v>
      </c>
      <c r="B84" s="39" t="s">
        <v>51</v>
      </c>
      <c r="C84" s="39" t="s">
        <v>60</v>
      </c>
      <c r="D84" s="34">
        <v>792</v>
      </c>
      <c r="E84" s="34">
        <v>527</v>
      </c>
      <c r="F84" s="71">
        <v>0.7678571428571429</v>
      </c>
      <c r="G84" s="71">
        <v>0.23130841121495327</v>
      </c>
      <c r="H84" s="34">
        <v>9072</v>
      </c>
      <c r="I84" s="34">
        <v>8146</v>
      </c>
      <c r="J84" s="34">
        <v>35490</v>
      </c>
      <c r="K84" s="34">
        <v>32205</v>
      </c>
      <c r="L84" s="40">
        <v>0.81</v>
      </c>
      <c r="M84" s="40">
        <v>7.0000000000000007E-2</v>
      </c>
      <c r="N84" s="40">
        <v>0.93</v>
      </c>
      <c r="O84" s="40">
        <v>0.56999999999999995</v>
      </c>
      <c r="P84" s="40">
        <v>1</v>
      </c>
      <c r="Q84" s="40"/>
      <c r="R84" s="40"/>
    </row>
    <row r="85" spans="1:18" x14ac:dyDescent="0.35">
      <c r="A85" s="254">
        <v>44735</v>
      </c>
      <c r="B85" s="9" t="s">
        <v>52</v>
      </c>
      <c r="C85" s="9" t="s">
        <v>60</v>
      </c>
      <c r="D85" s="1">
        <v>485</v>
      </c>
      <c r="E85" s="1">
        <v>455</v>
      </c>
      <c r="F85" s="72">
        <v>0.40579710144927539</v>
      </c>
      <c r="G85" s="72">
        <v>0.50165016501650161</v>
      </c>
      <c r="H85" s="1">
        <v>9557</v>
      </c>
      <c r="I85" s="1">
        <v>8601</v>
      </c>
      <c r="J85" s="1">
        <v>35975</v>
      </c>
      <c r="K85" s="1">
        <v>32660</v>
      </c>
      <c r="L85" s="18">
        <v>0.86</v>
      </c>
      <c r="M85" s="18">
        <v>0.06</v>
      </c>
      <c r="N85" s="18">
        <v>0.94</v>
      </c>
      <c r="O85" s="18">
        <v>0.52</v>
      </c>
      <c r="P85" s="18">
        <v>1</v>
      </c>
      <c r="Q85" s="18"/>
      <c r="R85" s="18"/>
    </row>
    <row r="86" spans="1:18" x14ac:dyDescent="0.35">
      <c r="A86" s="255">
        <v>44736</v>
      </c>
      <c r="B86" s="39" t="s">
        <v>53</v>
      </c>
      <c r="C86" s="39" t="s">
        <v>60</v>
      </c>
      <c r="D86" s="34">
        <v>430</v>
      </c>
      <c r="E86" s="34">
        <v>411</v>
      </c>
      <c r="F86" s="71">
        <v>-0.22800718132854578</v>
      </c>
      <c r="G86" s="71">
        <v>-0.16122448979591836</v>
      </c>
      <c r="H86" s="34">
        <v>9987</v>
      </c>
      <c r="I86" s="34">
        <v>9012</v>
      </c>
      <c r="J86" s="34">
        <v>36405</v>
      </c>
      <c r="K86" s="34">
        <v>33071</v>
      </c>
      <c r="L86" s="40">
        <v>0.88</v>
      </c>
      <c r="M86" s="40">
        <v>0.04</v>
      </c>
      <c r="N86" s="40">
        <v>0.96</v>
      </c>
      <c r="O86" s="40">
        <v>0.49</v>
      </c>
      <c r="P86" s="40">
        <v>1</v>
      </c>
      <c r="Q86" s="40"/>
      <c r="R86" s="40"/>
    </row>
    <row r="87" spans="1:18" x14ac:dyDescent="0.35">
      <c r="A87" s="254">
        <v>44737</v>
      </c>
      <c r="B87" s="9" t="s">
        <v>54</v>
      </c>
      <c r="C87" s="9" t="s">
        <v>60</v>
      </c>
      <c r="D87" s="1">
        <v>163</v>
      </c>
      <c r="E87" s="1">
        <v>158</v>
      </c>
      <c r="F87" s="72">
        <v>-0.14210526315789473</v>
      </c>
      <c r="G87" s="72">
        <v>-0.13186813186813187</v>
      </c>
      <c r="H87" s="1">
        <v>10150</v>
      </c>
      <c r="I87" s="1">
        <v>9170</v>
      </c>
      <c r="J87" s="1">
        <v>36568</v>
      </c>
      <c r="K87" s="1">
        <v>33229</v>
      </c>
      <c r="L87" s="18">
        <v>0.94</v>
      </c>
      <c r="M87" s="18">
        <v>0.03</v>
      </c>
      <c r="N87" s="18">
        <v>0.97</v>
      </c>
      <c r="O87" s="18">
        <v>0.48</v>
      </c>
      <c r="P87" s="18">
        <v>1</v>
      </c>
      <c r="Q87" s="18"/>
      <c r="R87" s="18"/>
    </row>
    <row r="88" spans="1:18" x14ac:dyDescent="0.35">
      <c r="A88" s="255">
        <v>44738</v>
      </c>
      <c r="B88" s="39" t="s">
        <v>48</v>
      </c>
      <c r="C88" s="39" t="s">
        <v>60</v>
      </c>
      <c r="D88" s="34">
        <v>0</v>
      </c>
      <c r="E88" s="34">
        <v>0</v>
      </c>
      <c r="F88" s="71">
        <v>0</v>
      </c>
      <c r="G88" s="71">
        <v>0</v>
      </c>
      <c r="H88" s="34">
        <v>0</v>
      </c>
      <c r="I88" s="34">
        <v>0</v>
      </c>
      <c r="J88" s="34">
        <v>0</v>
      </c>
      <c r="K88" s="34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/>
      <c r="R88" s="40"/>
    </row>
    <row r="89" spans="1:18" x14ac:dyDescent="0.35">
      <c r="A89" s="254">
        <v>44739</v>
      </c>
      <c r="B89" s="9" t="s">
        <v>49</v>
      </c>
      <c r="C89" s="9" t="s">
        <v>60</v>
      </c>
      <c r="D89" s="1">
        <v>540</v>
      </c>
      <c r="E89" s="1">
        <v>461</v>
      </c>
      <c r="F89" s="72">
        <v>0.11801242236024845</v>
      </c>
      <c r="G89" s="72">
        <v>5.011389521640091E-2</v>
      </c>
      <c r="H89" s="1">
        <v>10690</v>
      </c>
      <c r="I89" s="1">
        <v>9631</v>
      </c>
      <c r="J89" s="1">
        <v>37108</v>
      </c>
      <c r="K89" s="1">
        <v>33690</v>
      </c>
      <c r="L89" s="18">
        <v>0.76</v>
      </c>
      <c r="M89" s="18">
        <v>0.11</v>
      </c>
      <c r="N89" s="18">
        <v>0.89</v>
      </c>
      <c r="O89" s="18">
        <v>0.55000000000000004</v>
      </c>
      <c r="P89" s="18">
        <v>1</v>
      </c>
      <c r="Q89" s="18"/>
      <c r="R89" s="18"/>
    </row>
    <row r="90" spans="1:18" x14ac:dyDescent="0.35">
      <c r="A90" s="255">
        <v>44740</v>
      </c>
      <c r="B90" s="39" t="s">
        <v>50</v>
      </c>
      <c r="C90" s="39" t="s">
        <v>60</v>
      </c>
      <c r="D90" s="34">
        <v>508</v>
      </c>
      <c r="E90" s="34">
        <v>473</v>
      </c>
      <c r="F90" s="71">
        <v>-0.35858585858585856</v>
      </c>
      <c r="G90" s="71">
        <v>-0.10246679316888045</v>
      </c>
      <c r="H90" s="34">
        <v>11198</v>
      </c>
      <c r="I90" s="34">
        <v>10104</v>
      </c>
      <c r="J90" s="34">
        <v>37616</v>
      </c>
      <c r="K90" s="34">
        <v>34163</v>
      </c>
      <c r="L90" s="40">
        <v>0.8</v>
      </c>
      <c r="M90" s="40">
        <v>7.0000000000000007E-2</v>
      </c>
      <c r="N90" s="40">
        <v>0.93</v>
      </c>
      <c r="O90" s="40">
        <v>0.56999999999999995</v>
      </c>
      <c r="P90" s="40">
        <v>1</v>
      </c>
      <c r="Q90" s="40"/>
      <c r="R90" s="40"/>
    </row>
    <row r="91" spans="1:18" x14ac:dyDescent="0.35">
      <c r="A91" s="254">
        <v>44741</v>
      </c>
      <c r="B91" s="9" t="s">
        <v>51</v>
      </c>
      <c r="C91" s="9" t="s">
        <v>60</v>
      </c>
      <c r="D91" s="1">
        <v>480</v>
      </c>
      <c r="E91" s="1">
        <v>441</v>
      </c>
      <c r="F91" s="72">
        <v>-1.0309278350515464E-2</v>
      </c>
      <c r="G91" s="72">
        <v>-3.0769230769230771E-2</v>
      </c>
      <c r="H91" s="1">
        <v>11678</v>
      </c>
      <c r="I91" s="1">
        <v>10545</v>
      </c>
      <c r="J91" s="1">
        <v>38096</v>
      </c>
      <c r="K91" s="1">
        <v>34604</v>
      </c>
      <c r="L91" s="18">
        <v>0.79</v>
      </c>
      <c r="M91" s="18">
        <v>0.08</v>
      </c>
      <c r="N91" s="18">
        <v>0.92</v>
      </c>
      <c r="O91" s="18">
        <v>0.52</v>
      </c>
      <c r="P91" s="18">
        <v>1</v>
      </c>
      <c r="Q91" s="18"/>
      <c r="R91" s="18"/>
    </row>
    <row r="92" spans="1:18" x14ac:dyDescent="0.35">
      <c r="A92" s="256">
        <v>44742</v>
      </c>
      <c r="B92" s="102" t="s">
        <v>52</v>
      </c>
      <c r="C92" s="102" t="s">
        <v>60</v>
      </c>
      <c r="D92" s="90">
        <v>505</v>
      </c>
      <c r="E92" s="90">
        <v>471</v>
      </c>
      <c r="F92" s="103">
        <v>0.1744186046511628</v>
      </c>
      <c r="G92" s="103">
        <v>0.145985401459854</v>
      </c>
      <c r="H92" s="90">
        <v>12183</v>
      </c>
      <c r="I92" s="90">
        <v>11016</v>
      </c>
      <c r="J92" s="90">
        <v>38601</v>
      </c>
      <c r="K92" s="90">
        <v>35075</v>
      </c>
      <c r="L92" s="104">
        <v>0.8</v>
      </c>
      <c r="M92" s="104">
        <v>7.0000000000000007E-2</v>
      </c>
      <c r="N92" s="104">
        <v>0.93</v>
      </c>
      <c r="O92" s="104">
        <v>0.56999999999999995</v>
      </c>
      <c r="P92" s="104">
        <v>1</v>
      </c>
      <c r="Q92" s="40"/>
      <c r="R92" s="40"/>
    </row>
    <row r="93" spans="1:18" x14ac:dyDescent="0.35">
      <c r="A93" s="254">
        <v>44743</v>
      </c>
      <c r="B93" s="9" t="s">
        <v>53</v>
      </c>
      <c r="C93" s="9" t="s">
        <v>60</v>
      </c>
      <c r="D93" s="1">
        <v>484</v>
      </c>
      <c r="E93" s="1">
        <v>464</v>
      </c>
      <c r="F93" s="72">
        <v>1.9693251533742331</v>
      </c>
      <c r="G93" s="72">
        <v>1.9367088607594938</v>
      </c>
      <c r="H93" s="1">
        <v>484</v>
      </c>
      <c r="I93" s="1">
        <v>464</v>
      </c>
      <c r="J93" s="1">
        <v>39085</v>
      </c>
      <c r="K93" s="1">
        <v>35539</v>
      </c>
      <c r="L93" s="18">
        <v>0.89</v>
      </c>
      <c r="M93" s="18">
        <v>0.04</v>
      </c>
      <c r="N93" s="18">
        <v>0.96</v>
      </c>
      <c r="O93" s="18">
        <v>0.54</v>
      </c>
      <c r="P93" s="18">
        <v>1</v>
      </c>
      <c r="Q93" s="18"/>
      <c r="R93" s="18"/>
    </row>
    <row r="94" spans="1:18" x14ac:dyDescent="0.35">
      <c r="A94" s="255">
        <v>44744</v>
      </c>
      <c r="B94" s="39" t="s">
        <v>54</v>
      </c>
      <c r="C94" s="39" t="s">
        <v>60</v>
      </c>
      <c r="D94" s="34">
        <v>172</v>
      </c>
      <c r="E94" s="34">
        <v>169</v>
      </c>
      <c r="F94" s="71">
        <v>5.5214723926380369E-2</v>
      </c>
      <c r="G94" s="71">
        <v>6.9620253164556958E-2</v>
      </c>
      <c r="H94" s="34">
        <v>656</v>
      </c>
      <c r="I94" s="34">
        <v>633</v>
      </c>
      <c r="J94" s="34">
        <v>39257</v>
      </c>
      <c r="K94" s="34">
        <v>35708</v>
      </c>
      <c r="L94" s="40">
        <v>0.98</v>
      </c>
      <c r="M94" s="40">
        <v>0.02</v>
      </c>
      <c r="N94" s="40">
        <v>0.98</v>
      </c>
      <c r="O94" s="40">
        <v>0.51</v>
      </c>
      <c r="P94" s="40">
        <v>1</v>
      </c>
      <c r="Q94" s="40"/>
      <c r="R94" s="40"/>
    </row>
    <row r="95" spans="1:18" x14ac:dyDescent="0.35">
      <c r="A95" s="254">
        <v>44745</v>
      </c>
      <c r="B95" s="9" t="s">
        <v>48</v>
      </c>
      <c r="C95" s="9" t="s">
        <v>60</v>
      </c>
      <c r="D95" s="1">
        <v>0</v>
      </c>
      <c r="E95" s="1">
        <v>0</v>
      </c>
      <c r="F95" s="72">
        <v>0</v>
      </c>
      <c r="G95" s="72">
        <v>0</v>
      </c>
      <c r="H95" s="1">
        <v>0</v>
      </c>
      <c r="I95" s="1">
        <v>0</v>
      </c>
      <c r="J95" s="1">
        <v>0</v>
      </c>
      <c r="K95" s="1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/>
      <c r="R95" s="18"/>
    </row>
    <row r="96" spans="1:18" x14ac:dyDescent="0.35">
      <c r="A96" s="255">
        <v>44746</v>
      </c>
      <c r="B96" s="39" t="s">
        <v>49</v>
      </c>
      <c r="C96" s="39" t="s">
        <v>60</v>
      </c>
      <c r="D96" s="34">
        <v>592</v>
      </c>
      <c r="E96" s="34">
        <v>536</v>
      </c>
      <c r="F96" s="71">
        <v>9.6296296296296297E-2</v>
      </c>
      <c r="G96" s="71">
        <v>0.16268980477223427</v>
      </c>
      <c r="H96" s="34">
        <v>1248</v>
      </c>
      <c r="I96" s="34">
        <v>1169</v>
      </c>
      <c r="J96" s="34">
        <v>39849</v>
      </c>
      <c r="K96" s="34">
        <v>36300</v>
      </c>
      <c r="L96" s="40">
        <v>0.72</v>
      </c>
      <c r="M96" s="40">
        <v>0.09</v>
      </c>
      <c r="N96" s="40">
        <v>0.91</v>
      </c>
      <c r="O96" s="40">
        <v>0.63</v>
      </c>
      <c r="P96" s="40">
        <v>1</v>
      </c>
      <c r="Q96" s="40"/>
      <c r="R96" s="40"/>
    </row>
    <row r="97" spans="1:18" x14ac:dyDescent="0.35">
      <c r="A97" s="254">
        <v>44747</v>
      </c>
      <c r="B97" s="38" t="s">
        <v>50</v>
      </c>
      <c r="C97" s="38" t="s">
        <v>60</v>
      </c>
      <c r="D97" s="47">
        <v>505</v>
      </c>
      <c r="E97" s="1">
        <v>476</v>
      </c>
      <c r="F97" s="72">
        <v>-5.905511811023622E-3</v>
      </c>
      <c r="G97" s="72">
        <v>6.3424947145877377E-3</v>
      </c>
      <c r="H97" s="1">
        <v>1753</v>
      </c>
      <c r="I97" s="1">
        <v>1645</v>
      </c>
      <c r="J97" s="1">
        <v>40354</v>
      </c>
      <c r="K97" s="1">
        <v>36776</v>
      </c>
      <c r="L97" s="18">
        <v>0.76</v>
      </c>
      <c r="M97" s="18">
        <v>0.06</v>
      </c>
      <c r="N97" s="18">
        <v>0.94</v>
      </c>
      <c r="O97" s="18">
        <v>0.57999999999999996</v>
      </c>
      <c r="P97" s="18">
        <v>1</v>
      </c>
      <c r="Q97" s="18"/>
      <c r="R97" s="18"/>
    </row>
    <row r="98" spans="1:18" x14ac:dyDescent="0.35">
      <c r="A98" s="255">
        <v>44748</v>
      </c>
      <c r="B98" s="36" t="s">
        <v>51</v>
      </c>
      <c r="C98" s="36" t="s">
        <v>60</v>
      </c>
      <c r="D98" s="46">
        <v>646</v>
      </c>
      <c r="E98" s="34">
        <v>586</v>
      </c>
      <c r="F98" s="72">
        <v>0.34583333333333333</v>
      </c>
      <c r="G98" s="72">
        <v>0.3287981859410431</v>
      </c>
      <c r="H98" s="34">
        <v>2399</v>
      </c>
      <c r="I98" s="34">
        <v>2231</v>
      </c>
      <c r="J98" s="34">
        <v>41000</v>
      </c>
      <c r="K98" s="34">
        <v>37362</v>
      </c>
      <c r="L98" s="40">
        <v>0.71</v>
      </c>
      <c r="M98" s="40">
        <v>0.09</v>
      </c>
      <c r="N98" s="40">
        <v>0.91</v>
      </c>
      <c r="O98" s="40">
        <v>0.71</v>
      </c>
      <c r="P98" s="40">
        <v>1</v>
      </c>
      <c r="Q98" s="40"/>
      <c r="R98" s="40"/>
    </row>
    <row r="99" spans="1:18" x14ac:dyDescent="0.35">
      <c r="A99" s="254">
        <v>44749</v>
      </c>
      <c r="B99" s="38" t="s">
        <v>52</v>
      </c>
      <c r="C99" s="38" t="s">
        <v>60</v>
      </c>
      <c r="D99" s="47">
        <v>510</v>
      </c>
      <c r="E99" s="1">
        <v>484</v>
      </c>
      <c r="F99" s="72">
        <v>9.9009900990099011E-3</v>
      </c>
      <c r="G99" s="72">
        <v>2.7600849256900213E-2</v>
      </c>
      <c r="H99" s="1">
        <v>2909</v>
      </c>
      <c r="I99" s="1">
        <v>2715</v>
      </c>
      <c r="J99" s="1">
        <v>41510</v>
      </c>
      <c r="K99" s="1">
        <v>37846</v>
      </c>
      <c r="L99" s="18">
        <v>0.87</v>
      </c>
      <c r="M99" s="18">
        <v>0.05</v>
      </c>
      <c r="N99" s="18">
        <v>0.95</v>
      </c>
      <c r="O99" s="18">
        <v>0.47</v>
      </c>
      <c r="P99" s="18">
        <v>1</v>
      </c>
      <c r="Q99" s="18"/>
      <c r="R99" s="18"/>
    </row>
    <row r="100" spans="1:18" x14ac:dyDescent="0.35">
      <c r="A100" s="255">
        <v>44750</v>
      </c>
      <c r="B100" s="36" t="s">
        <v>53</v>
      </c>
      <c r="C100" s="36" t="s">
        <v>60</v>
      </c>
      <c r="D100" s="46">
        <v>492</v>
      </c>
      <c r="E100" s="34">
        <v>451</v>
      </c>
      <c r="F100" s="72">
        <v>1.6528925619834711E-2</v>
      </c>
      <c r="G100" s="72">
        <v>-2.8017241379310345E-2</v>
      </c>
      <c r="H100" s="34">
        <v>3401</v>
      </c>
      <c r="I100" s="34">
        <v>3166</v>
      </c>
      <c r="J100" s="34">
        <v>42002</v>
      </c>
      <c r="K100" s="34">
        <v>38297</v>
      </c>
      <c r="L100" s="40">
        <v>0.8</v>
      </c>
      <c r="M100" s="40">
        <v>0.08</v>
      </c>
      <c r="N100" s="40">
        <v>0.92</v>
      </c>
      <c r="O100" s="40">
        <v>0.53</v>
      </c>
      <c r="P100" s="40">
        <v>1</v>
      </c>
      <c r="Q100" s="40"/>
      <c r="R100" s="40"/>
    </row>
    <row r="101" spans="1:18" x14ac:dyDescent="0.35">
      <c r="A101" s="254">
        <v>44751</v>
      </c>
      <c r="B101" s="38" t="s">
        <v>54</v>
      </c>
      <c r="C101" s="38" t="s">
        <v>60</v>
      </c>
      <c r="D101" s="47">
        <v>166</v>
      </c>
      <c r="E101" s="1">
        <v>159</v>
      </c>
      <c r="F101" s="72">
        <v>-3.4883720930232558E-2</v>
      </c>
      <c r="G101" s="72">
        <v>-5.9171597633136092E-2</v>
      </c>
      <c r="H101" s="1">
        <v>3567</v>
      </c>
      <c r="I101" s="1">
        <v>3325</v>
      </c>
      <c r="J101" s="1">
        <v>42168</v>
      </c>
      <c r="K101" s="1">
        <v>38456</v>
      </c>
      <c r="L101" s="18">
        <v>0.8</v>
      </c>
      <c r="M101" s="18">
        <v>0.04</v>
      </c>
      <c r="N101" s="18">
        <v>0.96</v>
      </c>
      <c r="O101" s="18">
        <v>0.49</v>
      </c>
      <c r="P101" s="18">
        <v>1</v>
      </c>
      <c r="Q101" s="18"/>
      <c r="R101" s="18"/>
    </row>
    <row r="102" spans="1:18" x14ac:dyDescent="0.35">
      <c r="A102" s="255">
        <v>44752</v>
      </c>
      <c r="B102" s="36" t="s">
        <v>48</v>
      </c>
      <c r="C102" s="36" t="s">
        <v>60</v>
      </c>
      <c r="D102" s="46">
        <v>0</v>
      </c>
      <c r="E102" s="34">
        <v>0</v>
      </c>
      <c r="F102" s="34">
        <v>0</v>
      </c>
      <c r="G102" s="71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40">
        <v>0</v>
      </c>
      <c r="N102" s="40">
        <v>0</v>
      </c>
      <c r="O102" s="40">
        <v>0</v>
      </c>
      <c r="P102" s="40">
        <v>0</v>
      </c>
      <c r="Q102" s="40"/>
      <c r="R102" s="40"/>
    </row>
    <row r="103" spans="1:18" x14ac:dyDescent="0.35">
      <c r="A103" s="254">
        <v>44753</v>
      </c>
      <c r="B103" s="38" t="s">
        <v>49</v>
      </c>
      <c r="C103" s="38" t="s">
        <v>60</v>
      </c>
      <c r="D103" s="47">
        <v>540</v>
      </c>
      <c r="E103" s="47">
        <v>503</v>
      </c>
      <c r="F103" s="72">
        <v>-8.7837837837837843E-2</v>
      </c>
      <c r="G103" s="72">
        <v>-6.1567164179104475E-2</v>
      </c>
      <c r="H103" s="1">
        <v>4107</v>
      </c>
      <c r="I103" s="1">
        <v>3828</v>
      </c>
      <c r="J103" s="1">
        <v>42708</v>
      </c>
      <c r="K103" s="1">
        <v>38959</v>
      </c>
      <c r="L103" s="105">
        <v>0.79</v>
      </c>
      <c r="M103" s="105">
        <v>7.0000000000000007E-2</v>
      </c>
      <c r="N103" s="105">
        <v>0.93</v>
      </c>
      <c r="O103" s="105">
        <v>0.59</v>
      </c>
      <c r="P103" s="105">
        <v>1</v>
      </c>
      <c r="Q103" s="18"/>
      <c r="R103" s="18"/>
    </row>
    <row r="104" spans="1:18" x14ac:dyDescent="0.35">
      <c r="A104" s="255">
        <v>44754</v>
      </c>
      <c r="B104" s="36" t="s">
        <v>50</v>
      </c>
      <c r="C104" s="36" t="s">
        <v>60</v>
      </c>
      <c r="D104" s="46">
        <v>476</v>
      </c>
      <c r="E104" s="46">
        <v>437</v>
      </c>
      <c r="F104" s="72">
        <v>-5.7425742574257428E-2</v>
      </c>
      <c r="G104" s="72">
        <v>-8.1932773109243698E-2</v>
      </c>
      <c r="H104" s="1">
        <v>4583</v>
      </c>
      <c r="I104" s="1">
        <v>4265</v>
      </c>
      <c r="J104" s="1">
        <v>43184</v>
      </c>
      <c r="K104" s="1">
        <v>39396</v>
      </c>
      <c r="L104" s="106">
        <v>0.78</v>
      </c>
      <c r="M104" s="106">
        <v>0.08</v>
      </c>
      <c r="N104" s="106">
        <v>0.92</v>
      </c>
      <c r="O104" s="106">
        <v>0.52</v>
      </c>
      <c r="P104" s="106">
        <v>1</v>
      </c>
      <c r="Q104" s="40"/>
      <c r="R104" s="40"/>
    </row>
    <row r="105" spans="1:18" x14ac:dyDescent="0.35">
      <c r="A105" s="254">
        <v>44755</v>
      </c>
      <c r="B105" s="38" t="s">
        <v>51</v>
      </c>
      <c r="C105" s="38" t="s">
        <v>60</v>
      </c>
      <c r="D105" s="47">
        <v>535</v>
      </c>
      <c r="E105" s="47">
        <v>504</v>
      </c>
      <c r="F105" s="72">
        <v>-0.17182662538699692</v>
      </c>
      <c r="G105" s="72">
        <v>-0.13993174061433447</v>
      </c>
      <c r="H105" s="1">
        <v>5118</v>
      </c>
      <c r="I105" s="1">
        <v>4769</v>
      </c>
      <c r="J105" s="1">
        <v>43719</v>
      </c>
      <c r="K105" s="1">
        <v>39900</v>
      </c>
      <c r="L105" s="105">
        <v>0.8</v>
      </c>
      <c r="M105" s="105">
        <v>0.06</v>
      </c>
      <c r="N105" s="105">
        <v>0.94</v>
      </c>
      <c r="O105" s="105">
        <v>0.5</v>
      </c>
      <c r="P105" s="105">
        <v>1</v>
      </c>
      <c r="Q105" s="18"/>
      <c r="R105" s="18"/>
    </row>
    <row r="106" spans="1:18" x14ac:dyDescent="0.35">
      <c r="A106" s="255">
        <v>44756</v>
      </c>
      <c r="B106" s="36" t="s">
        <v>52</v>
      </c>
      <c r="C106" s="36" t="s">
        <v>60</v>
      </c>
      <c r="D106" s="46">
        <v>492</v>
      </c>
      <c r="E106" s="46">
        <v>465</v>
      </c>
      <c r="F106" s="72">
        <v>-3.5294117647058823E-2</v>
      </c>
      <c r="G106" s="72">
        <v>-3.9256198347107439E-2</v>
      </c>
      <c r="H106" s="1">
        <v>5610</v>
      </c>
      <c r="I106" s="1">
        <v>5234</v>
      </c>
      <c r="J106" s="1">
        <v>44211</v>
      </c>
      <c r="K106" s="1">
        <v>40365</v>
      </c>
      <c r="L106" s="106">
        <v>0.86</v>
      </c>
      <c r="M106" s="106">
        <v>0.05</v>
      </c>
      <c r="N106" s="106">
        <v>0.95</v>
      </c>
      <c r="O106" s="106">
        <v>0.54</v>
      </c>
      <c r="P106" s="106">
        <v>1</v>
      </c>
      <c r="Q106" s="40"/>
      <c r="R106" s="40"/>
    </row>
    <row r="107" spans="1:18" x14ac:dyDescent="0.35">
      <c r="A107" s="254">
        <v>44757</v>
      </c>
      <c r="B107" s="38" t="s">
        <v>53</v>
      </c>
      <c r="C107" s="38" t="s">
        <v>60</v>
      </c>
      <c r="D107" s="47">
        <v>536</v>
      </c>
      <c r="E107" s="47">
        <v>505</v>
      </c>
      <c r="F107" s="72">
        <v>8.943089430894309E-2</v>
      </c>
      <c r="G107" s="72">
        <v>0.11973392461197339</v>
      </c>
      <c r="H107" s="1">
        <v>6146</v>
      </c>
      <c r="I107" s="1">
        <v>5739</v>
      </c>
      <c r="J107" s="1">
        <v>44747</v>
      </c>
      <c r="K107" s="1">
        <v>40870</v>
      </c>
      <c r="L107" s="105">
        <v>0.85</v>
      </c>
      <c r="M107" s="105">
        <v>0.06</v>
      </c>
      <c r="N107" s="105">
        <v>0.94</v>
      </c>
      <c r="O107" s="105">
        <v>0.6</v>
      </c>
      <c r="P107" s="105">
        <v>1</v>
      </c>
      <c r="Q107" s="18"/>
      <c r="R107" s="18"/>
    </row>
    <row r="108" spans="1:18" x14ac:dyDescent="0.35">
      <c r="A108" s="255">
        <v>44758</v>
      </c>
      <c r="B108" s="36" t="s">
        <v>54</v>
      </c>
      <c r="C108" s="36" t="s">
        <v>60</v>
      </c>
      <c r="D108" s="46">
        <v>180</v>
      </c>
      <c r="E108" s="46">
        <v>170</v>
      </c>
      <c r="F108" s="72">
        <v>8.4337349397590355E-2</v>
      </c>
      <c r="G108" s="72">
        <v>6.9182389937106917E-2</v>
      </c>
      <c r="H108" s="1">
        <v>6326</v>
      </c>
      <c r="I108" s="1">
        <v>5909</v>
      </c>
      <c r="J108" s="1">
        <v>44927</v>
      </c>
      <c r="K108" s="1">
        <v>41040</v>
      </c>
      <c r="L108" s="106">
        <v>0.86</v>
      </c>
      <c r="M108" s="106">
        <v>0.06</v>
      </c>
      <c r="N108" s="106">
        <v>0.94</v>
      </c>
      <c r="O108" s="106">
        <v>0.39</v>
      </c>
      <c r="P108" s="106">
        <v>1</v>
      </c>
      <c r="Q108" s="40"/>
      <c r="R108" s="40"/>
    </row>
    <row r="109" spans="1:18" x14ac:dyDescent="0.35">
      <c r="A109" s="254">
        <v>44759</v>
      </c>
      <c r="B109" s="38" t="s">
        <v>48</v>
      </c>
      <c r="C109" s="38" t="s">
        <v>60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18"/>
      <c r="R109" s="18"/>
    </row>
    <row r="110" spans="1:18" x14ac:dyDescent="0.35">
      <c r="A110" s="254">
        <v>44760</v>
      </c>
      <c r="B110" s="38" t="s">
        <v>49</v>
      </c>
      <c r="C110" s="38" t="s">
        <v>60</v>
      </c>
      <c r="D110" s="47">
        <v>348</v>
      </c>
      <c r="E110" s="47">
        <v>334</v>
      </c>
      <c r="F110" s="72">
        <v>-0.35555555555555557</v>
      </c>
      <c r="G110" s="72">
        <v>-0.3359840954274354</v>
      </c>
      <c r="H110" s="1">
        <v>6674</v>
      </c>
      <c r="I110" s="1">
        <v>6243</v>
      </c>
      <c r="J110" s="1">
        <v>45275</v>
      </c>
      <c r="K110" s="1">
        <v>41374</v>
      </c>
      <c r="L110" s="105">
        <v>0.93</v>
      </c>
      <c r="M110" s="105">
        <v>0.04</v>
      </c>
      <c r="N110" s="105">
        <v>0.96</v>
      </c>
      <c r="O110" s="105">
        <v>0.33</v>
      </c>
      <c r="P110" s="105">
        <v>1</v>
      </c>
      <c r="Q110" s="40"/>
      <c r="R110" s="40"/>
    </row>
    <row r="111" spans="1:18" x14ac:dyDescent="0.35">
      <c r="A111" s="254">
        <v>44761</v>
      </c>
      <c r="B111" s="38" t="s">
        <v>50</v>
      </c>
      <c r="C111" s="38" t="s">
        <v>60</v>
      </c>
      <c r="D111" s="47">
        <v>398</v>
      </c>
      <c r="E111" s="47">
        <v>367</v>
      </c>
      <c r="F111" s="72">
        <v>-0.1638655462184874</v>
      </c>
      <c r="G111" s="72">
        <v>-0.16018306636155608</v>
      </c>
      <c r="H111" s="1">
        <v>7072</v>
      </c>
      <c r="I111" s="1">
        <v>6610</v>
      </c>
      <c r="J111" s="1">
        <v>45673</v>
      </c>
      <c r="K111" s="1">
        <v>41741</v>
      </c>
      <c r="L111" s="105">
        <v>0.76</v>
      </c>
      <c r="M111" s="105">
        <v>0.08</v>
      </c>
      <c r="N111" s="105">
        <v>0.92</v>
      </c>
      <c r="O111" s="105">
        <v>0.34</v>
      </c>
      <c r="P111" s="105">
        <v>1</v>
      </c>
      <c r="Q111" s="18"/>
      <c r="R111" s="18"/>
    </row>
    <row r="112" spans="1:18" x14ac:dyDescent="0.35">
      <c r="A112" s="254">
        <v>44762</v>
      </c>
      <c r="B112" s="38" t="s">
        <v>51</v>
      </c>
      <c r="C112" s="38" t="s">
        <v>60</v>
      </c>
      <c r="D112" s="47">
        <v>527</v>
      </c>
      <c r="E112" s="47">
        <v>493</v>
      </c>
      <c r="F112" s="72">
        <v>-1.4953271028037384E-2</v>
      </c>
      <c r="G112" s="72">
        <v>-2.1825396825396824E-2</v>
      </c>
      <c r="H112" s="1">
        <v>7599</v>
      </c>
      <c r="I112" s="1">
        <v>7103</v>
      </c>
      <c r="J112" s="1">
        <v>46200</v>
      </c>
      <c r="K112" s="1">
        <v>42234</v>
      </c>
      <c r="L112" s="105">
        <v>0.79</v>
      </c>
      <c r="M112" s="105">
        <v>0.06</v>
      </c>
      <c r="N112" s="105">
        <v>0.94</v>
      </c>
      <c r="O112" s="105">
        <v>0.48</v>
      </c>
      <c r="P112" s="105">
        <v>1</v>
      </c>
      <c r="Q112" s="40"/>
      <c r="R112" s="40"/>
    </row>
    <row r="113" spans="1:21" x14ac:dyDescent="0.35">
      <c r="A113" s="254">
        <v>44763</v>
      </c>
      <c r="B113" s="38" t="s">
        <v>52</v>
      </c>
      <c r="C113" s="38" t="s">
        <v>60</v>
      </c>
      <c r="D113" s="47">
        <v>493</v>
      </c>
      <c r="E113" s="47">
        <v>455</v>
      </c>
      <c r="F113" s="72">
        <v>2.0325203252032522E-3</v>
      </c>
      <c r="G113" s="72">
        <v>-2.1505376344086023E-2</v>
      </c>
      <c r="H113" s="1">
        <v>8092</v>
      </c>
      <c r="I113" s="1">
        <v>7558</v>
      </c>
      <c r="J113" s="1">
        <v>46693</v>
      </c>
      <c r="K113" s="1">
        <v>42689</v>
      </c>
      <c r="L113" s="105">
        <v>0.81</v>
      </c>
      <c r="M113" s="105">
        <v>0.08</v>
      </c>
      <c r="N113" s="105">
        <v>0.92</v>
      </c>
      <c r="O113" s="105">
        <v>0.45</v>
      </c>
      <c r="P113" s="105">
        <v>1</v>
      </c>
      <c r="Q113" s="18"/>
      <c r="R113" s="18"/>
    </row>
    <row r="114" spans="1:21" x14ac:dyDescent="0.35">
      <c r="A114" s="254">
        <v>44764</v>
      </c>
      <c r="B114" s="38" t="s">
        <v>53</v>
      </c>
      <c r="C114" s="38" t="s">
        <v>60</v>
      </c>
      <c r="D114" s="47">
        <v>554</v>
      </c>
      <c r="E114" s="47">
        <v>520</v>
      </c>
      <c r="F114" s="72">
        <v>3.3582089552238806E-2</v>
      </c>
      <c r="G114" s="72">
        <v>2.9702970297029702E-2</v>
      </c>
      <c r="H114" s="1">
        <v>8646</v>
      </c>
      <c r="I114" s="1">
        <v>8078</v>
      </c>
      <c r="J114" s="1">
        <v>47247</v>
      </c>
      <c r="K114" s="1">
        <v>43209</v>
      </c>
      <c r="L114" s="105">
        <v>0.84</v>
      </c>
      <c r="M114" s="105">
        <v>0.06</v>
      </c>
      <c r="N114" s="105">
        <v>0.94</v>
      </c>
      <c r="O114" s="105">
        <v>0.49</v>
      </c>
      <c r="P114" s="105">
        <v>1</v>
      </c>
      <c r="Q114" s="40"/>
      <c r="R114" s="40"/>
    </row>
    <row r="115" spans="1:21" x14ac:dyDescent="0.35">
      <c r="A115" s="254">
        <v>44765</v>
      </c>
      <c r="B115" s="38" t="s">
        <v>54</v>
      </c>
      <c r="C115" s="38" t="s">
        <v>60</v>
      </c>
      <c r="D115" s="47">
        <v>179</v>
      </c>
      <c r="E115" s="47">
        <v>175</v>
      </c>
      <c r="F115" s="72">
        <v>-5.5555555555555558E-3</v>
      </c>
      <c r="G115" s="72">
        <v>2.9411764705882353E-2</v>
      </c>
      <c r="H115" s="1">
        <v>8825</v>
      </c>
      <c r="I115" s="1">
        <v>8253</v>
      </c>
      <c r="J115" s="1">
        <v>47426</v>
      </c>
      <c r="K115" s="1">
        <v>43384</v>
      </c>
      <c r="L115" s="105">
        <v>0.92</v>
      </c>
      <c r="M115" s="105">
        <v>0.02</v>
      </c>
      <c r="N115" s="105">
        <v>0.98</v>
      </c>
      <c r="O115" s="105">
        <v>0.45</v>
      </c>
      <c r="P115" s="105">
        <v>1</v>
      </c>
      <c r="Q115" s="18"/>
      <c r="R115" s="18"/>
    </row>
    <row r="116" spans="1:21" x14ac:dyDescent="0.35">
      <c r="A116" s="254">
        <v>44766</v>
      </c>
      <c r="B116" s="38" t="s">
        <v>48</v>
      </c>
      <c r="C116" s="38" t="s">
        <v>60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0"/>
      <c r="R116" s="40"/>
    </row>
    <row r="117" spans="1:21" x14ac:dyDescent="0.35">
      <c r="A117" s="254">
        <v>44767</v>
      </c>
      <c r="B117" s="38" t="s">
        <v>49</v>
      </c>
      <c r="C117" s="38" t="s">
        <v>60</v>
      </c>
      <c r="D117" s="47">
        <v>625</v>
      </c>
      <c r="E117" s="47">
        <v>575</v>
      </c>
      <c r="F117" s="72">
        <v>0.79597701149425293</v>
      </c>
      <c r="G117" s="72">
        <v>0.72155688622754488</v>
      </c>
      <c r="H117" s="1">
        <v>9450</v>
      </c>
      <c r="I117" s="1">
        <v>8828</v>
      </c>
      <c r="J117" s="1">
        <v>48051</v>
      </c>
      <c r="K117" s="1">
        <v>43959</v>
      </c>
      <c r="L117" s="105">
        <v>0.79</v>
      </c>
      <c r="M117" s="105">
        <v>0.08</v>
      </c>
      <c r="N117" s="105">
        <v>0.92</v>
      </c>
      <c r="O117" s="105">
        <v>0.66</v>
      </c>
      <c r="P117" s="105">
        <v>1</v>
      </c>
      <c r="Q117" s="18"/>
      <c r="R117" s="18"/>
    </row>
    <row r="118" spans="1:21" x14ac:dyDescent="0.35">
      <c r="A118" s="254">
        <v>44768</v>
      </c>
      <c r="B118" s="38" t="s">
        <v>50</v>
      </c>
      <c r="C118" s="38" t="s">
        <v>60</v>
      </c>
      <c r="D118" s="47">
        <v>567</v>
      </c>
      <c r="E118" s="47">
        <v>505</v>
      </c>
      <c r="F118" s="72">
        <v>0.42462311557788945</v>
      </c>
      <c r="G118" s="72">
        <v>0.37602179836512262</v>
      </c>
      <c r="H118" s="1">
        <v>10017</v>
      </c>
      <c r="I118" s="1">
        <v>9333</v>
      </c>
      <c r="J118" s="1">
        <v>48618</v>
      </c>
      <c r="K118" s="1">
        <v>44464</v>
      </c>
      <c r="L118" s="105">
        <v>0.69</v>
      </c>
      <c r="M118" s="105">
        <v>0.11</v>
      </c>
      <c r="N118" s="105">
        <v>0.89</v>
      </c>
      <c r="O118" s="105">
        <v>0.64</v>
      </c>
      <c r="P118" s="105">
        <v>1</v>
      </c>
      <c r="Q118" s="40"/>
      <c r="R118" s="40"/>
    </row>
    <row r="119" spans="1:21" x14ac:dyDescent="0.35">
      <c r="A119" s="254">
        <v>44769</v>
      </c>
      <c r="B119" s="38" t="s">
        <v>51</v>
      </c>
      <c r="C119" s="38" t="s">
        <v>60</v>
      </c>
      <c r="D119" s="47">
        <v>587</v>
      </c>
      <c r="E119" s="47">
        <v>546</v>
      </c>
      <c r="F119" s="72">
        <v>0.11385199240986717</v>
      </c>
      <c r="G119" s="72">
        <v>0.10750507099391481</v>
      </c>
      <c r="H119" s="1">
        <v>10604</v>
      </c>
      <c r="I119" s="1">
        <v>9879</v>
      </c>
      <c r="J119" s="1">
        <v>49205</v>
      </c>
      <c r="K119" s="1">
        <v>45010</v>
      </c>
      <c r="L119" s="105">
        <v>0.82</v>
      </c>
      <c r="M119" s="105">
        <v>7.0000000000000007E-2</v>
      </c>
      <c r="N119" s="105">
        <v>0.93</v>
      </c>
      <c r="O119" s="105">
        <v>0.63</v>
      </c>
      <c r="P119" s="105">
        <v>1</v>
      </c>
      <c r="Q119" s="18"/>
      <c r="R119" s="18"/>
    </row>
    <row r="120" spans="1:21" x14ac:dyDescent="0.35">
      <c r="A120" s="254">
        <v>44770</v>
      </c>
      <c r="B120" s="38" t="s">
        <v>52</v>
      </c>
      <c r="C120" s="38" t="s">
        <v>60</v>
      </c>
      <c r="D120" s="47">
        <v>584</v>
      </c>
      <c r="E120" s="47">
        <v>536</v>
      </c>
      <c r="F120" s="72">
        <v>0.18458417849898581</v>
      </c>
      <c r="G120" s="72">
        <v>0.17802197802197803</v>
      </c>
      <c r="H120" s="1">
        <v>11188</v>
      </c>
      <c r="I120" s="1">
        <v>10415</v>
      </c>
      <c r="J120" s="1">
        <v>49789</v>
      </c>
      <c r="K120" s="1">
        <v>45546</v>
      </c>
      <c r="L120" s="105">
        <v>0.7</v>
      </c>
      <c r="M120" s="105">
        <v>0.08</v>
      </c>
      <c r="N120" s="105">
        <v>0.92</v>
      </c>
      <c r="O120" s="105">
        <v>0.62</v>
      </c>
      <c r="P120" s="105">
        <v>1</v>
      </c>
      <c r="Q120" s="40"/>
      <c r="R120" s="40"/>
    </row>
    <row r="121" spans="1:21" x14ac:dyDescent="0.35">
      <c r="A121" s="254">
        <v>44771</v>
      </c>
      <c r="B121" s="38" t="s">
        <v>53</v>
      </c>
      <c r="C121" s="38" t="s">
        <v>60</v>
      </c>
      <c r="D121" s="47">
        <v>555</v>
      </c>
      <c r="E121" s="47">
        <v>507</v>
      </c>
      <c r="F121" s="72">
        <v>1.8050541516245488E-3</v>
      </c>
      <c r="G121" s="72">
        <v>-2.5000000000000001E-2</v>
      </c>
      <c r="H121" s="1">
        <v>11743</v>
      </c>
      <c r="I121" s="1">
        <v>10922</v>
      </c>
      <c r="J121" s="1">
        <v>50344</v>
      </c>
      <c r="K121" s="1">
        <v>46053</v>
      </c>
      <c r="L121" s="105">
        <v>0.79</v>
      </c>
      <c r="M121" s="105">
        <v>0.09</v>
      </c>
      <c r="N121" s="105">
        <v>0.91</v>
      </c>
      <c r="O121" s="105">
        <v>0.59</v>
      </c>
      <c r="P121" s="105">
        <v>1</v>
      </c>
      <c r="Q121" s="18"/>
      <c r="R121" s="18"/>
    </row>
    <row r="122" spans="1:21" x14ac:dyDescent="0.35">
      <c r="A122" s="254">
        <v>44772</v>
      </c>
      <c r="B122" s="38" t="s">
        <v>54</v>
      </c>
      <c r="C122" s="38" t="s">
        <v>60</v>
      </c>
      <c r="D122" s="47">
        <v>225</v>
      </c>
      <c r="E122" s="47">
        <v>189</v>
      </c>
      <c r="F122" s="72">
        <v>0.25698324022346369</v>
      </c>
      <c r="G122" s="72">
        <v>0.08</v>
      </c>
      <c r="H122" s="1">
        <v>11968</v>
      </c>
      <c r="I122" s="1">
        <v>11111</v>
      </c>
      <c r="J122" s="1">
        <v>50569</v>
      </c>
      <c r="K122" s="1">
        <v>46242</v>
      </c>
      <c r="L122" s="105">
        <v>0.67</v>
      </c>
      <c r="M122" s="105">
        <v>0.16</v>
      </c>
      <c r="N122" s="105">
        <v>0.84</v>
      </c>
      <c r="O122" s="105">
        <v>0.47</v>
      </c>
      <c r="P122" s="105">
        <v>1</v>
      </c>
      <c r="Q122" s="40"/>
      <c r="R122" s="40"/>
    </row>
    <row r="123" spans="1:21" x14ac:dyDescent="0.35">
      <c r="A123" s="254">
        <v>44773</v>
      </c>
      <c r="B123" s="38" t="s">
        <v>48</v>
      </c>
      <c r="C123" s="38" t="s">
        <v>60</v>
      </c>
      <c r="D123" s="47">
        <v>0</v>
      </c>
      <c r="E123" s="47">
        <v>0</v>
      </c>
      <c r="F123" s="47">
        <v>0</v>
      </c>
      <c r="G123" s="47">
        <v>0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0</v>
      </c>
      <c r="N123" s="47">
        <v>0</v>
      </c>
      <c r="O123" s="47">
        <v>0</v>
      </c>
      <c r="P123" s="47">
        <v>0</v>
      </c>
      <c r="Q123" s="18"/>
      <c r="R123" s="18"/>
    </row>
    <row r="124" spans="1:21" x14ac:dyDescent="0.35">
      <c r="A124" s="257">
        <v>44774</v>
      </c>
      <c r="B124" s="55" t="s">
        <v>49</v>
      </c>
      <c r="C124" s="55" t="s">
        <v>60</v>
      </c>
      <c r="D124" s="117">
        <v>0</v>
      </c>
      <c r="E124" s="117">
        <v>0</v>
      </c>
      <c r="F124" s="91">
        <v>0</v>
      </c>
      <c r="G124" s="91">
        <v>0</v>
      </c>
      <c r="H124" s="56">
        <v>0</v>
      </c>
      <c r="I124" s="56">
        <v>0</v>
      </c>
      <c r="J124" s="56">
        <v>0</v>
      </c>
      <c r="K124" s="56">
        <v>0</v>
      </c>
      <c r="L124" s="118">
        <v>0</v>
      </c>
      <c r="M124" s="118">
        <v>0</v>
      </c>
      <c r="N124" s="118">
        <v>0</v>
      </c>
      <c r="O124" s="118">
        <v>0</v>
      </c>
      <c r="P124" s="118">
        <v>0</v>
      </c>
      <c r="Q124" s="40"/>
      <c r="R124" s="40"/>
    </row>
    <row r="125" spans="1:21" x14ac:dyDescent="0.35">
      <c r="A125" s="254">
        <v>44775</v>
      </c>
      <c r="B125" s="38" t="s">
        <v>50</v>
      </c>
      <c r="C125" s="38" t="s">
        <v>60</v>
      </c>
      <c r="D125" s="47">
        <v>365</v>
      </c>
      <c r="E125" s="47">
        <v>354</v>
      </c>
      <c r="F125" s="72">
        <v>-0.35626102292768957</v>
      </c>
      <c r="G125" s="72">
        <v>-0.299009900990099</v>
      </c>
      <c r="H125" s="1">
        <v>365</v>
      </c>
      <c r="I125" s="1">
        <v>354</v>
      </c>
      <c r="J125" s="1">
        <v>50934</v>
      </c>
      <c r="K125" s="1">
        <v>46596</v>
      </c>
      <c r="L125" s="105">
        <v>0.91</v>
      </c>
      <c r="M125" s="105">
        <v>0.03</v>
      </c>
      <c r="N125" s="105">
        <v>0.97</v>
      </c>
      <c r="O125" s="105">
        <v>0.42</v>
      </c>
      <c r="P125" s="105">
        <v>1</v>
      </c>
      <c r="Q125" s="18"/>
      <c r="R125" s="18"/>
    </row>
    <row r="126" spans="1:21" x14ac:dyDescent="0.35">
      <c r="A126" s="254">
        <v>44776</v>
      </c>
      <c r="B126" s="38" t="s">
        <v>51</v>
      </c>
      <c r="C126" s="38" t="s">
        <v>60</v>
      </c>
      <c r="D126" s="47">
        <v>638</v>
      </c>
      <c r="E126" s="47">
        <v>555</v>
      </c>
      <c r="F126" s="72">
        <v>8.6882453151618397E-2</v>
      </c>
      <c r="G126" s="72">
        <v>1.6483516483516484E-2</v>
      </c>
      <c r="H126" s="47">
        <v>1003</v>
      </c>
      <c r="I126" s="47">
        <v>909</v>
      </c>
      <c r="J126" s="47">
        <v>51572</v>
      </c>
      <c r="K126" s="47">
        <v>47151</v>
      </c>
      <c r="L126" s="105">
        <v>0.66</v>
      </c>
      <c r="M126" s="105">
        <v>0.13</v>
      </c>
      <c r="N126" s="105">
        <v>0.87</v>
      </c>
      <c r="O126" s="105">
        <v>0.66</v>
      </c>
      <c r="P126" s="105">
        <v>1</v>
      </c>
      <c r="Q126" s="40"/>
      <c r="R126" s="40"/>
    </row>
    <row r="127" spans="1:21" x14ac:dyDescent="0.35">
      <c r="A127" s="254">
        <v>44777</v>
      </c>
      <c r="B127" s="38" t="s">
        <v>52</v>
      </c>
      <c r="C127" s="38" t="s">
        <v>60</v>
      </c>
      <c r="D127" s="47">
        <v>596</v>
      </c>
      <c r="E127" s="47">
        <v>540</v>
      </c>
      <c r="F127" s="72">
        <v>2.0547945205479451E-2</v>
      </c>
      <c r="G127" s="72">
        <v>7.462686567164179E-3</v>
      </c>
      <c r="H127" s="1">
        <v>1599</v>
      </c>
      <c r="I127" s="1">
        <v>1449</v>
      </c>
      <c r="J127" s="1">
        <v>52168</v>
      </c>
      <c r="K127" s="1">
        <v>47691</v>
      </c>
      <c r="L127" s="105">
        <v>0.72</v>
      </c>
      <c r="M127" s="105">
        <v>0.09</v>
      </c>
      <c r="N127" s="105">
        <v>0.91</v>
      </c>
      <c r="O127" s="105">
        <v>0.62</v>
      </c>
      <c r="P127" s="105">
        <v>1</v>
      </c>
      <c r="Q127" s="18"/>
      <c r="R127" s="18"/>
    </row>
    <row r="128" spans="1:21" x14ac:dyDescent="0.35">
      <c r="A128" s="254">
        <v>44778</v>
      </c>
      <c r="B128" s="38" t="s">
        <v>53</v>
      </c>
      <c r="C128" s="38" t="s">
        <v>60</v>
      </c>
      <c r="D128" s="47">
        <v>612</v>
      </c>
      <c r="E128" s="47">
        <v>557</v>
      </c>
      <c r="F128" s="72">
        <v>0.10270270270270271</v>
      </c>
      <c r="G128" s="72">
        <v>9.8619329388560162E-2</v>
      </c>
      <c r="H128" s="1">
        <v>2211</v>
      </c>
      <c r="I128" s="1">
        <v>2006</v>
      </c>
      <c r="J128" s="1">
        <v>52780</v>
      </c>
      <c r="K128" s="1">
        <v>48248</v>
      </c>
      <c r="L128" s="105">
        <v>0.77</v>
      </c>
      <c r="M128" s="105">
        <v>0.09</v>
      </c>
      <c r="N128" s="105">
        <v>0.91</v>
      </c>
      <c r="O128" s="105">
        <v>0.55000000000000004</v>
      </c>
      <c r="P128" s="105">
        <v>1</v>
      </c>
      <c r="Q128" s="40"/>
      <c r="R128" s="40"/>
      <c r="T128" t="s">
        <v>62</v>
      </c>
      <c r="U128" s="16">
        <v>44986</v>
      </c>
    </row>
    <row r="129" spans="1:39" x14ac:dyDescent="0.35">
      <c r="A129" s="254">
        <v>44779</v>
      </c>
      <c r="B129" s="38" t="s">
        <v>54</v>
      </c>
      <c r="C129" s="38" t="s">
        <v>60</v>
      </c>
      <c r="D129" s="47">
        <v>176</v>
      </c>
      <c r="E129" s="47">
        <v>160</v>
      </c>
      <c r="F129" s="72">
        <v>-0.21777777777777776</v>
      </c>
      <c r="G129" s="72">
        <v>-0.15343915343915343</v>
      </c>
      <c r="H129" s="47">
        <v>2387</v>
      </c>
      <c r="I129" s="47">
        <v>2166</v>
      </c>
      <c r="J129" s="47">
        <v>52956</v>
      </c>
      <c r="K129" s="47">
        <v>48408</v>
      </c>
      <c r="L129" s="105">
        <v>0.8</v>
      </c>
      <c r="M129" s="105">
        <v>0.09</v>
      </c>
      <c r="N129" s="105">
        <v>0.91</v>
      </c>
      <c r="O129" s="105">
        <v>0.4</v>
      </c>
      <c r="P129" s="105">
        <v>1</v>
      </c>
      <c r="Q129" s="18"/>
      <c r="R129" s="18"/>
      <c r="T129" t="s">
        <v>63</v>
      </c>
      <c r="U129" s="16">
        <v>45014</v>
      </c>
    </row>
    <row r="130" spans="1:39" x14ac:dyDescent="0.35">
      <c r="A130" s="254">
        <v>44780</v>
      </c>
      <c r="B130" s="38" t="s">
        <v>48</v>
      </c>
      <c r="C130" s="38" t="s">
        <v>60</v>
      </c>
      <c r="D130" s="47">
        <v>0</v>
      </c>
      <c r="E130" s="47">
        <v>0</v>
      </c>
      <c r="F130" s="72">
        <v>0</v>
      </c>
      <c r="G130" s="72">
        <v>0</v>
      </c>
      <c r="H130" s="1">
        <v>0</v>
      </c>
      <c r="I130" s="1">
        <v>0</v>
      </c>
      <c r="J130" s="1">
        <v>0</v>
      </c>
      <c r="K130" s="1">
        <v>0</v>
      </c>
      <c r="L130" s="105">
        <v>0</v>
      </c>
      <c r="M130" s="105">
        <v>0</v>
      </c>
      <c r="N130" s="105">
        <v>0</v>
      </c>
      <c r="O130" s="105">
        <v>0</v>
      </c>
      <c r="P130" s="105">
        <v>0</v>
      </c>
      <c r="Q130" s="40"/>
      <c r="R130" s="40"/>
    </row>
    <row r="131" spans="1:39" x14ac:dyDescent="0.35">
      <c r="A131" s="254">
        <v>44781</v>
      </c>
      <c r="B131" s="38" t="s">
        <v>49</v>
      </c>
      <c r="C131" s="38" t="s">
        <v>60</v>
      </c>
      <c r="D131" s="47">
        <v>645</v>
      </c>
      <c r="E131" s="47">
        <v>597</v>
      </c>
      <c r="F131" s="72">
        <v>0</v>
      </c>
      <c r="G131" s="72">
        <v>0</v>
      </c>
      <c r="H131" s="47">
        <v>3032</v>
      </c>
      <c r="I131" s="47">
        <v>2763</v>
      </c>
      <c r="J131" s="47">
        <v>53601</v>
      </c>
      <c r="K131" s="47">
        <v>49005</v>
      </c>
      <c r="L131" s="105">
        <v>0.78</v>
      </c>
      <c r="M131" s="105">
        <v>7.0000000000000007E-2</v>
      </c>
      <c r="N131" s="105">
        <v>0.93</v>
      </c>
      <c r="O131" s="105">
        <v>0.56999999999999995</v>
      </c>
      <c r="P131" s="105">
        <v>1</v>
      </c>
      <c r="Q131" s="18"/>
      <c r="R131" s="18"/>
    </row>
    <row r="132" spans="1:39" x14ac:dyDescent="0.35">
      <c r="A132" s="254">
        <v>44782</v>
      </c>
      <c r="B132" s="38" t="s">
        <v>50</v>
      </c>
      <c r="C132" s="38" t="s">
        <v>60</v>
      </c>
      <c r="D132" s="47">
        <v>612</v>
      </c>
      <c r="E132" s="47">
        <v>559</v>
      </c>
      <c r="F132" s="72">
        <v>0.67671232876712328</v>
      </c>
      <c r="G132" s="72">
        <v>0.57909604519774016</v>
      </c>
      <c r="H132" s="47">
        <v>3644</v>
      </c>
      <c r="I132" s="1">
        <v>3322</v>
      </c>
      <c r="J132" s="1">
        <v>54213</v>
      </c>
      <c r="K132" s="1">
        <v>49564</v>
      </c>
      <c r="L132" s="18">
        <v>0.71</v>
      </c>
      <c r="M132" s="105">
        <v>0.09</v>
      </c>
      <c r="N132" s="105">
        <v>0.91</v>
      </c>
      <c r="O132" s="105">
        <v>0.99</v>
      </c>
      <c r="P132" s="105">
        <v>1</v>
      </c>
      <c r="Q132" s="40"/>
      <c r="R132" s="40"/>
    </row>
    <row r="133" spans="1:39" x14ac:dyDescent="0.35">
      <c r="A133" s="254">
        <v>44783</v>
      </c>
      <c r="B133" s="38" t="s">
        <v>51</v>
      </c>
      <c r="C133" s="38" t="s">
        <v>60</v>
      </c>
      <c r="D133" s="47">
        <v>507</v>
      </c>
      <c r="E133" s="47">
        <v>478</v>
      </c>
      <c r="F133" s="72">
        <v>-0.20532915360501566</v>
      </c>
      <c r="G133" s="72">
        <v>-0.13873873873873874</v>
      </c>
      <c r="H133" s="47">
        <v>4151</v>
      </c>
      <c r="I133" s="1">
        <v>3800</v>
      </c>
      <c r="J133" s="1">
        <v>54720</v>
      </c>
      <c r="K133" s="1">
        <v>50042</v>
      </c>
      <c r="L133" s="18">
        <v>0.82</v>
      </c>
      <c r="M133" s="105">
        <v>0.06</v>
      </c>
      <c r="N133" s="105">
        <v>0.94</v>
      </c>
      <c r="O133" s="105">
        <v>0.83</v>
      </c>
      <c r="P133" s="105">
        <v>1</v>
      </c>
      <c r="Q133" s="18"/>
      <c r="R133" s="18"/>
    </row>
    <row r="134" spans="1:39" x14ac:dyDescent="0.35">
      <c r="A134" s="254">
        <v>44784</v>
      </c>
      <c r="B134" s="38" t="s">
        <v>52</v>
      </c>
      <c r="C134" s="38" t="s">
        <v>60</v>
      </c>
      <c r="D134" s="47">
        <v>480</v>
      </c>
      <c r="E134" s="47">
        <v>451</v>
      </c>
      <c r="F134" s="72">
        <v>-0.19463087248322147</v>
      </c>
      <c r="G134" s="72">
        <v>-0.1648148148148148</v>
      </c>
      <c r="H134" s="47">
        <v>4631</v>
      </c>
      <c r="I134" s="1">
        <v>4251</v>
      </c>
      <c r="J134" s="1">
        <v>55200</v>
      </c>
      <c r="K134" s="1">
        <v>50493</v>
      </c>
      <c r="L134" s="18">
        <v>0.83</v>
      </c>
      <c r="M134" s="105">
        <v>0.06</v>
      </c>
      <c r="N134" s="105">
        <v>0.94</v>
      </c>
      <c r="O134" s="105">
        <v>0.83</v>
      </c>
      <c r="P134" s="105">
        <v>1</v>
      </c>
      <c r="Q134" s="40"/>
      <c r="R134" s="40"/>
      <c r="AL134" s="276" t="s">
        <v>96</v>
      </c>
      <c r="AM134" s="276"/>
    </row>
    <row r="135" spans="1:39" x14ac:dyDescent="0.35">
      <c r="A135" s="254">
        <v>44785</v>
      </c>
      <c r="B135" s="38" t="s">
        <v>53</v>
      </c>
      <c r="C135" s="38" t="s">
        <v>60</v>
      </c>
      <c r="D135" s="47">
        <v>509</v>
      </c>
      <c r="E135" s="47">
        <v>474</v>
      </c>
      <c r="F135" s="72">
        <v>-0.16830065359477125</v>
      </c>
      <c r="G135" s="72">
        <v>-0.1490125673249551</v>
      </c>
      <c r="H135" s="47">
        <v>5140</v>
      </c>
      <c r="I135" s="1">
        <v>4725</v>
      </c>
      <c r="J135" s="1">
        <v>55709</v>
      </c>
      <c r="K135" s="1">
        <v>50967</v>
      </c>
      <c r="L135" s="18">
        <v>0.77</v>
      </c>
      <c r="M135" s="105">
        <v>7.0000000000000007E-2</v>
      </c>
      <c r="N135" s="105">
        <v>0.93</v>
      </c>
      <c r="O135" s="105">
        <v>0.83</v>
      </c>
      <c r="P135" s="105">
        <v>1</v>
      </c>
      <c r="Q135" s="18"/>
      <c r="R135" s="18"/>
      <c r="AL135" t="s">
        <v>97</v>
      </c>
      <c r="AM135" t="s">
        <v>98</v>
      </c>
    </row>
    <row r="136" spans="1:39" x14ac:dyDescent="0.35">
      <c r="A136" s="254">
        <v>44786</v>
      </c>
      <c r="B136" s="38" t="s">
        <v>54</v>
      </c>
      <c r="C136" s="38" t="s">
        <v>60</v>
      </c>
      <c r="D136" s="47">
        <v>174</v>
      </c>
      <c r="E136" s="47">
        <v>171</v>
      </c>
      <c r="F136" s="72">
        <v>-1.1363636363636364E-2</v>
      </c>
      <c r="G136" s="72">
        <v>6.8750000000000006E-2</v>
      </c>
      <c r="H136" s="47">
        <v>5314</v>
      </c>
      <c r="I136" s="1">
        <v>4896</v>
      </c>
      <c r="J136" s="1">
        <v>55883</v>
      </c>
      <c r="K136" s="1">
        <v>51138</v>
      </c>
      <c r="L136" s="18">
        <v>0.95</v>
      </c>
      <c r="M136" s="105">
        <v>0.02</v>
      </c>
      <c r="N136" s="105">
        <v>0.98</v>
      </c>
      <c r="O136" s="105">
        <v>0.52</v>
      </c>
      <c r="P136" s="105">
        <v>1</v>
      </c>
      <c r="Q136" s="40"/>
      <c r="R136" s="40"/>
      <c r="AL136" t="s">
        <v>99</v>
      </c>
      <c r="AM136" s="219">
        <v>0</v>
      </c>
    </row>
    <row r="137" spans="1:39" x14ac:dyDescent="0.35">
      <c r="A137" s="254">
        <v>44787</v>
      </c>
      <c r="B137" s="38" t="s">
        <v>48</v>
      </c>
      <c r="C137" s="38" t="s">
        <v>60</v>
      </c>
      <c r="D137" s="47">
        <v>0</v>
      </c>
      <c r="E137" s="47">
        <v>0</v>
      </c>
      <c r="F137" s="72">
        <v>0</v>
      </c>
      <c r="G137" s="72">
        <v>0</v>
      </c>
      <c r="H137" s="1">
        <v>0</v>
      </c>
      <c r="I137" s="1">
        <v>0</v>
      </c>
      <c r="J137" s="1">
        <v>0</v>
      </c>
      <c r="K137" s="1">
        <v>0</v>
      </c>
      <c r="L137" s="105">
        <v>0</v>
      </c>
      <c r="M137" s="105">
        <v>0</v>
      </c>
      <c r="N137" s="105">
        <v>0</v>
      </c>
      <c r="O137" s="105">
        <v>0</v>
      </c>
      <c r="P137" s="105">
        <v>0</v>
      </c>
      <c r="Q137" s="18"/>
      <c r="R137" s="18"/>
      <c r="AL137" t="s">
        <v>100</v>
      </c>
      <c r="AM137" s="219">
        <v>0.10416666666666667</v>
      </c>
    </row>
    <row r="138" spans="1:39" x14ac:dyDescent="0.35">
      <c r="A138" s="254">
        <v>44788</v>
      </c>
      <c r="B138" s="38" t="s">
        <v>49</v>
      </c>
      <c r="C138" s="38" t="s">
        <v>60</v>
      </c>
      <c r="D138" s="47">
        <v>646</v>
      </c>
      <c r="E138" s="47">
        <v>557</v>
      </c>
      <c r="F138" s="72">
        <v>1.5503875968992248E-3</v>
      </c>
      <c r="G138" s="72">
        <v>-6.7001675041876041E-2</v>
      </c>
      <c r="H138" s="47">
        <v>5960</v>
      </c>
      <c r="I138" s="1">
        <v>5453</v>
      </c>
      <c r="J138" s="1">
        <v>56529</v>
      </c>
      <c r="K138" s="1">
        <v>51695</v>
      </c>
      <c r="L138" s="18">
        <v>0.66</v>
      </c>
      <c r="M138" s="105">
        <v>0.14000000000000001</v>
      </c>
      <c r="N138" s="105">
        <v>0.86</v>
      </c>
      <c r="O138" s="105">
        <v>0.98</v>
      </c>
      <c r="P138" s="105">
        <v>1</v>
      </c>
      <c r="Q138" s="40"/>
      <c r="R138" s="40"/>
      <c r="AL138" t="s">
        <v>101</v>
      </c>
      <c r="AM138" s="219">
        <v>0.10416666666666667</v>
      </c>
    </row>
    <row r="139" spans="1:39" x14ac:dyDescent="0.35">
      <c r="A139" s="254">
        <v>44789</v>
      </c>
      <c r="B139" s="38" t="s">
        <v>50</v>
      </c>
      <c r="C139" s="38" t="s">
        <v>60</v>
      </c>
      <c r="D139" s="47">
        <v>520</v>
      </c>
      <c r="E139" s="47">
        <v>470</v>
      </c>
      <c r="F139" s="72">
        <v>-0.15032679738562091</v>
      </c>
      <c r="G139" s="72">
        <v>-0.15921288014311269</v>
      </c>
      <c r="H139" s="47">
        <v>6480</v>
      </c>
      <c r="I139" s="1">
        <v>5923</v>
      </c>
      <c r="J139" s="1">
        <v>57049</v>
      </c>
      <c r="K139" s="1">
        <v>52165</v>
      </c>
      <c r="L139" s="105">
        <v>0.67</v>
      </c>
      <c r="M139" s="105">
        <v>0.1</v>
      </c>
      <c r="N139" s="105">
        <v>0.9</v>
      </c>
      <c r="O139" s="105">
        <v>0.88</v>
      </c>
      <c r="P139" s="105">
        <v>1</v>
      </c>
      <c r="Q139" s="18"/>
      <c r="R139" s="18"/>
      <c r="AL139" t="s">
        <v>102</v>
      </c>
      <c r="AM139" s="219">
        <v>0.20833333333333334</v>
      </c>
    </row>
    <row r="140" spans="1:39" x14ac:dyDescent="0.35">
      <c r="A140" s="254">
        <v>44790</v>
      </c>
      <c r="B140" s="38" t="s">
        <v>51</v>
      </c>
      <c r="C140" s="38" t="s">
        <v>60</v>
      </c>
      <c r="D140" s="47">
        <v>542</v>
      </c>
      <c r="E140" s="47">
        <v>493</v>
      </c>
      <c r="F140" s="72">
        <v>6.9033530571992116E-2</v>
      </c>
      <c r="G140" s="72">
        <v>3.1380753138075312E-2</v>
      </c>
      <c r="H140" s="47">
        <v>7022</v>
      </c>
      <c r="I140" s="1">
        <v>6416</v>
      </c>
      <c r="J140" s="1">
        <v>57591</v>
      </c>
      <c r="K140" s="1">
        <v>52658</v>
      </c>
      <c r="L140" s="18">
        <v>0.79</v>
      </c>
      <c r="M140" s="105">
        <v>0.09</v>
      </c>
      <c r="N140" s="105">
        <v>0.91</v>
      </c>
      <c r="O140" s="105">
        <v>0.86</v>
      </c>
      <c r="P140" s="105">
        <v>1</v>
      </c>
      <c r="Q140" s="40"/>
      <c r="R140" s="40"/>
      <c r="AL140" t="s">
        <v>98</v>
      </c>
      <c r="AM140" s="219" cm="1">
        <f t="array" ref="AM140">AVERAGEIF(chart_ATT_OECS, "&lt;&gt;0")</f>
        <v>2.0643518518518519E-3</v>
      </c>
    </row>
    <row r="141" spans="1:39" x14ac:dyDescent="0.35">
      <c r="A141" s="254">
        <v>44791</v>
      </c>
      <c r="B141" s="38" t="s">
        <v>52</v>
      </c>
      <c r="C141" s="38" t="s">
        <v>60</v>
      </c>
      <c r="D141" s="47">
        <v>507</v>
      </c>
      <c r="E141" s="47">
        <v>489</v>
      </c>
      <c r="F141" s="72">
        <v>5.6250000000000001E-2</v>
      </c>
      <c r="G141" s="72">
        <v>8.4257206208425722E-2</v>
      </c>
      <c r="H141" s="1">
        <v>7529</v>
      </c>
      <c r="I141" s="1">
        <v>6905</v>
      </c>
      <c r="J141" s="1">
        <v>58098</v>
      </c>
      <c r="K141" s="1">
        <v>53147</v>
      </c>
      <c r="L141" s="105">
        <v>0.83</v>
      </c>
      <c r="M141" s="105">
        <v>0.04</v>
      </c>
      <c r="N141" s="105">
        <v>0.96</v>
      </c>
      <c r="O141" s="105">
        <v>0.83</v>
      </c>
      <c r="P141" s="105">
        <v>1</v>
      </c>
      <c r="Q141" s="18"/>
      <c r="R141" s="18"/>
    </row>
    <row r="142" spans="1:39" x14ac:dyDescent="0.35">
      <c r="A142" s="254">
        <v>44792</v>
      </c>
      <c r="B142" s="38" t="s">
        <v>53</v>
      </c>
      <c r="C142" s="38" t="s">
        <v>60</v>
      </c>
      <c r="D142" s="47">
        <v>500</v>
      </c>
      <c r="E142" s="47">
        <v>482</v>
      </c>
      <c r="F142" s="72">
        <v>-1.768172888015717E-2</v>
      </c>
      <c r="G142" s="72">
        <v>1.6877637130801686E-2</v>
      </c>
      <c r="H142" s="47">
        <v>8029</v>
      </c>
      <c r="I142" s="1">
        <v>7387</v>
      </c>
      <c r="J142" s="1">
        <v>58598</v>
      </c>
      <c r="K142" s="1">
        <v>53629</v>
      </c>
      <c r="L142" s="18">
        <v>0.9</v>
      </c>
      <c r="M142" s="105">
        <v>0.04</v>
      </c>
      <c r="N142" s="105">
        <v>0.96</v>
      </c>
      <c r="O142" s="105">
        <v>0.67</v>
      </c>
      <c r="P142" s="105">
        <v>1</v>
      </c>
      <c r="Q142" s="40"/>
      <c r="R142" s="40"/>
    </row>
    <row r="143" spans="1:39" x14ac:dyDescent="0.35">
      <c r="A143" s="254">
        <v>44793</v>
      </c>
      <c r="B143" s="38" t="s">
        <v>54</v>
      </c>
      <c r="C143" s="38" t="s">
        <v>60</v>
      </c>
      <c r="D143" s="47">
        <v>149</v>
      </c>
      <c r="E143" s="47">
        <v>143</v>
      </c>
      <c r="F143" s="72">
        <v>-0.14367816091954022</v>
      </c>
      <c r="G143" s="72">
        <v>-0.16374269005847952</v>
      </c>
      <c r="H143" s="1">
        <v>8178</v>
      </c>
      <c r="I143" s="1">
        <v>7530</v>
      </c>
      <c r="J143" s="1">
        <v>58747</v>
      </c>
      <c r="K143" s="1">
        <v>53772</v>
      </c>
      <c r="L143" s="105">
        <v>0.91</v>
      </c>
      <c r="M143" s="105">
        <v>0.04</v>
      </c>
      <c r="N143" s="105">
        <v>0.96</v>
      </c>
      <c r="O143" s="105">
        <v>0.59</v>
      </c>
      <c r="P143" s="105">
        <v>1</v>
      </c>
      <c r="Q143" s="18"/>
      <c r="R143" s="18"/>
    </row>
    <row r="144" spans="1:39" x14ac:dyDescent="0.35">
      <c r="A144" s="254">
        <v>44794</v>
      </c>
      <c r="B144" s="38" t="s">
        <v>48</v>
      </c>
      <c r="C144" s="38" t="s">
        <v>60</v>
      </c>
      <c r="D144" s="47">
        <v>0</v>
      </c>
      <c r="E144" s="47">
        <v>0</v>
      </c>
      <c r="F144" s="72">
        <v>0</v>
      </c>
      <c r="G144" s="72">
        <v>0</v>
      </c>
      <c r="H144" s="47">
        <v>0</v>
      </c>
      <c r="I144" s="1">
        <v>0</v>
      </c>
      <c r="J144" s="1">
        <v>0</v>
      </c>
      <c r="K144" s="1">
        <v>0</v>
      </c>
      <c r="L144" s="1">
        <v>0</v>
      </c>
      <c r="M144" s="105">
        <v>0</v>
      </c>
      <c r="N144" s="105">
        <v>0</v>
      </c>
      <c r="O144" s="105">
        <v>0</v>
      </c>
      <c r="P144" s="105">
        <v>0</v>
      </c>
      <c r="Q144" s="40"/>
      <c r="R144" s="40"/>
    </row>
    <row r="145" spans="1:21" x14ac:dyDescent="0.35">
      <c r="A145" s="254">
        <v>44795</v>
      </c>
      <c r="B145" s="38" t="s">
        <v>49</v>
      </c>
      <c r="C145" s="38" t="s">
        <v>60</v>
      </c>
      <c r="D145" s="47">
        <v>531</v>
      </c>
      <c r="E145" s="47">
        <v>487</v>
      </c>
      <c r="F145" s="72">
        <v>-0.17801857585139319</v>
      </c>
      <c r="G145" s="72">
        <v>-0.12567324955116696</v>
      </c>
      <c r="H145" s="1">
        <v>8709</v>
      </c>
      <c r="I145" s="1">
        <v>8017</v>
      </c>
      <c r="J145" s="1">
        <v>59278</v>
      </c>
      <c r="K145" s="1">
        <v>54259</v>
      </c>
      <c r="L145" s="105">
        <v>0.8</v>
      </c>
      <c r="M145" s="105">
        <v>0.08</v>
      </c>
      <c r="N145" s="105">
        <v>0.92</v>
      </c>
      <c r="O145" s="105">
        <v>0.68</v>
      </c>
      <c r="P145" s="105">
        <v>1</v>
      </c>
      <c r="Q145" s="18"/>
      <c r="R145" s="18"/>
    </row>
    <row r="146" spans="1:21" x14ac:dyDescent="0.35">
      <c r="A146" s="254">
        <v>44796</v>
      </c>
      <c r="B146" s="38" t="s">
        <v>50</v>
      </c>
      <c r="C146" s="38" t="s">
        <v>60</v>
      </c>
      <c r="D146" s="47">
        <v>332</v>
      </c>
      <c r="E146" s="47">
        <v>285</v>
      </c>
      <c r="F146" s="72">
        <v>-0.36153846153846153</v>
      </c>
      <c r="G146" s="72">
        <v>-0.39361702127659576</v>
      </c>
      <c r="H146" s="47">
        <v>9041</v>
      </c>
      <c r="I146" s="1">
        <v>8302</v>
      </c>
      <c r="J146" s="1">
        <v>59610</v>
      </c>
      <c r="K146" s="1">
        <v>54544</v>
      </c>
      <c r="L146" s="18">
        <v>0.7</v>
      </c>
      <c r="M146" s="105">
        <v>0.14000000000000001</v>
      </c>
      <c r="N146" s="105">
        <v>0.86</v>
      </c>
      <c r="O146" s="105">
        <v>0.41</v>
      </c>
      <c r="P146" s="105">
        <v>1</v>
      </c>
      <c r="Q146" s="40"/>
      <c r="R146" s="40"/>
    </row>
    <row r="147" spans="1:21" x14ac:dyDescent="0.35">
      <c r="A147" s="254">
        <v>44797</v>
      </c>
      <c r="B147" s="38" t="s">
        <v>51</v>
      </c>
      <c r="C147" s="38" t="s">
        <v>60</v>
      </c>
      <c r="D147" s="47">
        <v>345</v>
      </c>
      <c r="E147" s="47">
        <v>326</v>
      </c>
      <c r="F147" s="72">
        <v>-0.36346863468634688</v>
      </c>
      <c r="G147" s="72">
        <v>-0.33874239350912777</v>
      </c>
      <c r="H147" s="1">
        <v>9386</v>
      </c>
      <c r="I147" s="1">
        <v>8628</v>
      </c>
      <c r="J147" s="1">
        <v>59955</v>
      </c>
      <c r="K147" s="1">
        <v>54870</v>
      </c>
      <c r="L147" s="105">
        <v>0.87</v>
      </c>
      <c r="M147" s="105">
        <v>0.06</v>
      </c>
      <c r="N147" s="105">
        <v>0.94</v>
      </c>
      <c r="O147" s="105">
        <v>0.49</v>
      </c>
      <c r="P147" s="105">
        <v>1</v>
      </c>
      <c r="Q147" s="18"/>
      <c r="R147" s="18"/>
    </row>
    <row r="148" spans="1:21" x14ac:dyDescent="0.35">
      <c r="A148" s="254">
        <v>44798</v>
      </c>
      <c r="B148" s="38" t="s">
        <v>52</v>
      </c>
      <c r="C148" s="38" t="s">
        <v>60</v>
      </c>
      <c r="D148" s="47">
        <v>322</v>
      </c>
      <c r="E148" s="47">
        <v>311</v>
      </c>
      <c r="F148" s="72">
        <v>-0.36489151873767256</v>
      </c>
      <c r="G148" s="72">
        <v>-0.36400817995910023</v>
      </c>
      <c r="H148" s="47">
        <v>9708</v>
      </c>
      <c r="I148" s="1">
        <v>8939</v>
      </c>
      <c r="J148" s="1">
        <v>60277</v>
      </c>
      <c r="K148" s="1">
        <v>55181</v>
      </c>
      <c r="L148" s="18">
        <v>0.92</v>
      </c>
      <c r="M148" s="105">
        <v>0.03</v>
      </c>
      <c r="N148" s="105">
        <v>0.97</v>
      </c>
      <c r="O148" s="105">
        <v>0.56000000000000005</v>
      </c>
      <c r="P148" s="105">
        <v>1</v>
      </c>
      <c r="Q148" s="40"/>
      <c r="R148" s="40"/>
    </row>
    <row r="149" spans="1:21" x14ac:dyDescent="0.35">
      <c r="A149" s="254">
        <v>44799</v>
      </c>
      <c r="B149" s="38" t="s">
        <v>53</v>
      </c>
      <c r="C149" s="38" t="s">
        <v>60</v>
      </c>
      <c r="D149" s="47">
        <v>338</v>
      </c>
      <c r="E149" s="47">
        <v>327</v>
      </c>
      <c r="F149" s="72">
        <v>-0.32400000000000001</v>
      </c>
      <c r="G149" s="72">
        <v>-0.3215767634854772</v>
      </c>
      <c r="H149" s="1">
        <v>10046</v>
      </c>
      <c r="I149" s="1">
        <v>9266</v>
      </c>
      <c r="J149" s="1">
        <v>60615</v>
      </c>
      <c r="K149" s="1">
        <v>55508</v>
      </c>
      <c r="L149" s="105">
        <v>0.94</v>
      </c>
      <c r="M149" s="105">
        <v>0.03</v>
      </c>
      <c r="N149" s="105">
        <v>0.97</v>
      </c>
      <c r="O149" s="105">
        <v>0.46</v>
      </c>
      <c r="P149" s="105">
        <v>1</v>
      </c>
      <c r="Q149" s="18"/>
      <c r="R149" s="18"/>
    </row>
    <row r="150" spans="1:21" x14ac:dyDescent="0.35">
      <c r="A150" s="254">
        <v>44800</v>
      </c>
      <c r="B150" s="38" t="s">
        <v>54</v>
      </c>
      <c r="C150" s="38" t="s">
        <v>60</v>
      </c>
      <c r="D150" s="47">
        <v>102</v>
      </c>
      <c r="E150" s="47">
        <v>100</v>
      </c>
      <c r="F150" s="72">
        <v>-0.31543624161073824</v>
      </c>
      <c r="G150" s="72">
        <v>-0.30069930069930068</v>
      </c>
      <c r="H150" s="47">
        <v>10148</v>
      </c>
      <c r="I150" s="1">
        <v>9366</v>
      </c>
      <c r="J150" s="1">
        <v>60717</v>
      </c>
      <c r="K150" s="1">
        <v>55608</v>
      </c>
      <c r="L150" s="18">
        <v>0.95</v>
      </c>
      <c r="M150" s="105">
        <v>0.02</v>
      </c>
      <c r="N150" s="105">
        <v>0.98</v>
      </c>
      <c r="O150" s="105">
        <v>0.33</v>
      </c>
      <c r="P150" s="105">
        <v>1</v>
      </c>
      <c r="Q150" s="40"/>
      <c r="R150" s="40"/>
    </row>
    <row r="151" spans="1:21" x14ac:dyDescent="0.35">
      <c r="A151" s="254">
        <v>44801</v>
      </c>
      <c r="B151" s="38" t="s">
        <v>48</v>
      </c>
      <c r="C151" s="38" t="s">
        <v>60</v>
      </c>
      <c r="D151" s="47">
        <v>0</v>
      </c>
      <c r="E151" s="47">
        <v>0</v>
      </c>
      <c r="F151" s="72">
        <v>0</v>
      </c>
      <c r="G151" s="72">
        <v>0</v>
      </c>
      <c r="H151" s="1">
        <v>0</v>
      </c>
      <c r="I151" s="1">
        <v>0</v>
      </c>
      <c r="J151" s="1">
        <v>0</v>
      </c>
      <c r="K151" s="1">
        <v>0</v>
      </c>
      <c r="L151" s="105">
        <v>0</v>
      </c>
      <c r="M151" s="105">
        <v>0</v>
      </c>
      <c r="N151" s="105">
        <v>0</v>
      </c>
      <c r="O151" s="105">
        <v>0</v>
      </c>
      <c r="P151" s="105">
        <v>0</v>
      </c>
      <c r="Q151" s="18"/>
      <c r="R151" s="18"/>
    </row>
    <row r="152" spans="1:21" x14ac:dyDescent="0.35">
      <c r="A152" s="254">
        <v>44802</v>
      </c>
      <c r="B152" s="38" t="s">
        <v>49</v>
      </c>
      <c r="C152" s="38" t="s">
        <v>60</v>
      </c>
      <c r="D152" s="47">
        <v>435</v>
      </c>
      <c r="E152" s="47">
        <v>403</v>
      </c>
      <c r="F152" s="72">
        <v>-0.1807909604519774</v>
      </c>
      <c r="G152" s="72">
        <v>-0.17248459958932238</v>
      </c>
      <c r="H152" s="47">
        <v>10583</v>
      </c>
      <c r="I152" s="1">
        <v>9769</v>
      </c>
      <c r="J152" s="1">
        <v>61152</v>
      </c>
      <c r="K152" s="1">
        <v>56011</v>
      </c>
      <c r="L152" s="18">
        <v>0.87</v>
      </c>
      <c r="M152" s="105">
        <v>7.0000000000000007E-2</v>
      </c>
      <c r="N152" s="105">
        <v>0.93</v>
      </c>
      <c r="O152" s="105">
        <v>0.48</v>
      </c>
      <c r="P152" s="105">
        <v>1</v>
      </c>
      <c r="Q152" s="139"/>
      <c r="R152" s="139">
        <v>4</v>
      </c>
    </row>
    <row r="153" spans="1:21" x14ac:dyDescent="0.35">
      <c r="A153" s="254">
        <v>44803</v>
      </c>
      <c r="B153" s="38" t="s">
        <v>50</v>
      </c>
      <c r="C153" s="38" t="s">
        <v>60</v>
      </c>
      <c r="D153" s="47">
        <v>0</v>
      </c>
      <c r="E153" s="47">
        <v>0</v>
      </c>
      <c r="F153" s="72">
        <v>0</v>
      </c>
      <c r="G153" s="72">
        <v>0</v>
      </c>
      <c r="H153" s="1">
        <v>0</v>
      </c>
      <c r="I153" s="1">
        <v>0</v>
      </c>
      <c r="J153" s="1">
        <v>0</v>
      </c>
      <c r="K153" s="1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39"/>
      <c r="R153" s="139">
        <v>0</v>
      </c>
    </row>
    <row r="154" spans="1:21" s="148" customFormat="1" x14ac:dyDescent="0.35">
      <c r="A154" s="258">
        <v>44804</v>
      </c>
      <c r="B154" s="141" t="s">
        <v>51</v>
      </c>
      <c r="C154" s="140" t="s">
        <v>60</v>
      </c>
      <c r="D154" s="142">
        <v>607</v>
      </c>
      <c r="E154" s="142">
        <v>520</v>
      </c>
      <c r="F154" s="143">
        <v>0.75942028985507248</v>
      </c>
      <c r="G154" s="143">
        <v>0.59509202453987731</v>
      </c>
      <c r="H154" s="142">
        <v>11190</v>
      </c>
      <c r="I154" s="144">
        <v>10289</v>
      </c>
      <c r="J154" s="144">
        <v>61759</v>
      </c>
      <c r="K154" s="144">
        <v>56531</v>
      </c>
      <c r="L154" s="145">
        <v>0.64</v>
      </c>
      <c r="M154" s="146">
        <v>0.14000000000000001</v>
      </c>
      <c r="N154" s="146">
        <v>0.86</v>
      </c>
      <c r="O154" s="146">
        <v>0.96</v>
      </c>
      <c r="P154" s="146">
        <v>1</v>
      </c>
      <c r="Q154" s="147"/>
      <c r="R154" s="147">
        <v>4</v>
      </c>
      <c r="S154"/>
      <c r="T154"/>
      <c r="U154"/>
    </row>
    <row r="155" spans="1:21" x14ac:dyDescent="0.35">
      <c r="A155" s="254">
        <v>44805</v>
      </c>
      <c r="B155" s="38" t="s">
        <v>52</v>
      </c>
      <c r="C155" s="38" t="s">
        <v>60</v>
      </c>
      <c r="D155" s="47">
        <v>631</v>
      </c>
      <c r="E155" s="47">
        <v>554</v>
      </c>
      <c r="F155" s="72">
        <v>0.95962732919254656</v>
      </c>
      <c r="G155" s="72">
        <v>0.7813504823151125</v>
      </c>
      <c r="H155" s="1">
        <v>631</v>
      </c>
      <c r="I155" s="1">
        <v>554</v>
      </c>
      <c r="J155" s="1">
        <v>62390</v>
      </c>
      <c r="K155" s="1">
        <v>57085</v>
      </c>
      <c r="L155" s="105">
        <v>0.71</v>
      </c>
      <c r="M155" s="105">
        <v>0.12</v>
      </c>
      <c r="N155" s="105">
        <v>0.88</v>
      </c>
      <c r="O155" s="105">
        <v>0.77</v>
      </c>
      <c r="P155" s="105">
        <v>1</v>
      </c>
      <c r="Q155" s="17"/>
      <c r="R155" s="17">
        <v>5</v>
      </c>
    </row>
    <row r="156" spans="1:21" x14ac:dyDescent="0.35">
      <c r="A156" s="254">
        <v>44806</v>
      </c>
      <c r="B156" s="36" t="s">
        <v>53</v>
      </c>
      <c r="C156" s="38" t="s">
        <v>60</v>
      </c>
      <c r="D156" s="47">
        <v>557</v>
      </c>
      <c r="E156" s="47">
        <v>522</v>
      </c>
      <c r="F156" s="72">
        <v>0.64792899408284022</v>
      </c>
      <c r="G156" s="72">
        <v>0.59633027522935778</v>
      </c>
      <c r="H156" s="47">
        <v>1188</v>
      </c>
      <c r="I156" s="1">
        <v>1076</v>
      </c>
      <c r="J156" s="1">
        <v>62947</v>
      </c>
      <c r="K156" s="1">
        <v>57607</v>
      </c>
      <c r="L156" s="18">
        <v>0.8</v>
      </c>
      <c r="M156" s="105">
        <v>0.06</v>
      </c>
      <c r="N156" s="105">
        <v>0.94</v>
      </c>
      <c r="O156" s="105">
        <v>0.75</v>
      </c>
      <c r="P156" s="105">
        <v>1</v>
      </c>
      <c r="Q156" s="139"/>
      <c r="R156" s="139">
        <v>5</v>
      </c>
    </row>
    <row r="157" spans="1:21" x14ac:dyDescent="0.35">
      <c r="A157" s="254">
        <v>44807</v>
      </c>
      <c r="B157" s="38" t="s">
        <v>54</v>
      </c>
      <c r="C157" s="38" t="s">
        <v>60</v>
      </c>
      <c r="D157" s="47">
        <v>246</v>
      </c>
      <c r="E157" s="47">
        <v>230</v>
      </c>
      <c r="F157" s="72">
        <v>1.411764705882353</v>
      </c>
      <c r="G157" s="72">
        <v>1.3</v>
      </c>
      <c r="H157" s="1">
        <v>1434</v>
      </c>
      <c r="I157" s="1">
        <v>1306</v>
      </c>
      <c r="J157" s="1">
        <v>63193</v>
      </c>
      <c r="K157" s="1">
        <v>57837</v>
      </c>
      <c r="L157" s="105">
        <v>0.76</v>
      </c>
      <c r="M157" s="105">
        <v>7.0000000000000007E-2</v>
      </c>
      <c r="N157" s="105">
        <v>0.93</v>
      </c>
      <c r="O157" s="105">
        <v>0.46</v>
      </c>
      <c r="P157" s="105">
        <v>1</v>
      </c>
      <c r="Q157" s="17"/>
      <c r="R157" s="17">
        <v>5</v>
      </c>
    </row>
    <row r="158" spans="1:21" x14ac:dyDescent="0.35">
      <c r="A158" s="254">
        <v>44808</v>
      </c>
      <c r="B158" s="36" t="s">
        <v>48</v>
      </c>
      <c r="C158" s="38" t="s">
        <v>60</v>
      </c>
      <c r="D158" s="47">
        <v>0</v>
      </c>
      <c r="E158" s="47">
        <v>0</v>
      </c>
      <c r="F158" s="72">
        <v>0</v>
      </c>
      <c r="G158" s="72">
        <v>0</v>
      </c>
      <c r="H158" s="47">
        <v>0</v>
      </c>
      <c r="I158" s="1">
        <v>0</v>
      </c>
      <c r="J158" s="1">
        <v>0</v>
      </c>
      <c r="K158" s="1">
        <v>0</v>
      </c>
      <c r="L158" s="18">
        <v>0</v>
      </c>
      <c r="M158" s="105">
        <v>0</v>
      </c>
      <c r="N158" s="105">
        <v>0</v>
      </c>
      <c r="O158" s="105">
        <v>0</v>
      </c>
      <c r="P158" s="105">
        <v>0</v>
      </c>
      <c r="Q158" s="139"/>
      <c r="R158" s="139">
        <v>0</v>
      </c>
    </row>
    <row r="159" spans="1:21" x14ac:dyDescent="0.35">
      <c r="A159" s="254">
        <v>44809</v>
      </c>
      <c r="B159" s="38" t="s">
        <v>49</v>
      </c>
      <c r="C159" s="38" t="s">
        <v>60</v>
      </c>
      <c r="D159" s="47">
        <v>712</v>
      </c>
      <c r="E159" s="47">
        <v>583</v>
      </c>
      <c r="F159" s="72">
        <v>0.63678160919540228</v>
      </c>
      <c r="G159" s="72">
        <v>0.4466501240694789</v>
      </c>
      <c r="H159" s="1">
        <v>2146</v>
      </c>
      <c r="I159" s="1">
        <v>1889</v>
      </c>
      <c r="J159" s="1">
        <v>63905</v>
      </c>
      <c r="K159" s="1">
        <v>58420</v>
      </c>
      <c r="L159" s="105">
        <v>0.56999999999999995</v>
      </c>
      <c r="M159" s="105">
        <v>0.18</v>
      </c>
      <c r="N159" s="105">
        <v>0.82</v>
      </c>
      <c r="O159" s="105">
        <v>0.84</v>
      </c>
      <c r="P159" s="105">
        <v>1</v>
      </c>
      <c r="Q159" s="17"/>
      <c r="R159" s="17">
        <v>5</v>
      </c>
    </row>
    <row r="160" spans="1:21" x14ac:dyDescent="0.35">
      <c r="A160" s="254">
        <v>44810</v>
      </c>
      <c r="B160" s="36" t="s">
        <v>50</v>
      </c>
      <c r="C160" s="38" t="s">
        <v>60</v>
      </c>
      <c r="D160" s="46">
        <v>626</v>
      </c>
      <c r="E160" s="46">
        <v>551</v>
      </c>
      <c r="F160" s="72">
        <v>0</v>
      </c>
      <c r="G160" s="72">
        <v>0</v>
      </c>
      <c r="H160" s="34">
        <v>2772</v>
      </c>
      <c r="I160" s="34">
        <v>2440</v>
      </c>
      <c r="J160" s="34">
        <v>64531</v>
      </c>
      <c r="K160" s="34">
        <v>58971</v>
      </c>
      <c r="L160" s="106">
        <v>0.68</v>
      </c>
      <c r="M160" s="106">
        <v>0.12</v>
      </c>
      <c r="N160" s="106">
        <v>0.88</v>
      </c>
      <c r="O160" s="106">
        <v>0.77</v>
      </c>
      <c r="P160" s="106">
        <v>1</v>
      </c>
      <c r="Q160" s="139"/>
      <c r="R160" s="139">
        <v>5</v>
      </c>
    </row>
    <row r="161" spans="1:18" x14ac:dyDescent="0.35">
      <c r="A161" s="254">
        <v>44811</v>
      </c>
      <c r="B161" s="38" t="s">
        <v>51</v>
      </c>
      <c r="C161" s="38" t="s">
        <v>60</v>
      </c>
      <c r="D161" s="47">
        <v>570</v>
      </c>
      <c r="E161" s="47">
        <v>532</v>
      </c>
      <c r="F161" s="72">
        <v>-6.0955518945634266E-2</v>
      </c>
      <c r="G161" s="72">
        <v>2.3076923076923078E-2</v>
      </c>
      <c r="H161" s="1">
        <v>3342</v>
      </c>
      <c r="I161" s="1">
        <v>2972</v>
      </c>
      <c r="J161" s="1">
        <v>65101</v>
      </c>
      <c r="K161" s="1">
        <v>59503</v>
      </c>
      <c r="L161" s="105">
        <v>0.82</v>
      </c>
      <c r="M161" s="105">
        <v>7.0000000000000007E-2</v>
      </c>
      <c r="N161" s="105">
        <v>0.93</v>
      </c>
      <c r="O161" s="105">
        <v>0.76</v>
      </c>
      <c r="P161" s="105">
        <v>1</v>
      </c>
      <c r="Q161" s="17"/>
      <c r="R161" s="17">
        <v>5</v>
      </c>
    </row>
    <row r="162" spans="1:18" x14ac:dyDescent="0.35">
      <c r="A162" s="254">
        <v>44812</v>
      </c>
      <c r="B162" s="38" t="s">
        <v>52</v>
      </c>
      <c r="C162" s="38" t="s">
        <v>60</v>
      </c>
      <c r="D162" s="47">
        <v>593</v>
      </c>
      <c r="E162" s="47">
        <v>546</v>
      </c>
      <c r="F162" s="72">
        <v>-6.0221870047543584E-2</v>
      </c>
      <c r="G162" s="72">
        <v>-1.444043321299639E-2</v>
      </c>
      <c r="H162" s="47">
        <v>3935</v>
      </c>
      <c r="I162" s="1">
        <v>3518</v>
      </c>
      <c r="J162" s="1">
        <v>65694</v>
      </c>
      <c r="K162" s="1">
        <v>60049</v>
      </c>
      <c r="L162" s="18">
        <v>0.79</v>
      </c>
      <c r="M162" s="105">
        <v>0.08</v>
      </c>
      <c r="N162" s="105">
        <v>0.92</v>
      </c>
      <c r="O162" s="105">
        <v>0.64</v>
      </c>
      <c r="P162" s="105">
        <v>1</v>
      </c>
      <c r="Q162" s="17"/>
      <c r="R162" s="17">
        <v>5</v>
      </c>
    </row>
    <row r="163" spans="1:18" x14ac:dyDescent="0.35">
      <c r="A163" s="254">
        <v>44813</v>
      </c>
      <c r="B163" s="38" t="s">
        <v>53</v>
      </c>
      <c r="C163" s="38" t="s">
        <v>60</v>
      </c>
      <c r="D163" s="47">
        <v>574</v>
      </c>
      <c r="E163" s="47">
        <v>545</v>
      </c>
      <c r="F163" s="72">
        <v>3.052064631956912E-2</v>
      </c>
      <c r="G163" s="72">
        <v>4.4061302681992334E-2</v>
      </c>
      <c r="H163" s="1">
        <v>4509</v>
      </c>
      <c r="I163" s="1">
        <v>4063</v>
      </c>
      <c r="J163" s="1">
        <v>66268</v>
      </c>
      <c r="K163" s="1">
        <v>60594</v>
      </c>
      <c r="L163" s="105">
        <v>0.82</v>
      </c>
      <c r="M163" s="105">
        <v>0.05</v>
      </c>
      <c r="N163" s="105">
        <v>0.95</v>
      </c>
      <c r="O163" s="105">
        <v>0.77</v>
      </c>
      <c r="P163" s="105">
        <v>1</v>
      </c>
      <c r="Q163" s="17"/>
      <c r="R163" s="17">
        <v>5</v>
      </c>
    </row>
    <row r="164" spans="1:18" x14ac:dyDescent="0.35">
      <c r="A164" s="254">
        <v>44814</v>
      </c>
      <c r="B164" s="36" t="s">
        <v>54</v>
      </c>
      <c r="C164" s="38" t="s">
        <v>60</v>
      </c>
      <c r="D164" s="47">
        <v>169</v>
      </c>
      <c r="E164" s="47">
        <v>164</v>
      </c>
      <c r="F164" s="72">
        <v>-0.31300813008130079</v>
      </c>
      <c r="G164" s="72">
        <v>-0.28695652173913044</v>
      </c>
      <c r="H164" s="47">
        <v>4678</v>
      </c>
      <c r="I164" s="1">
        <v>4227</v>
      </c>
      <c r="J164" s="1">
        <v>66437</v>
      </c>
      <c r="K164" s="1">
        <v>60758</v>
      </c>
      <c r="L164" s="18">
        <v>0.9</v>
      </c>
      <c r="M164" s="105">
        <v>0.03</v>
      </c>
      <c r="N164" s="105">
        <v>0.97</v>
      </c>
      <c r="O164" s="105">
        <v>0.68</v>
      </c>
      <c r="P164" s="105">
        <v>1</v>
      </c>
      <c r="Q164" s="139"/>
      <c r="R164" s="139">
        <v>3</v>
      </c>
    </row>
    <row r="165" spans="1:18" x14ac:dyDescent="0.35">
      <c r="A165" s="254">
        <v>44815</v>
      </c>
      <c r="B165" s="38" t="s">
        <v>48</v>
      </c>
      <c r="C165" s="38" t="s">
        <v>60</v>
      </c>
      <c r="D165" s="47">
        <v>0</v>
      </c>
      <c r="E165" s="47">
        <v>0</v>
      </c>
      <c r="F165" s="72">
        <v>0</v>
      </c>
      <c r="G165" s="72">
        <v>0</v>
      </c>
      <c r="H165" s="1">
        <v>0</v>
      </c>
      <c r="I165" s="1">
        <v>0</v>
      </c>
      <c r="J165" s="1">
        <v>0</v>
      </c>
      <c r="K165" s="1">
        <v>0</v>
      </c>
      <c r="L165" s="105">
        <v>0</v>
      </c>
      <c r="M165" s="105">
        <v>0</v>
      </c>
      <c r="N165" s="105">
        <v>0</v>
      </c>
      <c r="O165" s="105">
        <v>0</v>
      </c>
      <c r="P165" s="105">
        <v>0</v>
      </c>
      <c r="Q165" s="17"/>
      <c r="R165" s="17">
        <v>0</v>
      </c>
    </row>
    <row r="166" spans="1:18" x14ac:dyDescent="0.35">
      <c r="A166" s="254">
        <v>44816</v>
      </c>
      <c r="B166" s="36" t="s">
        <v>49</v>
      </c>
      <c r="C166" s="38" t="s">
        <v>60</v>
      </c>
      <c r="D166" s="46">
        <v>617</v>
      </c>
      <c r="E166" s="46">
        <v>576</v>
      </c>
      <c r="F166" s="72">
        <v>-0.13342696629213482</v>
      </c>
      <c r="G166" s="72">
        <v>-1.2006861063464836E-2</v>
      </c>
      <c r="H166" s="1">
        <v>5295</v>
      </c>
      <c r="I166" s="1">
        <v>4803</v>
      </c>
      <c r="J166" s="1">
        <v>67054</v>
      </c>
      <c r="K166" s="1">
        <v>61334</v>
      </c>
      <c r="L166" s="106">
        <v>0.83</v>
      </c>
      <c r="M166" s="106">
        <v>7.0000000000000007E-2</v>
      </c>
      <c r="N166" s="105">
        <v>0.92999999999999994</v>
      </c>
      <c r="O166" s="106">
        <v>0.83</v>
      </c>
      <c r="P166" s="106">
        <v>1</v>
      </c>
      <c r="Q166" s="34"/>
      <c r="R166" s="34">
        <v>5</v>
      </c>
    </row>
    <row r="167" spans="1:18" x14ac:dyDescent="0.35">
      <c r="A167" s="254">
        <v>44817</v>
      </c>
      <c r="B167" s="38" t="s">
        <v>50</v>
      </c>
      <c r="C167" s="38" t="s">
        <v>60</v>
      </c>
      <c r="D167" s="47">
        <v>599</v>
      </c>
      <c r="E167" s="47">
        <v>532</v>
      </c>
      <c r="F167" s="72">
        <v>-4.3130990415335461E-2</v>
      </c>
      <c r="G167" s="72">
        <v>-3.4482758620689655E-2</v>
      </c>
      <c r="H167" s="1">
        <v>5894</v>
      </c>
      <c r="I167" s="1">
        <v>5335</v>
      </c>
      <c r="J167" s="1">
        <v>67653</v>
      </c>
      <c r="K167" s="1">
        <v>61866</v>
      </c>
      <c r="L167" s="105">
        <v>0.74</v>
      </c>
      <c r="M167" s="105">
        <v>0.11</v>
      </c>
      <c r="N167" s="105">
        <v>0.89</v>
      </c>
      <c r="O167" s="105">
        <v>0.77</v>
      </c>
      <c r="P167" s="105">
        <v>1</v>
      </c>
      <c r="Q167" s="1"/>
      <c r="R167" s="1">
        <v>5</v>
      </c>
    </row>
    <row r="168" spans="1:18" x14ac:dyDescent="0.35">
      <c r="A168" s="254">
        <v>44818</v>
      </c>
      <c r="B168" s="36" t="s">
        <v>51</v>
      </c>
      <c r="C168" s="38" t="s">
        <v>60</v>
      </c>
      <c r="D168" s="47">
        <v>520</v>
      </c>
      <c r="E168" s="47">
        <v>487</v>
      </c>
      <c r="F168" s="72">
        <v>-8.771929824561403E-2</v>
      </c>
      <c r="G168" s="72">
        <v>-8.4586466165413529E-2</v>
      </c>
      <c r="H168" s="1">
        <v>6414</v>
      </c>
      <c r="I168" s="1">
        <v>5822</v>
      </c>
      <c r="J168" s="1">
        <v>68173</v>
      </c>
      <c r="K168" s="1">
        <v>62353</v>
      </c>
      <c r="L168" s="105">
        <v>0.78</v>
      </c>
      <c r="M168" s="105">
        <v>0.06</v>
      </c>
      <c r="N168" s="105">
        <v>0.94</v>
      </c>
      <c r="O168" s="105">
        <v>0.91</v>
      </c>
      <c r="P168" s="105">
        <v>1</v>
      </c>
      <c r="Q168" s="1"/>
      <c r="R168" s="1">
        <v>4</v>
      </c>
    </row>
    <row r="169" spans="1:18" x14ac:dyDescent="0.35">
      <c r="A169" s="254">
        <v>44819</v>
      </c>
      <c r="B169" s="38" t="s">
        <v>52</v>
      </c>
      <c r="C169" s="38" t="s">
        <v>60</v>
      </c>
      <c r="D169" s="47">
        <v>515</v>
      </c>
      <c r="E169" s="47">
        <v>477</v>
      </c>
      <c r="F169" s="72">
        <v>-0.13153456998313659</v>
      </c>
      <c r="G169" s="72">
        <v>-0.12637362637362637</v>
      </c>
      <c r="H169" s="47">
        <v>6929</v>
      </c>
      <c r="I169" s="1">
        <v>6299</v>
      </c>
      <c r="J169" s="1">
        <v>68688</v>
      </c>
      <c r="K169" s="1">
        <v>62830</v>
      </c>
      <c r="L169" s="105">
        <v>0.8</v>
      </c>
      <c r="M169" s="105">
        <v>7.0000000000000007E-2</v>
      </c>
      <c r="N169" s="105">
        <v>0.92999999999999994</v>
      </c>
      <c r="O169" s="105">
        <v>0.72</v>
      </c>
      <c r="P169" s="105">
        <v>1</v>
      </c>
      <c r="Q169" s="1"/>
      <c r="R169" s="1">
        <v>5</v>
      </c>
    </row>
    <row r="170" spans="1:18" x14ac:dyDescent="0.35">
      <c r="A170" s="254">
        <v>44820</v>
      </c>
      <c r="B170" s="36" t="s">
        <v>53</v>
      </c>
      <c r="C170" s="38" t="s">
        <v>60</v>
      </c>
      <c r="D170" s="46">
        <v>388</v>
      </c>
      <c r="E170" s="46">
        <v>378</v>
      </c>
      <c r="F170" s="72">
        <v>-0.3240418118466899</v>
      </c>
      <c r="G170" s="72">
        <v>-0.30642201834862387</v>
      </c>
      <c r="H170" s="1">
        <v>7317</v>
      </c>
      <c r="I170" s="1">
        <v>6677</v>
      </c>
      <c r="J170" s="1">
        <v>69076</v>
      </c>
      <c r="K170" s="1">
        <v>63208</v>
      </c>
      <c r="L170" s="106">
        <v>0.91</v>
      </c>
      <c r="M170" s="106">
        <v>0.03</v>
      </c>
      <c r="N170" s="105">
        <v>0.97</v>
      </c>
      <c r="O170" s="106">
        <v>0.55000000000000004</v>
      </c>
      <c r="P170" s="105">
        <v>1</v>
      </c>
      <c r="Q170" s="34"/>
      <c r="R170" s="34">
        <v>5</v>
      </c>
    </row>
    <row r="171" spans="1:18" x14ac:dyDescent="0.35">
      <c r="A171" s="254">
        <v>44821</v>
      </c>
      <c r="B171" s="38" t="s">
        <v>54</v>
      </c>
      <c r="C171" s="38" t="s">
        <v>60</v>
      </c>
      <c r="D171" s="47">
        <v>144</v>
      </c>
      <c r="E171" s="47">
        <v>132</v>
      </c>
      <c r="F171" s="72">
        <v>-0.14792899408284024</v>
      </c>
      <c r="G171" s="72">
        <v>-0.1951219512195122</v>
      </c>
      <c r="H171" s="47">
        <v>7461</v>
      </c>
      <c r="I171" s="1">
        <v>6809</v>
      </c>
      <c r="J171" s="1">
        <v>69220</v>
      </c>
      <c r="K171" s="1">
        <v>63340</v>
      </c>
      <c r="L171" s="105">
        <v>0.85</v>
      </c>
      <c r="M171" s="105">
        <v>0.08</v>
      </c>
      <c r="N171" s="105">
        <v>0.92</v>
      </c>
      <c r="O171" s="105">
        <v>0.44</v>
      </c>
      <c r="P171" s="105">
        <v>1</v>
      </c>
      <c r="Q171" s="1"/>
      <c r="R171" s="1">
        <v>3</v>
      </c>
    </row>
    <row r="172" spans="1:18" x14ac:dyDescent="0.35">
      <c r="A172" s="254">
        <v>44822</v>
      </c>
      <c r="B172" s="36" t="s">
        <v>48</v>
      </c>
      <c r="C172" s="38" t="s">
        <v>60</v>
      </c>
      <c r="D172" s="46">
        <v>0</v>
      </c>
      <c r="E172" s="46">
        <v>0</v>
      </c>
      <c r="F172" s="72">
        <v>0</v>
      </c>
      <c r="G172" s="72">
        <v>0</v>
      </c>
      <c r="H172" s="34">
        <v>0</v>
      </c>
      <c r="I172" s="34">
        <v>0</v>
      </c>
      <c r="J172" s="34">
        <v>0</v>
      </c>
      <c r="K172" s="34">
        <v>0</v>
      </c>
      <c r="L172" s="106">
        <v>0</v>
      </c>
      <c r="M172" s="106">
        <v>0</v>
      </c>
      <c r="N172" s="106">
        <v>0</v>
      </c>
      <c r="O172" s="106">
        <v>0</v>
      </c>
      <c r="P172" s="106">
        <v>0</v>
      </c>
      <c r="Q172" s="34"/>
      <c r="R172" s="34">
        <v>0</v>
      </c>
    </row>
    <row r="173" spans="1:18" x14ac:dyDescent="0.35">
      <c r="A173" s="254">
        <v>44823</v>
      </c>
      <c r="B173" s="38" t="s">
        <v>49</v>
      </c>
      <c r="C173" s="38" t="s">
        <v>60</v>
      </c>
      <c r="D173" s="47">
        <v>443</v>
      </c>
      <c r="E173" s="47">
        <v>415</v>
      </c>
      <c r="F173" s="72">
        <v>-0.28200972447325767</v>
      </c>
      <c r="G173" s="72">
        <v>-0.2795138888888889</v>
      </c>
      <c r="H173" s="1">
        <v>7904</v>
      </c>
      <c r="I173" s="1">
        <v>7224</v>
      </c>
      <c r="J173" s="1">
        <v>69663</v>
      </c>
      <c r="K173" s="1">
        <v>63755</v>
      </c>
      <c r="L173" s="105">
        <v>0.86</v>
      </c>
      <c r="M173" s="105">
        <v>0.06</v>
      </c>
      <c r="N173" s="105">
        <v>0.94</v>
      </c>
      <c r="O173" s="105">
        <v>0.64</v>
      </c>
      <c r="P173" s="105">
        <v>1</v>
      </c>
      <c r="Q173" s="1"/>
      <c r="R173" s="1">
        <v>5</v>
      </c>
    </row>
    <row r="174" spans="1:18" x14ac:dyDescent="0.35">
      <c r="A174" s="254">
        <v>44824</v>
      </c>
      <c r="B174" s="36" t="s">
        <v>50</v>
      </c>
      <c r="C174" s="38" t="s">
        <v>60</v>
      </c>
      <c r="D174" s="46">
        <v>588</v>
      </c>
      <c r="E174" s="46">
        <v>548</v>
      </c>
      <c r="F174" s="72">
        <v>-1.8363939899833055E-2</v>
      </c>
      <c r="G174" s="72">
        <v>3.007518796992481E-2</v>
      </c>
      <c r="H174" s="34">
        <v>8492</v>
      </c>
      <c r="I174" s="34">
        <v>7772</v>
      </c>
      <c r="J174" s="34">
        <v>70251</v>
      </c>
      <c r="K174" s="34">
        <v>64303</v>
      </c>
      <c r="L174" s="106">
        <v>0.81</v>
      </c>
      <c r="M174" s="106">
        <v>7.0000000000000007E-2</v>
      </c>
      <c r="N174" s="105">
        <v>0.92999999999999994</v>
      </c>
      <c r="O174" s="105">
        <v>0.78</v>
      </c>
      <c r="P174" s="106">
        <v>1</v>
      </c>
      <c r="Q174" s="34"/>
      <c r="R174" s="34">
        <v>5</v>
      </c>
    </row>
    <row r="175" spans="1:18" x14ac:dyDescent="0.35">
      <c r="A175" s="254">
        <v>44825</v>
      </c>
      <c r="B175" s="38" t="s">
        <v>51</v>
      </c>
      <c r="C175" s="38" t="s">
        <v>60</v>
      </c>
      <c r="D175" s="47">
        <v>525</v>
      </c>
      <c r="E175" s="47">
        <v>477</v>
      </c>
      <c r="F175" s="72">
        <v>9.6153846153846159E-3</v>
      </c>
      <c r="G175" s="72">
        <v>-2.0533880903490759E-2</v>
      </c>
      <c r="H175" s="1">
        <v>9017</v>
      </c>
      <c r="I175" s="1">
        <v>8249</v>
      </c>
      <c r="J175" s="1">
        <v>70776</v>
      </c>
      <c r="K175" s="1">
        <v>64780</v>
      </c>
      <c r="L175" s="105">
        <v>0.74</v>
      </c>
      <c r="M175" s="105">
        <v>0.09</v>
      </c>
      <c r="N175" s="105">
        <v>0.91</v>
      </c>
      <c r="O175" s="105">
        <v>0.72</v>
      </c>
      <c r="P175" s="105">
        <v>1</v>
      </c>
      <c r="Q175" s="1"/>
      <c r="R175" s="1">
        <v>5</v>
      </c>
    </row>
    <row r="176" spans="1:18" x14ac:dyDescent="0.35">
      <c r="A176" s="254">
        <v>44826</v>
      </c>
      <c r="B176" s="36" t="s">
        <v>52</v>
      </c>
      <c r="C176" s="38" t="s">
        <v>60</v>
      </c>
      <c r="D176" s="46">
        <v>505</v>
      </c>
      <c r="E176" s="46">
        <v>454</v>
      </c>
      <c r="F176" s="72">
        <v>-1.9417475728155338E-2</v>
      </c>
      <c r="G176" s="72">
        <v>-4.8218029350104823E-2</v>
      </c>
      <c r="H176" s="47">
        <v>9522</v>
      </c>
      <c r="I176" s="1">
        <v>8703</v>
      </c>
      <c r="J176" s="1">
        <v>71281</v>
      </c>
      <c r="K176" s="1">
        <v>65234</v>
      </c>
      <c r="L176" s="106">
        <v>0.76</v>
      </c>
      <c r="M176" s="106">
        <v>0.1</v>
      </c>
      <c r="N176" s="105">
        <v>0.9</v>
      </c>
      <c r="O176" s="106">
        <v>0.68</v>
      </c>
      <c r="P176" s="106">
        <v>1</v>
      </c>
      <c r="Q176" s="34"/>
      <c r="R176" s="34">
        <v>5</v>
      </c>
    </row>
    <row r="177" spans="1:21" x14ac:dyDescent="0.35">
      <c r="A177" s="254">
        <v>44827</v>
      </c>
      <c r="B177" s="38" t="s">
        <v>53</v>
      </c>
      <c r="C177" s="38" t="s">
        <v>60</v>
      </c>
      <c r="D177" s="47">
        <v>538</v>
      </c>
      <c r="E177" s="47">
        <v>485</v>
      </c>
      <c r="F177" s="72">
        <v>0.38659793814432991</v>
      </c>
      <c r="G177" s="72">
        <v>0.28306878306878308</v>
      </c>
      <c r="H177" s="1">
        <v>10060</v>
      </c>
      <c r="I177" s="1">
        <v>9188</v>
      </c>
      <c r="J177" s="1">
        <v>71819</v>
      </c>
      <c r="K177" s="1">
        <v>65719</v>
      </c>
      <c r="L177" s="105">
        <v>0.76</v>
      </c>
      <c r="M177" s="105">
        <v>0.1</v>
      </c>
      <c r="N177" s="105">
        <v>0.9</v>
      </c>
      <c r="O177" s="105">
        <v>0.7</v>
      </c>
      <c r="P177" s="106">
        <v>1</v>
      </c>
      <c r="Q177" s="1"/>
      <c r="R177" s="1">
        <v>5</v>
      </c>
    </row>
    <row r="178" spans="1:21" x14ac:dyDescent="0.35">
      <c r="A178" s="254">
        <v>44828</v>
      </c>
      <c r="B178" s="36" t="s">
        <v>54</v>
      </c>
      <c r="C178" s="38" t="s">
        <v>60</v>
      </c>
      <c r="D178" s="46">
        <v>154</v>
      </c>
      <c r="E178" s="46">
        <v>151</v>
      </c>
      <c r="F178" s="72">
        <v>6.9444444444444448E-2</v>
      </c>
      <c r="G178" s="72">
        <v>0.14393939393939395</v>
      </c>
      <c r="H178" s="47">
        <v>10214</v>
      </c>
      <c r="I178" s="1">
        <v>9339</v>
      </c>
      <c r="J178" s="1">
        <v>71973</v>
      </c>
      <c r="K178" s="1">
        <v>65870</v>
      </c>
      <c r="L178" s="106">
        <v>0.94</v>
      </c>
      <c r="M178" s="106">
        <v>0.02</v>
      </c>
      <c r="N178" s="105">
        <v>0.98</v>
      </c>
      <c r="O178" s="106">
        <v>0.46</v>
      </c>
      <c r="P178" s="106">
        <v>1</v>
      </c>
      <c r="Q178" s="34"/>
      <c r="R178" s="34">
        <v>4</v>
      </c>
    </row>
    <row r="179" spans="1:21" x14ac:dyDescent="0.35">
      <c r="A179" s="254">
        <v>44829</v>
      </c>
      <c r="B179" s="38" t="s">
        <v>48</v>
      </c>
      <c r="C179" s="38" t="s">
        <v>60</v>
      </c>
      <c r="D179" s="47">
        <v>0</v>
      </c>
      <c r="E179" s="47">
        <v>0</v>
      </c>
      <c r="F179" s="72">
        <v>0</v>
      </c>
      <c r="G179" s="72">
        <v>0</v>
      </c>
      <c r="H179" s="1">
        <v>0</v>
      </c>
      <c r="I179" s="1">
        <v>0</v>
      </c>
      <c r="J179" s="1">
        <v>0</v>
      </c>
      <c r="K179" s="1">
        <v>0</v>
      </c>
      <c r="L179" s="105">
        <v>0</v>
      </c>
      <c r="M179" s="105">
        <v>0</v>
      </c>
      <c r="N179" s="105">
        <v>0</v>
      </c>
      <c r="O179" s="105">
        <v>0</v>
      </c>
      <c r="P179" s="105">
        <v>0</v>
      </c>
      <c r="Q179" s="1"/>
      <c r="R179" s="1">
        <v>0</v>
      </c>
      <c r="S179">
        <f>AVERAGEIF(P349:P355,"&lt;&gt;0")</f>
        <v>1</v>
      </c>
    </row>
    <row r="180" spans="1:21" x14ac:dyDescent="0.35">
      <c r="A180" s="254">
        <v>44830</v>
      </c>
      <c r="B180" s="38" t="s">
        <v>49</v>
      </c>
      <c r="C180" s="38" t="s">
        <v>60</v>
      </c>
      <c r="D180" s="47">
        <v>543</v>
      </c>
      <c r="E180" s="47">
        <v>512</v>
      </c>
      <c r="F180" s="72">
        <f>(Table2[[#This Row],[Calls Off]]-D173)/D173</f>
        <v>0.22573363431151242</v>
      </c>
      <c r="G180" s="72">
        <v>0.23373493975903614</v>
      </c>
      <c r="H180" s="47">
        <v>10757</v>
      </c>
      <c r="I180" s="1">
        <v>9851</v>
      </c>
      <c r="J180" s="1">
        <v>72516</v>
      </c>
      <c r="K180" s="1">
        <v>66382</v>
      </c>
      <c r="L180" s="18">
        <v>0.83</v>
      </c>
      <c r="M180" s="105">
        <v>0.06</v>
      </c>
      <c r="N180" s="105">
        <v>0.94</v>
      </c>
      <c r="O180" s="105">
        <v>0.72</v>
      </c>
      <c r="P180" s="105">
        <v>1</v>
      </c>
      <c r="Q180" s="17"/>
      <c r="R180" s="17">
        <v>5</v>
      </c>
    </row>
    <row r="181" spans="1:21" x14ac:dyDescent="0.35">
      <c r="A181" s="254">
        <v>44831</v>
      </c>
      <c r="B181" s="38" t="s">
        <v>50</v>
      </c>
      <c r="C181" s="38" t="s">
        <v>60</v>
      </c>
      <c r="D181" s="47">
        <v>527</v>
      </c>
      <c r="E181" s="47">
        <v>465</v>
      </c>
      <c r="F181" s="72">
        <v>-0.10374149659863946</v>
      </c>
      <c r="G181" s="72">
        <v>-0.15145985401459855</v>
      </c>
      <c r="H181" s="47">
        <v>11284</v>
      </c>
      <c r="I181" s="1">
        <v>10316</v>
      </c>
      <c r="J181" s="1">
        <v>73043</v>
      </c>
      <c r="K181" s="1">
        <v>66847</v>
      </c>
      <c r="L181" s="105">
        <v>0.71</v>
      </c>
      <c r="M181" s="105">
        <v>0.12</v>
      </c>
      <c r="N181" s="105">
        <v>0.88</v>
      </c>
      <c r="O181" s="105">
        <v>0.69</v>
      </c>
      <c r="P181" s="105">
        <v>1</v>
      </c>
      <c r="Q181" s="17"/>
      <c r="R181" s="17">
        <v>5</v>
      </c>
    </row>
    <row r="182" spans="1:21" x14ac:dyDescent="0.35">
      <c r="A182" s="254">
        <v>44832</v>
      </c>
      <c r="B182" s="36" t="s">
        <v>51</v>
      </c>
      <c r="C182" s="38" t="s">
        <v>60</v>
      </c>
      <c r="D182" s="47">
        <v>608</v>
      </c>
      <c r="E182" s="47">
        <v>545</v>
      </c>
      <c r="F182" s="72">
        <v>0.15809523809523809</v>
      </c>
      <c r="G182" s="72">
        <v>0.14255765199161424</v>
      </c>
      <c r="H182" s="47">
        <v>11892</v>
      </c>
      <c r="I182" s="1">
        <v>10861</v>
      </c>
      <c r="J182" s="1">
        <v>73651</v>
      </c>
      <c r="K182" s="1">
        <v>67392</v>
      </c>
      <c r="L182" s="18">
        <v>0.71</v>
      </c>
      <c r="M182" s="105">
        <v>0.17</v>
      </c>
      <c r="N182" s="105">
        <v>0.83</v>
      </c>
      <c r="O182" s="105">
        <v>0.83</v>
      </c>
      <c r="P182" s="105">
        <v>1</v>
      </c>
      <c r="Q182" s="139"/>
      <c r="R182" s="139">
        <v>5</v>
      </c>
    </row>
    <row r="183" spans="1:21" x14ac:dyDescent="0.35">
      <c r="A183" s="254">
        <v>44833</v>
      </c>
      <c r="B183" s="38" t="s">
        <v>52</v>
      </c>
      <c r="C183" s="38" t="s">
        <v>60</v>
      </c>
      <c r="D183" s="47">
        <v>498</v>
      </c>
      <c r="E183" s="47">
        <v>477</v>
      </c>
      <c r="F183" s="72">
        <v>-1.3861386138613862E-2</v>
      </c>
      <c r="G183" s="72">
        <v>5.0660792951541848E-2</v>
      </c>
      <c r="H183" s="47">
        <v>12390</v>
      </c>
      <c r="I183" s="1">
        <v>11338</v>
      </c>
      <c r="J183" s="1">
        <v>74149</v>
      </c>
      <c r="K183" s="1">
        <v>67869</v>
      </c>
      <c r="L183" s="105">
        <v>0.86</v>
      </c>
      <c r="M183" s="105">
        <v>0.04</v>
      </c>
      <c r="N183" s="105">
        <v>0.96</v>
      </c>
      <c r="O183" s="105">
        <v>0.72</v>
      </c>
      <c r="P183" s="105">
        <v>1</v>
      </c>
      <c r="Q183" s="17"/>
      <c r="R183" s="17">
        <v>5</v>
      </c>
    </row>
    <row r="184" spans="1:21" s="54" customFormat="1" x14ac:dyDescent="0.35">
      <c r="A184" s="257">
        <v>44834</v>
      </c>
      <c r="B184" s="119" t="s">
        <v>53</v>
      </c>
      <c r="C184" s="55" t="s">
        <v>60</v>
      </c>
      <c r="D184" s="117">
        <v>518</v>
      </c>
      <c r="E184" s="117">
        <v>465</v>
      </c>
      <c r="F184" s="91">
        <v>-3.717472118959108E-2</v>
      </c>
      <c r="G184" s="91">
        <v>-4.1237113402061855E-2</v>
      </c>
      <c r="H184" s="117">
        <v>12908</v>
      </c>
      <c r="I184" s="56">
        <v>11803</v>
      </c>
      <c r="J184" s="56">
        <v>74667</v>
      </c>
      <c r="K184" s="56">
        <v>68334</v>
      </c>
      <c r="L184" s="57">
        <v>0.68</v>
      </c>
      <c r="M184" s="118">
        <v>0.1</v>
      </c>
      <c r="N184" s="118">
        <v>0.9</v>
      </c>
      <c r="O184" s="118">
        <v>0.9</v>
      </c>
      <c r="P184" s="118">
        <v>1</v>
      </c>
      <c r="Q184" s="166"/>
      <c r="R184" s="166">
        <v>4</v>
      </c>
      <c r="S184" t="s">
        <v>73</v>
      </c>
      <c r="T184"/>
      <c r="U184"/>
    </row>
    <row r="185" spans="1:21" x14ac:dyDescent="0.35">
      <c r="A185" s="254">
        <v>44835</v>
      </c>
      <c r="B185" s="38" t="s">
        <v>54</v>
      </c>
      <c r="C185" s="38" t="s">
        <v>60</v>
      </c>
      <c r="D185" s="47">
        <v>203</v>
      </c>
      <c r="E185" s="47">
        <v>193</v>
      </c>
      <c r="F185" s="72">
        <v>0.31818181818181818</v>
      </c>
      <c r="G185" s="72">
        <v>0.27814569536423839</v>
      </c>
      <c r="H185" s="47">
        <v>203</v>
      </c>
      <c r="I185" s="1">
        <v>193</v>
      </c>
      <c r="J185" s="1">
        <v>74870</v>
      </c>
      <c r="K185" s="1">
        <v>68527</v>
      </c>
      <c r="L185" s="105">
        <v>0.83</v>
      </c>
      <c r="M185" s="105">
        <v>0.05</v>
      </c>
      <c r="N185" s="105">
        <v>0.95</v>
      </c>
      <c r="O185" s="105">
        <v>0.59</v>
      </c>
      <c r="P185" s="105">
        <v>1</v>
      </c>
      <c r="Q185" s="17"/>
      <c r="R185" s="17">
        <v>4</v>
      </c>
      <c r="S185" s="148"/>
      <c r="T185" s="148"/>
      <c r="U185" s="148"/>
    </row>
    <row r="186" spans="1:21" x14ac:dyDescent="0.35">
      <c r="A186" s="254">
        <v>44836</v>
      </c>
      <c r="B186" s="36" t="s">
        <v>48</v>
      </c>
      <c r="C186" s="38" t="s">
        <v>60</v>
      </c>
      <c r="D186" s="47">
        <v>0</v>
      </c>
      <c r="E186" s="47">
        <v>0</v>
      </c>
      <c r="F186" s="72">
        <v>0</v>
      </c>
      <c r="G186" s="72">
        <v>0</v>
      </c>
      <c r="H186" s="1">
        <v>0</v>
      </c>
      <c r="I186" s="1">
        <v>0</v>
      </c>
      <c r="J186" s="1">
        <v>0</v>
      </c>
      <c r="K186" s="1">
        <v>0</v>
      </c>
      <c r="L186" s="105">
        <v>0</v>
      </c>
      <c r="M186" s="105">
        <v>0</v>
      </c>
      <c r="N186" s="105">
        <v>0</v>
      </c>
      <c r="O186" s="105">
        <v>0</v>
      </c>
      <c r="P186" s="105">
        <v>0</v>
      </c>
      <c r="Q186" s="1"/>
      <c r="R186" s="1">
        <v>0</v>
      </c>
    </row>
    <row r="187" spans="1:21" x14ac:dyDescent="0.35">
      <c r="A187" s="254">
        <v>44837</v>
      </c>
      <c r="B187" s="38" t="s">
        <v>49</v>
      </c>
      <c r="C187" s="38" t="s">
        <v>60</v>
      </c>
      <c r="D187" s="47">
        <v>352</v>
      </c>
      <c r="E187" s="47">
        <v>339</v>
      </c>
      <c r="F187" s="72">
        <v>-0.35174953959484345</v>
      </c>
      <c r="G187" s="72">
        <v>-0.337890625</v>
      </c>
      <c r="H187" s="47">
        <v>555</v>
      </c>
      <c r="I187" s="1">
        <v>532</v>
      </c>
      <c r="J187" s="1">
        <v>75222</v>
      </c>
      <c r="K187" s="1">
        <v>68866</v>
      </c>
      <c r="L187" s="105">
        <v>0.91</v>
      </c>
      <c r="M187" s="105">
        <v>0.04</v>
      </c>
      <c r="N187" s="105">
        <v>0.96</v>
      </c>
      <c r="O187" s="105">
        <v>0.51</v>
      </c>
      <c r="P187" s="105">
        <v>1</v>
      </c>
      <c r="Q187" s="17"/>
      <c r="R187" s="17">
        <v>5</v>
      </c>
    </row>
    <row r="188" spans="1:21" x14ac:dyDescent="0.35">
      <c r="A188" s="254">
        <v>44838</v>
      </c>
      <c r="B188" s="36" t="s">
        <v>50</v>
      </c>
      <c r="C188" s="38" t="s">
        <v>60</v>
      </c>
      <c r="D188" s="46">
        <v>632</v>
      </c>
      <c r="E188" s="46">
        <v>574</v>
      </c>
      <c r="F188" s="72">
        <v>0.19924098671726756</v>
      </c>
      <c r="G188" s="72">
        <v>0.23440860215053763</v>
      </c>
      <c r="H188" s="46">
        <v>1187</v>
      </c>
      <c r="I188" s="34">
        <v>1106</v>
      </c>
      <c r="J188" s="34">
        <v>75854</v>
      </c>
      <c r="K188" s="34">
        <v>69440</v>
      </c>
      <c r="L188" s="106">
        <v>0.79</v>
      </c>
      <c r="M188" s="106">
        <v>0.09</v>
      </c>
      <c r="N188" s="106">
        <v>0.91</v>
      </c>
      <c r="O188" s="106">
        <v>0.87</v>
      </c>
      <c r="P188" s="106">
        <v>1</v>
      </c>
      <c r="Q188" s="17"/>
      <c r="R188" s="17">
        <v>5</v>
      </c>
    </row>
    <row r="189" spans="1:21" x14ac:dyDescent="0.35">
      <c r="A189" s="254">
        <v>44839</v>
      </c>
      <c r="B189" s="38" t="s">
        <v>51</v>
      </c>
      <c r="C189" s="38" t="s">
        <v>60</v>
      </c>
      <c r="D189" s="47">
        <v>599</v>
      </c>
      <c r="E189" s="47">
        <v>563</v>
      </c>
      <c r="F189" s="72">
        <v>-1.4802631578947368E-2</v>
      </c>
      <c r="G189" s="72">
        <v>3.3027522935779818E-2</v>
      </c>
      <c r="H189" s="47">
        <v>1786</v>
      </c>
      <c r="I189" s="1">
        <v>1669</v>
      </c>
      <c r="J189" s="1">
        <v>76453</v>
      </c>
      <c r="K189" s="1">
        <v>70003</v>
      </c>
      <c r="L189" s="105">
        <v>0.84</v>
      </c>
      <c r="M189" s="105">
        <v>0.06</v>
      </c>
      <c r="N189" s="105">
        <v>0.94</v>
      </c>
      <c r="O189" s="105">
        <v>0.84</v>
      </c>
      <c r="P189" s="105">
        <v>1</v>
      </c>
      <c r="Q189" s="17"/>
      <c r="R189" s="17">
        <v>5</v>
      </c>
    </row>
    <row r="190" spans="1:21" x14ac:dyDescent="0.35">
      <c r="A190" s="254">
        <v>44840</v>
      </c>
      <c r="B190" s="36" t="s">
        <v>52</v>
      </c>
      <c r="C190" s="38" t="s">
        <v>60</v>
      </c>
      <c r="D190" s="46">
        <v>555</v>
      </c>
      <c r="E190" s="46">
        <v>525</v>
      </c>
      <c r="F190" s="72">
        <v>0.1144578313253012</v>
      </c>
      <c r="G190" s="72">
        <v>0.10062893081761007</v>
      </c>
      <c r="H190" s="46">
        <v>2341</v>
      </c>
      <c r="I190" s="34">
        <v>2194</v>
      </c>
      <c r="J190" s="34">
        <v>77008</v>
      </c>
      <c r="K190" s="34">
        <v>70528</v>
      </c>
      <c r="L190" s="106">
        <v>0.88</v>
      </c>
      <c r="M190" s="106">
        <v>0.05</v>
      </c>
      <c r="N190" s="106">
        <v>0.95</v>
      </c>
      <c r="O190" s="106">
        <v>0.8</v>
      </c>
      <c r="P190" s="106">
        <v>1</v>
      </c>
      <c r="Q190" s="17"/>
      <c r="R190" s="17">
        <v>5</v>
      </c>
    </row>
    <row r="191" spans="1:21" x14ac:dyDescent="0.35">
      <c r="A191" s="254">
        <v>44841</v>
      </c>
      <c r="B191" s="38" t="s">
        <v>53</v>
      </c>
      <c r="C191" s="38" t="s">
        <v>60</v>
      </c>
      <c r="D191" s="47">
        <v>522</v>
      </c>
      <c r="E191" s="47">
        <v>494</v>
      </c>
      <c r="F191" s="72">
        <v>7.7220077220077222E-3</v>
      </c>
      <c r="G191" s="72">
        <v>6.236559139784946E-2</v>
      </c>
      <c r="H191" s="47">
        <v>2863</v>
      </c>
      <c r="I191" s="1">
        <v>2688</v>
      </c>
      <c r="J191" s="1">
        <v>77530</v>
      </c>
      <c r="K191" s="1">
        <v>71022</v>
      </c>
      <c r="L191" s="105">
        <v>0.82</v>
      </c>
      <c r="M191" s="105">
        <v>0.05</v>
      </c>
      <c r="N191" s="105">
        <v>0.95</v>
      </c>
      <c r="O191" s="105">
        <v>0.74</v>
      </c>
      <c r="P191" s="105">
        <v>1</v>
      </c>
      <c r="Q191" s="17"/>
      <c r="R191" s="17">
        <v>5</v>
      </c>
    </row>
    <row r="192" spans="1:21" x14ac:dyDescent="0.35">
      <c r="A192" s="254">
        <v>44842</v>
      </c>
      <c r="B192" s="36" t="s">
        <v>54</v>
      </c>
      <c r="C192" s="38" t="s">
        <v>60</v>
      </c>
      <c r="D192" s="46">
        <v>237</v>
      </c>
      <c r="E192" s="46">
        <v>224</v>
      </c>
      <c r="F192" s="72">
        <v>0.16748768472906403</v>
      </c>
      <c r="G192" s="72">
        <v>0.16062176165803108</v>
      </c>
      <c r="H192" s="46">
        <v>3100</v>
      </c>
      <c r="I192" s="34">
        <v>2912</v>
      </c>
      <c r="J192" s="34">
        <v>77767</v>
      </c>
      <c r="K192" s="34">
        <v>71246</v>
      </c>
      <c r="L192" s="106">
        <v>0.91</v>
      </c>
      <c r="M192" s="106">
        <v>0.05</v>
      </c>
      <c r="N192" s="106">
        <v>0.95</v>
      </c>
      <c r="O192" s="106">
        <v>0.69</v>
      </c>
      <c r="P192" s="106">
        <v>1</v>
      </c>
      <c r="Q192" s="17"/>
      <c r="R192" s="17">
        <v>4</v>
      </c>
    </row>
    <row r="193" spans="1:18" x14ac:dyDescent="0.35">
      <c r="A193" s="254">
        <v>44843</v>
      </c>
      <c r="B193" s="38" t="s">
        <v>48</v>
      </c>
      <c r="C193" s="38" t="s">
        <v>60</v>
      </c>
      <c r="D193" s="47">
        <v>0</v>
      </c>
      <c r="E193" s="47">
        <v>0</v>
      </c>
      <c r="F193" s="72">
        <v>0</v>
      </c>
      <c r="G193" s="72">
        <v>0</v>
      </c>
      <c r="H193" s="1">
        <v>0</v>
      </c>
      <c r="I193" s="1">
        <v>0</v>
      </c>
      <c r="J193" s="1">
        <v>0</v>
      </c>
      <c r="K193" s="1">
        <v>0</v>
      </c>
      <c r="L193" s="105">
        <v>0</v>
      </c>
      <c r="M193" s="105">
        <v>0</v>
      </c>
      <c r="N193" s="105">
        <v>0</v>
      </c>
      <c r="O193" s="105">
        <v>0</v>
      </c>
      <c r="P193" s="105">
        <v>0</v>
      </c>
      <c r="Q193" s="1"/>
      <c r="R193" s="1">
        <v>0</v>
      </c>
    </row>
    <row r="194" spans="1:18" x14ac:dyDescent="0.35">
      <c r="A194" s="254">
        <v>44844</v>
      </c>
      <c r="B194" s="36" t="s">
        <v>49</v>
      </c>
      <c r="C194" s="38" t="s">
        <v>60</v>
      </c>
      <c r="D194" s="46">
        <v>681</v>
      </c>
      <c r="E194" s="46">
        <v>637</v>
      </c>
      <c r="F194" s="72">
        <v>0.93465909090909094</v>
      </c>
      <c r="G194" s="72">
        <v>0.87905604719764008</v>
      </c>
      <c r="H194" s="46">
        <v>3781</v>
      </c>
      <c r="I194" s="34">
        <v>3549</v>
      </c>
      <c r="J194" s="34">
        <v>78448</v>
      </c>
      <c r="K194" s="34">
        <v>71883</v>
      </c>
      <c r="L194" s="106">
        <v>0.79</v>
      </c>
      <c r="M194" s="106">
        <v>0.06</v>
      </c>
      <c r="N194" s="106">
        <v>0.94</v>
      </c>
      <c r="O194" s="106">
        <v>0.79</v>
      </c>
      <c r="P194" s="106">
        <v>1</v>
      </c>
      <c r="Q194" s="17"/>
      <c r="R194" s="17">
        <v>6</v>
      </c>
    </row>
    <row r="195" spans="1:18" x14ac:dyDescent="0.35">
      <c r="A195" s="254">
        <v>44845</v>
      </c>
      <c r="B195" s="38" t="s">
        <v>50</v>
      </c>
      <c r="C195" s="38" t="s">
        <v>60</v>
      </c>
      <c r="D195" s="47">
        <v>532</v>
      </c>
      <c r="E195" s="47">
        <v>512</v>
      </c>
      <c r="F195" s="72">
        <v>-0.15822784810126583</v>
      </c>
      <c r="G195" s="72">
        <v>-0.10801393728222997</v>
      </c>
      <c r="H195" s="1">
        <v>4313</v>
      </c>
      <c r="I195" s="1">
        <v>4061</v>
      </c>
      <c r="J195" s="1">
        <v>78980</v>
      </c>
      <c r="K195" s="1">
        <v>72395</v>
      </c>
      <c r="L195" s="105">
        <v>0.89</v>
      </c>
      <c r="M195" s="105">
        <v>0.04</v>
      </c>
      <c r="N195" s="105">
        <v>0.96</v>
      </c>
      <c r="O195" s="105">
        <v>0.64</v>
      </c>
      <c r="P195" s="105">
        <v>1</v>
      </c>
      <c r="Q195" s="1"/>
      <c r="R195" s="1">
        <v>6</v>
      </c>
    </row>
    <row r="196" spans="1:18" x14ac:dyDescent="0.35">
      <c r="A196" s="254">
        <v>44846</v>
      </c>
      <c r="B196" s="36" t="s">
        <v>51</v>
      </c>
      <c r="C196" s="38" t="s">
        <v>60</v>
      </c>
      <c r="D196" s="46">
        <v>558</v>
      </c>
      <c r="E196" s="46">
        <v>514</v>
      </c>
      <c r="F196" s="72">
        <v>-6.8447412353923209E-2</v>
      </c>
      <c r="G196" s="72">
        <v>-8.7033747779751328E-2</v>
      </c>
      <c r="H196" s="46">
        <v>4871</v>
      </c>
      <c r="I196" s="34">
        <v>4575</v>
      </c>
      <c r="J196" s="34">
        <v>79538</v>
      </c>
      <c r="K196" s="34">
        <v>72909</v>
      </c>
      <c r="L196" s="106">
        <v>0.79</v>
      </c>
      <c r="M196" s="106">
        <v>0.08</v>
      </c>
      <c r="N196" s="106">
        <v>0.92</v>
      </c>
      <c r="O196" s="106">
        <v>0.66</v>
      </c>
      <c r="P196" s="106">
        <v>1</v>
      </c>
      <c r="Q196" s="17"/>
      <c r="R196" s="17">
        <v>6</v>
      </c>
    </row>
    <row r="197" spans="1:18" x14ac:dyDescent="0.35">
      <c r="A197" s="254">
        <v>44847</v>
      </c>
      <c r="B197" s="38" t="s">
        <v>52</v>
      </c>
      <c r="C197" s="38" t="s">
        <v>60</v>
      </c>
      <c r="D197" s="47">
        <v>521</v>
      </c>
      <c r="E197" s="47">
        <v>472</v>
      </c>
      <c r="F197" s="72">
        <v>-6.126126126126126E-2</v>
      </c>
      <c r="G197" s="72">
        <v>-0.10095238095238095</v>
      </c>
      <c r="H197" s="1">
        <v>5392</v>
      </c>
      <c r="I197" s="1">
        <v>5047</v>
      </c>
      <c r="J197" s="1">
        <v>80059</v>
      </c>
      <c r="K197" s="1">
        <v>73381</v>
      </c>
      <c r="L197" s="105">
        <v>0.84</v>
      </c>
      <c r="M197" s="105">
        <v>0.06</v>
      </c>
      <c r="N197" s="105">
        <v>0.94</v>
      </c>
      <c r="O197" s="105">
        <v>0.71</v>
      </c>
      <c r="P197" s="105">
        <v>1</v>
      </c>
      <c r="Q197" s="1"/>
      <c r="R197" s="1">
        <v>6</v>
      </c>
    </row>
    <row r="198" spans="1:18" x14ac:dyDescent="0.35">
      <c r="A198" s="254">
        <v>44848</v>
      </c>
      <c r="B198" s="36" t="s">
        <v>53</v>
      </c>
      <c r="C198" s="38" t="s">
        <v>60</v>
      </c>
      <c r="D198" s="46">
        <v>483</v>
      </c>
      <c r="E198" s="46">
        <v>443</v>
      </c>
      <c r="F198" s="72">
        <v>-7.4712643678160925E-2</v>
      </c>
      <c r="G198" s="72">
        <v>-0.10323886639676114</v>
      </c>
      <c r="H198" s="46">
        <v>5875</v>
      </c>
      <c r="I198" s="34">
        <v>5490</v>
      </c>
      <c r="J198" s="34">
        <v>80542</v>
      </c>
      <c r="K198" s="34">
        <v>73824</v>
      </c>
      <c r="L198" s="106">
        <v>0.82</v>
      </c>
      <c r="M198" s="106">
        <v>0.08</v>
      </c>
      <c r="N198" s="106">
        <v>0.92</v>
      </c>
      <c r="O198" s="106">
        <v>0.56000000000000005</v>
      </c>
      <c r="P198" s="106">
        <v>1</v>
      </c>
      <c r="Q198" s="17"/>
      <c r="R198" s="17">
        <v>6</v>
      </c>
    </row>
    <row r="199" spans="1:18" x14ac:dyDescent="0.35">
      <c r="A199" s="254">
        <v>44849</v>
      </c>
      <c r="B199" s="38" t="s">
        <v>54</v>
      </c>
      <c r="C199" s="38" t="s">
        <v>60</v>
      </c>
      <c r="D199" s="47">
        <v>139</v>
      </c>
      <c r="E199" s="47">
        <v>136</v>
      </c>
      <c r="F199" s="72">
        <v>-0.41350210970464135</v>
      </c>
      <c r="G199" s="72">
        <v>-0.39285714285714285</v>
      </c>
      <c r="H199" s="1">
        <v>6014</v>
      </c>
      <c r="I199" s="1">
        <v>5626</v>
      </c>
      <c r="J199" s="1">
        <v>80681</v>
      </c>
      <c r="K199" s="1">
        <v>73960</v>
      </c>
      <c r="L199" s="105">
        <v>0.9</v>
      </c>
      <c r="M199" s="105">
        <v>0.02</v>
      </c>
      <c r="N199" s="105">
        <v>0.98</v>
      </c>
      <c r="O199" s="105">
        <v>0.32</v>
      </c>
      <c r="P199" s="105">
        <v>1</v>
      </c>
      <c r="Q199" s="1"/>
      <c r="R199" s="1">
        <v>4</v>
      </c>
    </row>
    <row r="200" spans="1:18" x14ac:dyDescent="0.35">
      <c r="A200" s="254">
        <v>44850</v>
      </c>
      <c r="B200" s="38" t="s">
        <v>48</v>
      </c>
      <c r="C200" s="38" t="s">
        <v>60</v>
      </c>
      <c r="D200" s="47">
        <v>0</v>
      </c>
      <c r="E200" s="47">
        <v>0</v>
      </c>
      <c r="F200" s="72">
        <v>0</v>
      </c>
      <c r="G200" s="72">
        <v>0</v>
      </c>
      <c r="H200" s="1">
        <v>0</v>
      </c>
      <c r="I200" s="1">
        <v>0</v>
      </c>
      <c r="J200" s="1">
        <v>0</v>
      </c>
      <c r="K200" s="1">
        <v>0</v>
      </c>
      <c r="L200" s="105">
        <v>0</v>
      </c>
      <c r="M200" s="105">
        <v>0</v>
      </c>
      <c r="N200" s="105">
        <v>0</v>
      </c>
      <c r="O200" s="105">
        <v>0</v>
      </c>
      <c r="P200" s="105">
        <v>0</v>
      </c>
      <c r="Q200" s="1"/>
      <c r="R200" s="1">
        <v>0</v>
      </c>
    </row>
    <row r="201" spans="1:18" x14ac:dyDescent="0.35">
      <c r="A201" s="254">
        <v>44851</v>
      </c>
      <c r="B201" s="38" t="s">
        <v>49</v>
      </c>
      <c r="C201" s="38" t="s">
        <v>60</v>
      </c>
      <c r="D201" s="47">
        <v>577</v>
      </c>
      <c r="E201" s="47">
        <v>515</v>
      </c>
      <c r="F201" s="72">
        <v>-0.1527165932452276</v>
      </c>
      <c r="G201" s="72">
        <v>-0.19152276295133439</v>
      </c>
      <c r="H201" s="1">
        <v>6591</v>
      </c>
      <c r="I201" s="1">
        <v>6141</v>
      </c>
      <c r="J201" s="1">
        <v>81258</v>
      </c>
      <c r="K201" s="1">
        <v>74475</v>
      </c>
      <c r="L201" s="105">
        <v>0.8</v>
      </c>
      <c r="M201" s="105">
        <v>0.11</v>
      </c>
      <c r="N201" s="105">
        <v>0.89</v>
      </c>
      <c r="O201" s="105">
        <v>0.74</v>
      </c>
      <c r="P201" s="105">
        <v>1</v>
      </c>
      <c r="Q201" s="1"/>
      <c r="R201" s="1">
        <v>6</v>
      </c>
    </row>
    <row r="202" spans="1:18" x14ac:dyDescent="0.35">
      <c r="A202" s="254">
        <v>44852</v>
      </c>
      <c r="B202" s="38" t="s">
        <v>50</v>
      </c>
      <c r="C202" s="38" t="s">
        <v>60</v>
      </c>
      <c r="D202" s="47">
        <v>477</v>
      </c>
      <c r="E202" s="47">
        <v>446</v>
      </c>
      <c r="F202" s="72">
        <v>-0.10338345864661654</v>
      </c>
      <c r="G202" s="72">
        <v>-0.12890625</v>
      </c>
      <c r="H202" s="46">
        <v>7068</v>
      </c>
      <c r="I202" s="34">
        <v>6587</v>
      </c>
      <c r="J202" s="34">
        <v>81735</v>
      </c>
      <c r="K202" s="34">
        <v>74921</v>
      </c>
      <c r="L202" s="105">
        <v>0.86</v>
      </c>
      <c r="M202" s="105">
        <v>0.06</v>
      </c>
      <c r="N202" s="105">
        <v>0.94</v>
      </c>
      <c r="O202" s="105">
        <v>0.66</v>
      </c>
      <c r="P202" s="105">
        <v>1</v>
      </c>
      <c r="Q202" s="1"/>
      <c r="R202" s="1">
        <v>5</v>
      </c>
    </row>
    <row r="203" spans="1:18" x14ac:dyDescent="0.35">
      <c r="A203" s="254">
        <v>44853</v>
      </c>
      <c r="B203" s="38" t="s">
        <v>51</v>
      </c>
      <c r="C203" s="38" t="s">
        <v>60</v>
      </c>
      <c r="D203" s="47">
        <v>481</v>
      </c>
      <c r="E203" s="47">
        <v>450</v>
      </c>
      <c r="F203" s="72">
        <v>-0.13799283154121864</v>
      </c>
      <c r="G203" s="72">
        <v>-0.1245136186770428</v>
      </c>
      <c r="H203" s="1">
        <v>7549</v>
      </c>
      <c r="I203" s="1">
        <v>7037</v>
      </c>
      <c r="J203" s="1">
        <v>82216</v>
      </c>
      <c r="K203" s="1">
        <v>75371</v>
      </c>
      <c r="L203" s="105">
        <v>0.88</v>
      </c>
      <c r="M203" s="105">
        <v>0.06</v>
      </c>
      <c r="N203" s="105">
        <v>0.94</v>
      </c>
      <c r="O203" s="105">
        <v>0.55000000000000004</v>
      </c>
      <c r="P203" s="105">
        <v>1</v>
      </c>
      <c r="Q203" s="1"/>
      <c r="R203" s="1">
        <v>6</v>
      </c>
    </row>
    <row r="204" spans="1:18" x14ac:dyDescent="0.35">
      <c r="A204" s="254">
        <v>44854</v>
      </c>
      <c r="B204" s="38" t="s">
        <v>52</v>
      </c>
      <c r="C204" s="38" t="s">
        <v>60</v>
      </c>
      <c r="D204" s="47">
        <v>429</v>
      </c>
      <c r="E204" s="47">
        <v>408</v>
      </c>
      <c r="F204" s="72">
        <v>-0.1765834932821497</v>
      </c>
      <c r="G204" s="72">
        <v>-0.13559322033898305</v>
      </c>
      <c r="H204" s="1">
        <v>7978</v>
      </c>
      <c r="I204" s="1">
        <v>7445</v>
      </c>
      <c r="J204" s="1">
        <v>82645</v>
      </c>
      <c r="K204" s="1">
        <v>75779</v>
      </c>
      <c r="L204" s="105">
        <v>0.85</v>
      </c>
      <c r="M204" s="105">
        <v>0.05</v>
      </c>
      <c r="N204" s="105">
        <v>0.95</v>
      </c>
      <c r="O204" s="105">
        <v>0.61</v>
      </c>
      <c r="P204" s="105">
        <v>1</v>
      </c>
      <c r="Q204" s="1"/>
      <c r="R204" s="1">
        <v>6</v>
      </c>
    </row>
    <row r="205" spans="1:18" x14ac:dyDescent="0.35">
      <c r="A205" s="254">
        <v>44855</v>
      </c>
      <c r="B205" s="38" t="s">
        <v>53</v>
      </c>
      <c r="C205" s="38" t="s">
        <v>60</v>
      </c>
      <c r="D205" s="47">
        <v>487</v>
      </c>
      <c r="E205" s="47">
        <v>450</v>
      </c>
      <c r="F205" s="72">
        <v>8.2815734989648039E-3</v>
      </c>
      <c r="G205" s="72">
        <v>1.580135440180587E-2</v>
      </c>
      <c r="H205" s="1">
        <v>8465</v>
      </c>
      <c r="I205" s="1">
        <v>7895</v>
      </c>
      <c r="J205" s="1">
        <v>83132</v>
      </c>
      <c r="K205" s="1">
        <v>76229</v>
      </c>
      <c r="L205" s="105">
        <v>0.79</v>
      </c>
      <c r="M205" s="105">
        <v>0.08</v>
      </c>
      <c r="N205" s="105">
        <v>0.92</v>
      </c>
      <c r="O205" s="105">
        <v>0.65</v>
      </c>
      <c r="P205" s="105">
        <v>1</v>
      </c>
      <c r="Q205" s="1"/>
      <c r="R205" s="1">
        <v>5</v>
      </c>
    </row>
    <row r="206" spans="1:18" x14ac:dyDescent="0.35">
      <c r="A206" s="255">
        <v>44856</v>
      </c>
      <c r="B206" s="36" t="s">
        <v>54</v>
      </c>
      <c r="C206" s="36" t="s">
        <v>60</v>
      </c>
      <c r="D206" s="47">
        <v>177</v>
      </c>
      <c r="E206" s="47">
        <v>164</v>
      </c>
      <c r="F206" s="72">
        <v>0.2733812949640288</v>
      </c>
      <c r="G206" s="72">
        <v>0.20588235294117646</v>
      </c>
      <c r="H206" s="1">
        <v>8642</v>
      </c>
      <c r="I206" s="1">
        <v>8059</v>
      </c>
      <c r="J206" s="1">
        <v>83309</v>
      </c>
      <c r="K206" s="1">
        <v>76393</v>
      </c>
      <c r="L206" s="105">
        <v>0.85</v>
      </c>
      <c r="M206" s="105">
        <v>7.0000000000000007E-2</v>
      </c>
      <c r="N206" s="105">
        <v>0.93</v>
      </c>
      <c r="O206" s="105">
        <v>0.51</v>
      </c>
      <c r="P206" s="105">
        <v>1</v>
      </c>
      <c r="Q206" s="1"/>
      <c r="R206" s="1">
        <v>4</v>
      </c>
    </row>
    <row r="207" spans="1:18" x14ac:dyDescent="0.35">
      <c r="A207" s="254">
        <v>44857</v>
      </c>
      <c r="B207" s="38" t="s">
        <v>48</v>
      </c>
      <c r="C207" s="38" t="s">
        <v>60</v>
      </c>
      <c r="D207" s="47">
        <v>0</v>
      </c>
      <c r="E207" s="47">
        <v>0</v>
      </c>
      <c r="F207" s="72">
        <v>0</v>
      </c>
      <c r="G207" s="72">
        <v>0</v>
      </c>
      <c r="H207" s="1">
        <v>0</v>
      </c>
      <c r="I207" s="1">
        <v>0</v>
      </c>
      <c r="J207" s="1">
        <v>0</v>
      </c>
      <c r="K207" s="1">
        <v>0</v>
      </c>
      <c r="L207" s="105">
        <v>0</v>
      </c>
      <c r="M207" s="105">
        <v>0</v>
      </c>
      <c r="N207" s="105">
        <v>0</v>
      </c>
      <c r="O207" s="105">
        <v>0</v>
      </c>
      <c r="P207" s="105">
        <v>0</v>
      </c>
      <c r="Q207" s="1"/>
      <c r="R207" s="1">
        <v>0</v>
      </c>
    </row>
    <row r="208" spans="1:18" x14ac:dyDescent="0.35">
      <c r="A208" s="255">
        <v>44858</v>
      </c>
      <c r="B208" s="36" t="s">
        <v>49</v>
      </c>
      <c r="C208" s="36" t="s">
        <v>60</v>
      </c>
      <c r="D208" s="47">
        <v>577</v>
      </c>
      <c r="E208" s="47">
        <v>543</v>
      </c>
      <c r="F208" s="72">
        <v>0</v>
      </c>
      <c r="G208" s="72">
        <v>5.4368932038834951E-2</v>
      </c>
      <c r="H208" s="46">
        <v>9219</v>
      </c>
      <c r="I208" s="34">
        <v>8602</v>
      </c>
      <c r="J208" s="34">
        <v>83886</v>
      </c>
      <c r="K208" s="34">
        <v>76936</v>
      </c>
      <c r="L208" s="105">
        <v>0.8</v>
      </c>
      <c r="M208" s="105">
        <v>0.06</v>
      </c>
      <c r="N208" s="105">
        <v>0.94</v>
      </c>
      <c r="O208" s="105">
        <v>0.79</v>
      </c>
      <c r="P208" s="105">
        <v>1</v>
      </c>
      <c r="Q208" s="1"/>
      <c r="R208" s="1">
        <v>5</v>
      </c>
    </row>
    <row r="209" spans="1:21" x14ac:dyDescent="0.35">
      <c r="A209" s="254">
        <v>44859</v>
      </c>
      <c r="B209" s="38" t="s">
        <v>50</v>
      </c>
      <c r="C209" s="38" t="s">
        <v>60</v>
      </c>
      <c r="D209" s="47">
        <v>491</v>
      </c>
      <c r="E209" s="47">
        <v>462</v>
      </c>
      <c r="F209" s="72">
        <v>2.9350104821802937E-2</v>
      </c>
      <c r="G209" s="72">
        <v>3.5874439461883408E-2</v>
      </c>
      <c r="H209" s="1">
        <v>9710</v>
      </c>
      <c r="I209" s="1">
        <v>9064</v>
      </c>
      <c r="J209" s="1">
        <v>84377</v>
      </c>
      <c r="K209" s="1">
        <v>77398</v>
      </c>
      <c r="L209" s="105">
        <v>0.86</v>
      </c>
      <c r="M209" s="105">
        <v>0.06</v>
      </c>
      <c r="N209" s="105">
        <v>0.94</v>
      </c>
      <c r="O209" s="105">
        <v>0.68</v>
      </c>
      <c r="P209" s="105">
        <v>1</v>
      </c>
      <c r="Q209" s="1"/>
      <c r="R209" s="1">
        <v>5</v>
      </c>
    </row>
    <row r="210" spans="1:21" x14ac:dyDescent="0.35">
      <c r="A210" s="254">
        <v>44860</v>
      </c>
      <c r="B210" s="36" t="s">
        <v>51</v>
      </c>
      <c r="C210" s="38" t="s">
        <v>60</v>
      </c>
      <c r="D210" s="47">
        <v>541</v>
      </c>
      <c r="E210" s="47">
        <v>510</v>
      </c>
      <c r="F210" s="72">
        <v>0.12474012474012475</v>
      </c>
      <c r="G210" s="72">
        <v>0.13333333333333333</v>
      </c>
      <c r="H210" s="1">
        <v>10251</v>
      </c>
      <c r="I210" s="1">
        <v>9574</v>
      </c>
      <c r="J210" s="1">
        <v>84918</v>
      </c>
      <c r="K210" s="1">
        <v>77908</v>
      </c>
      <c r="L210" s="105">
        <v>0.83</v>
      </c>
      <c r="M210" s="105">
        <v>0.06</v>
      </c>
      <c r="N210" s="105">
        <v>0.94</v>
      </c>
      <c r="O210" s="105">
        <v>0.74</v>
      </c>
      <c r="P210" s="105">
        <v>1</v>
      </c>
      <c r="Q210" s="1"/>
      <c r="R210" s="1">
        <v>5</v>
      </c>
      <c r="S210" s="54"/>
      <c r="T210" s="54"/>
      <c r="U210" s="54"/>
    </row>
    <row r="211" spans="1:21" x14ac:dyDescent="0.35">
      <c r="A211" s="254">
        <v>44861</v>
      </c>
      <c r="B211" s="38" t="s">
        <v>52</v>
      </c>
      <c r="C211" s="38" t="s">
        <v>60</v>
      </c>
      <c r="D211" s="47">
        <v>425</v>
      </c>
      <c r="E211" s="47">
        <v>398</v>
      </c>
      <c r="F211" s="72">
        <v>-9.324009324009324E-3</v>
      </c>
      <c r="G211" s="72">
        <v>-2.4509803921568627E-2</v>
      </c>
      <c r="H211" s="1">
        <v>10676</v>
      </c>
      <c r="I211" s="1">
        <v>9972</v>
      </c>
      <c r="J211" s="1">
        <v>85343</v>
      </c>
      <c r="K211" s="1">
        <v>78306</v>
      </c>
      <c r="L211" s="105">
        <v>0.8</v>
      </c>
      <c r="M211" s="105">
        <v>0.06</v>
      </c>
      <c r="N211" s="105">
        <v>0.94</v>
      </c>
      <c r="O211" s="105">
        <v>0.74</v>
      </c>
      <c r="P211" s="105">
        <v>1</v>
      </c>
      <c r="Q211" s="1"/>
      <c r="R211" s="1">
        <v>4</v>
      </c>
    </row>
    <row r="212" spans="1:21" x14ac:dyDescent="0.35">
      <c r="A212" s="254">
        <v>44862</v>
      </c>
      <c r="B212" s="36" t="s">
        <v>53</v>
      </c>
      <c r="C212" s="38" t="s">
        <v>60</v>
      </c>
      <c r="D212" s="47">
        <v>480</v>
      </c>
      <c r="E212" s="47">
        <v>432</v>
      </c>
      <c r="F212" s="72">
        <v>-1.4373716632443531E-2</v>
      </c>
      <c r="G212" s="72">
        <v>-0.04</v>
      </c>
      <c r="H212" s="1">
        <v>11156</v>
      </c>
      <c r="I212" s="1">
        <v>10404</v>
      </c>
      <c r="J212" s="1">
        <v>85823</v>
      </c>
      <c r="K212" s="1">
        <v>78738</v>
      </c>
      <c r="L212" s="105">
        <v>0.73</v>
      </c>
      <c r="M212" s="105">
        <v>0.1</v>
      </c>
      <c r="N212" s="105">
        <v>0.9</v>
      </c>
      <c r="O212" s="105">
        <v>0.75</v>
      </c>
      <c r="P212" s="105">
        <v>1</v>
      </c>
      <c r="Q212" s="1"/>
      <c r="R212" s="1">
        <v>4</v>
      </c>
    </row>
    <row r="213" spans="1:21" x14ac:dyDescent="0.35">
      <c r="A213" s="254">
        <v>44863</v>
      </c>
      <c r="B213" s="38" t="s">
        <v>54</v>
      </c>
      <c r="C213" s="38" t="s">
        <v>60</v>
      </c>
      <c r="D213" s="47">
        <v>178</v>
      </c>
      <c r="E213" s="47">
        <v>171</v>
      </c>
      <c r="F213" s="72">
        <v>5.6497175141242938E-3</v>
      </c>
      <c r="G213" s="72">
        <v>4.2682926829268296E-2</v>
      </c>
      <c r="H213" s="1">
        <v>11334</v>
      </c>
      <c r="I213" s="1">
        <v>10575</v>
      </c>
      <c r="J213" s="1">
        <v>86001</v>
      </c>
      <c r="K213" s="1">
        <v>78909</v>
      </c>
      <c r="L213" s="105">
        <v>0.87</v>
      </c>
      <c r="M213" s="105">
        <v>0.04</v>
      </c>
      <c r="N213" s="105">
        <v>0.96</v>
      </c>
      <c r="O213" s="105">
        <v>0.7</v>
      </c>
      <c r="P213" s="105">
        <v>1</v>
      </c>
      <c r="Q213" s="1"/>
      <c r="R213" s="1">
        <v>3</v>
      </c>
    </row>
    <row r="214" spans="1:21" x14ac:dyDescent="0.35">
      <c r="A214" s="254">
        <v>44864</v>
      </c>
      <c r="B214" s="36" t="s">
        <v>48</v>
      </c>
      <c r="C214" s="38" t="s">
        <v>60</v>
      </c>
      <c r="D214" s="47">
        <v>0</v>
      </c>
      <c r="E214" s="47">
        <v>0</v>
      </c>
      <c r="F214" s="72">
        <v>0</v>
      </c>
      <c r="G214" s="72">
        <v>0</v>
      </c>
      <c r="H214" s="46">
        <v>0</v>
      </c>
      <c r="I214" s="34">
        <v>0</v>
      </c>
      <c r="J214" s="34">
        <v>0</v>
      </c>
      <c r="K214" s="34">
        <v>0</v>
      </c>
      <c r="L214" s="105">
        <v>0</v>
      </c>
      <c r="M214" s="105">
        <v>0</v>
      </c>
      <c r="N214" s="105">
        <v>0</v>
      </c>
      <c r="O214" s="105">
        <v>0</v>
      </c>
      <c r="P214" s="105">
        <v>0</v>
      </c>
      <c r="Q214" s="1"/>
      <c r="R214" s="1">
        <v>0</v>
      </c>
    </row>
    <row r="215" spans="1:21" s="54" customFormat="1" x14ac:dyDescent="0.35">
      <c r="A215" s="257">
        <v>44865</v>
      </c>
      <c r="B215" s="55" t="s">
        <v>49</v>
      </c>
      <c r="C215" s="55" t="s">
        <v>60</v>
      </c>
      <c r="D215" s="117">
        <v>596</v>
      </c>
      <c r="E215" s="117">
        <v>542</v>
      </c>
      <c r="F215" s="91">
        <v>3.292894280762565E-2</v>
      </c>
      <c r="G215" s="91">
        <v>-1.841620626151013E-3</v>
      </c>
      <c r="H215" s="56">
        <v>11930</v>
      </c>
      <c r="I215" s="56">
        <v>11117</v>
      </c>
      <c r="J215" s="56">
        <v>86597</v>
      </c>
      <c r="K215" s="56">
        <v>79451</v>
      </c>
      <c r="L215" s="118">
        <v>0.75</v>
      </c>
      <c r="M215" s="118">
        <v>0.09</v>
      </c>
      <c r="N215" s="118">
        <v>0.91</v>
      </c>
      <c r="O215" s="118">
        <v>0.98</v>
      </c>
      <c r="P215" s="118">
        <v>1</v>
      </c>
      <c r="Q215" s="56"/>
      <c r="R215" s="56">
        <v>4.5</v>
      </c>
      <c r="S215"/>
      <c r="T215"/>
      <c r="U215"/>
    </row>
    <row r="216" spans="1:21" x14ac:dyDescent="0.35">
      <c r="A216" s="254">
        <v>44866</v>
      </c>
      <c r="B216" s="38" t="s">
        <v>50</v>
      </c>
      <c r="C216" s="38" t="s">
        <v>60</v>
      </c>
      <c r="D216" s="46">
        <v>443</v>
      </c>
      <c r="E216" s="46">
        <v>418</v>
      </c>
      <c r="F216" s="72">
        <v>-9.775967413441955E-2</v>
      </c>
      <c r="G216" s="72">
        <v>-9.5238095238095233E-2</v>
      </c>
      <c r="H216" s="34">
        <v>443</v>
      </c>
      <c r="I216" s="34">
        <v>418</v>
      </c>
      <c r="J216" s="34">
        <v>87040</v>
      </c>
      <c r="K216" s="34">
        <v>79869</v>
      </c>
      <c r="L216" s="106">
        <v>0.87</v>
      </c>
      <c r="M216" s="106">
        <v>0.06</v>
      </c>
      <c r="N216" s="106">
        <v>0.94</v>
      </c>
      <c r="O216" s="106">
        <v>0.61</v>
      </c>
      <c r="P216" s="106">
        <v>1</v>
      </c>
      <c r="Q216" s="1"/>
      <c r="R216" s="1">
        <v>5</v>
      </c>
    </row>
    <row r="217" spans="1:21" x14ac:dyDescent="0.35">
      <c r="A217" s="254">
        <v>44867</v>
      </c>
      <c r="B217" s="38" t="s">
        <v>51</v>
      </c>
      <c r="C217" s="38" t="s">
        <v>60</v>
      </c>
      <c r="D217" s="47">
        <v>643</v>
      </c>
      <c r="E217" s="47">
        <v>590</v>
      </c>
      <c r="F217" s="72">
        <v>0.18853974121996303</v>
      </c>
      <c r="G217" s="72">
        <v>0.15686274509803921</v>
      </c>
      <c r="H217" s="1">
        <v>1086</v>
      </c>
      <c r="I217" s="1">
        <v>1008</v>
      </c>
      <c r="J217" s="1">
        <v>87683</v>
      </c>
      <c r="K217" s="1">
        <v>80459</v>
      </c>
      <c r="L217" s="105">
        <v>0.79</v>
      </c>
      <c r="M217" s="105">
        <v>0.08</v>
      </c>
      <c r="N217" s="105">
        <v>0.92</v>
      </c>
      <c r="O217" s="105">
        <v>0.86</v>
      </c>
      <c r="P217" s="105">
        <v>1</v>
      </c>
      <c r="Q217" s="1"/>
      <c r="R217" s="1">
        <v>5</v>
      </c>
    </row>
    <row r="218" spans="1:21" x14ac:dyDescent="0.35">
      <c r="A218" s="254">
        <v>44868</v>
      </c>
      <c r="B218" s="36" t="s">
        <v>52</v>
      </c>
      <c r="C218" s="38" t="s">
        <v>60</v>
      </c>
      <c r="D218" s="47">
        <v>530</v>
      </c>
      <c r="E218" s="47">
        <v>509</v>
      </c>
      <c r="F218" s="72">
        <v>0.24705882352941178</v>
      </c>
      <c r="G218" s="72">
        <v>0.27889447236180903</v>
      </c>
      <c r="H218" s="1">
        <v>1616</v>
      </c>
      <c r="I218" s="1">
        <v>1517</v>
      </c>
      <c r="J218" s="1">
        <v>88213</v>
      </c>
      <c r="K218" s="1">
        <v>80968</v>
      </c>
      <c r="L218" s="105">
        <v>0.93</v>
      </c>
      <c r="M218" s="105">
        <v>0.04</v>
      </c>
      <c r="N218" s="105">
        <v>0.96</v>
      </c>
      <c r="O218" s="105">
        <v>0.7</v>
      </c>
      <c r="P218" s="105">
        <v>1</v>
      </c>
      <c r="Q218" s="1"/>
      <c r="R218" s="1">
        <v>5</v>
      </c>
    </row>
    <row r="219" spans="1:21" x14ac:dyDescent="0.35">
      <c r="A219" s="254">
        <v>44869</v>
      </c>
      <c r="B219" s="38" t="s">
        <v>53</v>
      </c>
      <c r="C219" s="38" t="s">
        <v>60</v>
      </c>
      <c r="D219" s="47">
        <v>496</v>
      </c>
      <c r="E219" s="47">
        <v>474</v>
      </c>
      <c r="F219" s="72">
        <v>3.3333333333333333E-2</v>
      </c>
      <c r="G219" s="72">
        <v>9.7222222222222224E-2</v>
      </c>
      <c r="H219" s="1">
        <v>2112</v>
      </c>
      <c r="I219" s="1">
        <v>1991</v>
      </c>
      <c r="J219" s="1">
        <v>88709</v>
      </c>
      <c r="K219" s="1">
        <v>81442</v>
      </c>
      <c r="L219" s="105">
        <v>0.88</v>
      </c>
      <c r="M219" s="105">
        <v>0.04</v>
      </c>
      <c r="N219" s="105">
        <v>0.96</v>
      </c>
      <c r="O219" s="105">
        <v>0.56000000000000005</v>
      </c>
      <c r="P219" s="105">
        <v>1</v>
      </c>
      <c r="Q219" s="1"/>
      <c r="R219" s="1">
        <v>5</v>
      </c>
    </row>
    <row r="220" spans="1:21" x14ac:dyDescent="0.35">
      <c r="A220" s="254">
        <v>44870</v>
      </c>
      <c r="B220" s="36" t="s">
        <v>54</v>
      </c>
      <c r="C220" s="38" t="s">
        <v>60</v>
      </c>
      <c r="D220" s="47">
        <v>247</v>
      </c>
      <c r="E220" s="47">
        <v>230</v>
      </c>
      <c r="F220" s="72">
        <v>0.38764044943820225</v>
      </c>
      <c r="G220" s="72">
        <v>0.34502923976608185</v>
      </c>
      <c r="H220" s="46">
        <v>2359</v>
      </c>
      <c r="I220" s="34">
        <v>2221</v>
      </c>
      <c r="J220" s="34">
        <v>88956</v>
      </c>
      <c r="K220" s="34">
        <v>81672</v>
      </c>
      <c r="L220" s="105">
        <v>0.88</v>
      </c>
      <c r="M220" s="105">
        <v>7.0000000000000007E-2</v>
      </c>
      <c r="N220" s="105">
        <v>0.93</v>
      </c>
      <c r="O220" s="105">
        <v>0.7</v>
      </c>
      <c r="P220" s="105">
        <v>1</v>
      </c>
      <c r="Q220" s="1"/>
      <c r="R220" s="1">
        <v>4</v>
      </c>
    </row>
    <row r="221" spans="1:21" x14ac:dyDescent="0.35">
      <c r="A221" s="254">
        <v>44871</v>
      </c>
      <c r="B221" s="38" t="s">
        <v>48</v>
      </c>
      <c r="C221" s="38" t="s">
        <v>60</v>
      </c>
      <c r="D221" s="47">
        <v>0</v>
      </c>
      <c r="E221" s="47">
        <v>0</v>
      </c>
      <c r="F221" s="72">
        <v>0</v>
      </c>
      <c r="G221" s="72">
        <v>0</v>
      </c>
      <c r="H221" s="1">
        <v>0</v>
      </c>
      <c r="I221" s="1">
        <v>0</v>
      </c>
      <c r="J221" s="1">
        <v>0</v>
      </c>
      <c r="K221" s="1">
        <v>0</v>
      </c>
      <c r="L221" s="105">
        <v>0</v>
      </c>
      <c r="M221" s="105">
        <v>0</v>
      </c>
      <c r="N221" s="105">
        <v>0</v>
      </c>
      <c r="O221" s="105">
        <v>0</v>
      </c>
      <c r="P221" s="105">
        <v>0</v>
      </c>
      <c r="Q221" s="1"/>
      <c r="R221" s="1">
        <v>0</v>
      </c>
    </row>
    <row r="222" spans="1:21" x14ac:dyDescent="0.35">
      <c r="A222" s="254">
        <v>44872</v>
      </c>
      <c r="B222" s="36" t="s">
        <v>49</v>
      </c>
      <c r="C222" s="38" t="s">
        <v>60</v>
      </c>
      <c r="D222" s="47">
        <v>600</v>
      </c>
      <c r="E222" s="47">
        <v>584</v>
      </c>
      <c r="F222" s="72">
        <v>6.7114093959731542E-3</v>
      </c>
      <c r="G222" s="72">
        <v>7.7490774907749083E-2</v>
      </c>
      <c r="H222" s="46">
        <v>2959</v>
      </c>
      <c r="I222" s="34">
        <v>2805</v>
      </c>
      <c r="J222" s="34">
        <v>89556</v>
      </c>
      <c r="K222" s="34">
        <v>82256</v>
      </c>
      <c r="L222" s="105">
        <v>0.94</v>
      </c>
      <c r="M222" s="105">
        <v>0.03</v>
      </c>
      <c r="N222" s="105">
        <v>0.97</v>
      </c>
      <c r="O222" s="105">
        <v>0.44</v>
      </c>
      <c r="P222" s="105">
        <v>1</v>
      </c>
      <c r="Q222" s="1"/>
      <c r="R222" s="1">
        <v>7</v>
      </c>
    </row>
    <row r="223" spans="1:21" x14ac:dyDescent="0.35">
      <c r="A223" s="254">
        <v>44873</v>
      </c>
      <c r="B223" s="38" t="s">
        <v>50</v>
      </c>
      <c r="C223" s="38" t="s">
        <v>60</v>
      </c>
      <c r="D223" s="47">
        <v>614</v>
      </c>
      <c r="E223" s="47">
        <v>577</v>
      </c>
      <c r="F223" s="72">
        <v>0.38600451467268621</v>
      </c>
      <c r="G223" s="72">
        <v>0.38038277511961721</v>
      </c>
      <c r="H223" s="1">
        <v>3573</v>
      </c>
      <c r="I223" s="1">
        <v>3382</v>
      </c>
      <c r="J223" s="1">
        <v>90170</v>
      </c>
      <c r="K223" s="1">
        <v>82833</v>
      </c>
      <c r="L223" s="105">
        <v>0.89</v>
      </c>
      <c r="M223" s="105">
        <v>0.06</v>
      </c>
      <c r="N223" s="105">
        <v>0.94</v>
      </c>
      <c r="O223" s="105">
        <v>0.51</v>
      </c>
      <c r="P223" s="105">
        <v>1</v>
      </c>
      <c r="Q223" s="1"/>
      <c r="R223" s="1">
        <v>7</v>
      </c>
    </row>
    <row r="224" spans="1:21" x14ac:dyDescent="0.35">
      <c r="A224" s="254">
        <v>44874</v>
      </c>
      <c r="B224" s="36" t="s">
        <v>51</v>
      </c>
      <c r="C224" s="38" t="s">
        <v>60</v>
      </c>
      <c r="D224" s="47">
        <v>662</v>
      </c>
      <c r="E224" s="47">
        <v>641</v>
      </c>
      <c r="F224" s="72">
        <v>2.9548989113530325E-2</v>
      </c>
      <c r="G224" s="72">
        <v>8.6440677966101692E-2</v>
      </c>
      <c r="H224" s="46">
        <v>4235</v>
      </c>
      <c r="I224" s="34">
        <v>4023</v>
      </c>
      <c r="J224" s="34">
        <v>90832</v>
      </c>
      <c r="K224" s="34">
        <v>83474</v>
      </c>
      <c r="L224" s="105">
        <v>0.95</v>
      </c>
      <c r="M224" s="105">
        <v>0.03</v>
      </c>
      <c r="N224" s="105">
        <v>0.97</v>
      </c>
      <c r="O224" s="105">
        <v>0.47</v>
      </c>
      <c r="P224" s="105">
        <v>1</v>
      </c>
      <c r="Q224" s="1"/>
      <c r="R224" s="1">
        <v>7</v>
      </c>
    </row>
    <row r="225" spans="1:21" x14ac:dyDescent="0.35">
      <c r="A225" s="254">
        <v>44875</v>
      </c>
      <c r="B225" s="38" t="s">
        <v>52</v>
      </c>
      <c r="C225" s="38" t="s">
        <v>60</v>
      </c>
      <c r="D225" s="47">
        <v>648</v>
      </c>
      <c r="E225" s="47">
        <v>612</v>
      </c>
      <c r="F225" s="72">
        <v>0.22264150943396227</v>
      </c>
      <c r="G225" s="72">
        <v>0.20235756385068762</v>
      </c>
      <c r="H225" s="1">
        <v>4883</v>
      </c>
      <c r="I225" s="1">
        <v>4635</v>
      </c>
      <c r="J225" s="1">
        <v>91480</v>
      </c>
      <c r="K225" s="1">
        <v>84086</v>
      </c>
      <c r="L225" s="105">
        <v>0.91</v>
      </c>
      <c r="M225" s="105">
        <v>0.06</v>
      </c>
      <c r="N225" s="105">
        <v>0.94</v>
      </c>
      <c r="O225" s="105">
        <v>0.44</v>
      </c>
      <c r="P225" s="105">
        <v>1</v>
      </c>
      <c r="Q225" s="1"/>
      <c r="R225" s="1">
        <v>7</v>
      </c>
    </row>
    <row r="226" spans="1:21" x14ac:dyDescent="0.35">
      <c r="A226" s="254">
        <v>44876</v>
      </c>
      <c r="B226" s="36" t="s">
        <v>53</v>
      </c>
      <c r="C226" s="38" t="s">
        <v>60</v>
      </c>
      <c r="D226" s="47">
        <v>667</v>
      </c>
      <c r="E226" s="47">
        <v>640</v>
      </c>
      <c r="F226" s="72">
        <v>0.34475806451612906</v>
      </c>
      <c r="G226" s="72">
        <v>0.35021097046413502</v>
      </c>
      <c r="H226" s="46">
        <v>5550</v>
      </c>
      <c r="I226" s="34">
        <v>5275</v>
      </c>
      <c r="J226" s="34">
        <v>92147</v>
      </c>
      <c r="K226" s="34">
        <v>84726</v>
      </c>
      <c r="L226" s="105">
        <v>0.9</v>
      </c>
      <c r="M226" s="105">
        <v>0.04</v>
      </c>
      <c r="N226" s="105">
        <v>0.96</v>
      </c>
      <c r="O226" s="105">
        <v>0.56000000000000005</v>
      </c>
      <c r="P226" s="105">
        <v>1</v>
      </c>
      <c r="Q226" s="1"/>
      <c r="R226" s="1">
        <v>7</v>
      </c>
    </row>
    <row r="227" spans="1:21" x14ac:dyDescent="0.35">
      <c r="A227" s="254">
        <v>44877</v>
      </c>
      <c r="B227" s="38" t="s">
        <v>54</v>
      </c>
      <c r="C227" s="38" t="s">
        <v>60</v>
      </c>
      <c r="D227" s="47">
        <v>260</v>
      </c>
      <c r="E227" s="47">
        <v>252</v>
      </c>
      <c r="F227" s="72">
        <v>5.2631578947368418E-2</v>
      </c>
      <c r="G227" s="72">
        <v>9.5652173913043481E-2</v>
      </c>
      <c r="H227" s="1">
        <v>5810</v>
      </c>
      <c r="I227" s="1">
        <v>5527</v>
      </c>
      <c r="J227" s="1">
        <v>92407</v>
      </c>
      <c r="K227" s="1">
        <v>84978</v>
      </c>
      <c r="L227" s="105">
        <v>0.92</v>
      </c>
      <c r="M227" s="105">
        <v>0.03</v>
      </c>
      <c r="N227" s="105">
        <v>0.97</v>
      </c>
      <c r="O227" s="105">
        <v>0.62</v>
      </c>
      <c r="P227" s="105">
        <v>1</v>
      </c>
      <c r="Q227" s="1"/>
      <c r="R227" s="1">
        <v>4</v>
      </c>
    </row>
    <row r="228" spans="1:21" x14ac:dyDescent="0.35">
      <c r="A228" s="254">
        <v>44878</v>
      </c>
      <c r="B228" s="36" t="s">
        <v>48</v>
      </c>
      <c r="C228" s="38" t="s">
        <v>60</v>
      </c>
      <c r="D228" s="47">
        <v>22</v>
      </c>
      <c r="E228" s="47">
        <v>22</v>
      </c>
      <c r="F228" s="72">
        <v>0</v>
      </c>
      <c r="G228" s="72">
        <v>0</v>
      </c>
      <c r="H228" s="46">
        <v>5832</v>
      </c>
      <c r="I228" s="34">
        <v>5549</v>
      </c>
      <c r="J228" s="34">
        <v>92429</v>
      </c>
      <c r="K228" s="34">
        <v>85000</v>
      </c>
      <c r="L228" s="105">
        <v>1</v>
      </c>
      <c r="M228" s="105">
        <v>0</v>
      </c>
      <c r="N228" s="105">
        <v>1</v>
      </c>
      <c r="O228" s="105">
        <v>0.08</v>
      </c>
      <c r="P228" s="105">
        <v>1</v>
      </c>
      <c r="Q228" s="1"/>
      <c r="R228" s="1">
        <v>2</v>
      </c>
    </row>
    <row r="229" spans="1:21" x14ac:dyDescent="0.35">
      <c r="A229" s="254">
        <v>44879</v>
      </c>
      <c r="B229" s="38" t="s">
        <v>49</v>
      </c>
      <c r="C229" s="38" t="s">
        <v>60</v>
      </c>
      <c r="D229" s="47">
        <v>709</v>
      </c>
      <c r="E229" s="47">
        <v>687</v>
      </c>
      <c r="F229" s="72">
        <v>0.18166666666666667</v>
      </c>
      <c r="G229" s="72">
        <v>0.17636986301369864</v>
      </c>
      <c r="H229" s="1">
        <v>6541</v>
      </c>
      <c r="I229" s="1">
        <v>6236</v>
      </c>
      <c r="J229" s="1">
        <v>93138</v>
      </c>
      <c r="K229" s="1">
        <v>85687</v>
      </c>
      <c r="L229" s="105">
        <v>0.9</v>
      </c>
      <c r="M229" s="105">
        <v>0.03</v>
      </c>
      <c r="N229" s="105">
        <v>0.97</v>
      </c>
      <c r="O229" s="105">
        <v>0.61</v>
      </c>
      <c r="P229" s="105">
        <v>1</v>
      </c>
      <c r="Q229" s="1"/>
      <c r="R229" s="1">
        <v>7</v>
      </c>
    </row>
    <row r="230" spans="1:21" x14ac:dyDescent="0.35">
      <c r="A230" s="254">
        <v>44880</v>
      </c>
      <c r="B230" s="36" t="s">
        <v>50</v>
      </c>
      <c r="C230" s="38" t="s">
        <v>60</v>
      </c>
      <c r="D230" s="47">
        <v>652</v>
      </c>
      <c r="E230" s="47">
        <v>620</v>
      </c>
      <c r="F230" s="72">
        <v>6.1889250814332247E-2</v>
      </c>
      <c r="G230" s="72">
        <v>7.452339688041594E-2</v>
      </c>
      <c r="H230" s="1">
        <v>7193</v>
      </c>
      <c r="I230" s="1">
        <v>6856</v>
      </c>
      <c r="J230" s="1">
        <v>93790</v>
      </c>
      <c r="K230" s="1">
        <v>86307</v>
      </c>
      <c r="L230" s="105">
        <v>0.89</v>
      </c>
      <c r="M230" s="105">
        <v>0.05</v>
      </c>
      <c r="N230" s="105">
        <v>0.95</v>
      </c>
      <c r="O230" s="105">
        <v>0.55000000000000004</v>
      </c>
      <c r="P230" s="105">
        <v>1</v>
      </c>
      <c r="Q230" s="1"/>
      <c r="R230" s="1">
        <v>7</v>
      </c>
    </row>
    <row r="231" spans="1:21" x14ac:dyDescent="0.35">
      <c r="A231" s="254">
        <v>44881</v>
      </c>
      <c r="B231" s="38" t="s">
        <v>51</v>
      </c>
      <c r="C231" s="38" t="s">
        <v>60</v>
      </c>
      <c r="D231" s="47">
        <v>634</v>
      </c>
      <c r="E231" s="47">
        <v>608</v>
      </c>
      <c r="F231" s="72">
        <v>-4.2296072507552872E-2</v>
      </c>
      <c r="G231" s="72">
        <v>-5.1482059282371297E-2</v>
      </c>
      <c r="H231" s="1">
        <v>7827</v>
      </c>
      <c r="I231" s="1">
        <v>7464</v>
      </c>
      <c r="J231" s="1">
        <v>94424</v>
      </c>
      <c r="K231" s="1">
        <v>86915</v>
      </c>
      <c r="L231" s="105">
        <v>0.89</v>
      </c>
      <c r="M231" s="105">
        <v>0.04</v>
      </c>
      <c r="N231" s="105">
        <v>0.96</v>
      </c>
      <c r="O231" s="105">
        <v>0.54</v>
      </c>
      <c r="P231" s="105">
        <v>1</v>
      </c>
      <c r="Q231" s="1"/>
      <c r="R231" s="1">
        <v>7</v>
      </c>
    </row>
    <row r="232" spans="1:21" x14ac:dyDescent="0.35">
      <c r="A232" s="254">
        <v>44882</v>
      </c>
      <c r="B232" s="36" t="s">
        <v>52</v>
      </c>
      <c r="C232" s="38" t="s">
        <v>60</v>
      </c>
      <c r="D232" s="47">
        <v>588</v>
      </c>
      <c r="E232" s="47">
        <v>561</v>
      </c>
      <c r="F232" s="72">
        <v>-9.2592592592592587E-2</v>
      </c>
      <c r="G232" s="72">
        <v>-8.3333333333333329E-2</v>
      </c>
      <c r="H232" s="1">
        <v>8415</v>
      </c>
      <c r="I232" s="1">
        <v>8025</v>
      </c>
      <c r="J232" s="1">
        <v>95012</v>
      </c>
      <c r="K232" s="1">
        <v>87476</v>
      </c>
      <c r="L232" s="105">
        <v>0.91</v>
      </c>
      <c r="M232" s="105">
        <v>0.05</v>
      </c>
      <c r="N232" s="105">
        <v>0.95</v>
      </c>
      <c r="O232" s="105">
        <v>0.5</v>
      </c>
      <c r="P232" s="105">
        <v>1</v>
      </c>
      <c r="Q232" s="1"/>
      <c r="R232" s="1">
        <v>7</v>
      </c>
      <c r="S232">
        <f>AVERAGEIF(P185:P215,"&lt;&gt;0")</f>
        <v>1</v>
      </c>
    </row>
    <row r="233" spans="1:21" x14ac:dyDescent="0.35">
      <c r="A233" s="254">
        <v>44883</v>
      </c>
      <c r="B233" s="38" t="s">
        <v>53</v>
      </c>
      <c r="C233" s="38" t="s">
        <v>60</v>
      </c>
      <c r="D233" s="47">
        <v>630</v>
      </c>
      <c r="E233" s="47">
        <v>600</v>
      </c>
      <c r="F233" s="72">
        <v>-5.5472263868065967E-2</v>
      </c>
      <c r="G233" s="72">
        <v>-6.25E-2</v>
      </c>
      <c r="H233" s="1">
        <v>9045</v>
      </c>
      <c r="I233" s="1">
        <v>8625</v>
      </c>
      <c r="J233" s="1">
        <v>95642</v>
      </c>
      <c r="K233" s="1">
        <v>88076</v>
      </c>
      <c r="L233" s="105">
        <v>0.88</v>
      </c>
      <c r="M233" s="105">
        <v>0.05</v>
      </c>
      <c r="N233" s="105">
        <v>0.95</v>
      </c>
      <c r="O233" s="105">
        <v>0.53</v>
      </c>
      <c r="P233" s="105">
        <v>1</v>
      </c>
      <c r="Q233" s="1"/>
      <c r="R233" s="1">
        <v>7</v>
      </c>
    </row>
    <row r="234" spans="1:21" x14ac:dyDescent="0.35">
      <c r="A234" s="254">
        <v>44884</v>
      </c>
      <c r="B234" s="36" t="s">
        <v>54</v>
      </c>
      <c r="C234" s="38" t="s">
        <v>60</v>
      </c>
      <c r="D234" s="47">
        <v>233</v>
      </c>
      <c r="E234" s="47">
        <v>199</v>
      </c>
      <c r="F234" s="72">
        <v>-0.10384615384615385</v>
      </c>
      <c r="G234" s="72">
        <v>-0.21031746031746032</v>
      </c>
      <c r="H234" s="1">
        <v>9278</v>
      </c>
      <c r="I234" s="1">
        <v>8824</v>
      </c>
      <c r="J234" s="1">
        <v>95875</v>
      </c>
      <c r="K234" s="1">
        <v>88275</v>
      </c>
      <c r="L234" s="105">
        <v>0.67</v>
      </c>
      <c r="M234" s="105">
        <v>0.15</v>
      </c>
      <c r="N234" s="105">
        <v>0.85</v>
      </c>
      <c r="O234" s="105">
        <v>0.3</v>
      </c>
      <c r="P234" s="105">
        <v>1</v>
      </c>
      <c r="Q234" s="1"/>
      <c r="R234" s="1">
        <v>4</v>
      </c>
    </row>
    <row r="235" spans="1:21" x14ac:dyDescent="0.35">
      <c r="A235" s="254">
        <v>44885</v>
      </c>
      <c r="B235" s="38" t="s">
        <v>48</v>
      </c>
      <c r="C235" s="38" t="s">
        <v>60</v>
      </c>
      <c r="D235" s="47">
        <v>49</v>
      </c>
      <c r="E235" s="47">
        <v>37</v>
      </c>
      <c r="F235" s="72">
        <v>1.2272727272727273</v>
      </c>
      <c r="G235" s="72">
        <v>0.68181818181818177</v>
      </c>
      <c r="H235" s="1">
        <v>9327</v>
      </c>
      <c r="I235" s="1">
        <v>8861</v>
      </c>
      <c r="J235" s="1">
        <v>95924</v>
      </c>
      <c r="K235" s="1">
        <v>88312</v>
      </c>
      <c r="L235" s="105">
        <v>0.73</v>
      </c>
      <c r="M235" s="105">
        <v>0.24</v>
      </c>
      <c r="N235" s="105">
        <v>0.76</v>
      </c>
      <c r="O235" s="105">
        <v>0.06</v>
      </c>
      <c r="P235" s="105">
        <v>1</v>
      </c>
      <c r="Q235" s="1"/>
      <c r="R235" s="1">
        <v>2</v>
      </c>
    </row>
    <row r="236" spans="1:21" x14ac:dyDescent="0.35">
      <c r="A236" s="254">
        <v>44886</v>
      </c>
      <c r="B236" s="36" t="s">
        <v>49</v>
      </c>
      <c r="C236" s="38" t="s">
        <v>60</v>
      </c>
      <c r="D236" s="47">
        <v>774</v>
      </c>
      <c r="E236" s="47">
        <v>746</v>
      </c>
      <c r="F236" s="72">
        <v>9.1678420310296188E-2</v>
      </c>
      <c r="G236" s="72">
        <v>8.5880640465793301E-2</v>
      </c>
      <c r="H236" s="1">
        <v>10101</v>
      </c>
      <c r="I236" s="1">
        <v>9607</v>
      </c>
      <c r="J236" s="1">
        <v>96698</v>
      </c>
      <c r="K236" s="1">
        <v>89058</v>
      </c>
      <c r="L236" s="105">
        <v>0.9</v>
      </c>
      <c r="M236" s="105">
        <v>0.04</v>
      </c>
      <c r="N236" s="105">
        <v>0.96</v>
      </c>
      <c r="O236" s="105">
        <v>0.52</v>
      </c>
      <c r="P236" s="105">
        <v>1</v>
      </c>
      <c r="Q236" s="1"/>
      <c r="R236" s="1">
        <v>7</v>
      </c>
      <c r="S236" s="54"/>
      <c r="T236" s="54"/>
      <c r="U236" s="54"/>
    </row>
    <row r="237" spans="1:21" x14ac:dyDescent="0.35">
      <c r="A237" s="254">
        <v>44887</v>
      </c>
      <c r="B237" s="38" t="s">
        <v>50</v>
      </c>
      <c r="C237" s="38" t="s">
        <v>60</v>
      </c>
      <c r="D237" s="47">
        <v>712</v>
      </c>
      <c r="E237" s="47">
        <v>674</v>
      </c>
      <c r="F237" s="72">
        <v>9.202453987730061E-2</v>
      </c>
      <c r="G237" s="72">
        <v>8.7096774193548387E-2</v>
      </c>
      <c r="H237" s="1">
        <v>10813</v>
      </c>
      <c r="I237" s="1">
        <v>10281</v>
      </c>
      <c r="J237" s="1">
        <v>97410</v>
      </c>
      <c r="K237" s="1">
        <v>89732</v>
      </c>
      <c r="L237" s="105">
        <v>0.89</v>
      </c>
      <c r="M237" s="105">
        <v>0.05</v>
      </c>
      <c r="N237" s="105">
        <v>0.95</v>
      </c>
      <c r="O237" s="105">
        <v>0.69</v>
      </c>
      <c r="P237" s="105">
        <v>1</v>
      </c>
      <c r="Q237" s="1"/>
      <c r="R237" s="1">
        <v>6</v>
      </c>
    </row>
    <row r="238" spans="1:21" x14ac:dyDescent="0.35">
      <c r="A238" s="254">
        <v>44888</v>
      </c>
      <c r="B238" s="36" t="s">
        <v>51</v>
      </c>
      <c r="C238" s="38" t="s">
        <v>60</v>
      </c>
      <c r="D238" s="47">
        <v>775</v>
      </c>
      <c r="E238" s="47">
        <v>729</v>
      </c>
      <c r="F238" s="72">
        <v>0.22239747634069401</v>
      </c>
      <c r="G238" s="72">
        <v>0.19901315789473684</v>
      </c>
      <c r="H238" s="1">
        <v>11588</v>
      </c>
      <c r="I238" s="1">
        <v>11010</v>
      </c>
      <c r="J238" s="1">
        <v>98185</v>
      </c>
      <c r="K238" s="1">
        <v>90461</v>
      </c>
      <c r="L238" s="105">
        <v>0.84</v>
      </c>
      <c r="M238" s="105">
        <v>0.06</v>
      </c>
      <c r="N238" s="105">
        <v>0.94</v>
      </c>
      <c r="O238" s="105">
        <v>0.77</v>
      </c>
      <c r="P238" s="105">
        <v>1</v>
      </c>
      <c r="Q238" s="1"/>
      <c r="R238" s="1">
        <v>6</v>
      </c>
    </row>
    <row r="239" spans="1:21" x14ac:dyDescent="0.35">
      <c r="A239" s="254">
        <v>44889</v>
      </c>
      <c r="B239" s="38" t="s">
        <v>52</v>
      </c>
      <c r="C239" s="38" t="s">
        <v>60</v>
      </c>
      <c r="D239" s="47">
        <v>442</v>
      </c>
      <c r="E239" s="47">
        <v>415</v>
      </c>
      <c r="F239" s="72">
        <v>-0.24829931972789115</v>
      </c>
      <c r="G239" s="72">
        <v>-0.26024955436720143</v>
      </c>
      <c r="H239" s="1">
        <v>12030</v>
      </c>
      <c r="I239" s="1">
        <v>11425</v>
      </c>
      <c r="J239" s="1">
        <v>98627</v>
      </c>
      <c r="K239" s="1">
        <v>90876</v>
      </c>
      <c r="L239" s="105">
        <v>0.87</v>
      </c>
      <c r="M239" s="105">
        <v>0.06</v>
      </c>
      <c r="N239" s="105">
        <v>0.94</v>
      </c>
      <c r="O239" s="105">
        <v>0.66</v>
      </c>
      <c r="P239" s="105">
        <v>1</v>
      </c>
      <c r="Q239" s="1"/>
      <c r="R239" s="1">
        <v>6</v>
      </c>
    </row>
    <row r="240" spans="1:21" x14ac:dyDescent="0.35">
      <c r="A240" s="254">
        <v>44890</v>
      </c>
      <c r="B240" s="36" t="s">
        <v>53</v>
      </c>
      <c r="C240" s="38" t="s">
        <v>60</v>
      </c>
      <c r="D240" s="47">
        <v>941</v>
      </c>
      <c r="E240" s="47">
        <v>898</v>
      </c>
      <c r="F240" s="72">
        <v>0.49365079365079367</v>
      </c>
      <c r="G240" s="72">
        <v>0.49666666666666665</v>
      </c>
      <c r="H240" s="1">
        <v>12971</v>
      </c>
      <c r="I240" s="1">
        <v>12323</v>
      </c>
      <c r="J240" s="1">
        <v>99568</v>
      </c>
      <c r="K240" s="1">
        <v>91774</v>
      </c>
      <c r="L240" s="105">
        <v>0.88</v>
      </c>
      <c r="M240" s="105">
        <v>0.05</v>
      </c>
      <c r="N240" s="105">
        <v>0.95</v>
      </c>
      <c r="O240" s="105">
        <v>0.56999999999999995</v>
      </c>
      <c r="P240" s="105">
        <v>1</v>
      </c>
      <c r="Q240" s="1"/>
      <c r="R240" s="1">
        <v>8</v>
      </c>
    </row>
    <row r="241" spans="1:21" x14ac:dyDescent="0.35">
      <c r="A241" s="254">
        <v>44891</v>
      </c>
      <c r="B241" s="38" t="s">
        <v>54</v>
      </c>
      <c r="C241" s="38" t="s">
        <v>60</v>
      </c>
      <c r="D241" s="47">
        <v>392</v>
      </c>
      <c r="E241" s="47">
        <v>379</v>
      </c>
      <c r="F241" s="72">
        <v>0.68240343347639487</v>
      </c>
      <c r="G241" s="72">
        <v>0.90452261306532666</v>
      </c>
      <c r="H241" s="1">
        <v>13363</v>
      </c>
      <c r="I241" s="1">
        <v>12702</v>
      </c>
      <c r="J241" s="1">
        <v>99960</v>
      </c>
      <c r="K241" s="1">
        <v>92153</v>
      </c>
      <c r="L241" s="105">
        <v>0.91</v>
      </c>
      <c r="M241" s="105">
        <v>0.03</v>
      </c>
      <c r="N241" s="105">
        <v>0.97</v>
      </c>
      <c r="O241" s="105">
        <v>0.3</v>
      </c>
      <c r="P241" s="105">
        <v>1</v>
      </c>
      <c r="Q241" s="1"/>
      <c r="R241" s="1">
        <v>7</v>
      </c>
    </row>
    <row r="242" spans="1:21" x14ac:dyDescent="0.35">
      <c r="A242" s="254">
        <v>44892</v>
      </c>
      <c r="B242" s="36" t="s">
        <v>48</v>
      </c>
      <c r="C242" s="38" t="s">
        <v>60</v>
      </c>
      <c r="D242" s="47">
        <v>91</v>
      </c>
      <c r="E242" s="47">
        <v>89</v>
      </c>
      <c r="F242" s="72">
        <v>0.8571428571428571</v>
      </c>
      <c r="G242" s="72">
        <v>1.4054054054054055</v>
      </c>
      <c r="H242" s="1">
        <v>13454</v>
      </c>
      <c r="I242" s="1">
        <v>12791</v>
      </c>
      <c r="J242" s="1">
        <v>100051</v>
      </c>
      <c r="K242" s="1">
        <v>92242</v>
      </c>
      <c r="L242" s="105">
        <v>0.87</v>
      </c>
      <c r="M242" s="105">
        <v>0.06</v>
      </c>
      <c r="N242" s="105">
        <v>0.94</v>
      </c>
      <c r="O242" s="105">
        <v>0.66</v>
      </c>
      <c r="P242" s="105">
        <v>1</v>
      </c>
      <c r="Q242" s="1"/>
      <c r="R242" s="1">
        <v>6</v>
      </c>
    </row>
    <row r="243" spans="1:21" x14ac:dyDescent="0.35">
      <c r="A243" s="254">
        <v>44893</v>
      </c>
      <c r="B243" s="38" t="s">
        <v>49</v>
      </c>
      <c r="C243" s="38" t="s">
        <v>60</v>
      </c>
      <c r="D243" s="47">
        <v>1004</v>
      </c>
      <c r="E243" s="47">
        <v>949</v>
      </c>
      <c r="F243" s="72">
        <v>0.29715762273901808</v>
      </c>
      <c r="G243" s="72">
        <v>0.27211796246648795</v>
      </c>
      <c r="H243" s="1">
        <v>14458</v>
      </c>
      <c r="I243" s="1">
        <v>13740</v>
      </c>
      <c r="J243" s="1">
        <v>101055</v>
      </c>
      <c r="K243" s="1">
        <v>93191</v>
      </c>
      <c r="L243" s="105">
        <v>0.82</v>
      </c>
      <c r="M243" s="105">
        <v>0.05</v>
      </c>
      <c r="N243" s="105">
        <v>0.95</v>
      </c>
      <c r="O243" s="105">
        <v>0.88</v>
      </c>
      <c r="P243" s="105">
        <v>1</v>
      </c>
      <c r="Q243" s="1"/>
      <c r="R243" s="1">
        <v>7</v>
      </c>
    </row>
    <row r="244" spans="1:21" x14ac:dyDescent="0.35">
      <c r="A244" s="254">
        <v>44894</v>
      </c>
      <c r="B244" s="36" t="s">
        <v>50</v>
      </c>
      <c r="C244" s="38" t="s">
        <v>60</v>
      </c>
      <c r="D244" s="47">
        <v>845</v>
      </c>
      <c r="E244" s="47">
        <v>804</v>
      </c>
      <c r="F244" s="72">
        <v>0.18679775280898878</v>
      </c>
      <c r="G244" s="72">
        <v>0.19287833827893175</v>
      </c>
      <c r="H244" s="1">
        <v>15303</v>
      </c>
      <c r="I244" s="1">
        <v>14544</v>
      </c>
      <c r="J244" s="1">
        <v>101900</v>
      </c>
      <c r="K244" s="1">
        <v>93995</v>
      </c>
      <c r="L244" s="105">
        <v>0.85</v>
      </c>
      <c r="M244" s="105">
        <v>0.05</v>
      </c>
      <c r="N244" s="105">
        <v>0.95</v>
      </c>
      <c r="O244" s="105">
        <v>0.74</v>
      </c>
      <c r="P244" s="105">
        <v>1</v>
      </c>
      <c r="Q244" s="1"/>
      <c r="R244" s="1">
        <v>7</v>
      </c>
    </row>
    <row r="245" spans="1:21" x14ac:dyDescent="0.35">
      <c r="A245" s="254">
        <v>44895</v>
      </c>
      <c r="B245" s="38" t="s">
        <v>51</v>
      </c>
      <c r="C245" s="38" t="s">
        <v>60</v>
      </c>
      <c r="D245" s="47">
        <v>764</v>
      </c>
      <c r="E245" s="47">
        <v>734</v>
      </c>
      <c r="F245" s="72">
        <v>-1.4193548387096775E-2</v>
      </c>
      <c r="G245" s="72">
        <v>6.8587105624142658E-3</v>
      </c>
      <c r="H245" s="1">
        <v>16067</v>
      </c>
      <c r="I245" s="1">
        <v>15278</v>
      </c>
      <c r="J245" s="1">
        <v>102664</v>
      </c>
      <c r="K245" s="1">
        <v>94729</v>
      </c>
      <c r="L245" s="105">
        <v>0.86</v>
      </c>
      <c r="M245" s="105">
        <v>0.04</v>
      </c>
      <c r="N245" s="105">
        <v>0.96</v>
      </c>
      <c r="O245" s="105">
        <v>0.68</v>
      </c>
      <c r="P245" s="105">
        <v>1</v>
      </c>
      <c r="Q245" s="1"/>
      <c r="R245" s="1">
        <v>7</v>
      </c>
    </row>
    <row r="246" spans="1:21" s="54" customFormat="1" x14ac:dyDescent="0.35">
      <c r="A246" s="257">
        <v>44896</v>
      </c>
      <c r="B246" s="119" t="s">
        <v>52</v>
      </c>
      <c r="C246" s="55" t="s">
        <v>60</v>
      </c>
      <c r="D246" s="117">
        <v>789</v>
      </c>
      <c r="E246" s="117">
        <v>755</v>
      </c>
      <c r="F246" s="91">
        <v>0.78506787330316741</v>
      </c>
      <c r="G246" s="91">
        <v>0.81927710843373491</v>
      </c>
      <c r="H246" s="56">
        <v>789</v>
      </c>
      <c r="I246" s="56">
        <v>755</v>
      </c>
      <c r="J246" s="56">
        <v>103453</v>
      </c>
      <c r="K246" s="56">
        <v>95484</v>
      </c>
      <c r="L246" s="118">
        <v>0.85</v>
      </c>
      <c r="M246" s="118">
        <v>0.04</v>
      </c>
      <c r="N246" s="118">
        <v>0.96</v>
      </c>
      <c r="O246" s="118">
        <v>0.69</v>
      </c>
      <c r="P246" s="118">
        <v>1</v>
      </c>
      <c r="Q246" s="56"/>
      <c r="R246" s="56">
        <v>7</v>
      </c>
      <c r="S246"/>
      <c r="T246"/>
      <c r="U246"/>
    </row>
    <row r="247" spans="1:21" x14ac:dyDescent="0.35">
      <c r="A247" s="254">
        <v>44897</v>
      </c>
      <c r="B247" s="38" t="s">
        <v>53</v>
      </c>
      <c r="C247" s="38" t="s">
        <v>60</v>
      </c>
      <c r="D247" s="47">
        <v>738</v>
      </c>
      <c r="E247" s="47">
        <v>691</v>
      </c>
      <c r="F247" s="72">
        <v>-0.21572794899043571</v>
      </c>
      <c r="G247" s="72">
        <v>-0.23051224944320714</v>
      </c>
      <c r="H247" s="1">
        <v>1527</v>
      </c>
      <c r="I247" s="1">
        <v>1446</v>
      </c>
      <c r="J247" s="1">
        <v>104191</v>
      </c>
      <c r="K247" s="1">
        <v>96175</v>
      </c>
      <c r="L247" s="105">
        <v>0.81</v>
      </c>
      <c r="M247" s="105">
        <v>0.06</v>
      </c>
      <c r="N247" s="105">
        <v>0.94</v>
      </c>
      <c r="O247" s="105">
        <v>0.66</v>
      </c>
      <c r="P247" s="105">
        <v>1</v>
      </c>
      <c r="Q247" s="1"/>
      <c r="R247" s="1">
        <v>7</v>
      </c>
    </row>
    <row r="248" spans="1:21" x14ac:dyDescent="0.35">
      <c r="A248" s="254">
        <v>44898</v>
      </c>
      <c r="B248" s="36" t="s">
        <v>54</v>
      </c>
      <c r="C248" s="38" t="s">
        <v>60</v>
      </c>
      <c r="D248" s="47">
        <v>342</v>
      </c>
      <c r="E248" s="47">
        <v>296</v>
      </c>
      <c r="F248" s="72">
        <v>-0.12755102040816327</v>
      </c>
      <c r="G248" s="72">
        <v>-0.21899736147757257</v>
      </c>
      <c r="H248" s="1">
        <v>1869</v>
      </c>
      <c r="I248" s="1">
        <v>1742</v>
      </c>
      <c r="J248" s="1">
        <v>104533</v>
      </c>
      <c r="K248" s="1">
        <v>96471</v>
      </c>
      <c r="L248" s="105">
        <v>0.74</v>
      </c>
      <c r="M248" s="105">
        <v>0.13</v>
      </c>
      <c r="N248" s="105">
        <v>0.87</v>
      </c>
      <c r="O248" s="105">
        <v>0.48</v>
      </c>
      <c r="P248" s="105">
        <v>1</v>
      </c>
      <c r="Q248" s="1"/>
      <c r="R248" s="1">
        <v>4</v>
      </c>
    </row>
    <row r="249" spans="1:21" x14ac:dyDescent="0.35">
      <c r="A249" s="254">
        <v>44899</v>
      </c>
      <c r="B249" s="38" t="s">
        <v>48</v>
      </c>
      <c r="C249" s="38" t="s">
        <v>60</v>
      </c>
      <c r="D249" s="47">
        <v>57</v>
      </c>
      <c r="E249" s="47">
        <v>54</v>
      </c>
      <c r="F249" s="72">
        <v>-0.37362637362637363</v>
      </c>
      <c r="G249" s="72">
        <v>-0.39325842696629215</v>
      </c>
      <c r="H249" s="1">
        <v>1926</v>
      </c>
      <c r="I249" s="1">
        <v>1796</v>
      </c>
      <c r="J249" s="1">
        <v>104590</v>
      </c>
      <c r="K249" s="1">
        <v>96525</v>
      </c>
      <c r="L249" s="105">
        <v>0.95</v>
      </c>
      <c r="M249" s="105">
        <v>0.05</v>
      </c>
      <c r="N249" s="105">
        <v>0.95</v>
      </c>
      <c r="O249" s="105">
        <v>0.19</v>
      </c>
      <c r="P249" s="105">
        <v>1</v>
      </c>
      <c r="Q249" s="1"/>
      <c r="R249" s="1">
        <v>3</v>
      </c>
    </row>
    <row r="250" spans="1:21" x14ac:dyDescent="0.35">
      <c r="A250" s="254">
        <v>44900</v>
      </c>
      <c r="B250" s="36" t="s">
        <v>49</v>
      </c>
      <c r="C250" s="38" t="s">
        <v>60</v>
      </c>
      <c r="D250" s="47">
        <v>795</v>
      </c>
      <c r="E250" s="47">
        <v>754</v>
      </c>
      <c r="F250" s="72">
        <v>-0.20816733067729085</v>
      </c>
      <c r="G250" s="72">
        <v>-0.20547945205479451</v>
      </c>
      <c r="H250" s="1">
        <v>2721</v>
      </c>
      <c r="I250" s="1">
        <v>2550</v>
      </c>
      <c r="J250" s="1">
        <v>105385</v>
      </c>
      <c r="K250" s="1">
        <v>97279</v>
      </c>
      <c r="L250" s="105">
        <v>0.81</v>
      </c>
      <c r="M250" s="105">
        <v>0.05</v>
      </c>
      <c r="N250" s="105">
        <v>0.95</v>
      </c>
      <c r="O250" s="105">
        <v>0.82</v>
      </c>
      <c r="P250" s="105">
        <v>1</v>
      </c>
      <c r="Q250" s="1"/>
      <c r="R250" s="1">
        <v>6</v>
      </c>
    </row>
    <row r="251" spans="1:21" x14ac:dyDescent="0.35">
      <c r="A251" s="254">
        <v>44901</v>
      </c>
      <c r="B251" s="38" t="s">
        <v>50</v>
      </c>
      <c r="C251" s="38" t="s">
        <v>60</v>
      </c>
      <c r="D251" s="47">
        <v>655</v>
      </c>
      <c r="E251" s="47">
        <v>610</v>
      </c>
      <c r="F251" s="72">
        <v>-0.22485207100591717</v>
      </c>
      <c r="G251" s="72">
        <v>-0.24129353233830847</v>
      </c>
      <c r="H251" s="1">
        <v>3376</v>
      </c>
      <c r="I251" s="1">
        <v>3160</v>
      </c>
      <c r="J251" s="1">
        <v>106040</v>
      </c>
      <c r="K251" s="1">
        <v>97889</v>
      </c>
      <c r="L251" s="105">
        <v>0.84</v>
      </c>
      <c r="M251" s="105">
        <v>7.0000000000000007E-2</v>
      </c>
      <c r="N251" s="105">
        <v>0.93</v>
      </c>
      <c r="O251" s="105">
        <v>0.64</v>
      </c>
      <c r="P251" s="105">
        <v>1</v>
      </c>
      <c r="Q251" s="1"/>
      <c r="R251" s="1">
        <v>6</v>
      </c>
    </row>
    <row r="252" spans="1:21" x14ac:dyDescent="0.35">
      <c r="A252" s="254">
        <v>44902</v>
      </c>
      <c r="B252" s="36" t="s">
        <v>51</v>
      </c>
      <c r="C252" s="36" t="s">
        <v>60</v>
      </c>
      <c r="D252" s="46">
        <v>635</v>
      </c>
      <c r="E252" s="46">
        <v>614</v>
      </c>
      <c r="F252" s="72">
        <v>-0.16884816753926701</v>
      </c>
      <c r="G252" s="72">
        <v>-0.16348773841961853</v>
      </c>
      <c r="H252" s="34">
        <v>4011</v>
      </c>
      <c r="I252" s="34">
        <v>3774</v>
      </c>
      <c r="J252" s="34">
        <v>106675</v>
      </c>
      <c r="K252" s="34">
        <v>98503</v>
      </c>
      <c r="L252" s="106">
        <v>0.87</v>
      </c>
      <c r="M252" s="106">
        <v>0.03</v>
      </c>
      <c r="N252" s="106">
        <v>0.97</v>
      </c>
      <c r="O252" s="106">
        <v>0.65</v>
      </c>
      <c r="P252" s="106">
        <v>1</v>
      </c>
      <c r="Q252" s="139"/>
      <c r="R252" s="139">
        <v>6</v>
      </c>
    </row>
    <row r="253" spans="1:21" x14ac:dyDescent="0.35">
      <c r="A253" s="254">
        <v>44903</v>
      </c>
      <c r="B253" s="38" t="s">
        <v>52</v>
      </c>
      <c r="C253" s="38" t="s">
        <v>60</v>
      </c>
      <c r="D253" s="47">
        <v>566</v>
      </c>
      <c r="E253" s="47">
        <v>546</v>
      </c>
      <c r="F253" s="72">
        <v>-0.28263624841571611</v>
      </c>
      <c r="G253" s="72">
        <v>-0.27682119205298011</v>
      </c>
      <c r="H253" s="1">
        <v>4577</v>
      </c>
      <c r="I253" s="1">
        <v>4320</v>
      </c>
      <c r="J253" s="1">
        <v>107241</v>
      </c>
      <c r="K253" s="1">
        <v>99049</v>
      </c>
      <c r="L253" s="18">
        <v>0.9</v>
      </c>
      <c r="M253" s="105">
        <v>0.04</v>
      </c>
      <c r="N253" s="105">
        <v>0.96</v>
      </c>
      <c r="O253" s="105">
        <v>0.56999999999999995</v>
      </c>
      <c r="P253" s="105">
        <v>1</v>
      </c>
      <c r="Q253" s="1"/>
      <c r="R253" s="1">
        <v>6</v>
      </c>
    </row>
    <row r="254" spans="1:21" x14ac:dyDescent="0.35">
      <c r="A254" s="254">
        <v>44904</v>
      </c>
      <c r="B254" s="38" t="s">
        <v>53</v>
      </c>
      <c r="C254" s="36" t="s">
        <v>60</v>
      </c>
      <c r="D254" s="46">
        <v>499</v>
      </c>
      <c r="E254" s="46">
        <v>481</v>
      </c>
      <c r="F254" s="72">
        <v>-0.32384823848238481</v>
      </c>
      <c r="G254" s="72">
        <v>-0.30390738060781475</v>
      </c>
      <c r="H254" s="1">
        <v>5076</v>
      </c>
      <c r="I254" s="34">
        <v>4801</v>
      </c>
      <c r="J254" s="34">
        <v>107740</v>
      </c>
      <c r="K254" s="34">
        <v>99530</v>
      </c>
      <c r="L254" s="40">
        <v>0.88</v>
      </c>
      <c r="M254" s="106">
        <v>0.04</v>
      </c>
      <c r="N254" s="106">
        <v>0.96</v>
      </c>
      <c r="O254" s="106">
        <v>0.59</v>
      </c>
      <c r="P254" s="106">
        <v>1</v>
      </c>
      <c r="Q254" s="1"/>
      <c r="R254" s="1">
        <v>5</v>
      </c>
    </row>
    <row r="255" spans="1:21" x14ac:dyDescent="0.35">
      <c r="A255" s="254">
        <v>44905</v>
      </c>
      <c r="B255" s="38" t="s">
        <v>54</v>
      </c>
      <c r="C255" s="38" t="s">
        <v>60</v>
      </c>
      <c r="D255" s="47">
        <v>275</v>
      </c>
      <c r="E255" s="47">
        <v>261</v>
      </c>
      <c r="F255" s="72">
        <v>-0.195906432748538</v>
      </c>
      <c r="G255" s="72">
        <v>-0.11824324324324324</v>
      </c>
      <c r="H255" s="1">
        <v>5351</v>
      </c>
      <c r="I255" s="1">
        <v>5062</v>
      </c>
      <c r="J255" s="1">
        <v>108015</v>
      </c>
      <c r="K255" s="1">
        <v>99791</v>
      </c>
      <c r="L255" s="18">
        <v>0.88</v>
      </c>
      <c r="M255" s="105">
        <v>0.05</v>
      </c>
      <c r="N255" s="105">
        <v>0.95</v>
      </c>
      <c r="O255" s="105">
        <v>0.5</v>
      </c>
      <c r="P255" s="105">
        <v>1</v>
      </c>
      <c r="Q255" s="1"/>
      <c r="R255" s="1">
        <v>4</v>
      </c>
    </row>
    <row r="256" spans="1:21" x14ac:dyDescent="0.35">
      <c r="A256" s="254">
        <v>44906</v>
      </c>
      <c r="B256" s="38" t="s">
        <v>48</v>
      </c>
      <c r="C256" s="36" t="s">
        <v>60</v>
      </c>
      <c r="D256" s="46">
        <v>38</v>
      </c>
      <c r="E256" s="46">
        <v>38</v>
      </c>
      <c r="F256" s="72">
        <v>-0.33333333333333331</v>
      </c>
      <c r="G256" s="72">
        <v>-0.29629629629629628</v>
      </c>
      <c r="H256" s="1">
        <v>5389</v>
      </c>
      <c r="I256" s="34">
        <v>5100</v>
      </c>
      <c r="J256" s="34">
        <v>108053</v>
      </c>
      <c r="K256" s="34">
        <v>99829</v>
      </c>
      <c r="L256" s="40">
        <v>1</v>
      </c>
      <c r="M256" s="106">
        <v>0</v>
      </c>
      <c r="N256" s="106">
        <v>1</v>
      </c>
      <c r="O256" s="106">
        <v>7.0000000000000007E-2</v>
      </c>
      <c r="P256" s="106">
        <v>1</v>
      </c>
      <c r="Q256" s="1"/>
      <c r="R256" s="1">
        <v>6</v>
      </c>
    </row>
    <row r="257" spans="1:21" x14ac:dyDescent="0.35">
      <c r="A257" s="254">
        <v>44907</v>
      </c>
      <c r="B257" s="38" t="s">
        <v>49</v>
      </c>
      <c r="C257" s="38" t="s">
        <v>60</v>
      </c>
      <c r="D257" s="47">
        <v>663</v>
      </c>
      <c r="E257" s="47">
        <v>634</v>
      </c>
      <c r="F257" s="72">
        <v>-0.16603773584905659</v>
      </c>
      <c r="G257" s="72">
        <v>-0.15915119363395225</v>
      </c>
      <c r="H257" s="1">
        <v>6052</v>
      </c>
      <c r="I257" s="1">
        <v>5734</v>
      </c>
      <c r="J257" s="1">
        <v>108716</v>
      </c>
      <c r="K257" s="1">
        <v>100463</v>
      </c>
      <c r="L257" s="18">
        <v>0.9</v>
      </c>
      <c r="M257" s="105">
        <v>0.04</v>
      </c>
      <c r="N257" s="105">
        <v>0.96</v>
      </c>
      <c r="O257" s="105">
        <v>0.64</v>
      </c>
      <c r="P257" s="105">
        <v>1</v>
      </c>
      <c r="Q257" s="1"/>
      <c r="R257" s="1">
        <v>6</v>
      </c>
    </row>
    <row r="258" spans="1:21" x14ac:dyDescent="0.35">
      <c r="A258" s="254">
        <v>44908</v>
      </c>
      <c r="B258" s="36" t="s">
        <v>50</v>
      </c>
      <c r="C258" s="38" t="s">
        <v>60</v>
      </c>
      <c r="D258" s="46">
        <v>345</v>
      </c>
      <c r="E258" s="46">
        <v>337</v>
      </c>
      <c r="F258" s="72">
        <v>-0.47328244274809161</v>
      </c>
      <c r="G258" s="72">
        <v>-0.44754098360655736</v>
      </c>
      <c r="H258" s="34">
        <v>6397</v>
      </c>
      <c r="I258" s="34">
        <v>6071</v>
      </c>
      <c r="J258" s="34">
        <v>109061</v>
      </c>
      <c r="K258" s="34">
        <v>100800</v>
      </c>
      <c r="L258" s="40">
        <v>0.95</v>
      </c>
      <c r="M258" s="106">
        <v>0.02</v>
      </c>
      <c r="N258" s="106">
        <v>0.98</v>
      </c>
      <c r="O258" s="106">
        <v>0.47</v>
      </c>
      <c r="P258" s="106">
        <v>1</v>
      </c>
      <c r="Q258" s="1"/>
      <c r="R258" s="1">
        <v>4</v>
      </c>
      <c r="S258">
        <f>AVERAGEIF(P1:P366,"&lt;&gt;0")</f>
        <v>0.99874193548387102</v>
      </c>
    </row>
    <row r="259" spans="1:21" x14ac:dyDescent="0.35">
      <c r="A259" s="254">
        <v>44909</v>
      </c>
      <c r="B259" s="38" t="s">
        <v>51</v>
      </c>
      <c r="C259" s="38" t="s">
        <v>60</v>
      </c>
      <c r="D259" s="47">
        <v>708</v>
      </c>
      <c r="E259" s="47">
        <v>678</v>
      </c>
      <c r="F259" s="72">
        <v>0.11496062992125984</v>
      </c>
      <c r="G259" s="72">
        <v>0.10423452768729642</v>
      </c>
      <c r="H259" s="1">
        <v>7105</v>
      </c>
      <c r="I259" s="1">
        <v>6749</v>
      </c>
      <c r="J259" s="1">
        <v>109769</v>
      </c>
      <c r="K259" s="1">
        <v>101478</v>
      </c>
      <c r="L259" s="18">
        <v>0.89</v>
      </c>
      <c r="M259" s="105">
        <v>0.04</v>
      </c>
      <c r="N259" s="105">
        <v>0.96</v>
      </c>
      <c r="O259" s="105">
        <v>0.71</v>
      </c>
      <c r="P259" s="105">
        <v>1</v>
      </c>
      <c r="Q259" s="1"/>
      <c r="R259" s="1">
        <v>6</v>
      </c>
    </row>
    <row r="260" spans="1:21" x14ac:dyDescent="0.35">
      <c r="A260" s="254">
        <v>44910</v>
      </c>
      <c r="B260" s="36" t="s">
        <v>52</v>
      </c>
      <c r="C260" s="38" t="s">
        <v>60</v>
      </c>
      <c r="D260" s="46">
        <v>707</v>
      </c>
      <c r="E260" s="46">
        <v>652</v>
      </c>
      <c r="F260" s="72">
        <v>0.24911660777385158</v>
      </c>
      <c r="G260" s="72">
        <v>0.19413919413919414</v>
      </c>
      <c r="H260" s="34">
        <v>7812</v>
      </c>
      <c r="I260" s="34">
        <v>7401</v>
      </c>
      <c r="J260" s="34">
        <v>110476</v>
      </c>
      <c r="K260" s="34">
        <v>102130</v>
      </c>
      <c r="L260" s="40">
        <v>0.79</v>
      </c>
      <c r="M260" s="106">
        <v>0.08</v>
      </c>
      <c r="N260" s="106">
        <v>0.92</v>
      </c>
      <c r="O260" s="106">
        <v>0.68</v>
      </c>
      <c r="P260" s="106">
        <v>1</v>
      </c>
      <c r="Q260" s="1"/>
      <c r="R260" s="1">
        <v>5</v>
      </c>
    </row>
    <row r="261" spans="1:21" x14ac:dyDescent="0.35">
      <c r="A261" s="254">
        <v>44911</v>
      </c>
      <c r="B261" s="38" t="s">
        <v>53</v>
      </c>
      <c r="C261" s="38" t="s">
        <v>60</v>
      </c>
      <c r="D261" s="47">
        <v>673</v>
      </c>
      <c r="E261" s="47">
        <v>636</v>
      </c>
      <c r="F261" s="72">
        <v>0.34869739478957917</v>
      </c>
      <c r="G261" s="72">
        <v>0.32224532224532226</v>
      </c>
      <c r="H261" s="1">
        <v>8485</v>
      </c>
      <c r="I261" s="1">
        <v>8037</v>
      </c>
      <c r="J261" s="1">
        <v>111149</v>
      </c>
      <c r="K261" s="1">
        <v>102766</v>
      </c>
      <c r="L261" s="18">
        <v>0.85</v>
      </c>
      <c r="M261" s="105">
        <v>0.05</v>
      </c>
      <c r="N261" s="105">
        <v>0.95</v>
      </c>
      <c r="O261" s="105">
        <v>0.73</v>
      </c>
      <c r="P261" s="105">
        <v>1</v>
      </c>
      <c r="Q261" s="1"/>
      <c r="R261" s="1">
        <v>5</v>
      </c>
    </row>
    <row r="262" spans="1:21" x14ac:dyDescent="0.35">
      <c r="A262" s="254">
        <v>44912</v>
      </c>
      <c r="B262" s="36" t="s">
        <v>54</v>
      </c>
      <c r="C262" s="38" t="s">
        <v>60</v>
      </c>
      <c r="D262" s="46">
        <v>340</v>
      </c>
      <c r="E262" s="46">
        <v>260</v>
      </c>
      <c r="F262" s="72">
        <v>0.23636363636363636</v>
      </c>
      <c r="G262" s="72">
        <v>-3.8314176245210726E-3</v>
      </c>
      <c r="H262" s="34">
        <v>8825</v>
      </c>
      <c r="I262" s="34">
        <v>8297</v>
      </c>
      <c r="J262" s="34">
        <v>111489</v>
      </c>
      <c r="K262" s="34">
        <v>103026</v>
      </c>
      <c r="L262" s="40">
        <v>0.55000000000000004</v>
      </c>
      <c r="M262" s="106">
        <v>0.24</v>
      </c>
      <c r="N262" s="106">
        <v>0.76</v>
      </c>
      <c r="O262" s="106">
        <v>0.39</v>
      </c>
      <c r="P262" s="106">
        <v>1</v>
      </c>
      <c r="Q262" s="1"/>
      <c r="R262" s="1">
        <v>5</v>
      </c>
    </row>
    <row r="263" spans="1:21" x14ac:dyDescent="0.35">
      <c r="A263" s="254">
        <v>44913</v>
      </c>
      <c r="B263" s="38" t="s">
        <v>48</v>
      </c>
      <c r="C263" s="38" t="s">
        <v>60</v>
      </c>
      <c r="D263" s="47">
        <v>106</v>
      </c>
      <c r="E263" s="47">
        <v>105</v>
      </c>
      <c r="F263" s="72">
        <v>1.7894736842105263</v>
      </c>
      <c r="G263" s="72">
        <v>1.763157894736842</v>
      </c>
      <c r="H263" s="1">
        <v>8931</v>
      </c>
      <c r="I263" s="1">
        <v>8402</v>
      </c>
      <c r="J263" s="1">
        <v>111595</v>
      </c>
      <c r="K263" s="1">
        <v>103131</v>
      </c>
      <c r="L263" s="18">
        <v>0.99</v>
      </c>
      <c r="M263" s="105">
        <v>0.01</v>
      </c>
      <c r="N263" s="105">
        <v>0.99</v>
      </c>
      <c r="O263" s="105">
        <v>0.15</v>
      </c>
      <c r="P263" s="105">
        <v>1</v>
      </c>
      <c r="Q263" s="1"/>
      <c r="R263" s="1">
        <v>4</v>
      </c>
    </row>
    <row r="264" spans="1:21" x14ac:dyDescent="0.35">
      <c r="A264" s="254">
        <v>44914</v>
      </c>
      <c r="B264" s="36" t="s">
        <v>49</v>
      </c>
      <c r="C264" s="38" t="s">
        <v>60</v>
      </c>
      <c r="D264" s="46">
        <v>781</v>
      </c>
      <c r="E264" s="46">
        <v>731</v>
      </c>
      <c r="F264" s="72">
        <f>(Table2[[#This Row],[Calls Off]]-D257)/D257</f>
        <v>0.17797888386123681</v>
      </c>
      <c r="G264" s="72">
        <f>(Table2[[#This Row],[Calls Ans]]-E257)/E257</f>
        <v>0.1529968454258675</v>
      </c>
      <c r="H264" s="34">
        <f>H263+Table2[[#This Row],[Calls Off]]</f>
        <v>9712</v>
      </c>
      <c r="I264" s="34">
        <f>I263+Table2[[#This Row],[Calls Ans]]</f>
        <v>9133</v>
      </c>
      <c r="J264" s="34">
        <f>J263+Table2[[#This Row],[Calls Off]]</f>
        <v>112376</v>
      </c>
      <c r="K264" s="34">
        <f>K263+Table2[[#This Row],[Calls Ans]]</f>
        <v>103862</v>
      </c>
      <c r="L264" s="40">
        <v>0.79</v>
      </c>
      <c r="M264" s="106">
        <v>0.06</v>
      </c>
      <c r="N264" s="106">
        <v>0.94</v>
      </c>
      <c r="O264" s="106">
        <v>0.91</v>
      </c>
      <c r="P264" s="106">
        <v>1</v>
      </c>
      <c r="Q264" s="1"/>
      <c r="R264" s="1">
        <v>5</v>
      </c>
      <c r="S264" s="54"/>
      <c r="T264" s="54"/>
      <c r="U264" s="54"/>
    </row>
    <row r="265" spans="1:21" x14ac:dyDescent="0.35">
      <c r="A265" s="254">
        <v>44915</v>
      </c>
      <c r="B265" s="38" t="s">
        <v>50</v>
      </c>
      <c r="C265" s="38" t="s">
        <v>60</v>
      </c>
      <c r="D265" s="47">
        <v>802</v>
      </c>
      <c r="E265" s="47">
        <v>741</v>
      </c>
      <c r="F265" s="72">
        <f>(Table2[[#This Row],[Calls Off]]-D258)/D258</f>
        <v>1.3246376811594203</v>
      </c>
      <c r="G265" s="72">
        <f>(Table2[[#This Row],[Calls Ans]]-E258)/E258</f>
        <v>1.1988130563798221</v>
      </c>
      <c r="H265" s="1">
        <f>H264+Table2[[#This Row],[Calls Off]]</f>
        <v>10514</v>
      </c>
      <c r="I265" s="1">
        <f>I264+Table2[[#This Row],[Calls Ans]]</f>
        <v>9874</v>
      </c>
      <c r="J265" s="1">
        <f>J264+Table2[[#This Row],[Calls Off]]</f>
        <v>113178</v>
      </c>
      <c r="K265" s="1">
        <f>K264+Table2[[#This Row],[Calls Ans]]</f>
        <v>104603</v>
      </c>
      <c r="L265" s="18">
        <v>0.79</v>
      </c>
      <c r="M265" s="105">
        <v>0.08</v>
      </c>
      <c r="N265" s="105">
        <v>0.92</v>
      </c>
      <c r="O265" s="105">
        <v>0.78</v>
      </c>
      <c r="P265" s="105">
        <v>1</v>
      </c>
      <c r="Q265" s="1"/>
      <c r="R265" s="1">
        <v>6</v>
      </c>
    </row>
    <row r="266" spans="1:21" x14ac:dyDescent="0.35">
      <c r="A266" s="254">
        <v>44916</v>
      </c>
      <c r="B266" s="36" t="s">
        <v>51</v>
      </c>
      <c r="C266" s="38" t="s">
        <v>60</v>
      </c>
      <c r="D266" s="46">
        <v>771</v>
      </c>
      <c r="E266" s="46">
        <v>704</v>
      </c>
      <c r="F266" s="72">
        <f>(Table2[[#This Row],[Calls Off]]-D259)/D259</f>
        <v>8.8983050847457626E-2</v>
      </c>
      <c r="G266" s="72">
        <f>(Table2[[#This Row],[Calls Ans]]-E259)/E259</f>
        <v>3.8348082595870206E-2</v>
      </c>
      <c r="H266" s="1">
        <f>H265+Table2[[#This Row],[Calls Off]]</f>
        <v>11285</v>
      </c>
      <c r="I266" s="1">
        <f>I265+Table2[[#This Row],[Calls Ans]]</f>
        <v>10578</v>
      </c>
      <c r="J266" s="1">
        <f>J265+Table2[[#This Row],[Calls Off]]</f>
        <v>113949</v>
      </c>
      <c r="K266" s="1">
        <f>K265+Table2[[#This Row],[Calls Ans]]</f>
        <v>105307</v>
      </c>
      <c r="L266" s="40">
        <v>0.76</v>
      </c>
      <c r="M266" s="106">
        <v>0.09</v>
      </c>
      <c r="N266" s="106">
        <v>0.91</v>
      </c>
      <c r="O266" s="106">
        <v>0.74</v>
      </c>
      <c r="P266" s="106">
        <v>1</v>
      </c>
      <c r="Q266" s="1"/>
      <c r="R266" s="1">
        <v>6</v>
      </c>
    </row>
    <row r="267" spans="1:21" x14ac:dyDescent="0.35">
      <c r="A267" s="254">
        <v>44917</v>
      </c>
      <c r="B267" s="38" t="s">
        <v>52</v>
      </c>
      <c r="C267" s="38" t="s">
        <v>60</v>
      </c>
      <c r="D267" s="47">
        <v>686</v>
      </c>
      <c r="E267" s="47">
        <v>633</v>
      </c>
      <c r="F267" s="72">
        <f>(Table2[[#This Row],[Calls Off]]-D260)/D260</f>
        <v>-2.9702970297029702E-2</v>
      </c>
      <c r="G267" s="72">
        <f>(Table2[[#This Row],[Calls Ans]]-E260)/E260</f>
        <v>-2.9141104294478526E-2</v>
      </c>
      <c r="H267" s="1">
        <f>H266+Table2[[#This Row],[Calls Off]]</f>
        <v>11971</v>
      </c>
      <c r="I267" s="1">
        <f>I266+Table2[[#This Row],[Calls Ans]]</f>
        <v>11211</v>
      </c>
      <c r="J267" s="1">
        <f>J266+Table2[[#This Row],[Calls Off]]</f>
        <v>114635</v>
      </c>
      <c r="K267" s="1">
        <f>K266+Table2[[#This Row],[Calls Ans]]</f>
        <v>105940</v>
      </c>
      <c r="L267" s="18">
        <v>0.77</v>
      </c>
      <c r="M267" s="105">
        <v>0.08</v>
      </c>
      <c r="N267" s="105">
        <v>0.92</v>
      </c>
      <c r="O267" s="105">
        <v>0.7</v>
      </c>
      <c r="P267" s="105">
        <v>1</v>
      </c>
      <c r="Q267" s="1"/>
      <c r="R267" s="1">
        <v>6</v>
      </c>
    </row>
    <row r="268" spans="1:21" x14ac:dyDescent="0.35">
      <c r="A268" s="254">
        <v>44918</v>
      </c>
      <c r="B268" s="36" t="s">
        <v>53</v>
      </c>
      <c r="C268" s="38" t="s">
        <v>60</v>
      </c>
      <c r="D268" s="46">
        <v>657</v>
      </c>
      <c r="E268" s="46">
        <v>623</v>
      </c>
      <c r="F268" s="72">
        <f>(Table2[[#This Row],[Calls Off]]-D261)/D261</f>
        <v>-2.3774145616641901E-2</v>
      </c>
      <c r="G268" s="72">
        <f>(Table2[[#This Row],[Calls Ans]]-E261)/E261</f>
        <v>-2.0440251572327043E-2</v>
      </c>
      <c r="H268" s="1">
        <f>H267+Table2[[#This Row],[Calls Off]]</f>
        <v>12628</v>
      </c>
      <c r="I268" s="1">
        <f>I267+Table2[[#This Row],[Calls Ans]]</f>
        <v>11834</v>
      </c>
      <c r="J268" s="1">
        <f>J267+Table2[[#This Row],[Calls Off]]</f>
        <v>115292</v>
      </c>
      <c r="K268" s="1">
        <f>K267+Table2[[#This Row],[Calls Ans]]</f>
        <v>106563</v>
      </c>
      <c r="L268" s="40">
        <v>0.88</v>
      </c>
      <c r="M268" s="106">
        <v>0.05</v>
      </c>
      <c r="N268" s="106">
        <v>0.95</v>
      </c>
      <c r="O268" s="106">
        <v>0.67</v>
      </c>
      <c r="P268" s="106">
        <v>1</v>
      </c>
      <c r="Q268" s="1"/>
      <c r="R268" s="1">
        <v>6</v>
      </c>
    </row>
    <row r="269" spans="1:21" x14ac:dyDescent="0.35">
      <c r="A269" s="254">
        <v>44919</v>
      </c>
      <c r="B269" s="38" t="s">
        <v>54</v>
      </c>
      <c r="C269" s="38" t="s">
        <v>60</v>
      </c>
      <c r="D269" s="47">
        <v>236</v>
      </c>
      <c r="E269" s="47">
        <v>230</v>
      </c>
      <c r="F269" s="72">
        <f>(Table2[[#This Row],[Calls Off]]-D262)/D262</f>
        <v>-0.30588235294117649</v>
      </c>
      <c r="G269" s="72">
        <f>(Table2[[#This Row],[Calls Ans]]-E262)/E262</f>
        <v>-0.11538461538461539</v>
      </c>
      <c r="H269" s="1">
        <f>H268+Table2[[#This Row],[Calls Off]]</f>
        <v>12864</v>
      </c>
      <c r="I269" s="1">
        <f>I268+Table2[[#This Row],[Calls Ans]]</f>
        <v>12064</v>
      </c>
      <c r="J269" s="1">
        <f>J268+Table2[[#This Row],[Calls Off]]</f>
        <v>115528</v>
      </c>
      <c r="K269" s="1">
        <f>K268+Table2[[#This Row],[Calls Ans]]</f>
        <v>106793</v>
      </c>
      <c r="L269" s="18">
        <v>0.94</v>
      </c>
      <c r="M269" s="105">
        <v>0.03</v>
      </c>
      <c r="N269" s="105">
        <v>0.97</v>
      </c>
      <c r="O269" s="105">
        <v>0.61</v>
      </c>
      <c r="P269" s="105">
        <v>1</v>
      </c>
      <c r="Q269" s="1"/>
      <c r="R269" s="1">
        <v>6</v>
      </c>
    </row>
    <row r="270" spans="1:21" x14ac:dyDescent="0.35">
      <c r="A270" s="254">
        <v>44920</v>
      </c>
      <c r="B270" s="36" t="s">
        <v>48</v>
      </c>
      <c r="C270" s="38" t="s">
        <v>60</v>
      </c>
      <c r="D270" s="46">
        <v>0</v>
      </c>
      <c r="E270" s="46">
        <v>0</v>
      </c>
      <c r="F270" s="72">
        <v>0</v>
      </c>
      <c r="G270" s="72">
        <v>0</v>
      </c>
      <c r="H270" s="34">
        <v>0</v>
      </c>
      <c r="I270" s="34">
        <v>0</v>
      </c>
      <c r="J270" s="34">
        <v>0</v>
      </c>
      <c r="K270" s="34">
        <v>0</v>
      </c>
      <c r="L270" s="40">
        <v>0</v>
      </c>
      <c r="M270" s="106">
        <v>0</v>
      </c>
      <c r="N270" s="106">
        <v>0</v>
      </c>
      <c r="O270" s="106">
        <v>0</v>
      </c>
      <c r="P270" s="106">
        <v>0</v>
      </c>
      <c r="Q270" s="1"/>
      <c r="R270" s="1">
        <v>0</v>
      </c>
    </row>
    <row r="271" spans="1:21" x14ac:dyDescent="0.35">
      <c r="A271" s="254">
        <v>44921</v>
      </c>
      <c r="B271" s="38" t="s">
        <v>49</v>
      </c>
      <c r="C271" s="38" t="s">
        <v>60</v>
      </c>
      <c r="D271" s="47">
        <v>0</v>
      </c>
      <c r="E271" s="47">
        <v>0</v>
      </c>
      <c r="F271" s="72">
        <v>0</v>
      </c>
      <c r="G271" s="72">
        <v>0</v>
      </c>
      <c r="H271" s="1">
        <v>0</v>
      </c>
      <c r="I271" s="1">
        <v>0</v>
      </c>
      <c r="J271" s="1">
        <v>0</v>
      </c>
      <c r="K271" s="1">
        <v>0</v>
      </c>
      <c r="L271" s="18">
        <v>0</v>
      </c>
      <c r="M271" s="105">
        <v>0</v>
      </c>
      <c r="N271" s="105">
        <v>0</v>
      </c>
      <c r="O271" s="105">
        <v>0</v>
      </c>
      <c r="P271" s="105">
        <v>0</v>
      </c>
      <c r="Q271" s="1"/>
      <c r="R271" s="1">
        <v>0</v>
      </c>
    </row>
    <row r="272" spans="1:21" x14ac:dyDescent="0.35">
      <c r="A272" s="254">
        <v>44922</v>
      </c>
      <c r="B272" s="36" t="s">
        <v>50</v>
      </c>
      <c r="C272" s="38" t="s">
        <v>60</v>
      </c>
      <c r="D272" s="46">
        <v>0</v>
      </c>
      <c r="E272" s="46">
        <v>0</v>
      </c>
      <c r="F272" s="72">
        <v>0</v>
      </c>
      <c r="G272" s="72">
        <v>0</v>
      </c>
      <c r="H272" s="34">
        <v>0</v>
      </c>
      <c r="I272" s="34">
        <v>0</v>
      </c>
      <c r="J272" s="34">
        <v>0</v>
      </c>
      <c r="K272" s="34">
        <v>0</v>
      </c>
      <c r="L272" s="40">
        <v>0</v>
      </c>
      <c r="M272" s="106">
        <v>0</v>
      </c>
      <c r="N272" s="106">
        <v>0</v>
      </c>
      <c r="O272" s="106">
        <v>0</v>
      </c>
      <c r="P272" s="106">
        <v>0</v>
      </c>
      <c r="Q272" s="1"/>
      <c r="R272" s="1">
        <v>0</v>
      </c>
    </row>
    <row r="273" spans="1:21" x14ac:dyDescent="0.35">
      <c r="A273" s="254">
        <v>44923</v>
      </c>
      <c r="B273" s="38" t="s">
        <v>51</v>
      </c>
      <c r="C273" s="38" t="s">
        <v>60</v>
      </c>
      <c r="D273" s="47">
        <v>670</v>
      </c>
      <c r="E273" s="47">
        <v>645</v>
      </c>
      <c r="F273" s="72">
        <f>(Table2[[#This Row],[Calls Off]]-D266)/D266</f>
        <v>-0.13099870298313879</v>
      </c>
      <c r="G273" s="72">
        <f>(Table2[[#This Row],[Calls Ans]]-E266)/E266</f>
        <v>-8.3806818181818177E-2</v>
      </c>
      <c r="H273" s="1">
        <f>H269+Table2[[#This Row],[Calls Off]]</f>
        <v>13534</v>
      </c>
      <c r="I273" s="1">
        <f>I269+Table2[[#This Row],[Calls Ans]]</f>
        <v>12709</v>
      </c>
      <c r="J273" s="1">
        <f>J269+Table2[[#This Row],[Calls Off]]</f>
        <v>116198</v>
      </c>
      <c r="K273" s="1">
        <f>K269+Table2[[#This Row],[Calls Ans]]</f>
        <v>107438</v>
      </c>
      <c r="L273" s="18">
        <v>0.89</v>
      </c>
      <c r="M273" s="105">
        <v>0.04</v>
      </c>
      <c r="N273" s="105">
        <v>0.96</v>
      </c>
      <c r="O273" s="105">
        <v>0.82</v>
      </c>
      <c r="P273" s="105">
        <v>1</v>
      </c>
      <c r="Q273" s="1"/>
      <c r="R273" s="1">
        <v>6</v>
      </c>
      <c r="S273">
        <f>AVERAGEIF(P336:P366,"&lt;&gt;0")</f>
        <v>1</v>
      </c>
    </row>
    <row r="274" spans="1:21" x14ac:dyDescent="0.35">
      <c r="A274" s="254">
        <v>44924</v>
      </c>
      <c r="B274" s="36" t="s">
        <v>52</v>
      </c>
      <c r="C274" s="38" t="s">
        <v>60</v>
      </c>
      <c r="D274" s="46">
        <v>501</v>
      </c>
      <c r="E274" s="46">
        <v>486</v>
      </c>
      <c r="F274" s="72">
        <f>(Table2[[#This Row],[Calls Off]]-D267)/D267</f>
        <v>-0.26967930029154519</v>
      </c>
      <c r="G274" s="72">
        <f>(Table2[[#This Row],[Calls Ans]]-E267)/E267</f>
        <v>-0.23222748815165878</v>
      </c>
      <c r="H274" s="1">
        <f>H273+Table2[[#This Row],[Calls Off]]</f>
        <v>14035</v>
      </c>
      <c r="I274" s="1">
        <f>I273+Table2[[#This Row],[Calls Ans]]</f>
        <v>13195</v>
      </c>
      <c r="J274" s="1">
        <f>J273+Table2[[#This Row],[Calls Off]]</f>
        <v>116699</v>
      </c>
      <c r="K274" s="1">
        <f>K273+Table2[[#This Row],[Calls Ans]]</f>
        <v>107924</v>
      </c>
      <c r="L274" s="40">
        <v>0.92</v>
      </c>
      <c r="M274" s="106">
        <v>0.03</v>
      </c>
      <c r="N274" s="106">
        <v>0.97</v>
      </c>
      <c r="O274" s="106">
        <v>0.59</v>
      </c>
      <c r="P274" s="106">
        <v>1</v>
      </c>
      <c r="Q274" s="1"/>
      <c r="R274" s="1">
        <v>6</v>
      </c>
    </row>
    <row r="275" spans="1:21" x14ac:dyDescent="0.35">
      <c r="A275" s="254">
        <v>44925</v>
      </c>
      <c r="B275" s="38" t="s">
        <v>53</v>
      </c>
      <c r="C275" s="38" t="s">
        <v>60</v>
      </c>
      <c r="D275" s="47">
        <v>516</v>
      </c>
      <c r="E275" s="47">
        <v>505</v>
      </c>
      <c r="F275" s="72">
        <f>(Table2[[#This Row],[Calls Off]]-D268)/D268</f>
        <v>-0.21461187214611871</v>
      </c>
      <c r="G275" s="72">
        <f>(Table2[[#This Row],[Calls Ans]]-E268)/E268</f>
        <v>-0.18940609951845908</v>
      </c>
      <c r="H275" s="1">
        <f>H274+Table2[[#This Row],[Calls Off]]</f>
        <v>14551</v>
      </c>
      <c r="I275" s="1">
        <f>I274+Table2[[#This Row],[Calls Ans]]</f>
        <v>13700</v>
      </c>
      <c r="J275" s="1">
        <f>J274+Table2[[#This Row],[Calls Off]]</f>
        <v>117215</v>
      </c>
      <c r="K275" s="1">
        <f>K274+Table2[[#This Row],[Calls Ans]]</f>
        <v>108429</v>
      </c>
      <c r="L275" s="18">
        <v>0.94</v>
      </c>
      <c r="M275" s="105">
        <v>0.02</v>
      </c>
      <c r="N275" s="105">
        <v>0.98</v>
      </c>
      <c r="O275" s="105">
        <v>0.52</v>
      </c>
      <c r="P275" s="105">
        <v>1</v>
      </c>
      <c r="Q275" s="1"/>
      <c r="R275" s="1">
        <v>7</v>
      </c>
    </row>
    <row r="276" spans="1:21" x14ac:dyDescent="0.35">
      <c r="A276" s="254">
        <v>44926</v>
      </c>
      <c r="B276" s="36" t="s">
        <v>54</v>
      </c>
      <c r="C276" s="38" t="s">
        <v>60</v>
      </c>
      <c r="D276" s="46">
        <v>190</v>
      </c>
      <c r="E276" s="46">
        <v>186</v>
      </c>
      <c r="F276" s="72">
        <f>(Table2[[#This Row],[Calls Off]]-D269)/D269</f>
        <v>-0.19491525423728814</v>
      </c>
      <c r="G276" s="72">
        <f>(Table2[[#This Row],[Calls Ans]]-E269)/E269</f>
        <v>-0.19130434782608696</v>
      </c>
      <c r="H276" s="1">
        <f>H275+Table2[[#This Row],[Calls Off]]</f>
        <v>14741</v>
      </c>
      <c r="I276" s="1">
        <f>I275+Table2[[#This Row],[Calls Ans]]</f>
        <v>13886</v>
      </c>
      <c r="J276" s="1">
        <f>J275+Table2[[#This Row],[Calls Off]]</f>
        <v>117405</v>
      </c>
      <c r="K276" s="1">
        <f>K275+Table2[[#This Row],[Calls Ans]]</f>
        <v>108615</v>
      </c>
      <c r="L276" s="40">
        <v>0.87</v>
      </c>
      <c r="M276" s="106">
        <v>0.02</v>
      </c>
      <c r="N276" s="106">
        <v>0.98</v>
      </c>
      <c r="O276" s="106">
        <v>0.64</v>
      </c>
      <c r="P276" s="106">
        <v>1</v>
      </c>
      <c r="Q276" s="1"/>
      <c r="R276" s="1">
        <v>5</v>
      </c>
    </row>
    <row r="277" spans="1:21" s="53" customFormat="1" x14ac:dyDescent="0.35">
      <c r="A277" s="254">
        <v>44927</v>
      </c>
      <c r="B277" s="88" t="s">
        <v>48</v>
      </c>
      <c r="C277" s="88" t="s">
        <v>60</v>
      </c>
      <c r="D277" s="187">
        <v>0</v>
      </c>
      <c r="E277" s="187">
        <v>0</v>
      </c>
      <c r="F277" s="95">
        <v>0</v>
      </c>
      <c r="G277" s="95">
        <v>0</v>
      </c>
      <c r="H277" s="74">
        <v>0</v>
      </c>
      <c r="I277" s="74">
        <v>0</v>
      </c>
      <c r="J277" s="74">
        <v>0</v>
      </c>
      <c r="K277" s="74">
        <v>0</v>
      </c>
      <c r="L277" s="2">
        <v>0</v>
      </c>
      <c r="M277" s="188">
        <v>0</v>
      </c>
      <c r="N277" s="188">
        <v>0</v>
      </c>
      <c r="O277" s="188">
        <v>0</v>
      </c>
      <c r="P277" s="188">
        <v>0</v>
      </c>
      <c r="Q277" s="74"/>
      <c r="R277" s="74">
        <v>0</v>
      </c>
      <c r="S277"/>
      <c r="T277"/>
      <c r="U277"/>
    </row>
    <row r="278" spans="1:21" x14ac:dyDescent="0.35">
      <c r="A278" s="254">
        <v>44928</v>
      </c>
      <c r="B278" s="36" t="s">
        <v>49</v>
      </c>
      <c r="C278" s="38" t="s">
        <v>60</v>
      </c>
      <c r="D278" s="46">
        <v>0</v>
      </c>
      <c r="E278" s="46">
        <v>0</v>
      </c>
      <c r="F278" s="72">
        <v>0</v>
      </c>
      <c r="G278" s="72">
        <v>0</v>
      </c>
      <c r="H278" s="34">
        <v>0</v>
      </c>
      <c r="I278" s="34">
        <v>0</v>
      </c>
      <c r="J278" s="34">
        <v>0</v>
      </c>
      <c r="K278" s="34">
        <v>0</v>
      </c>
      <c r="L278" s="40">
        <v>0</v>
      </c>
      <c r="M278" s="106">
        <v>0</v>
      </c>
      <c r="N278" s="106">
        <v>0</v>
      </c>
      <c r="O278" s="106">
        <v>0</v>
      </c>
      <c r="P278" s="106">
        <v>0</v>
      </c>
      <c r="Q278" s="1"/>
      <c r="R278" s="1">
        <v>0</v>
      </c>
    </row>
    <row r="279" spans="1:21" x14ac:dyDescent="0.35">
      <c r="A279" s="254">
        <v>44929</v>
      </c>
      <c r="B279" s="38" t="s">
        <v>50</v>
      </c>
      <c r="C279" s="38" t="s">
        <v>60</v>
      </c>
      <c r="D279" s="47">
        <v>334</v>
      </c>
      <c r="E279" s="47">
        <v>325</v>
      </c>
      <c r="F279" s="72">
        <f>IFERROR(((Table2[[#This Row],[Calls Off]]-D272)/D272),0)</f>
        <v>0</v>
      </c>
      <c r="G279" s="72">
        <f>IFERROR(((Table2[[#This Row],[Calls Ans]]-E272)/E272),0)</f>
        <v>0</v>
      </c>
      <c r="H279" s="1">
        <f>Table2[[#This Row],[Calls Off]]</f>
        <v>334</v>
      </c>
      <c r="I279" s="1">
        <f>Table2[[#This Row],[Calls Ans]]</f>
        <v>325</v>
      </c>
      <c r="J279" s="1">
        <f>J276+Table2[[#This Row],[Calls Off]]</f>
        <v>117739</v>
      </c>
      <c r="K279" s="1">
        <f>K276+Table2[[#This Row],[Calls Ans]]</f>
        <v>108940</v>
      </c>
      <c r="L279" s="18">
        <v>0.93</v>
      </c>
      <c r="M279" s="105">
        <v>0.03</v>
      </c>
      <c r="N279" s="105">
        <v>0.97</v>
      </c>
      <c r="O279" s="105">
        <v>0.38</v>
      </c>
      <c r="P279" s="105">
        <v>1</v>
      </c>
      <c r="Q279" s="1"/>
      <c r="R279" s="1">
        <v>5</v>
      </c>
    </row>
    <row r="280" spans="1:21" x14ac:dyDescent="0.35">
      <c r="A280" s="254">
        <v>44930</v>
      </c>
      <c r="B280" s="36" t="s">
        <v>51</v>
      </c>
      <c r="C280" s="38" t="s">
        <v>60</v>
      </c>
      <c r="D280" s="46">
        <v>564</v>
      </c>
      <c r="E280" s="46">
        <v>543</v>
      </c>
      <c r="F280" s="72">
        <f>IFERROR(((Table2[[#This Row],[Calls Off]]-D273)/D273),0)</f>
        <v>-0.15820895522388059</v>
      </c>
      <c r="G280" s="72">
        <f>IFERROR(((Table2[[#This Row],[Calls Ans]]-E273)/E273),0)</f>
        <v>-0.15813953488372093</v>
      </c>
      <c r="H280" s="1">
        <f>H279+Table2[[#This Row],[Calls Off]]</f>
        <v>898</v>
      </c>
      <c r="I280" s="1">
        <f>I279+Table2[[#This Row],[Calls Ans]]</f>
        <v>868</v>
      </c>
      <c r="J280" s="1">
        <f>J279+Table2[[#This Row],[Calls Off]]</f>
        <v>118303</v>
      </c>
      <c r="K280" s="1">
        <f>K279+Table2[[#This Row],[Calls Ans]]</f>
        <v>109483</v>
      </c>
      <c r="L280" s="40">
        <v>0.92</v>
      </c>
      <c r="M280" s="106">
        <v>0.04</v>
      </c>
      <c r="N280" s="106">
        <v>0.96</v>
      </c>
      <c r="O280" s="106">
        <v>0.67</v>
      </c>
      <c r="P280" s="106">
        <v>1</v>
      </c>
      <c r="Q280" s="1"/>
      <c r="R280" s="1">
        <v>6</v>
      </c>
    </row>
    <row r="281" spans="1:21" x14ac:dyDescent="0.35">
      <c r="A281" s="254">
        <v>44931</v>
      </c>
      <c r="B281" s="38" t="s">
        <v>52</v>
      </c>
      <c r="C281" s="38" t="s">
        <v>60</v>
      </c>
      <c r="D281" s="47">
        <v>481</v>
      </c>
      <c r="E281" s="47">
        <v>473</v>
      </c>
      <c r="F281" s="72">
        <f>IFERROR(((Table2[[#This Row],[Calls Off]]-D274)/D274),0)</f>
        <v>-3.9920159680638723E-2</v>
      </c>
      <c r="G281" s="72">
        <f>IFERROR(((Table2[[#This Row],[Calls Ans]]-E274)/E274),0)</f>
        <v>-2.6748971193415638E-2</v>
      </c>
      <c r="H281" s="1">
        <f>H280+Table2[[#This Row],[Calls Off]]</f>
        <v>1379</v>
      </c>
      <c r="I281" s="1">
        <f>I280+Table2[[#This Row],[Calls Ans]]</f>
        <v>1341</v>
      </c>
      <c r="J281" s="1">
        <f>J280+Table2[[#This Row],[Calls Off]]</f>
        <v>118784</v>
      </c>
      <c r="K281" s="1">
        <f>K280+Table2[[#This Row],[Calls Ans]]</f>
        <v>109956</v>
      </c>
      <c r="L281" s="18">
        <v>0.97</v>
      </c>
      <c r="M281" s="105">
        <v>0.02</v>
      </c>
      <c r="N281" s="105">
        <v>0.98</v>
      </c>
      <c r="O281" s="105">
        <v>0.56000000000000005</v>
      </c>
      <c r="P281" s="105">
        <v>1</v>
      </c>
      <c r="Q281" s="1"/>
      <c r="R281" s="1">
        <v>6</v>
      </c>
    </row>
    <row r="282" spans="1:21" x14ac:dyDescent="0.35">
      <c r="A282" s="254">
        <v>44932</v>
      </c>
      <c r="B282" s="36" t="s">
        <v>53</v>
      </c>
      <c r="C282" s="38" t="s">
        <v>60</v>
      </c>
      <c r="D282" s="46">
        <v>497</v>
      </c>
      <c r="E282" s="46">
        <v>486</v>
      </c>
      <c r="F282" s="72">
        <f>IFERROR(((Table2[[#This Row],[Calls Off]]-D275)/D275),0)</f>
        <v>-3.6821705426356592E-2</v>
      </c>
      <c r="G282" s="72">
        <f>IFERROR(((Table2[[#This Row],[Calls Ans]]-E275)/E275),0)</f>
        <v>-3.7623762376237622E-2</v>
      </c>
      <c r="H282" s="1">
        <f>H281+Table2[[#This Row],[Calls Off]]</f>
        <v>1876</v>
      </c>
      <c r="I282" s="1">
        <f>I281+Table2[[#This Row],[Calls Ans]]</f>
        <v>1827</v>
      </c>
      <c r="J282" s="1">
        <f>J281+Table2[[#This Row],[Calls Off]]</f>
        <v>119281</v>
      </c>
      <c r="K282" s="1">
        <f>K281+Table2[[#This Row],[Calls Ans]]</f>
        <v>110442</v>
      </c>
      <c r="L282" s="40">
        <v>0.91</v>
      </c>
      <c r="M282" s="106">
        <v>0.02</v>
      </c>
      <c r="N282" s="106">
        <v>0.98</v>
      </c>
      <c r="O282" s="106">
        <v>0.57999999999999996</v>
      </c>
      <c r="P282" s="106">
        <v>1</v>
      </c>
      <c r="Q282" s="1"/>
      <c r="R282" s="1">
        <v>6</v>
      </c>
    </row>
    <row r="283" spans="1:21" x14ac:dyDescent="0.35">
      <c r="A283" s="254">
        <v>44933</v>
      </c>
      <c r="B283" s="38" t="s">
        <v>54</v>
      </c>
      <c r="C283" s="38" t="s">
        <v>60</v>
      </c>
      <c r="D283" s="47">
        <v>203</v>
      </c>
      <c r="E283" s="47">
        <v>195</v>
      </c>
      <c r="F283" s="72">
        <f>IFERROR(((Table2[[#This Row],[Calls Off]]-D276)/D276),0)</f>
        <v>6.8421052631578952E-2</v>
      </c>
      <c r="G283" s="72">
        <f>IFERROR(((Table2[[#This Row],[Calls Ans]]-E276)/E276),0)</f>
        <v>4.8387096774193547E-2</v>
      </c>
      <c r="H283" s="1">
        <f>H282+Table2[[#This Row],[Calls Off]]</f>
        <v>2079</v>
      </c>
      <c r="I283" s="1">
        <f>I282+Table2[[#This Row],[Calls Ans]]</f>
        <v>2022</v>
      </c>
      <c r="J283" s="1">
        <f>J282+Table2[[#This Row],[Calls Off]]</f>
        <v>119484</v>
      </c>
      <c r="K283" s="1">
        <f>K282+Table2[[#This Row],[Calls Ans]]</f>
        <v>110637</v>
      </c>
      <c r="L283" s="18">
        <v>0.85</v>
      </c>
      <c r="M283" s="105">
        <v>0.04</v>
      </c>
      <c r="N283" s="105">
        <v>0.96</v>
      </c>
      <c r="O283" s="105">
        <v>0.45</v>
      </c>
      <c r="P283" s="105">
        <v>1</v>
      </c>
      <c r="Q283" s="1"/>
      <c r="R283" s="1">
        <v>4</v>
      </c>
    </row>
    <row r="284" spans="1:21" x14ac:dyDescent="0.35">
      <c r="A284" s="254">
        <v>44934</v>
      </c>
      <c r="B284" s="36" t="s">
        <v>48</v>
      </c>
      <c r="C284" s="38" t="s">
        <v>60</v>
      </c>
      <c r="D284" s="46">
        <v>0</v>
      </c>
      <c r="E284" s="46">
        <v>0</v>
      </c>
      <c r="F284" s="72">
        <v>0</v>
      </c>
      <c r="G284" s="72">
        <v>0</v>
      </c>
      <c r="H284" s="34">
        <v>0</v>
      </c>
      <c r="I284" s="34">
        <v>0</v>
      </c>
      <c r="J284" s="34">
        <v>0</v>
      </c>
      <c r="K284" s="34">
        <v>0</v>
      </c>
      <c r="L284" s="40">
        <v>0</v>
      </c>
      <c r="M284" s="106">
        <v>0</v>
      </c>
      <c r="N284" s="106">
        <v>0</v>
      </c>
      <c r="O284" s="106">
        <v>0</v>
      </c>
      <c r="P284" s="106">
        <v>0</v>
      </c>
      <c r="Q284" s="1"/>
      <c r="R284" s="1">
        <v>0</v>
      </c>
    </row>
    <row r="285" spans="1:21" x14ac:dyDescent="0.35">
      <c r="A285" s="254">
        <v>44935</v>
      </c>
      <c r="B285" s="38" t="s">
        <v>49</v>
      </c>
      <c r="C285" s="38" t="s">
        <v>60</v>
      </c>
      <c r="D285" s="47">
        <v>547</v>
      </c>
      <c r="E285" s="47">
        <v>516</v>
      </c>
      <c r="F285" s="72">
        <f>IFERROR(((Table2[[#This Row],[Calls Off]]-D278)/D278),0)</f>
        <v>0</v>
      </c>
      <c r="G285" s="72">
        <f>IFERROR(((Table2[[#This Row],[Calls Ans]]-E278)/E278),0)</f>
        <v>0</v>
      </c>
      <c r="H285" s="1">
        <f>H283+Table2[[#This Row],[Calls Off]]</f>
        <v>2626</v>
      </c>
      <c r="I285" s="1">
        <f>I283+Table2[[#This Row],[Calls Ans]]</f>
        <v>2538</v>
      </c>
      <c r="J285" s="1">
        <f>J283+Table2[[#This Row],[Calls Off]]</f>
        <v>120031</v>
      </c>
      <c r="K285" s="1">
        <f>K283+Table2[[#This Row],[Calls Ans]]</f>
        <v>111153</v>
      </c>
      <c r="L285" s="18">
        <v>0.86</v>
      </c>
      <c r="M285" s="105">
        <v>0.06</v>
      </c>
      <c r="N285" s="105">
        <v>0.94</v>
      </c>
      <c r="O285" s="105">
        <v>0.74</v>
      </c>
      <c r="P285" s="105">
        <v>1</v>
      </c>
      <c r="Q285" s="1"/>
      <c r="R285" s="1">
        <v>5</v>
      </c>
    </row>
    <row r="286" spans="1:21" x14ac:dyDescent="0.35">
      <c r="A286" s="254">
        <v>44936</v>
      </c>
      <c r="B286" s="36" t="s">
        <v>50</v>
      </c>
      <c r="C286" s="38" t="s">
        <v>60</v>
      </c>
      <c r="D286" s="46">
        <v>506</v>
      </c>
      <c r="E286" s="46">
        <v>489</v>
      </c>
      <c r="F286" s="72">
        <f>IFERROR(((Table2[[#This Row],[Calls Off]]-D279)/D279),0)</f>
        <v>0.51497005988023947</v>
      </c>
      <c r="G286" s="72">
        <f>IFERROR(((Table2[[#This Row],[Calls Ans]]-E279)/E279),0)</f>
        <v>0.50461538461538458</v>
      </c>
      <c r="H286" s="1">
        <f>H285+Table2[[#This Row],[Calls Off]]</f>
        <v>3132</v>
      </c>
      <c r="I286" s="1">
        <f>I285+Table2[[#This Row],[Calls Ans]]</f>
        <v>3027</v>
      </c>
      <c r="J286" s="1">
        <f>J285+Table2[[#This Row],[Calls Off]]</f>
        <v>120537</v>
      </c>
      <c r="K286" s="1">
        <f>K285+Table2[[#This Row],[Calls Ans]]</f>
        <v>111642</v>
      </c>
      <c r="L286" s="40">
        <v>0.86</v>
      </c>
      <c r="M286" s="106">
        <v>0.03</v>
      </c>
      <c r="N286" s="106">
        <v>0.97</v>
      </c>
      <c r="O286" s="106">
        <v>0.71</v>
      </c>
      <c r="P286" s="106">
        <v>1</v>
      </c>
      <c r="Q286" s="1"/>
      <c r="R286" s="1">
        <v>5</v>
      </c>
    </row>
    <row r="287" spans="1:21" x14ac:dyDescent="0.35">
      <c r="A287" s="254">
        <v>44937</v>
      </c>
      <c r="B287" s="38" t="s">
        <v>51</v>
      </c>
      <c r="C287" s="38" t="s">
        <v>60</v>
      </c>
      <c r="D287" s="47">
        <v>427</v>
      </c>
      <c r="E287" s="47">
        <v>415</v>
      </c>
      <c r="F287" s="72">
        <f>IFERROR(((Table2[[#This Row],[Calls Off]]-D280)/D280),0)</f>
        <v>-0.24290780141843971</v>
      </c>
      <c r="G287" s="72">
        <f>IFERROR(((Table2[[#This Row],[Calls Ans]]-E280)/E280),0)</f>
        <v>-0.23572744014732966</v>
      </c>
      <c r="H287" s="1">
        <f>H286+Table2[[#This Row],[Calls Off]]</f>
        <v>3559</v>
      </c>
      <c r="I287" s="1">
        <f>I286+Table2[[#This Row],[Calls Ans]]</f>
        <v>3442</v>
      </c>
      <c r="J287" s="1">
        <f>J286+Table2[[#This Row],[Calls Off]]</f>
        <v>120964</v>
      </c>
      <c r="K287" s="1">
        <f>K286+Table2[[#This Row],[Calls Ans]]</f>
        <v>112057</v>
      </c>
      <c r="L287" s="18">
        <v>0.95</v>
      </c>
      <c r="M287" s="105">
        <v>0.03</v>
      </c>
      <c r="N287" s="105">
        <v>0.97</v>
      </c>
      <c r="O287" s="105">
        <v>0.48</v>
      </c>
      <c r="P287" s="105">
        <v>1</v>
      </c>
      <c r="Q287" s="1"/>
      <c r="R287" s="1">
        <v>5</v>
      </c>
    </row>
    <row r="288" spans="1:21" x14ac:dyDescent="0.35">
      <c r="A288" s="254">
        <v>44938</v>
      </c>
      <c r="B288" s="36" t="s">
        <v>52</v>
      </c>
      <c r="C288" s="38" t="s">
        <v>60</v>
      </c>
      <c r="D288" s="46">
        <v>478</v>
      </c>
      <c r="E288" s="46">
        <v>455</v>
      </c>
      <c r="F288" s="72">
        <f>IFERROR(((Table2[[#This Row],[Calls Off]]-D281)/D281),0)</f>
        <v>-6.2370062370062374E-3</v>
      </c>
      <c r="G288" s="72">
        <f>IFERROR(((Table2[[#This Row],[Calls Ans]]-E281)/E281),0)</f>
        <v>-3.8054968287526428E-2</v>
      </c>
      <c r="H288" s="1">
        <f>H287+Table2[[#This Row],[Calls Off]]</f>
        <v>4037</v>
      </c>
      <c r="I288" s="1">
        <f>I287+Table2[[#This Row],[Calls Ans]]</f>
        <v>3897</v>
      </c>
      <c r="J288" s="1">
        <f>J287+Table2[[#This Row],[Calls Off]]</f>
        <v>121442</v>
      </c>
      <c r="K288" s="1">
        <f>K287+Table2[[#This Row],[Calls Ans]]</f>
        <v>112512</v>
      </c>
      <c r="L288" s="40">
        <v>0.87</v>
      </c>
      <c r="M288" s="106">
        <v>0.05</v>
      </c>
      <c r="N288" s="106">
        <v>0.95</v>
      </c>
      <c r="O288" s="106">
        <v>0.67</v>
      </c>
      <c r="P288" s="106">
        <v>1</v>
      </c>
      <c r="Q288" s="1"/>
      <c r="R288" s="1">
        <v>5</v>
      </c>
    </row>
    <row r="289" spans="1:21" x14ac:dyDescent="0.35">
      <c r="A289" s="254">
        <v>44939</v>
      </c>
      <c r="B289" s="38" t="s">
        <v>53</v>
      </c>
      <c r="C289" s="38" t="s">
        <v>60</v>
      </c>
      <c r="D289" s="47">
        <v>497</v>
      </c>
      <c r="E289" s="47">
        <v>466</v>
      </c>
      <c r="F289" s="72">
        <f>IFERROR(((Table2[[#This Row],[Calls Off]]-D282)/D282),0)</f>
        <v>0</v>
      </c>
      <c r="G289" s="72">
        <f>IFERROR(((Table2[[#This Row],[Calls Ans]]-E282)/E282),0)</f>
        <v>-4.1152263374485597E-2</v>
      </c>
      <c r="H289" s="1">
        <f>H288+Table2[[#This Row],[Calls Off]]</f>
        <v>4534</v>
      </c>
      <c r="I289" s="1">
        <f>I288+Table2[[#This Row],[Calls Ans]]</f>
        <v>4363</v>
      </c>
      <c r="J289" s="1">
        <f>J288+Table2[[#This Row],[Calls Off]]</f>
        <v>121939</v>
      </c>
      <c r="K289" s="1">
        <f>K288+Table2[[#This Row],[Calls Ans]]</f>
        <v>112978</v>
      </c>
      <c r="L289" s="18">
        <v>0.84</v>
      </c>
      <c r="M289" s="105">
        <v>0.06</v>
      </c>
      <c r="N289" s="105">
        <v>0.94</v>
      </c>
      <c r="O289" s="105">
        <v>0.65</v>
      </c>
      <c r="P289" s="105">
        <v>1</v>
      </c>
      <c r="Q289" s="1"/>
      <c r="R289" s="1">
        <v>5</v>
      </c>
    </row>
    <row r="290" spans="1:21" x14ac:dyDescent="0.35">
      <c r="A290" s="254">
        <v>44940</v>
      </c>
      <c r="B290" s="36" t="s">
        <v>54</v>
      </c>
      <c r="C290" s="38" t="s">
        <v>60</v>
      </c>
      <c r="D290" s="46">
        <v>172</v>
      </c>
      <c r="E290" s="46">
        <v>163</v>
      </c>
      <c r="F290" s="72">
        <f>IFERROR(((Table2[[#This Row],[Calls Off]]-D283)/D283),0)</f>
        <v>-0.15270935960591134</v>
      </c>
      <c r="G290" s="72">
        <f>IFERROR(((Table2[[#This Row],[Calls Ans]]-E283)/E283),0)</f>
        <v>-0.1641025641025641</v>
      </c>
      <c r="H290" s="1">
        <f>H289+Table2[[#This Row],[Calls Off]]</f>
        <v>4706</v>
      </c>
      <c r="I290" s="1">
        <f>I289+Table2[[#This Row],[Calls Ans]]</f>
        <v>4526</v>
      </c>
      <c r="J290" s="1">
        <f>J289+Table2[[#This Row],[Calls Off]]</f>
        <v>122111</v>
      </c>
      <c r="K290" s="1">
        <f>K289+Table2[[#This Row],[Calls Ans]]</f>
        <v>113141</v>
      </c>
      <c r="L290" s="40">
        <v>0.88</v>
      </c>
      <c r="M290" s="106">
        <v>0.05</v>
      </c>
      <c r="N290" s="106">
        <v>0.95</v>
      </c>
      <c r="O290" s="106">
        <v>0.55000000000000004</v>
      </c>
      <c r="P290" s="106">
        <v>1</v>
      </c>
      <c r="Q290" s="1"/>
      <c r="R290" s="1">
        <v>4</v>
      </c>
    </row>
    <row r="291" spans="1:21" x14ac:dyDescent="0.35">
      <c r="A291" s="254">
        <v>44941</v>
      </c>
      <c r="B291" s="38" t="s">
        <v>48</v>
      </c>
      <c r="C291" s="38" t="s">
        <v>60</v>
      </c>
      <c r="D291" s="47">
        <v>0</v>
      </c>
      <c r="E291" s="47">
        <v>0</v>
      </c>
      <c r="F291" s="72">
        <v>0</v>
      </c>
      <c r="G291" s="72">
        <v>0</v>
      </c>
      <c r="H291" s="1">
        <v>0</v>
      </c>
      <c r="I291" s="1">
        <v>0</v>
      </c>
      <c r="J291" s="1">
        <v>0</v>
      </c>
      <c r="K291" s="1">
        <v>0</v>
      </c>
      <c r="L291" s="18">
        <v>0</v>
      </c>
      <c r="M291" s="105">
        <v>0</v>
      </c>
      <c r="N291" s="105">
        <v>0</v>
      </c>
      <c r="O291" s="105">
        <v>0</v>
      </c>
      <c r="P291" s="105">
        <v>0</v>
      </c>
      <c r="Q291" s="1"/>
      <c r="R291" s="1">
        <v>0</v>
      </c>
    </row>
    <row r="292" spans="1:21" x14ac:dyDescent="0.35">
      <c r="A292" s="254">
        <v>44942</v>
      </c>
      <c r="B292" s="36" t="s">
        <v>49</v>
      </c>
      <c r="C292" s="38" t="s">
        <v>60</v>
      </c>
      <c r="D292" s="46">
        <v>500</v>
      </c>
      <c r="E292" s="46">
        <v>478</v>
      </c>
      <c r="F292" s="72">
        <f>IFERROR(((Table2[[#This Row],[Calls Off]]-D285)/D285),0)</f>
        <v>-8.5923217550274225E-2</v>
      </c>
      <c r="G292" s="72">
        <f>IFERROR(((Table2[[#This Row],[Calls Ans]]-E285)/E285),0)</f>
        <v>-7.3643410852713184E-2</v>
      </c>
      <c r="H292" s="1">
        <f>H290+Table2[[#This Row],[Calls Off]]</f>
        <v>5206</v>
      </c>
      <c r="I292" s="1">
        <f>I290+Table2[[#This Row],[Calls Ans]]</f>
        <v>5004</v>
      </c>
      <c r="J292" s="1">
        <f>J290+Table2[[#This Row],[Calls Off]]</f>
        <v>122611</v>
      </c>
      <c r="K292" s="1">
        <f>K290+Table2[[#This Row],[Calls Ans]]</f>
        <v>113619</v>
      </c>
      <c r="L292" s="40">
        <v>0.87</v>
      </c>
      <c r="M292" s="106">
        <v>0.04</v>
      </c>
      <c r="N292" s="106">
        <v>0.96</v>
      </c>
      <c r="O292" s="106">
        <v>0.72</v>
      </c>
      <c r="P292" s="106">
        <v>1</v>
      </c>
      <c r="Q292" s="1"/>
      <c r="R292" s="1">
        <v>5</v>
      </c>
    </row>
    <row r="293" spans="1:21" x14ac:dyDescent="0.35">
      <c r="A293" s="254">
        <v>44943</v>
      </c>
      <c r="B293" s="38" t="s">
        <v>50</v>
      </c>
      <c r="C293" s="38" t="s">
        <v>60</v>
      </c>
      <c r="D293" s="47">
        <v>433</v>
      </c>
      <c r="E293" s="47">
        <v>415</v>
      </c>
      <c r="F293" s="72">
        <f>IFERROR(((Table2[[#This Row],[Calls Off]]-D286)/D286),0)</f>
        <v>-0.14426877470355731</v>
      </c>
      <c r="G293" s="72">
        <f>IFERROR(((Table2[[#This Row],[Calls Ans]]-E286)/E286),0)</f>
        <v>-0.15132924335378323</v>
      </c>
      <c r="H293" s="1">
        <f>H292+Table2[[#This Row],[Calls Off]]</f>
        <v>5639</v>
      </c>
      <c r="I293" s="1">
        <f>I292+Table2[[#This Row],[Calls Ans]]</f>
        <v>5419</v>
      </c>
      <c r="J293" s="1">
        <f>J292+Table2[[#This Row],[Calls Off]]</f>
        <v>123044</v>
      </c>
      <c r="K293" s="1">
        <f>K292+Table2[[#This Row],[Calls Ans]]</f>
        <v>114034</v>
      </c>
      <c r="L293" s="18">
        <v>0.91</v>
      </c>
      <c r="M293" s="105">
        <v>0.04</v>
      </c>
      <c r="N293" s="105">
        <v>0.96</v>
      </c>
      <c r="O293" s="105">
        <v>0.59</v>
      </c>
      <c r="P293" s="105">
        <v>1</v>
      </c>
      <c r="Q293" s="1"/>
      <c r="R293" s="1">
        <v>5</v>
      </c>
      <c r="S293" s="53"/>
      <c r="T293" s="53"/>
      <c r="U293" s="53"/>
    </row>
    <row r="294" spans="1:21" x14ac:dyDescent="0.35">
      <c r="A294" s="254">
        <v>44944</v>
      </c>
      <c r="B294" s="36" t="s">
        <v>51</v>
      </c>
      <c r="C294" s="38" t="s">
        <v>60</v>
      </c>
      <c r="D294" s="46">
        <v>372</v>
      </c>
      <c r="E294" s="46">
        <v>361</v>
      </c>
      <c r="F294" s="72">
        <f>IFERROR(((Table2[[#This Row],[Calls Off]]-D287)/D287),0)</f>
        <v>-0.1288056206088993</v>
      </c>
      <c r="G294" s="72">
        <f>IFERROR(((Table2[[#This Row],[Calls Ans]]-E287)/E287),0)</f>
        <v>-0.13012048192771083</v>
      </c>
      <c r="H294" s="1">
        <f>H293+Table2[[#This Row],[Calls Off]]</f>
        <v>6011</v>
      </c>
      <c r="I294" s="1">
        <f>I293+Table2[[#This Row],[Calls Ans]]</f>
        <v>5780</v>
      </c>
      <c r="J294" s="1">
        <f>J293+Table2[[#This Row],[Calls Off]]</f>
        <v>123416</v>
      </c>
      <c r="K294" s="1">
        <f>K293+Table2[[#This Row],[Calls Ans]]</f>
        <v>114395</v>
      </c>
      <c r="L294" s="40">
        <v>0.9</v>
      </c>
      <c r="M294" s="106">
        <v>0.03</v>
      </c>
      <c r="N294" s="106">
        <v>0.97</v>
      </c>
      <c r="O294" s="106">
        <v>0.51</v>
      </c>
      <c r="P294" s="106">
        <v>1</v>
      </c>
      <c r="Q294" s="1"/>
      <c r="R294" s="1">
        <v>5</v>
      </c>
    </row>
    <row r="295" spans="1:21" x14ac:dyDescent="0.35">
      <c r="A295" s="254">
        <v>44945</v>
      </c>
      <c r="B295" s="38" t="s">
        <v>52</v>
      </c>
      <c r="C295" s="38" t="s">
        <v>60</v>
      </c>
      <c r="D295" s="47">
        <v>312</v>
      </c>
      <c r="E295" s="47">
        <v>302</v>
      </c>
      <c r="F295" s="72">
        <f>IFERROR(((Table2[[#This Row],[Calls Off]]-D288)/D288),0)</f>
        <v>-0.34728033472803349</v>
      </c>
      <c r="G295" s="72">
        <f>IFERROR(((Table2[[#This Row],[Calls Ans]]-E288)/E288),0)</f>
        <v>-0.33626373626373629</v>
      </c>
      <c r="H295" s="1">
        <f>H294+Table2[[#This Row],[Calls Off]]</f>
        <v>6323</v>
      </c>
      <c r="I295" s="1">
        <f>I294+Table2[[#This Row],[Calls Ans]]</f>
        <v>6082</v>
      </c>
      <c r="J295" s="1">
        <f>J294+Table2[[#This Row],[Calls Off]]</f>
        <v>123728</v>
      </c>
      <c r="K295" s="1">
        <f>K294+Table2[[#This Row],[Calls Ans]]</f>
        <v>114697</v>
      </c>
      <c r="L295" s="18">
        <v>0.89</v>
      </c>
      <c r="M295" s="105">
        <v>0.03</v>
      </c>
      <c r="N295" s="105">
        <v>0.97</v>
      </c>
      <c r="O295" s="105">
        <v>0.47</v>
      </c>
      <c r="P295" s="105">
        <v>1</v>
      </c>
      <c r="Q295" s="1"/>
      <c r="R295" s="1">
        <v>5</v>
      </c>
    </row>
    <row r="296" spans="1:21" x14ac:dyDescent="0.35">
      <c r="A296" s="254">
        <v>44946</v>
      </c>
      <c r="B296" s="36" t="s">
        <v>53</v>
      </c>
      <c r="C296" s="38" t="s">
        <v>60</v>
      </c>
      <c r="D296" s="46">
        <v>414</v>
      </c>
      <c r="E296" s="46">
        <v>393</v>
      </c>
      <c r="F296" s="72">
        <f>IFERROR(((Table2[[#This Row],[Calls Off]]-D289)/D289),0)</f>
        <v>-0.16700201207243462</v>
      </c>
      <c r="G296" s="72">
        <f>IFERROR(((Table2[[#This Row],[Calls Ans]]-E289)/E289),0)</f>
        <v>-0.15665236051502146</v>
      </c>
      <c r="H296" s="1">
        <f>H295+Table2[[#This Row],[Calls Off]]</f>
        <v>6737</v>
      </c>
      <c r="I296" s="1">
        <f>I295+Table2[[#This Row],[Calls Ans]]</f>
        <v>6475</v>
      </c>
      <c r="J296" s="1">
        <f>J295+Table2[[#This Row],[Calls Off]]</f>
        <v>124142</v>
      </c>
      <c r="K296" s="1">
        <f>K295+Table2[[#This Row],[Calls Ans]]</f>
        <v>115090</v>
      </c>
      <c r="L296" s="40">
        <v>0.85</v>
      </c>
      <c r="M296" s="106">
        <v>0.05</v>
      </c>
      <c r="N296" s="106">
        <v>0.95</v>
      </c>
      <c r="O296" s="106">
        <v>0.56999999999999995</v>
      </c>
      <c r="P296" s="106">
        <v>1</v>
      </c>
      <c r="Q296" s="1"/>
      <c r="R296" s="1">
        <v>5</v>
      </c>
    </row>
    <row r="297" spans="1:21" x14ac:dyDescent="0.35">
      <c r="A297" s="254">
        <v>44947</v>
      </c>
      <c r="B297" s="38" t="s">
        <v>54</v>
      </c>
      <c r="C297" s="38" t="s">
        <v>60</v>
      </c>
      <c r="D297" s="47">
        <v>132</v>
      </c>
      <c r="E297" s="47">
        <v>128</v>
      </c>
      <c r="F297" s="72">
        <f>IFERROR(((Table2[[#This Row],[Calls Off]]-D290)/D290),0)</f>
        <v>-0.23255813953488372</v>
      </c>
      <c r="G297" s="72">
        <f>IFERROR(((Table2[[#This Row],[Calls Ans]]-E290)/E290),0)</f>
        <v>-0.21472392638036811</v>
      </c>
      <c r="H297" s="1">
        <f>H296+Table2[[#This Row],[Calls Off]]</f>
        <v>6869</v>
      </c>
      <c r="I297" s="1">
        <f>I296+Table2[[#This Row],[Calls Ans]]</f>
        <v>6603</v>
      </c>
      <c r="J297" s="1">
        <f>J296+Table2[[#This Row],[Calls Off]]</f>
        <v>124274</v>
      </c>
      <c r="K297" s="1">
        <f>K296+Table2[[#This Row],[Calls Ans]]</f>
        <v>115218</v>
      </c>
      <c r="L297" s="18">
        <v>0.91</v>
      </c>
      <c r="M297" s="105">
        <v>0.03</v>
      </c>
      <c r="N297" s="105">
        <v>0.97</v>
      </c>
      <c r="O297" s="105">
        <v>0.4</v>
      </c>
      <c r="P297" s="105">
        <v>1</v>
      </c>
      <c r="Q297" s="1"/>
      <c r="R297" s="1">
        <v>3</v>
      </c>
    </row>
    <row r="298" spans="1:21" x14ac:dyDescent="0.35">
      <c r="A298" s="254">
        <v>44948</v>
      </c>
      <c r="B298" s="36" t="s">
        <v>48</v>
      </c>
      <c r="C298" s="38" t="s">
        <v>60</v>
      </c>
      <c r="D298" s="46">
        <v>0</v>
      </c>
      <c r="E298" s="46">
        <v>0</v>
      </c>
      <c r="F298" s="72">
        <v>0</v>
      </c>
      <c r="G298" s="72">
        <v>0</v>
      </c>
      <c r="H298" s="34">
        <v>0</v>
      </c>
      <c r="I298" s="34">
        <v>0</v>
      </c>
      <c r="J298" s="34">
        <v>0</v>
      </c>
      <c r="K298" s="34">
        <v>0</v>
      </c>
      <c r="L298" s="40">
        <v>0</v>
      </c>
      <c r="M298" s="106">
        <v>0</v>
      </c>
      <c r="N298" s="106">
        <v>0</v>
      </c>
      <c r="O298" s="106">
        <v>0</v>
      </c>
      <c r="P298" s="106">
        <v>0</v>
      </c>
      <c r="Q298" s="1"/>
      <c r="R298" s="1">
        <v>0</v>
      </c>
    </row>
    <row r="299" spans="1:21" x14ac:dyDescent="0.35">
      <c r="A299" s="254">
        <v>44949</v>
      </c>
      <c r="B299" s="38" t="s">
        <v>49</v>
      </c>
      <c r="C299" s="38" t="s">
        <v>60</v>
      </c>
      <c r="D299" s="47">
        <v>446</v>
      </c>
      <c r="E299" s="47">
        <v>426</v>
      </c>
      <c r="F299" s="72">
        <f>IFERROR(((Table2[[#This Row],[Calls Off]]-D292)/D292),0)</f>
        <v>-0.108</v>
      </c>
      <c r="G299" s="72">
        <f>IFERROR(((Table2[[#This Row],[Calls Ans]]-E292)/E292),0)</f>
        <v>-0.10878661087866109</v>
      </c>
      <c r="H299" s="1">
        <f>H297+Table2[[#This Row],[Calls Off]]</f>
        <v>7315</v>
      </c>
      <c r="I299" s="1">
        <f>I297+Table2[[#This Row],[Calls Ans]]</f>
        <v>7029</v>
      </c>
      <c r="J299" s="1">
        <f>J297+Table2[[#This Row],[Calls Off]]</f>
        <v>124720</v>
      </c>
      <c r="K299" s="1">
        <f>K297+Table2[[#This Row],[Calls Ans]]</f>
        <v>115644</v>
      </c>
      <c r="L299" s="18">
        <v>0.83</v>
      </c>
      <c r="M299" s="105">
        <v>0.05</v>
      </c>
      <c r="N299" s="105">
        <v>0.95</v>
      </c>
      <c r="O299" s="105">
        <v>0.59</v>
      </c>
      <c r="P299" s="105">
        <v>1</v>
      </c>
      <c r="Q299" s="1"/>
      <c r="R299" s="1">
        <v>5</v>
      </c>
    </row>
    <row r="300" spans="1:21" x14ac:dyDescent="0.35">
      <c r="A300" s="254">
        <v>44950</v>
      </c>
      <c r="B300" s="36" t="s">
        <v>50</v>
      </c>
      <c r="C300" s="38" t="s">
        <v>60</v>
      </c>
      <c r="D300" s="46">
        <v>438</v>
      </c>
      <c r="E300" s="46">
        <v>416</v>
      </c>
      <c r="F300" s="72">
        <f>IFERROR(((Table2[[#This Row],[Calls Off]]-D293)/D293),0)</f>
        <v>1.1547344110854504E-2</v>
      </c>
      <c r="G300" s="72">
        <f>IFERROR(((Table2[[#This Row],[Calls Ans]]-E293)/E293),0)</f>
        <v>2.4096385542168677E-3</v>
      </c>
      <c r="H300" s="1">
        <f>H299+Table2[[#This Row],[Calls Off]]</f>
        <v>7753</v>
      </c>
      <c r="I300" s="1">
        <f>I299+Table2[[#This Row],[Calls Ans]]</f>
        <v>7445</v>
      </c>
      <c r="J300" s="1">
        <f>J299+Table2[[#This Row],[Calls Off]]</f>
        <v>125158</v>
      </c>
      <c r="K300" s="1">
        <f>K299+Table2[[#This Row],[Calls Ans]]</f>
        <v>116060</v>
      </c>
      <c r="L300" s="40">
        <v>0.89</v>
      </c>
      <c r="M300" s="106">
        <v>0.05</v>
      </c>
      <c r="N300" s="106">
        <v>0.95</v>
      </c>
      <c r="O300" s="106">
        <v>0.62</v>
      </c>
      <c r="P300" s="106">
        <v>1</v>
      </c>
      <c r="Q300" s="1"/>
      <c r="R300" s="1">
        <v>5</v>
      </c>
    </row>
    <row r="301" spans="1:21" x14ac:dyDescent="0.35">
      <c r="A301" s="254">
        <v>44951</v>
      </c>
      <c r="B301" s="38" t="s">
        <v>51</v>
      </c>
      <c r="C301" s="38" t="s">
        <v>60</v>
      </c>
      <c r="D301" s="47">
        <v>412</v>
      </c>
      <c r="E301" s="47">
        <v>388</v>
      </c>
      <c r="F301" s="72">
        <f>IFERROR(((Table2[[#This Row],[Calls Off]]-D294)/D294),0)</f>
        <v>0.10752688172043011</v>
      </c>
      <c r="G301" s="72">
        <f>IFERROR(((Table2[[#This Row],[Calls Ans]]-E294)/E294),0)</f>
        <v>7.4792243767313013E-2</v>
      </c>
      <c r="H301" s="1">
        <f>H300+Table2[[#This Row],[Calls Off]]</f>
        <v>8165</v>
      </c>
      <c r="I301" s="1">
        <f>I300+Table2[[#This Row],[Calls Ans]]</f>
        <v>7833</v>
      </c>
      <c r="J301" s="1">
        <f>J300+Table2[[#This Row],[Calls Off]]</f>
        <v>125570</v>
      </c>
      <c r="K301" s="1">
        <f>K300+Table2[[#This Row],[Calls Ans]]</f>
        <v>116448</v>
      </c>
      <c r="L301" s="18">
        <v>0.89</v>
      </c>
      <c r="M301" s="105">
        <v>0.02</v>
      </c>
      <c r="N301" s="105">
        <v>0.98</v>
      </c>
      <c r="O301" s="105">
        <v>0.45</v>
      </c>
      <c r="P301" s="105">
        <v>1</v>
      </c>
      <c r="Q301" s="261">
        <v>2.0370370370370373E-3</v>
      </c>
      <c r="R301" s="1">
        <v>5</v>
      </c>
    </row>
    <row r="302" spans="1:21" x14ac:dyDescent="0.35">
      <c r="A302" s="254">
        <v>44952</v>
      </c>
      <c r="B302" s="36" t="s">
        <v>52</v>
      </c>
      <c r="C302" s="38" t="s">
        <v>60</v>
      </c>
      <c r="D302" s="46">
        <v>424</v>
      </c>
      <c r="E302" s="46">
        <v>414</v>
      </c>
      <c r="F302" s="72">
        <f>IFERROR(((Table2[[#This Row],[Calls Off]]-D295)/D295),0)</f>
        <v>0.35897435897435898</v>
      </c>
      <c r="G302" s="72">
        <f>IFERROR(((Table2[[#This Row],[Calls Ans]]-E295)/E295),0)</f>
        <v>0.37086092715231789</v>
      </c>
      <c r="H302" s="1">
        <f>H301+Table2[[#This Row],[Calls Off]]</f>
        <v>8589</v>
      </c>
      <c r="I302" s="1">
        <f>I301+Table2[[#This Row],[Calls Ans]]</f>
        <v>8247</v>
      </c>
      <c r="J302" s="1">
        <f>J301+Table2[[#This Row],[Calls Off]]</f>
        <v>125994</v>
      </c>
      <c r="K302" s="1">
        <f>K301+Table2[[#This Row],[Calls Ans]]</f>
        <v>116862</v>
      </c>
      <c r="L302" s="40">
        <v>0.91</v>
      </c>
      <c r="M302" s="106">
        <v>0.02</v>
      </c>
      <c r="N302" s="106">
        <v>0.98</v>
      </c>
      <c r="O302" s="106">
        <v>0.57999999999999996</v>
      </c>
      <c r="P302" s="106">
        <v>1</v>
      </c>
      <c r="Q302" s="261">
        <v>2.1527777777777782E-3</v>
      </c>
      <c r="R302" s="1">
        <v>5</v>
      </c>
    </row>
    <row r="303" spans="1:21" x14ac:dyDescent="0.35">
      <c r="A303" s="254">
        <v>44953</v>
      </c>
      <c r="B303" s="38" t="s">
        <v>53</v>
      </c>
      <c r="C303" s="38" t="s">
        <v>60</v>
      </c>
      <c r="D303" s="47">
        <v>387</v>
      </c>
      <c r="E303" s="47">
        <v>375</v>
      </c>
      <c r="F303" s="72">
        <f>IFERROR(((Table2[[#This Row],[Calls Off]]-D296)/D296),0)</f>
        <v>-6.5217391304347824E-2</v>
      </c>
      <c r="G303" s="72">
        <f>IFERROR(((Table2[[#This Row],[Calls Ans]]-E296)/E296),0)</f>
        <v>-4.5801526717557252E-2</v>
      </c>
      <c r="H303" s="1">
        <f>H302+Table2[[#This Row],[Calls Off]]</f>
        <v>8976</v>
      </c>
      <c r="I303" s="1">
        <f>I302+Table2[[#This Row],[Calls Ans]]</f>
        <v>8622</v>
      </c>
      <c r="J303" s="1">
        <f>J302+Table2[[#This Row],[Calls Off]]</f>
        <v>126381</v>
      </c>
      <c r="K303" s="1">
        <f>K302+Table2[[#This Row],[Calls Ans]]</f>
        <v>117237</v>
      </c>
      <c r="L303" s="18">
        <v>0.94</v>
      </c>
      <c r="M303" s="105">
        <v>0.03</v>
      </c>
      <c r="N303" s="105">
        <v>0.97</v>
      </c>
      <c r="O303" s="105">
        <v>0.44</v>
      </c>
      <c r="P303" s="105">
        <v>1</v>
      </c>
      <c r="Q303" s="261">
        <v>2.0023148148148148E-3</v>
      </c>
      <c r="R303" s="1">
        <v>5</v>
      </c>
    </row>
    <row r="304" spans="1:21" x14ac:dyDescent="0.35">
      <c r="A304" s="254">
        <v>44954</v>
      </c>
      <c r="B304" s="36" t="s">
        <v>54</v>
      </c>
      <c r="C304" s="38" t="s">
        <v>60</v>
      </c>
      <c r="D304" s="46">
        <v>184</v>
      </c>
      <c r="E304" s="46">
        <v>179</v>
      </c>
      <c r="F304" s="72">
        <f>IFERROR(((Table2[[#This Row],[Calls Off]]-D297)/D297),0)</f>
        <v>0.39393939393939392</v>
      </c>
      <c r="G304" s="72">
        <f>IFERROR(((Table2[[#This Row],[Calls Ans]]-E297)/E297),0)</f>
        <v>0.3984375</v>
      </c>
      <c r="H304" s="1">
        <f>H303+Table2[[#This Row],[Calls Off]]</f>
        <v>9160</v>
      </c>
      <c r="I304" s="1">
        <f>I303+Table2[[#This Row],[Calls Ans]]</f>
        <v>8801</v>
      </c>
      <c r="J304" s="1">
        <f>J303+Table2[[#This Row],[Calls Off]]</f>
        <v>126565</v>
      </c>
      <c r="K304" s="1">
        <f>K303+Table2[[#This Row],[Calls Ans]]</f>
        <v>117416</v>
      </c>
      <c r="L304" s="40">
        <v>0.91</v>
      </c>
      <c r="M304" s="106">
        <v>0.03</v>
      </c>
      <c r="N304" s="106">
        <v>0.97</v>
      </c>
      <c r="O304" s="106">
        <v>0.53</v>
      </c>
      <c r="P304" s="106">
        <v>1</v>
      </c>
      <c r="Q304" s="261">
        <v>2.0833333333333333E-3</v>
      </c>
      <c r="R304" s="1">
        <v>4</v>
      </c>
    </row>
    <row r="305" spans="1:21" x14ac:dyDescent="0.35">
      <c r="A305" s="254">
        <v>44955</v>
      </c>
      <c r="B305" s="38" t="s">
        <v>48</v>
      </c>
      <c r="C305" s="38" t="s">
        <v>60</v>
      </c>
      <c r="D305" s="47">
        <v>0</v>
      </c>
      <c r="E305" s="47">
        <v>0</v>
      </c>
      <c r="F305" s="72">
        <v>0</v>
      </c>
      <c r="G305" s="72">
        <v>0</v>
      </c>
      <c r="H305" s="1">
        <v>0</v>
      </c>
      <c r="I305" s="1">
        <v>0</v>
      </c>
      <c r="J305" s="1">
        <v>0</v>
      </c>
      <c r="K305" s="1">
        <v>0</v>
      </c>
      <c r="L305" s="18">
        <v>0</v>
      </c>
      <c r="M305" s="105">
        <v>0</v>
      </c>
      <c r="N305" s="105">
        <v>0</v>
      </c>
      <c r="O305" s="105">
        <v>0</v>
      </c>
      <c r="P305" s="105">
        <v>0</v>
      </c>
      <c r="Q305" s="261">
        <v>0</v>
      </c>
      <c r="R305" s="1">
        <v>0</v>
      </c>
    </row>
    <row r="306" spans="1:21" x14ac:dyDescent="0.35">
      <c r="A306" s="254">
        <v>44956</v>
      </c>
      <c r="B306" s="36" t="s">
        <v>49</v>
      </c>
      <c r="C306" s="38" t="s">
        <v>60</v>
      </c>
      <c r="D306" s="46">
        <v>560</v>
      </c>
      <c r="E306" s="46">
        <v>518</v>
      </c>
      <c r="F306" s="72">
        <f>IFERROR(((Table2[[#This Row],[Calls Off]]-D299)/D299),0)</f>
        <v>0.2556053811659193</v>
      </c>
      <c r="G306" s="72">
        <f>IFERROR(((Table2[[#This Row],[Calls Ans]]-E299)/E299),0)</f>
        <v>0.215962441314554</v>
      </c>
      <c r="H306" s="1">
        <f>H304+Table2[[#This Row],[Calls Off]]</f>
        <v>9720</v>
      </c>
      <c r="I306" s="1">
        <f>I304+Table2[[#This Row],[Calls Ans]]</f>
        <v>9319</v>
      </c>
      <c r="J306" s="1">
        <f>J304+Table2[[#This Row],[Calls Off]]</f>
        <v>127125</v>
      </c>
      <c r="K306" s="1">
        <f>K304+Table2[[#This Row],[Calls Ans]]</f>
        <v>117934</v>
      </c>
      <c r="L306" s="40">
        <v>0.8</v>
      </c>
      <c r="M306" s="106">
        <v>0.06</v>
      </c>
      <c r="N306" s="106">
        <v>0.94</v>
      </c>
      <c r="O306" s="106">
        <v>0.63</v>
      </c>
      <c r="P306" s="106">
        <v>1</v>
      </c>
      <c r="Q306" s="261">
        <v>2.3148148148148151E-3</v>
      </c>
      <c r="R306" s="1">
        <v>5</v>
      </c>
    </row>
    <row r="307" spans="1:21" s="54" customFormat="1" x14ac:dyDescent="0.35">
      <c r="A307" s="257">
        <v>44957</v>
      </c>
      <c r="B307" s="55" t="s">
        <v>50</v>
      </c>
      <c r="C307" s="55" t="s">
        <v>60</v>
      </c>
      <c r="D307" s="117">
        <v>466</v>
      </c>
      <c r="E307" s="117">
        <v>446</v>
      </c>
      <c r="F307" s="91">
        <f>IFERROR(((Table2[[#This Row],[Calls Off]]-D300)/D300),0)</f>
        <v>6.3926940639269403E-2</v>
      </c>
      <c r="G307" s="91">
        <f>IFERROR(((Table2[[#This Row],[Calls Ans]]-E300)/E300),0)</f>
        <v>7.2115384615384609E-2</v>
      </c>
      <c r="H307" s="56">
        <f>H306+Table2[[#This Row],[Calls Off]]</f>
        <v>10186</v>
      </c>
      <c r="I307" s="56">
        <f>I306+Table2[[#This Row],[Calls Ans]]</f>
        <v>9765</v>
      </c>
      <c r="J307" s="56">
        <f>J306+Table2[[#This Row],[Calls Off]]</f>
        <v>127591</v>
      </c>
      <c r="K307" s="56">
        <f>K306+Table2[[#This Row],[Calls Ans]]</f>
        <v>118380</v>
      </c>
      <c r="L307" s="57">
        <v>0.04</v>
      </c>
      <c r="M307" s="118">
        <v>0.2</v>
      </c>
      <c r="N307" s="118">
        <v>0.8</v>
      </c>
      <c r="O307" s="118">
        <v>0.88</v>
      </c>
      <c r="P307" s="118">
        <v>0.61</v>
      </c>
      <c r="Q307" s="262">
        <v>2.0254629629629629E-3</v>
      </c>
      <c r="R307" s="56">
        <v>5</v>
      </c>
      <c r="S307"/>
      <c r="T307"/>
      <c r="U307"/>
    </row>
    <row r="308" spans="1:21" x14ac:dyDescent="0.35">
      <c r="A308" s="254">
        <v>44958</v>
      </c>
      <c r="B308" s="36" t="s">
        <v>51</v>
      </c>
      <c r="C308" s="38" t="s">
        <v>60</v>
      </c>
      <c r="D308" s="46">
        <v>526</v>
      </c>
      <c r="E308" s="46">
        <v>498</v>
      </c>
      <c r="F308" s="72">
        <f>IFERROR(((Table2[[#This Row],[Calls Off]]-D301)/D301),0)</f>
        <v>0.27669902912621358</v>
      </c>
      <c r="G308" s="72">
        <f>IFERROR(((Table2[[#This Row],[Calls Ans]]-E301)/E301),0)</f>
        <v>0.28350515463917525</v>
      </c>
      <c r="H308" s="1">
        <f>Table2[[#This Row],[Calls Off]]</f>
        <v>526</v>
      </c>
      <c r="I308" s="1">
        <f>Table2[[#This Row],[Calls Ans]]</f>
        <v>498</v>
      </c>
      <c r="J308" s="1">
        <f>J307+Table2[[#This Row],[Calls Off]]</f>
        <v>128117</v>
      </c>
      <c r="K308" s="1">
        <f>K307+Table2[[#This Row],[Calls Ans]]</f>
        <v>118878</v>
      </c>
      <c r="L308" s="40">
        <v>0.84</v>
      </c>
      <c r="M308" s="106">
        <v>0.05</v>
      </c>
      <c r="N308" s="106">
        <v>0.95</v>
      </c>
      <c r="O308" s="106">
        <v>0.59</v>
      </c>
      <c r="P308" s="106">
        <v>1</v>
      </c>
      <c r="Q308" s="261">
        <v>2.0370370370370373E-3</v>
      </c>
      <c r="R308" s="1">
        <v>5</v>
      </c>
    </row>
    <row r="309" spans="1:21" x14ac:dyDescent="0.35">
      <c r="A309" s="254">
        <v>44959</v>
      </c>
      <c r="B309" s="38" t="s">
        <v>52</v>
      </c>
      <c r="C309" s="38" t="s">
        <v>60</v>
      </c>
      <c r="D309" s="47">
        <v>505</v>
      </c>
      <c r="E309" s="47">
        <v>475</v>
      </c>
      <c r="F309" s="72">
        <f>IFERROR(((Table2[[#This Row],[Calls Off]]-D302)/D302),0)</f>
        <v>0.19103773584905662</v>
      </c>
      <c r="G309" s="72">
        <f>IFERROR(((Table2[[#This Row],[Calls Ans]]-E302)/E302),0)</f>
        <v>0.14734299516908211</v>
      </c>
      <c r="H309" s="1">
        <f>H308+Table2[[#This Row],[Calls Off]]</f>
        <v>1031</v>
      </c>
      <c r="I309" s="1">
        <f>I308+Table2[[#This Row],[Calls Ans]]</f>
        <v>973</v>
      </c>
      <c r="J309" s="1">
        <f>J308+Table2[[#This Row],[Calls Off]]</f>
        <v>128622</v>
      </c>
      <c r="K309" s="1">
        <f>K308+Table2[[#This Row],[Calls Ans]]</f>
        <v>119353</v>
      </c>
      <c r="L309" s="18">
        <v>0.82</v>
      </c>
      <c r="M309" s="105">
        <v>0.06</v>
      </c>
      <c r="N309" s="105">
        <v>0.94</v>
      </c>
      <c r="O309" s="105">
        <v>0.69</v>
      </c>
      <c r="P309" s="105">
        <v>1</v>
      </c>
      <c r="Q309" s="261">
        <v>2.0023148148148148E-3</v>
      </c>
      <c r="R309" s="1">
        <v>4</v>
      </c>
    </row>
    <row r="310" spans="1:21" x14ac:dyDescent="0.35">
      <c r="A310" s="254">
        <v>44960</v>
      </c>
      <c r="B310" s="36" t="s">
        <v>53</v>
      </c>
      <c r="C310" s="38" t="s">
        <v>60</v>
      </c>
      <c r="D310" s="46">
        <v>466</v>
      </c>
      <c r="E310" s="46">
        <v>446</v>
      </c>
      <c r="F310" s="72">
        <f>IFERROR(((Table2[[#This Row],[Calls Off]]-D303)/D303),0)</f>
        <v>0.20413436692506459</v>
      </c>
      <c r="G310" s="72">
        <f>IFERROR(((Table2[[#This Row],[Calls Ans]]-E303)/E303),0)</f>
        <v>0.18933333333333333</v>
      </c>
      <c r="H310" s="1">
        <f>H309+Table2[[#This Row],[Calls Off]]</f>
        <v>1497</v>
      </c>
      <c r="I310" s="1">
        <f>I309+Table2[[#This Row],[Calls Ans]]</f>
        <v>1419</v>
      </c>
      <c r="J310" s="1">
        <f>J309+Table2[[#This Row],[Calls Off]]</f>
        <v>129088</v>
      </c>
      <c r="K310" s="1">
        <f>K309+Table2[[#This Row],[Calls Ans]]</f>
        <v>119799</v>
      </c>
      <c r="L310" s="40">
        <v>0.89</v>
      </c>
      <c r="M310" s="106">
        <v>0.04</v>
      </c>
      <c r="N310" s="106">
        <v>0.96</v>
      </c>
      <c r="O310" s="106">
        <v>0.53</v>
      </c>
      <c r="P310" s="106">
        <v>1</v>
      </c>
      <c r="Q310" s="261">
        <v>2.0486111111111113E-3</v>
      </c>
      <c r="R310" s="1">
        <v>5</v>
      </c>
    </row>
    <row r="311" spans="1:21" x14ac:dyDescent="0.35">
      <c r="A311" s="254">
        <v>44961</v>
      </c>
      <c r="B311" s="38" t="s">
        <v>54</v>
      </c>
      <c r="C311" s="38" t="s">
        <v>60</v>
      </c>
      <c r="D311" s="47">
        <v>175</v>
      </c>
      <c r="E311" s="47">
        <v>166</v>
      </c>
      <c r="F311" s="72">
        <f>IFERROR(((Table2[[#This Row],[Calls Off]]-D304)/D304),0)</f>
        <v>-4.8913043478260872E-2</v>
      </c>
      <c r="G311" s="72">
        <f>IFERROR(((Table2[[#This Row],[Calls Ans]]-E304)/E304),0)</f>
        <v>-7.2625698324022353E-2</v>
      </c>
      <c r="H311" s="1">
        <f>H310+Table2[[#This Row],[Calls Off]]</f>
        <v>1672</v>
      </c>
      <c r="I311" s="1">
        <f>I310+Table2[[#This Row],[Calls Ans]]</f>
        <v>1585</v>
      </c>
      <c r="J311" s="1">
        <f>J310+Table2[[#This Row],[Calls Off]]</f>
        <v>129263</v>
      </c>
      <c r="K311" s="1">
        <f>K310+Table2[[#This Row],[Calls Ans]]</f>
        <v>119965</v>
      </c>
      <c r="L311" s="18">
        <v>0.86</v>
      </c>
      <c r="M311" s="105">
        <v>0.05</v>
      </c>
      <c r="N311" s="105">
        <v>0.95</v>
      </c>
      <c r="O311" s="105">
        <v>0.53</v>
      </c>
      <c r="P311" s="105">
        <v>1</v>
      </c>
      <c r="Q311" s="261">
        <v>1.9097222222222222E-3</v>
      </c>
      <c r="R311" s="1">
        <v>3</v>
      </c>
    </row>
    <row r="312" spans="1:21" x14ac:dyDescent="0.35">
      <c r="A312" s="254">
        <v>44962</v>
      </c>
      <c r="B312" s="39" t="s">
        <v>48</v>
      </c>
      <c r="C312" s="38" t="s">
        <v>60</v>
      </c>
      <c r="D312" s="34">
        <v>0</v>
      </c>
      <c r="E312" s="34">
        <v>0</v>
      </c>
      <c r="F312" s="71">
        <v>0</v>
      </c>
      <c r="G312" s="71">
        <v>0</v>
      </c>
      <c r="H312" s="34">
        <v>0</v>
      </c>
      <c r="I312" s="34">
        <v>0</v>
      </c>
      <c r="J312" s="34">
        <v>0</v>
      </c>
      <c r="K312" s="34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263">
        <v>0</v>
      </c>
      <c r="R312" s="34">
        <v>0</v>
      </c>
    </row>
    <row r="313" spans="1:21" x14ac:dyDescent="0.35">
      <c r="A313" s="254">
        <v>44963</v>
      </c>
      <c r="B313" s="38" t="s">
        <v>49</v>
      </c>
      <c r="C313" s="38" t="s">
        <v>60</v>
      </c>
      <c r="D313" s="47">
        <v>528</v>
      </c>
      <c r="E313" s="47">
        <v>506</v>
      </c>
      <c r="F313" s="72">
        <f>IFERROR(((Table2[[#This Row],[Calls Off]]-D306)/D306),0)</f>
        <v>-5.7142857142857141E-2</v>
      </c>
      <c r="G313" s="72">
        <f>IFERROR(((Table2[[#This Row],[Calls Ans]]-E306)/E306),0)</f>
        <v>-2.3166023166023165E-2</v>
      </c>
      <c r="H313" s="1">
        <f>H311+Table2[[#This Row],[Calls Off]]</f>
        <v>2200</v>
      </c>
      <c r="I313" s="1">
        <f>I311+Table2[[#This Row],[Calls Ans]]</f>
        <v>2091</v>
      </c>
      <c r="J313" s="1">
        <f>J311+Table2[[#This Row],[Calls Off]]</f>
        <v>129791</v>
      </c>
      <c r="K313" s="1">
        <f>K311+Table2[[#This Row],[Calls Ans]]</f>
        <v>120471</v>
      </c>
      <c r="L313" s="18">
        <v>0.88</v>
      </c>
      <c r="M313" s="105">
        <v>0.04</v>
      </c>
      <c r="N313" s="105">
        <v>0.96</v>
      </c>
      <c r="O313" s="105">
        <v>0.59</v>
      </c>
      <c r="P313" s="105">
        <v>1</v>
      </c>
      <c r="Q313" s="261">
        <v>2.0370370370370373E-3</v>
      </c>
      <c r="R313" s="1">
        <v>5</v>
      </c>
    </row>
    <row r="314" spans="1:21" x14ac:dyDescent="0.35">
      <c r="A314" s="254">
        <v>44964</v>
      </c>
      <c r="B314" s="36" t="s">
        <v>50</v>
      </c>
      <c r="C314" s="38" t="s">
        <v>60</v>
      </c>
      <c r="D314" s="47">
        <v>407</v>
      </c>
      <c r="E314" s="47">
        <v>380</v>
      </c>
      <c r="F314" s="72">
        <f>IFERROR(((Table2[[#This Row],[Calls Off]]-D307)/D307),0)</f>
        <v>-0.12660944206008584</v>
      </c>
      <c r="G314" s="72">
        <f>IFERROR(((Table2[[#This Row],[Calls Ans]]-E307)/E307),0)</f>
        <v>-0.14798206278026907</v>
      </c>
      <c r="H314" s="1">
        <f>H313+Table2[[#This Row],[Calls Off]]</f>
        <v>2607</v>
      </c>
      <c r="I314" s="1">
        <f>I313+Table2[[#This Row],[Calls Ans]]</f>
        <v>2471</v>
      </c>
      <c r="J314" s="1">
        <f>J313+Table2[[#This Row],[Calls Off]]</f>
        <v>130198</v>
      </c>
      <c r="K314" s="1">
        <f>K313+Table2[[#This Row],[Calls Ans]]</f>
        <v>120851</v>
      </c>
      <c r="L314" s="18">
        <v>0.86</v>
      </c>
      <c r="M314" s="105">
        <v>7.0000000000000007E-2</v>
      </c>
      <c r="N314" s="105">
        <v>0.93</v>
      </c>
      <c r="O314" s="105">
        <v>0.61</v>
      </c>
      <c r="P314" s="105">
        <v>1</v>
      </c>
      <c r="Q314" s="261">
        <v>2.488425925925926E-3</v>
      </c>
      <c r="R314" s="1">
        <v>5</v>
      </c>
    </row>
    <row r="315" spans="1:21" x14ac:dyDescent="0.35">
      <c r="A315" s="254">
        <v>44965</v>
      </c>
      <c r="B315" s="38" t="s">
        <v>51</v>
      </c>
      <c r="C315" s="38" t="s">
        <v>60</v>
      </c>
      <c r="D315" s="47">
        <v>377</v>
      </c>
      <c r="E315" s="47">
        <v>371</v>
      </c>
      <c r="F315" s="72">
        <f>IFERROR(((Table2[[#This Row],[Calls Off]]-D308)/D308),0)</f>
        <v>-0.28326996197718629</v>
      </c>
      <c r="G315" s="72">
        <f>IFERROR(((Table2[[#This Row],[Calls Ans]]-E308)/E308),0)</f>
        <v>-0.25502008032128515</v>
      </c>
      <c r="H315" s="1">
        <f>H314+Table2[[#This Row],[Calls Off]]</f>
        <v>2984</v>
      </c>
      <c r="I315" s="1">
        <f>I314+Table2[[#This Row],[Calls Ans]]</f>
        <v>2842</v>
      </c>
      <c r="J315" s="1">
        <f>J314+Table2[[#This Row],[Calls Off]]</f>
        <v>130575</v>
      </c>
      <c r="K315" s="1">
        <f>K314+Table2[[#This Row],[Calls Ans]]</f>
        <v>121222</v>
      </c>
      <c r="L315" s="18">
        <v>0.92</v>
      </c>
      <c r="M315" s="105">
        <v>0.02</v>
      </c>
      <c r="N315" s="105">
        <v>0.98</v>
      </c>
      <c r="O315" s="105">
        <v>0.54</v>
      </c>
      <c r="P315" s="105">
        <v>1</v>
      </c>
      <c r="Q315" s="261">
        <v>2.3032407407407402E-3</v>
      </c>
      <c r="R315" s="1">
        <v>5</v>
      </c>
      <c r="S315" s="54"/>
      <c r="T315" s="54"/>
      <c r="U315" s="54"/>
    </row>
    <row r="316" spans="1:21" x14ac:dyDescent="0.35">
      <c r="A316" s="254">
        <v>44966</v>
      </c>
      <c r="B316" s="36" t="s">
        <v>52</v>
      </c>
      <c r="C316" s="38" t="s">
        <v>60</v>
      </c>
      <c r="D316" s="47">
        <v>389</v>
      </c>
      <c r="E316" s="47">
        <v>377</v>
      </c>
      <c r="F316" s="72">
        <f>IFERROR(((Table2[[#This Row],[Calls Off]]-D309)/D309),0)</f>
        <v>-0.22970297029702971</v>
      </c>
      <c r="G316" s="72">
        <f>IFERROR(((Table2[[#This Row],[Calls Ans]]-E309)/E309),0)</f>
        <v>-0.2063157894736842</v>
      </c>
      <c r="H316" s="1">
        <f>H315+Table2[[#This Row],[Calls Off]]</f>
        <v>3373</v>
      </c>
      <c r="I316" s="1">
        <f>I315+Table2[[#This Row],[Calls Ans]]</f>
        <v>3219</v>
      </c>
      <c r="J316" s="1">
        <f>J315+Table2[[#This Row],[Calls Off]]</f>
        <v>130964</v>
      </c>
      <c r="K316" s="1">
        <f>K315+Table2[[#This Row],[Calls Ans]]</f>
        <v>121599</v>
      </c>
      <c r="L316" s="18">
        <v>0.92</v>
      </c>
      <c r="M316" s="105">
        <v>0.03</v>
      </c>
      <c r="N316" s="105">
        <v>0.97</v>
      </c>
      <c r="O316" s="105">
        <v>0.55000000000000004</v>
      </c>
      <c r="P316" s="105">
        <v>1</v>
      </c>
      <c r="Q316" s="261">
        <v>2.3148148148148151E-3</v>
      </c>
      <c r="R316" s="1">
        <v>5</v>
      </c>
    </row>
    <row r="317" spans="1:21" x14ac:dyDescent="0.35">
      <c r="A317" s="254">
        <v>44967</v>
      </c>
      <c r="B317" s="38" t="s">
        <v>53</v>
      </c>
      <c r="C317" s="38" t="s">
        <v>60</v>
      </c>
      <c r="D317" s="47">
        <v>384</v>
      </c>
      <c r="E317" s="47">
        <v>373</v>
      </c>
      <c r="F317" s="72">
        <f>IFERROR(((Table2[[#This Row],[Calls Off]]-D310)/D310),0)</f>
        <v>-0.17596566523605151</v>
      </c>
      <c r="G317" s="72">
        <f>IFERROR(((Table2[[#This Row],[Calls Ans]]-E310)/E310),0)</f>
        <v>-0.16367713004484305</v>
      </c>
      <c r="H317" s="1">
        <f>H316+Table2[[#This Row],[Calls Off]]</f>
        <v>3757</v>
      </c>
      <c r="I317" s="1">
        <f>I316+Table2[[#This Row],[Calls Ans]]</f>
        <v>3592</v>
      </c>
      <c r="J317" s="1">
        <f>J316+Table2[[#This Row],[Calls Off]]</f>
        <v>131348</v>
      </c>
      <c r="K317" s="1">
        <f>K316+Table2[[#This Row],[Calls Ans]]</f>
        <v>121972</v>
      </c>
      <c r="L317" s="18">
        <v>0.93</v>
      </c>
      <c r="M317" s="105">
        <v>0.03</v>
      </c>
      <c r="N317" s="105">
        <v>0.97</v>
      </c>
      <c r="O317" s="105">
        <v>0.54</v>
      </c>
      <c r="P317" s="105">
        <v>1</v>
      </c>
      <c r="Q317" s="261">
        <v>2.2106481481481482E-3</v>
      </c>
      <c r="R317" s="1">
        <v>5</v>
      </c>
    </row>
    <row r="318" spans="1:21" x14ac:dyDescent="0.35">
      <c r="A318" s="254">
        <v>44968</v>
      </c>
      <c r="B318" s="36" t="s">
        <v>54</v>
      </c>
      <c r="C318" s="38" t="s">
        <v>60</v>
      </c>
      <c r="D318" s="47">
        <v>168</v>
      </c>
      <c r="E318" s="47">
        <v>160</v>
      </c>
      <c r="F318" s="72">
        <f>IFERROR(((Table2[[#This Row],[Calls Off]]-D311)/D311),0)</f>
        <v>-0.04</v>
      </c>
      <c r="G318" s="72">
        <f>IFERROR(((Table2[[#This Row],[Calls Ans]]-E311)/E311),0)</f>
        <v>-3.614457831325301E-2</v>
      </c>
      <c r="H318" s="1">
        <f>H317+Table2[[#This Row],[Calls Off]]</f>
        <v>3925</v>
      </c>
      <c r="I318" s="1">
        <f>I317+Table2[[#This Row],[Calls Ans]]</f>
        <v>3752</v>
      </c>
      <c r="J318" s="1">
        <f>J317+Table2[[#This Row],[Calls Off]]</f>
        <v>131516</v>
      </c>
      <c r="K318" s="1">
        <f>K317+Table2[[#This Row],[Calls Ans]]</f>
        <v>122132</v>
      </c>
      <c r="L318" s="18">
        <v>0.85</v>
      </c>
      <c r="M318" s="105">
        <v>0.05</v>
      </c>
      <c r="N318" s="105">
        <v>0.95</v>
      </c>
      <c r="O318" s="105">
        <v>0.65</v>
      </c>
      <c r="P318" s="105">
        <v>1</v>
      </c>
      <c r="Q318" s="261">
        <v>2.2569444444444442E-3</v>
      </c>
      <c r="R318" s="1">
        <v>3</v>
      </c>
    </row>
    <row r="319" spans="1:21" x14ac:dyDescent="0.35">
      <c r="A319" s="254">
        <v>44969</v>
      </c>
      <c r="B319" s="38" t="s">
        <v>48</v>
      </c>
      <c r="C319" s="38" t="s">
        <v>60</v>
      </c>
      <c r="D319" s="47">
        <v>0</v>
      </c>
      <c r="E319" s="47">
        <v>0</v>
      </c>
      <c r="F319" s="72">
        <v>0</v>
      </c>
      <c r="G319" s="72">
        <v>0</v>
      </c>
      <c r="H319" s="1">
        <v>0</v>
      </c>
      <c r="I319" s="1">
        <v>0</v>
      </c>
      <c r="J319" s="1">
        <v>0</v>
      </c>
      <c r="K319" s="1">
        <v>0</v>
      </c>
      <c r="L319" s="18">
        <v>0</v>
      </c>
      <c r="M319" s="105">
        <v>0</v>
      </c>
      <c r="N319" s="105">
        <v>0</v>
      </c>
      <c r="O319" s="105">
        <v>0</v>
      </c>
      <c r="P319" s="105">
        <v>0</v>
      </c>
      <c r="Q319" s="261">
        <v>0</v>
      </c>
      <c r="R319" s="1">
        <v>0</v>
      </c>
    </row>
    <row r="320" spans="1:21" x14ac:dyDescent="0.35">
      <c r="A320" s="254">
        <v>44970</v>
      </c>
      <c r="B320" s="36" t="s">
        <v>49</v>
      </c>
      <c r="C320" s="38" t="s">
        <v>60</v>
      </c>
      <c r="D320" s="47">
        <v>405</v>
      </c>
      <c r="E320" s="47">
        <v>394</v>
      </c>
      <c r="F320" s="72">
        <f>IFERROR(((Table2[[#This Row],[Calls Off]]-D313)/D313),0)</f>
        <v>-0.23295454545454544</v>
      </c>
      <c r="G320" s="72">
        <f>IFERROR(((Table2[[#This Row],[Calls Ans]]-E313)/E313),0)</f>
        <v>-0.22134387351778656</v>
      </c>
      <c r="H320" s="1">
        <f>H318+Table2[[#This Row],[Calls Off]]</f>
        <v>4330</v>
      </c>
      <c r="I320" s="1">
        <f>I318+Table2[[#This Row],[Calls Ans]]</f>
        <v>4146</v>
      </c>
      <c r="J320" s="1">
        <f>J318+Table2[[#This Row],[Calls Off]]</f>
        <v>131921</v>
      </c>
      <c r="K320" s="1">
        <f>K318+Table2[[#This Row],[Calls Ans]]</f>
        <v>122526</v>
      </c>
      <c r="L320" s="18">
        <v>0.91</v>
      </c>
      <c r="M320" s="105">
        <v>0.03</v>
      </c>
      <c r="N320" s="105">
        <v>0.97</v>
      </c>
      <c r="O320" s="105">
        <v>0.57999999999999996</v>
      </c>
      <c r="P320" s="105">
        <v>1</v>
      </c>
      <c r="Q320" s="261">
        <v>2.3148148148148151E-3</v>
      </c>
      <c r="R320" s="1">
        <v>5</v>
      </c>
    </row>
    <row r="321" spans="1:18" x14ac:dyDescent="0.35">
      <c r="A321" s="254">
        <v>44971</v>
      </c>
      <c r="B321" s="38" t="s">
        <v>50</v>
      </c>
      <c r="C321" s="38" t="s">
        <v>60</v>
      </c>
      <c r="D321" s="47">
        <v>332</v>
      </c>
      <c r="E321" s="47">
        <v>318</v>
      </c>
      <c r="F321" s="72">
        <f>IFERROR(((Table2[[#This Row],[Calls Off]]-D314)/D314),0)</f>
        <v>-0.18427518427518427</v>
      </c>
      <c r="G321" s="72">
        <f>IFERROR(((Table2[[#This Row],[Calls Ans]]-E314)/E314),0)</f>
        <v>-0.16315789473684211</v>
      </c>
      <c r="H321" s="1">
        <f>H320+Table2[[#This Row],[Calls Off]]</f>
        <v>4662</v>
      </c>
      <c r="I321" s="1">
        <f>I320+Table2[[#This Row],[Calls Ans]]</f>
        <v>4464</v>
      </c>
      <c r="J321" s="1">
        <f>J320+Table2[[#This Row],[Calls Off]]</f>
        <v>132253</v>
      </c>
      <c r="K321" s="1">
        <f>K320+Table2[[#This Row],[Calls Ans]]</f>
        <v>122844</v>
      </c>
      <c r="L321" s="18">
        <v>0.92</v>
      </c>
      <c r="M321" s="105">
        <v>0.04</v>
      </c>
      <c r="N321" s="105">
        <v>0.96</v>
      </c>
      <c r="O321" s="105">
        <v>0.47</v>
      </c>
      <c r="P321" s="105">
        <v>1</v>
      </c>
      <c r="Q321" s="261">
        <v>2.1759259259259262E-3</v>
      </c>
      <c r="R321" s="1">
        <v>5</v>
      </c>
    </row>
    <row r="322" spans="1:18" x14ac:dyDescent="0.35">
      <c r="A322" s="254">
        <v>44972</v>
      </c>
      <c r="B322" s="36" t="s">
        <v>51</v>
      </c>
      <c r="C322" s="38" t="s">
        <v>60</v>
      </c>
      <c r="D322" s="47">
        <v>382</v>
      </c>
      <c r="E322" s="47">
        <v>368</v>
      </c>
      <c r="F322" s="72">
        <f>IFERROR(((Table2[[#This Row],[Calls Off]]-D315)/D315),0)</f>
        <v>1.3262599469496022E-2</v>
      </c>
      <c r="G322" s="72">
        <f>IFERROR(((Table2[[#This Row],[Calls Ans]]-E315)/E315),0)</f>
        <v>-8.0862533692722376E-3</v>
      </c>
      <c r="H322" s="1">
        <f>H321+Table2[[#This Row],[Calls Off]]</f>
        <v>5044</v>
      </c>
      <c r="I322" s="1">
        <f>I321+Table2[[#This Row],[Calls Ans]]</f>
        <v>4832</v>
      </c>
      <c r="J322" s="1">
        <f>J321+Table2[[#This Row],[Calls Off]]</f>
        <v>132635</v>
      </c>
      <c r="K322" s="1">
        <f>K321+Table2[[#This Row],[Calls Ans]]</f>
        <v>123212</v>
      </c>
      <c r="L322" s="18">
        <v>0.93</v>
      </c>
      <c r="M322" s="105">
        <v>0.04</v>
      </c>
      <c r="N322" s="105">
        <v>0.96</v>
      </c>
      <c r="O322" s="105">
        <v>0.47</v>
      </c>
      <c r="P322" s="105">
        <v>1</v>
      </c>
      <c r="Q322" s="261">
        <v>2.0138888888888888E-3</v>
      </c>
      <c r="R322" s="1">
        <v>5</v>
      </c>
    </row>
    <row r="323" spans="1:18" x14ac:dyDescent="0.35">
      <c r="A323" s="254">
        <v>44973</v>
      </c>
      <c r="B323" s="38" t="s">
        <v>52</v>
      </c>
      <c r="C323" s="38" t="s">
        <v>60</v>
      </c>
      <c r="D323" s="47">
        <v>370</v>
      </c>
      <c r="E323" s="47">
        <v>365</v>
      </c>
      <c r="F323" s="72">
        <f>IFERROR(((Table2[[#This Row],[Calls Off]]-D316)/D316),0)</f>
        <v>-4.8843187660668377E-2</v>
      </c>
      <c r="G323" s="72">
        <f>IFERROR(((Table2[[#This Row],[Calls Ans]]-E316)/E316),0)</f>
        <v>-3.1830238726790451E-2</v>
      </c>
      <c r="H323" s="1">
        <f>H322+Table2[[#This Row],[Calls Off]]</f>
        <v>5414</v>
      </c>
      <c r="I323" s="1">
        <f>I322+Table2[[#This Row],[Calls Ans]]</f>
        <v>5197</v>
      </c>
      <c r="J323" s="1">
        <f>J322+Table2[[#This Row],[Calls Off]]</f>
        <v>133005</v>
      </c>
      <c r="K323" s="1">
        <f>K322+Table2[[#This Row],[Calls Ans]]</f>
        <v>123577</v>
      </c>
      <c r="L323" s="18">
        <v>0.97</v>
      </c>
      <c r="M323" s="105">
        <v>0.01</v>
      </c>
      <c r="N323" s="105">
        <v>0.99</v>
      </c>
      <c r="O323" s="105">
        <v>0.43</v>
      </c>
      <c r="P323" s="105">
        <v>1</v>
      </c>
      <c r="Q323" s="261">
        <v>2.0717592592592593E-3</v>
      </c>
      <c r="R323" s="1">
        <v>5</v>
      </c>
    </row>
    <row r="324" spans="1:18" x14ac:dyDescent="0.35">
      <c r="A324" s="254">
        <v>44974</v>
      </c>
      <c r="B324" s="36" t="s">
        <v>53</v>
      </c>
      <c r="C324" s="38" t="s">
        <v>60</v>
      </c>
      <c r="D324" s="47">
        <v>348</v>
      </c>
      <c r="E324" s="47">
        <v>323</v>
      </c>
      <c r="F324" s="72">
        <f>IFERROR(((Table2[[#This Row],[Calls Off]]-D317)/D317),0)</f>
        <v>-9.375E-2</v>
      </c>
      <c r="G324" s="72">
        <f>IFERROR(((Table2[[#This Row],[Calls Ans]]-E317)/E317),0)</f>
        <v>-0.13404825737265416</v>
      </c>
      <c r="H324" s="1">
        <f>H323+Table2[[#This Row],[Calls Off]]</f>
        <v>5762</v>
      </c>
      <c r="I324" s="1">
        <f>I323+Table2[[#This Row],[Calls Ans]]</f>
        <v>5520</v>
      </c>
      <c r="J324" s="1">
        <f>J323+Table2[[#This Row],[Calls Off]]</f>
        <v>133353</v>
      </c>
      <c r="K324" s="1">
        <f>K323+Table2[[#This Row],[Calls Ans]]</f>
        <v>123900</v>
      </c>
      <c r="L324" s="18">
        <v>0.87</v>
      </c>
      <c r="M324" s="105">
        <v>7.0000000000000007E-2</v>
      </c>
      <c r="N324" s="105">
        <v>0.93</v>
      </c>
      <c r="O324" s="105">
        <v>0.49</v>
      </c>
      <c r="P324" s="105">
        <v>1</v>
      </c>
      <c r="Q324" s="261">
        <v>2.3032407407407402E-3</v>
      </c>
      <c r="R324" s="1">
        <v>5</v>
      </c>
    </row>
    <row r="325" spans="1:18" x14ac:dyDescent="0.35">
      <c r="A325" s="254">
        <v>44975</v>
      </c>
      <c r="B325" s="38" t="s">
        <v>54</v>
      </c>
      <c r="C325" s="38" t="s">
        <v>60</v>
      </c>
      <c r="D325" s="47">
        <v>138</v>
      </c>
      <c r="E325" s="47">
        <v>137</v>
      </c>
      <c r="F325" s="72">
        <f>IFERROR(((Table2[[#This Row],[Calls Off]]-D318)/D318),0)</f>
        <v>-0.17857142857142858</v>
      </c>
      <c r="G325" s="72">
        <f>IFERROR(((Table2[[#This Row],[Calls Ans]]-E318)/E318),0)</f>
        <v>-0.14374999999999999</v>
      </c>
      <c r="H325" s="1">
        <f>H324+Table2[[#This Row],[Calls Off]]</f>
        <v>5900</v>
      </c>
      <c r="I325" s="1">
        <f>I324+Table2[[#This Row],[Calls Ans]]</f>
        <v>5657</v>
      </c>
      <c r="J325" s="1">
        <f>J324+Table2[[#This Row],[Calls Off]]</f>
        <v>133491</v>
      </c>
      <c r="K325" s="1">
        <f>K324+Table2[[#This Row],[Calls Ans]]</f>
        <v>124037</v>
      </c>
      <c r="L325" s="18">
        <v>0.98</v>
      </c>
      <c r="M325" s="105">
        <v>0.01</v>
      </c>
      <c r="N325" s="105">
        <v>0.99</v>
      </c>
      <c r="O325" s="105">
        <v>0.56000000000000005</v>
      </c>
      <c r="P325" s="105">
        <v>1</v>
      </c>
      <c r="Q325" s="261">
        <v>2.2222222222222222E-3</v>
      </c>
      <c r="R325" s="1">
        <v>3</v>
      </c>
    </row>
    <row r="326" spans="1:18" x14ac:dyDescent="0.35">
      <c r="A326" s="254">
        <v>44976</v>
      </c>
      <c r="B326" s="36" t="s">
        <v>48</v>
      </c>
      <c r="C326" s="38" t="s">
        <v>60</v>
      </c>
      <c r="D326" s="47">
        <v>0</v>
      </c>
      <c r="E326" s="47">
        <v>0</v>
      </c>
      <c r="F326" s="72">
        <v>0</v>
      </c>
      <c r="G326" s="72">
        <v>0</v>
      </c>
      <c r="H326" s="1">
        <v>0</v>
      </c>
      <c r="I326" s="1">
        <v>0</v>
      </c>
      <c r="J326" s="1">
        <v>0</v>
      </c>
      <c r="K326" s="1">
        <v>0</v>
      </c>
      <c r="L326" s="18">
        <v>0</v>
      </c>
      <c r="M326" s="105">
        <v>0</v>
      </c>
      <c r="N326" s="105">
        <v>0</v>
      </c>
      <c r="O326" s="105">
        <v>0</v>
      </c>
      <c r="P326" s="105">
        <v>0</v>
      </c>
      <c r="Q326" s="261">
        <v>0</v>
      </c>
      <c r="R326" s="1">
        <v>0</v>
      </c>
    </row>
    <row r="327" spans="1:18" x14ac:dyDescent="0.35">
      <c r="A327" s="254">
        <v>44977</v>
      </c>
      <c r="B327" s="38" t="s">
        <v>49</v>
      </c>
      <c r="C327" s="38" t="s">
        <v>60</v>
      </c>
      <c r="D327" s="47">
        <v>420</v>
      </c>
      <c r="E327" s="47">
        <v>404</v>
      </c>
      <c r="F327" s="72">
        <f>IFERROR(((Table2[[#This Row],[Calls Off]]-D320)/D320),0)</f>
        <v>3.7037037037037035E-2</v>
      </c>
      <c r="G327" s="72">
        <f>IFERROR(((Table2[[#This Row],[Calls Ans]]-E320)/E320),0)</f>
        <v>2.5380710659898477E-2</v>
      </c>
      <c r="H327" s="1">
        <f>H325+Table2[[#This Row],[Calls Off]]</f>
        <v>6320</v>
      </c>
      <c r="I327" s="1">
        <f>I325+Table2[[#This Row],[Calls Ans]]</f>
        <v>6061</v>
      </c>
      <c r="J327" s="1">
        <f>J325+Table2[[#This Row],[Calls Off]]</f>
        <v>133911</v>
      </c>
      <c r="K327" s="1">
        <f>K325+Table2[[#This Row],[Calls Ans]]</f>
        <v>124441</v>
      </c>
      <c r="L327" s="18">
        <v>0.92</v>
      </c>
      <c r="M327" s="105">
        <v>0.04</v>
      </c>
      <c r="N327" s="105">
        <v>0.96</v>
      </c>
      <c r="O327" s="105">
        <v>0.56999999999999995</v>
      </c>
      <c r="P327" s="105">
        <v>1</v>
      </c>
      <c r="Q327" s="261">
        <v>2.1643518518518522E-3</v>
      </c>
      <c r="R327" s="1">
        <v>5</v>
      </c>
    </row>
    <row r="328" spans="1:18" x14ac:dyDescent="0.35">
      <c r="A328" s="254">
        <v>44978</v>
      </c>
      <c r="B328" s="36" t="s">
        <v>50</v>
      </c>
      <c r="C328" s="38" t="s">
        <v>60</v>
      </c>
      <c r="D328" s="47">
        <v>347</v>
      </c>
      <c r="E328" s="47">
        <v>341</v>
      </c>
      <c r="F328" s="72">
        <f>IFERROR(((Table2[[#This Row],[Calls Off]]-D321)/D321),0)</f>
        <v>4.5180722891566265E-2</v>
      </c>
      <c r="G328" s="72">
        <f>IFERROR(((Table2[[#This Row],[Calls Ans]]-E321)/E321),0)</f>
        <v>7.2327044025157231E-2</v>
      </c>
      <c r="H328" s="1">
        <f>H327+Table2[[#This Row],[Calls Off]]</f>
        <v>6667</v>
      </c>
      <c r="I328" s="1">
        <f>I327+Table2[[#This Row],[Calls Ans]]</f>
        <v>6402</v>
      </c>
      <c r="J328" s="1">
        <f>J327+Table2[[#This Row],[Calls Off]]</f>
        <v>134258</v>
      </c>
      <c r="K328" s="1">
        <f>K327+Table2[[#This Row],[Calls Ans]]</f>
        <v>124782</v>
      </c>
      <c r="L328" s="18">
        <v>0.95</v>
      </c>
      <c r="M328" s="105">
        <v>0.02</v>
      </c>
      <c r="N328" s="105">
        <v>0.98</v>
      </c>
      <c r="O328" s="105">
        <v>0.49</v>
      </c>
      <c r="P328" s="105">
        <v>1</v>
      </c>
      <c r="Q328" s="261">
        <v>2.0949074074074073E-3</v>
      </c>
      <c r="R328" s="1">
        <v>5</v>
      </c>
    </row>
    <row r="329" spans="1:18" x14ac:dyDescent="0.35">
      <c r="A329" s="254">
        <v>44979</v>
      </c>
      <c r="B329" s="38" t="s">
        <v>51</v>
      </c>
      <c r="C329" s="38" t="s">
        <v>60</v>
      </c>
      <c r="D329" s="47">
        <v>394</v>
      </c>
      <c r="E329" s="47">
        <v>382</v>
      </c>
      <c r="F329" s="72">
        <f>IFERROR(((Table2[[#This Row],[Calls Off]]-D322)/D322),0)</f>
        <v>3.1413612565445025E-2</v>
      </c>
      <c r="G329" s="72">
        <f>IFERROR(((Table2[[#This Row],[Calls Ans]]-E322)/E322),0)</f>
        <v>3.8043478260869568E-2</v>
      </c>
      <c r="H329" s="1">
        <f>H328+Table2[[#This Row],[Calls Off]]</f>
        <v>7061</v>
      </c>
      <c r="I329" s="1">
        <f>I328+Table2[[#This Row],[Calls Ans]]</f>
        <v>6784</v>
      </c>
      <c r="J329" s="1">
        <f>J328+Table2[[#This Row],[Calls Off]]</f>
        <v>134652</v>
      </c>
      <c r="K329" s="1">
        <f>K328+Table2[[#This Row],[Calls Ans]]</f>
        <v>125164</v>
      </c>
      <c r="L329" s="18">
        <v>0.93</v>
      </c>
      <c r="M329" s="105">
        <v>0.03</v>
      </c>
      <c r="N329" s="105">
        <v>0.97</v>
      </c>
      <c r="O329" s="105">
        <v>0.47</v>
      </c>
      <c r="P329" s="105">
        <v>1</v>
      </c>
      <c r="Q329" s="261">
        <v>1.5625000000000001E-3</v>
      </c>
      <c r="R329" s="1">
        <v>4</v>
      </c>
    </row>
    <row r="330" spans="1:18" x14ac:dyDescent="0.35">
      <c r="A330" s="254">
        <v>44980</v>
      </c>
      <c r="B330" s="36" t="s">
        <v>52</v>
      </c>
      <c r="C330" s="38" t="s">
        <v>60</v>
      </c>
      <c r="D330" s="47">
        <v>435</v>
      </c>
      <c r="E330" s="47">
        <v>417</v>
      </c>
      <c r="F330" s="72">
        <f>IFERROR(((Table2[[#This Row],[Calls Off]]-D323)/D323),0)</f>
        <v>0.17567567567567569</v>
      </c>
      <c r="G330" s="72">
        <f>IFERROR(((Table2[[#This Row],[Calls Ans]]-E323)/E323),0)</f>
        <v>0.14246575342465753</v>
      </c>
      <c r="H330" s="1">
        <f>H329+Table2[[#This Row],[Calls Off]]</f>
        <v>7496</v>
      </c>
      <c r="I330" s="1">
        <f>I329+Table2[[#This Row],[Calls Ans]]</f>
        <v>7201</v>
      </c>
      <c r="J330" s="1">
        <f>J329+Table2[[#This Row],[Calls Off]]</f>
        <v>135087</v>
      </c>
      <c r="K330" s="1">
        <f>K329+Table2[[#This Row],[Calls Ans]]</f>
        <v>125581</v>
      </c>
      <c r="L330" s="18">
        <v>0.87</v>
      </c>
      <c r="M330" s="105">
        <v>0.04</v>
      </c>
      <c r="N330" s="105">
        <v>0.96</v>
      </c>
      <c r="O330" s="105">
        <v>0.6</v>
      </c>
      <c r="P330" s="105">
        <v>1</v>
      </c>
      <c r="Q330" s="261">
        <v>2.2453703703703702E-3</v>
      </c>
      <c r="R330" s="1">
        <v>5</v>
      </c>
    </row>
    <row r="331" spans="1:18" x14ac:dyDescent="0.35">
      <c r="A331" s="254">
        <v>44981</v>
      </c>
      <c r="B331" s="38" t="s">
        <v>53</v>
      </c>
      <c r="C331" s="38" t="s">
        <v>60</v>
      </c>
      <c r="D331" s="47">
        <v>387</v>
      </c>
      <c r="E331" s="47">
        <v>368</v>
      </c>
      <c r="F331" s="72">
        <f>IFERROR(((Table2[[#This Row],[Calls Off]]-D324)/D324),0)</f>
        <v>0.11206896551724138</v>
      </c>
      <c r="G331" s="72">
        <f>IFERROR(((Table2[[#This Row],[Calls Ans]]-E324)/E324),0)</f>
        <v>0.13931888544891641</v>
      </c>
      <c r="H331" s="1">
        <f>H330+Table2[[#This Row],[Calls Off]]</f>
        <v>7883</v>
      </c>
      <c r="I331" s="1">
        <f>I330+Table2[[#This Row],[Calls Ans]]</f>
        <v>7569</v>
      </c>
      <c r="J331" s="1">
        <f>J330+Table2[[#This Row],[Calls Off]]</f>
        <v>135474</v>
      </c>
      <c r="K331" s="1">
        <f>K330+Table2[[#This Row],[Calls Ans]]</f>
        <v>125949</v>
      </c>
      <c r="L331" s="18">
        <v>0.9</v>
      </c>
      <c r="M331" s="105">
        <v>0.05</v>
      </c>
      <c r="N331" s="105">
        <v>0.95</v>
      </c>
      <c r="O331" s="105">
        <v>0.52</v>
      </c>
      <c r="P331" s="105">
        <v>1</v>
      </c>
      <c r="Q331" s="261">
        <v>2.1296296296296298E-3</v>
      </c>
      <c r="R331" s="1">
        <v>5</v>
      </c>
    </row>
    <row r="332" spans="1:18" x14ac:dyDescent="0.35">
      <c r="A332" s="254">
        <v>44982</v>
      </c>
      <c r="B332" s="36" t="s">
        <v>54</v>
      </c>
      <c r="C332" s="38" t="s">
        <v>60</v>
      </c>
      <c r="D332" s="47">
        <v>142</v>
      </c>
      <c r="E332" s="47">
        <v>140</v>
      </c>
      <c r="F332" s="72">
        <f>IFERROR(((Table2[[#This Row],[Calls Off]]-D325)/D325),0)</f>
        <v>2.8985507246376812E-2</v>
      </c>
      <c r="G332" s="72">
        <f>IFERROR(((Table2[[#This Row],[Calls Ans]]-E325)/E325),0)</f>
        <v>2.1897810218978103E-2</v>
      </c>
      <c r="H332" s="1">
        <f>H331+Table2[[#This Row],[Calls Off]]</f>
        <v>8025</v>
      </c>
      <c r="I332" s="1">
        <f>I331+Table2[[#This Row],[Calls Ans]]</f>
        <v>7709</v>
      </c>
      <c r="J332" s="1">
        <f>J331+Table2[[#This Row],[Calls Off]]</f>
        <v>135616</v>
      </c>
      <c r="K332" s="1">
        <f>K331+Table2[[#This Row],[Calls Ans]]</f>
        <v>126089</v>
      </c>
      <c r="L332" s="18">
        <v>0.94</v>
      </c>
      <c r="M332" s="105">
        <v>0.01</v>
      </c>
      <c r="N332" s="105">
        <v>0.99</v>
      </c>
      <c r="O332" s="105">
        <v>0.64</v>
      </c>
      <c r="P332" s="105">
        <v>1</v>
      </c>
      <c r="Q332" s="261">
        <v>2.488425925925926E-3</v>
      </c>
      <c r="R332" s="1">
        <v>4</v>
      </c>
    </row>
    <row r="333" spans="1:18" x14ac:dyDescent="0.35">
      <c r="A333" s="254">
        <v>44983</v>
      </c>
      <c r="B333" s="38" t="s">
        <v>48</v>
      </c>
      <c r="C333" s="38" t="s">
        <v>60</v>
      </c>
      <c r="D333" s="47">
        <v>0</v>
      </c>
      <c r="E333" s="47">
        <v>0</v>
      </c>
      <c r="F333" s="72">
        <v>0</v>
      </c>
      <c r="G333" s="72">
        <v>0</v>
      </c>
      <c r="H333" s="1">
        <v>0</v>
      </c>
      <c r="I333" s="1">
        <v>0</v>
      </c>
      <c r="J333" s="1">
        <v>0</v>
      </c>
      <c r="K333" s="1">
        <v>0</v>
      </c>
      <c r="L333" s="18">
        <v>0</v>
      </c>
      <c r="M333" s="105">
        <v>0</v>
      </c>
      <c r="N333" s="105">
        <v>0</v>
      </c>
      <c r="O333" s="105">
        <v>0</v>
      </c>
      <c r="P333" s="105">
        <v>0</v>
      </c>
      <c r="Q333" s="261">
        <v>0</v>
      </c>
      <c r="R333" s="1">
        <v>0</v>
      </c>
    </row>
    <row r="334" spans="1:18" x14ac:dyDescent="0.35">
      <c r="A334" s="254">
        <v>44984</v>
      </c>
      <c r="B334" s="36" t="s">
        <v>49</v>
      </c>
      <c r="C334" s="38" t="s">
        <v>60</v>
      </c>
      <c r="D334" s="47">
        <v>456</v>
      </c>
      <c r="E334" s="47">
        <v>433</v>
      </c>
      <c r="F334" s="72">
        <f>IFERROR(((Table2[[#This Row],[Calls Off]]-D327)/D327),0)</f>
        <v>8.5714285714285715E-2</v>
      </c>
      <c r="G334" s="72">
        <f>IFERROR(((Table2[[#This Row],[Calls Ans]]-E327)/E327),0)</f>
        <v>7.1782178217821777E-2</v>
      </c>
      <c r="H334" s="1">
        <f>H332+Table2[[#This Row],[Calls Off]]</f>
        <v>8481</v>
      </c>
      <c r="I334" s="1">
        <f>I332+Table2[[#This Row],[Calls Ans]]</f>
        <v>8142</v>
      </c>
      <c r="J334" s="1">
        <f>J332+Table2[[#This Row],[Calls Off]]</f>
        <v>136072</v>
      </c>
      <c r="K334" s="1">
        <f>K332+Table2[[#This Row],[Calls Ans]]</f>
        <v>126522</v>
      </c>
      <c r="L334" s="18">
        <v>0.87</v>
      </c>
      <c r="M334" s="105">
        <v>0.05</v>
      </c>
      <c r="N334" s="105">
        <v>0.95</v>
      </c>
      <c r="O334" s="105">
        <v>0.51</v>
      </c>
      <c r="P334" s="105">
        <v>1</v>
      </c>
      <c r="Q334" s="261">
        <v>2.1412037037037033E-3</v>
      </c>
      <c r="R334" s="1">
        <v>5</v>
      </c>
    </row>
    <row r="335" spans="1:18" x14ac:dyDescent="0.35">
      <c r="A335" s="254">
        <v>44985</v>
      </c>
      <c r="B335" s="38" t="s">
        <v>50</v>
      </c>
      <c r="C335" s="38" t="s">
        <v>60</v>
      </c>
      <c r="D335" s="47">
        <v>464</v>
      </c>
      <c r="E335" s="47">
        <v>433</v>
      </c>
      <c r="F335" s="72">
        <f>IFERROR(((Table2[[#This Row],[Calls Off]]-D328)/D328),0)</f>
        <v>0.33717579250720459</v>
      </c>
      <c r="G335" s="72">
        <f>IFERROR(((Table2[[#This Row],[Calls Ans]]-E328)/E328),0)</f>
        <v>0.26979472140762462</v>
      </c>
      <c r="H335" s="1">
        <f>H334+Table2[[#This Row],[Calls Off]]</f>
        <v>8945</v>
      </c>
      <c r="I335" s="1">
        <f>I334+Table2[[#This Row],[Calls Ans]]</f>
        <v>8575</v>
      </c>
      <c r="J335" s="1">
        <f>J334+Table2[[#This Row],[Calls Off]]</f>
        <v>136536</v>
      </c>
      <c r="K335" s="1">
        <f>K334+Table2[[#This Row],[Calls Ans]]</f>
        <v>126955</v>
      </c>
      <c r="L335" s="18">
        <v>0.85</v>
      </c>
      <c r="M335" s="105">
        <v>7.0000000000000007E-2</v>
      </c>
      <c r="N335" s="105">
        <v>0.93</v>
      </c>
      <c r="O335" s="105">
        <v>0.65</v>
      </c>
      <c r="P335" s="105">
        <v>1</v>
      </c>
      <c r="Q335" s="261">
        <v>2.2916666666666662E-3</v>
      </c>
      <c r="R335" s="1">
        <v>5</v>
      </c>
    </row>
    <row r="336" spans="1:18" x14ac:dyDescent="0.35">
      <c r="A336" s="254">
        <v>44986</v>
      </c>
      <c r="B336" s="39" t="s">
        <v>51</v>
      </c>
      <c r="C336" s="38" t="s">
        <v>60</v>
      </c>
      <c r="D336" s="34">
        <v>448</v>
      </c>
      <c r="E336" s="34">
        <v>436</v>
      </c>
      <c r="F336" s="72">
        <f>IFERROR(((Table2[[#This Row],[Calls Off]]-D329)/D329),0)</f>
        <v>0.13705583756345177</v>
      </c>
      <c r="G336" s="72">
        <f>IFERROR(((Table2[[#This Row],[Calls Ans]]-E329)/E329),0)</f>
        <v>0.14136125654450263</v>
      </c>
      <c r="H336" s="1">
        <f>Table2[[#This Row],[Calls Off]]</f>
        <v>448</v>
      </c>
      <c r="I336" s="1">
        <f>Table2[[#This Row],[Calls Ans]]</f>
        <v>436</v>
      </c>
      <c r="J336" s="1">
        <f>J335+Table2[[#This Row],[Calls Off]]</f>
        <v>136984</v>
      </c>
      <c r="K336" s="1">
        <f>K335+Table2[[#This Row],[Calls Ans]]</f>
        <v>127391</v>
      </c>
      <c r="L336" s="40">
        <v>0.94</v>
      </c>
      <c r="M336" s="40">
        <v>0.03</v>
      </c>
      <c r="N336" s="40">
        <v>0.97</v>
      </c>
      <c r="O336" s="40">
        <v>0.49</v>
      </c>
      <c r="P336" s="40">
        <v>1</v>
      </c>
      <c r="Q336" s="261">
        <v>1.9328703703703702E-3</v>
      </c>
      <c r="R336" s="1">
        <v>5</v>
      </c>
    </row>
    <row r="337" spans="1:18" x14ac:dyDescent="0.35">
      <c r="A337" s="254">
        <v>44987</v>
      </c>
      <c r="B337" s="38" t="s">
        <v>52</v>
      </c>
      <c r="C337" s="38" t="s">
        <v>60</v>
      </c>
      <c r="D337" s="47">
        <v>428</v>
      </c>
      <c r="E337" s="47">
        <v>407</v>
      </c>
      <c r="F337" s="72">
        <f>IFERROR(((Table2[[#This Row],[Calls Off]]-D330)/D330),0)</f>
        <v>-1.6091954022988506E-2</v>
      </c>
      <c r="G337" s="72">
        <f>IFERROR(((Table2[[#This Row],[Calls Ans]]-E330)/E330),0)</f>
        <v>-2.3980815347721823E-2</v>
      </c>
      <c r="H337" s="1">
        <f>H336+Table2[[#This Row],[Calls Off]]</f>
        <v>876</v>
      </c>
      <c r="I337" s="1">
        <f>I336+Table2[[#This Row],[Calls Ans]]</f>
        <v>843</v>
      </c>
      <c r="J337" s="1">
        <f>J336+Table2[[#This Row],[Calls Off]]</f>
        <v>137412</v>
      </c>
      <c r="K337" s="1">
        <f>K336+Table2[[#This Row],[Calls Ans]]</f>
        <v>127798</v>
      </c>
      <c r="L337" s="18">
        <v>0.92</v>
      </c>
      <c r="M337" s="105">
        <v>0.05</v>
      </c>
      <c r="N337" s="105">
        <v>0.95</v>
      </c>
      <c r="O337" s="105">
        <v>0.56000000000000005</v>
      </c>
      <c r="P337" s="105">
        <v>1</v>
      </c>
      <c r="Q337" s="261">
        <v>2.0949074074074073E-3</v>
      </c>
      <c r="R337" s="1">
        <v>5</v>
      </c>
    </row>
    <row r="338" spans="1:18" x14ac:dyDescent="0.35">
      <c r="A338" s="254">
        <v>44988</v>
      </c>
      <c r="B338" s="36" t="s">
        <v>53</v>
      </c>
      <c r="C338" s="38" t="s">
        <v>60</v>
      </c>
      <c r="D338" s="47">
        <v>510</v>
      </c>
      <c r="E338" s="47">
        <v>486</v>
      </c>
      <c r="F338" s="72">
        <f>IFERROR(((Table2[[#This Row],[Calls Off]]-D331)/D331),0)</f>
        <v>0.31782945736434109</v>
      </c>
      <c r="G338" s="72">
        <f>IFERROR(((Table2[[#This Row],[Calls Ans]]-E331)/E331),0)</f>
        <v>0.32065217391304346</v>
      </c>
      <c r="H338" s="1">
        <f>H337+Table2[[#This Row],[Calls Off]]</f>
        <v>1386</v>
      </c>
      <c r="I338" s="1">
        <f>I337+Table2[[#This Row],[Calls Ans]]</f>
        <v>1329</v>
      </c>
      <c r="J338" s="1">
        <f>J337+Table2[[#This Row],[Calls Off]]</f>
        <v>137922</v>
      </c>
      <c r="K338" s="1">
        <f>K337+Table2[[#This Row],[Calls Ans]]</f>
        <v>128284</v>
      </c>
      <c r="L338" s="18">
        <v>0.88</v>
      </c>
      <c r="M338" s="105">
        <v>0.05</v>
      </c>
      <c r="N338" s="105">
        <v>0.95</v>
      </c>
      <c r="O338" s="105">
        <v>0.56999999999999995</v>
      </c>
      <c r="P338" s="105">
        <v>1</v>
      </c>
      <c r="Q338" s="261">
        <v>2.0370370370370373E-3</v>
      </c>
      <c r="R338" s="1">
        <v>5</v>
      </c>
    </row>
    <row r="339" spans="1:18" x14ac:dyDescent="0.35">
      <c r="A339" s="254">
        <v>44989</v>
      </c>
      <c r="B339" s="38" t="s">
        <v>54</v>
      </c>
      <c r="C339" s="38" t="s">
        <v>60</v>
      </c>
      <c r="D339" s="47">
        <v>183</v>
      </c>
      <c r="E339" s="47">
        <v>173</v>
      </c>
      <c r="F339" s="72">
        <f>IFERROR(((Table2[[#This Row],[Calls Off]]-D332)/D332),0)</f>
        <v>0.28873239436619719</v>
      </c>
      <c r="G339" s="72">
        <f>IFERROR(((Table2[[#This Row],[Calls Ans]]-E332)/E332),0)</f>
        <v>0.23571428571428571</v>
      </c>
      <c r="H339" s="1">
        <f>H338+Table2[[#This Row],[Calls Off]]</f>
        <v>1569</v>
      </c>
      <c r="I339" s="1">
        <f>I338+Table2[[#This Row],[Calls Ans]]</f>
        <v>1502</v>
      </c>
      <c r="J339" s="1">
        <f>J338+Table2[[#This Row],[Calls Off]]</f>
        <v>138105</v>
      </c>
      <c r="K339" s="1">
        <f>K338+Table2[[#This Row],[Calls Ans]]</f>
        <v>128457</v>
      </c>
      <c r="L339" s="18">
        <v>0.9</v>
      </c>
      <c r="M339" s="105">
        <v>0.05</v>
      </c>
      <c r="N339" s="105">
        <v>0.95</v>
      </c>
      <c r="O339" s="105">
        <v>0.54</v>
      </c>
      <c r="P339" s="105">
        <v>1</v>
      </c>
      <c r="Q339" s="261">
        <v>1.9675925925925928E-3</v>
      </c>
      <c r="R339" s="1">
        <v>3</v>
      </c>
    </row>
    <row r="340" spans="1:18" x14ac:dyDescent="0.35">
      <c r="A340" s="254">
        <v>44990</v>
      </c>
      <c r="B340" s="36" t="s">
        <v>48</v>
      </c>
      <c r="C340" s="38" t="s">
        <v>60</v>
      </c>
      <c r="D340" s="47">
        <v>0</v>
      </c>
      <c r="E340" s="47">
        <v>0</v>
      </c>
      <c r="F340" s="72">
        <v>0</v>
      </c>
      <c r="G340" s="72">
        <v>0</v>
      </c>
      <c r="H340" s="1">
        <v>0</v>
      </c>
      <c r="I340" s="1">
        <v>0</v>
      </c>
      <c r="J340" s="1">
        <v>0</v>
      </c>
      <c r="K340" s="1">
        <v>0</v>
      </c>
      <c r="L340" s="18">
        <v>0</v>
      </c>
      <c r="M340" s="105">
        <v>0</v>
      </c>
      <c r="N340" s="105">
        <v>0</v>
      </c>
      <c r="O340" s="105">
        <v>0</v>
      </c>
      <c r="P340" s="105">
        <v>0</v>
      </c>
      <c r="Q340" s="261">
        <v>0</v>
      </c>
      <c r="R340" s="1">
        <v>0</v>
      </c>
    </row>
    <row r="341" spans="1:18" x14ac:dyDescent="0.35">
      <c r="A341" s="254">
        <v>44991</v>
      </c>
      <c r="B341" s="38" t="s">
        <v>49</v>
      </c>
      <c r="C341" s="38" t="s">
        <v>60</v>
      </c>
      <c r="D341" s="47">
        <v>508</v>
      </c>
      <c r="E341" s="47">
        <v>484</v>
      </c>
      <c r="F341" s="72">
        <f>IFERROR(((Table2[[#This Row],[Calls Off]]-D334)/D334),0)</f>
        <v>0.11403508771929824</v>
      </c>
      <c r="G341" s="72">
        <f>IFERROR(((Table2[[#This Row],[Calls Ans]]-E334)/E334),0)</f>
        <v>0.11778290993071594</v>
      </c>
      <c r="H341" s="1">
        <f>H339+Table2[[#This Row],[Calls Off]]</f>
        <v>2077</v>
      </c>
      <c r="I341" s="1">
        <f>I339+Table2[[#This Row],[Calls Ans]]</f>
        <v>1986</v>
      </c>
      <c r="J341" s="1">
        <f>J339+Table2[[#This Row],[Calls Off]]</f>
        <v>138613</v>
      </c>
      <c r="K341" s="1">
        <f>K339+Table2[[#This Row],[Calls Ans]]</f>
        <v>128941</v>
      </c>
      <c r="L341" s="18">
        <v>0.87</v>
      </c>
      <c r="M341" s="105">
        <v>0.05</v>
      </c>
      <c r="N341" s="105">
        <v>0.95</v>
      </c>
      <c r="O341" s="105">
        <v>0.67</v>
      </c>
      <c r="P341" s="105">
        <v>1</v>
      </c>
      <c r="Q341" s="261">
        <v>2.1064814814814813E-3</v>
      </c>
      <c r="R341" s="1">
        <v>5</v>
      </c>
    </row>
    <row r="342" spans="1:18" x14ac:dyDescent="0.35">
      <c r="A342" s="254">
        <v>44992</v>
      </c>
      <c r="B342" s="39" t="s">
        <v>50</v>
      </c>
      <c r="C342" s="38" t="s">
        <v>60</v>
      </c>
      <c r="D342" s="34">
        <v>462</v>
      </c>
      <c r="E342" s="34">
        <v>439</v>
      </c>
      <c r="F342" s="72">
        <f>IFERROR(((Table2[[#This Row],[Calls Off]]-D335)/D335),0)</f>
        <v>-4.3103448275862068E-3</v>
      </c>
      <c r="G342" s="72">
        <f>IFERROR(((Table2[[#This Row],[Calls Ans]]-E335)/E335),0)</f>
        <v>1.3856812933025405E-2</v>
      </c>
      <c r="H342" s="1">
        <f>H341+Table2[[#This Row],[Calls Off]]</f>
        <v>2539</v>
      </c>
      <c r="I342" s="1">
        <f>I341+Table2[[#This Row],[Calls Ans]]</f>
        <v>2425</v>
      </c>
      <c r="J342" s="1">
        <f>J341+Table2[[#This Row],[Calls Off]]</f>
        <v>139075</v>
      </c>
      <c r="K342" s="1">
        <f>K341+Table2[[#This Row],[Calls Ans]]</f>
        <v>129380</v>
      </c>
      <c r="L342" s="40">
        <v>0.89</v>
      </c>
      <c r="M342" s="40">
        <v>0.05</v>
      </c>
      <c r="N342" s="40">
        <v>0.95</v>
      </c>
      <c r="O342" s="40">
        <v>0.61</v>
      </c>
      <c r="P342" s="40">
        <v>1</v>
      </c>
      <c r="Q342" s="261">
        <v>2.1064814814814813E-3</v>
      </c>
      <c r="R342" s="1">
        <v>5</v>
      </c>
    </row>
    <row r="343" spans="1:18" x14ac:dyDescent="0.35">
      <c r="A343" s="254">
        <v>44993</v>
      </c>
      <c r="B343" s="38" t="s">
        <v>51</v>
      </c>
      <c r="C343" s="38" t="s">
        <v>60</v>
      </c>
      <c r="D343" s="47">
        <v>445</v>
      </c>
      <c r="E343" s="47">
        <v>434</v>
      </c>
      <c r="F343" s="72">
        <f>IFERROR(((Table2[[#This Row],[Calls Off]]-D336)/D336),0)</f>
        <v>-6.6964285714285711E-3</v>
      </c>
      <c r="G343" s="72">
        <f>IFERROR(((Table2[[#This Row],[Calls Ans]]-E336)/E336),0)</f>
        <v>-4.5871559633027525E-3</v>
      </c>
      <c r="H343" s="1">
        <f>Table2[[#This Row],[Calls Off]]+H342</f>
        <v>2984</v>
      </c>
      <c r="I343" s="1">
        <f>Table2[[#This Row],[Calls Ans]]+I342</f>
        <v>2859</v>
      </c>
      <c r="J343" s="1">
        <f>J342+Table2[[#This Row],[Calls Off]]</f>
        <v>139520</v>
      </c>
      <c r="K343" s="1">
        <f>K342+Table2[[#This Row],[Calls Ans]]</f>
        <v>129814</v>
      </c>
      <c r="L343" s="18">
        <v>0.94</v>
      </c>
      <c r="M343" s="105">
        <v>0.02</v>
      </c>
      <c r="N343" s="105">
        <v>0.98</v>
      </c>
      <c r="O343" s="105">
        <v>0.49</v>
      </c>
      <c r="P343" s="105">
        <v>1</v>
      </c>
      <c r="Q343" s="261">
        <v>1.9328703703703702E-3</v>
      </c>
      <c r="R343" s="1">
        <v>5</v>
      </c>
    </row>
    <row r="344" spans="1:18" x14ac:dyDescent="0.35">
      <c r="A344" s="254">
        <v>44994</v>
      </c>
      <c r="B344" s="36" t="s">
        <v>52</v>
      </c>
      <c r="C344" s="38" t="s">
        <v>60</v>
      </c>
      <c r="D344" s="47">
        <v>375</v>
      </c>
      <c r="E344" s="47">
        <v>362</v>
      </c>
      <c r="F344" s="72">
        <f>IFERROR(((Table2[[#This Row],[Calls Off]]-D337)/D337),0)</f>
        <v>-0.12383177570093458</v>
      </c>
      <c r="G344" s="72">
        <f>IFERROR(((Table2[[#This Row],[Calls Ans]]-E337)/E337),0)</f>
        <v>-0.11056511056511056</v>
      </c>
      <c r="H344" s="1">
        <f>H343+Table2[[#This Row],[Calls Off]]</f>
        <v>3359</v>
      </c>
      <c r="I344" s="1">
        <f>Table2[[#This Row],[Calls Ans]]+I343</f>
        <v>3221</v>
      </c>
      <c r="J344" s="1">
        <f>J343+Table2[[#This Row],[Calls Off]]</f>
        <v>139895</v>
      </c>
      <c r="K344" s="1">
        <f>K343+Table2[[#This Row],[Calls Ans]]</f>
        <v>130176</v>
      </c>
      <c r="L344" s="18">
        <v>0.89</v>
      </c>
      <c r="M344" s="105">
        <v>0.03</v>
      </c>
      <c r="N344" s="105">
        <v>0.97</v>
      </c>
      <c r="O344" s="105">
        <v>0.64</v>
      </c>
      <c r="P344" s="105">
        <v>1</v>
      </c>
      <c r="Q344" s="261">
        <v>2.1759259259259262E-3</v>
      </c>
      <c r="R344" s="1">
        <v>5</v>
      </c>
    </row>
    <row r="345" spans="1:18" x14ac:dyDescent="0.35">
      <c r="A345" s="254">
        <v>44995</v>
      </c>
      <c r="B345" s="38" t="s">
        <v>53</v>
      </c>
      <c r="C345" s="38" t="s">
        <v>60</v>
      </c>
      <c r="D345" s="47">
        <v>414</v>
      </c>
      <c r="E345" s="47">
        <v>389</v>
      </c>
      <c r="F345" s="72">
        <f>IFERROR(((Table2[[#This Row],[Calls Off]]-D338)/D338),0)</f>
        <v>-0.18823529411764706</v>
      </c>
      <c r="G345" s="72">
        <f>IFERROR(((Table2[[#This Row],[Calls Ans]]-E338)/E338),0)</f>
        <v>-0.19958847736625515</v>
      </c>
      <c r="H345" s="1">
        <f>H344+Table2[[#This Row],[Calls Off]]</f>
        <v>3773</v>
      </c>
      <c r="I345" s="1">
        <f>Table2[[#This Row],[Calls Ans]]+I344</f>
        <v>3610</v>
      </c>
      <c r="J345" s="1">
        <f>J344+Table2[[#This Row],[Calls Off]]</f>
        <v>140309</v>
      </c>
      <c r="K345" s="1">
        <f>K344+Table2[[#This Row],[Calls Ans]]</f>
        <v>130565</v>
      </c>
      <c r="L345" s="18">
        <v>0.87</v>
      </c>
      <c r="M345" s="105">
        <v>0.04</v>
      </c>
      <c r="N345" s="105">
        <v>0.96</v>
      </c>
      <c r="O345" s="105">
        <v>0.57999999999999996</v>
      </c>
      <c r="P345" s="105">
        <v>1</v>
      </c>
      <c r="Q345" s="261">
        <v>2.0138888888888888E-3</v>
      </c>
      <c r="R345" s="1">
        <v>4</v>
      </c>
    </row>
    <row r="346" spans="1:18" x14ac:dyDescent="0.35">
      <c r="A346" s="254">
        <v>44996</v>
      </c>
      <c r="B346" s="36" t="s">
        <v>54</v>
      </c>
      <c r="C346" s="38" t="s">
        <v>60</v>
      </c>
      <c r="D346" s="47">
        <v>136</v>
      </c>
      <c r="E346" s="47">
        <v>132</v>
      </c>
      <c r="F346" s="72">
        <f>IFERROR(((Table2[[#This Row],[Calls Off]]-D339)/D339),0)</f>
        <v>-0.25683060109289618</v>
      </c>
      <c r="G346" s="72">
        <f>IFERROR(((Table2[[#This Row],[Calls Ans]]-E339)/E339),0)</f>
        <v>-0.23699421965317918</v>
      </c>
      <c r="H346" s="1">
        <f>H345+Table2[[#This Row],[Calls Off]]</f>
        <v>3909</v>
      </c>
      <c r="I346" s="1">
        <f>Table2[[#This Row],[Calls Ans]]+I345</f>
        <v>3742</v>
      </c>
      <c r="J346" s="1">
        <f>J345+Table2[[#This Row],[Calls Off]]</f>
        <v>140445</v>
      </c>
      <c r="K346" s="1">
        <f>K345+Table2[[#This Row],[Calls Ans]]</f>
        <v>130697</v>
      </c>
      <c r="L346" s="18">
        <v>0.92</v>
      </c>
      <c r="M346" s="105">
        <v>0.03</v>
      </c>
      <c r="N346" s="105">
        <v>0.97</v>
      </c>
      <c r="O346" s="105">
        <v>0.39</v>
      </c>
      <c r="P346" s="105">
        <v>1</v>
      </c>
      <c r="Q346" s="261">
        <v>1.9675925925925928E-3</v>
      </c>
      <c r="R346" s="1">
        <v>3</v>
      </c>
    </row>
    <row r="347" spans="1:18" x14ac:dyDescent="0.35">
      <c r="A347" s="254">
        <v>44997</v>
      </c>
      <c r="B347" s="38" t="s">
        <v>48</v>
      </c>
      <c r="C347" s="38" t="s">
        <v>60</v>
      </c>
      <c r="D347" s="47">
        <v>0</v>
      </c>
      <c r="E347" s="47">
        <v>0</v>
      </c>
      <c r="F347" s="72">
        <v>0</v>
      </c>
      <c r="G347" s="72">
        <v>0</v>
      </c>
      <c r="H347" s="1">
        <v>0</v>
      </c>
      <c r="I347" s="1">
        <v>0</v>
      </c>
      <c r="J347" s="1">
        <v>0</v>
      </c>
      <c r="K347" s="1">
        <v>0</v>
      </c>
      <c r="L347" s="18">
        <v>0</v>
      </c>
      <c r="M347" s="105">
        <v>0</v>
      </c>
      <c r="N347" s="105">
        <v>0</v>
      </c>
      <c r="O347" s="105">
        <v>0</v>
      </c>
      <c r="P347" s="105">
        <v>0</v>
      </c>
      <c r="Q347" s="261">
        <v>0</v>
      </c>
      <c r="R347" s="1">
        <v>0</v>
      </c>
    </row>
    <row r="348" spans="1:18" x14ac:dyDescent="0.35">
      <c r="A348" s="254">
        <v>44998</v>
      </c>
      <c r="B348" s="36" t="s">
        <v>49</v>
      </c>
      <c r="C348" s="38" t="s">
        <v>60</v>
      </c>
      <c r="D348" s="47">
        <v>426</v>
      </c>
      <c r="E348" s="47">
        <v>403</v>
      </c>
      <c r="F348" s="72">
        <f>IFERROR(((Table2[[#This Row],[Calls Off]]-D341)/D341),0)</f>
        <v>-0.16141732283464566</v>
      </c>
      <c r="G348" s="72">
        <f>IFERROR(((Table2[[#This Row],[Calls Ans]]-E341)/E341),0)</f>
        <v>-0.16735537190082644</v>
      </c>
      <c r="H348" s="1">
        <f>H346+Table2[[#This Row],[Calls Off]]</f>
        <v>4335</v>
      </c>
      <c r="I348" s="1">
        <f>I346+Table2[[#This Row],[Calls Ans]]</f>
        <v>4145</v>
      </c>
      <c r="J348" s="1">
        <f>J346+Table2[[#This Row],[Calls Off]]</f>
        <v>140871</v>
      </c>
      <c r="K348" s="1">
        <f>K346+Table2[[#This Row],[Calls Ans]]</f>
        <v>131100</v>
      </c>
      <c r="L348" s="18">
        <v>0.89</v>
      </c>
      <c r="M348" s="105">
        <v>0.05</v>
      </c>
      <c r="N348" s="105">
        <v>0.95</v>
      </c>
      <c r="O348" s="105">
        <v>0.59</v>
      </c>
      <c r="P348" s="105">
        <v>1</v>
      </c>
      <c r="Q348" s="261">
        <v>1.9907407407407408E-3</v>
      </c>
      <c r="R348" s="1">
        <v>4</v>
      </c>
    </row>
    <row r="349" spans="1:18" x14ac:dyDescent="0.35">
      <c r="A349" s="254">
        <v>44999</v>
      </c>
      <c r="B349" s="38" t="s">
        <v>50</v>
      </c>
      <c r="C349" s="38" t="s">
        <v>60</v>
      </c>
      <c r="D349" s="47">
        <v>320</v>
      </c>
      <c r="E349" s="47">
        <v>307</v>
      </c>
      <c r="F349" s="72">
        <f>IFERROR(((Table2[[#This Row],[Calls Off]]-D342)/D342),0)</f>
        <v>-0.30735930735930733</v>
      </c>
      <c r="G349" s="72">
        <f>IFERROR(((Table2[[#This Row],[Calls Ans]]-E342)/E342),0)</f>
        <v>-0.30068337129840544</v>
      </c>
      <c r="H349" s="1">
        <f>H348+Table2[[#This Row],[Calls Off]]</f>
        <v>4655</v>
      </c>
      <c r="I349" s="1">
        <f>I348+Table2[[#This Row],[Calls Ans]]</f>
        <v>4452</v>
      </c>
      <c r="J349" s="1">
        <f>J348+Table2[[#This Row],[Calls Off]]</f>
        <v>141191</v>
      </c>
      <c r="K349" s="1">
        <f>K348+Table2[[#This Row],[Calls Ans]]</f>
        <v>131407</v>
      </c>
      <c r="L349" s="18">
        <v>0.88</v>
      </c>
      <c r="M349" s="105">
        <v>0.04</v>
      </c>
      <c r="N349" s="105">
        <v>0.96</v>
      </c>
      <c r="O349" s="105">
        <v>0.56999999999999995</v>
      </c>
      <c r="P349" s="105">
        <v>1</v>
      </c>
      <c r="Q349" s="261">
        <v>2.2106481481481482E-3</v>
      </c>
      <c r="R349" s="1">
        <v>4</v>
      </c>
    </row>
    <row r="350" spans="1:18" x14ac:dyDescent="0.35">
      <c r="A350" s="254">
        <v>45000</v>
      </c>
      <c r="B350" s="39" t="s">
        <v>51</v>
      </c>
      <c r="C350" s="38" t="s">
        <v>60</v>
      </c>
      <c r="D350" s="34">
        <v>436</v>
      </c>
      <c r="E350" s="34">
        <v>404</v>
      </c>
      <c r="F350" s="72">
        <f>IFERROR(((Table2[[#This Row],[Calls Off]]-D343)/D343),0)</f>
        <v>-2.0224719101123594E-2</v>
      </c>
      <c r="G350" s="72">
        <f>IFERROR(((Table2[[#This Row],[Calls Ans]]-E343)/E343),0)</f>
        <v>-6.9124423963133647E-2</v>
      </c>
      <c r="H350" s="1">
        <f>Table2[[#This Row],[Calls Off]]+H349</f>
        <v>5091</v>
      </c>
      <c r="I350" s="1">
        <f>Table2[[#This Row],[Calls Ans]]+I349</f>
        <v>4856</v>
      </c>
      <c r="J350" s="1">
        <f>J349+Table2[[#This Row],[Calls Off]]</f>
        <v>141627</v>
      </c>
      <c r="K350" s="1">
        <f>K349+Table2[[#This Row],[Calls Ans]]</f>
        <v>131811</v>
      </c>
      <c r="L350" s="40">
        <v>0.82</v>
      </c>
      <c r="M350" s="40">
        <v>7.0000000000000007E-2</v>
      </c>
      <c r="N350" s="40">
        <v>0.93</v>
      </c>
      <c r="O350" s="40">
        <v>0.71</v>
      </c>
      <c r="P350" s="40">
        <v>1</v>
      </c>
      <c r="Q350" s="261">
        <v>2.1527777777777782E-3</v>
      </c>
      <c r="R350" s="1">
        <v>4</v>
      </c>
    </row>
    <row r="351" spans="1:18" x14ac:dyDescent="0.35">
      <c r="A351" s="254">
        <v>45001</v>
      </c>
      <c r="B351" s="38" t="s">
        <v>52</v>
      </c>
      <c r="C351" s="38" t="s">
        <v>60</v>
      </c>
      <c r="D351" s="47">
        <v>380</v>
      </c>
      <c r="E351" s="47">
        <v>366</v>
      </c>
      <c r="F351" s="72">
        <f>IFERROR(((Table2[[#This Row],[Calls Off]]-D344)/D344),0)</f>
        <v>1.3333333333333334E-2</v>
      </c>
      <c r="G351" s="72">
        <f>IFERROR(((Table2[[#This Row],[Calls Ans]]-E344)/E344),0)</f>
        <v>1.1049723756906077E-2</v>
      </c>
      <c r="H351" s="1">
        <f>H350+Table2[[#This Row],[Calls Off]]</f>
        <v>5471</v>
      </c>
      <c r="I351" s="1">
        <f>I350+Table2[[#This Row],[Calls Ans]]</f>
        <v>5222</v>
      </c>
      <c r="J351" s="1">
        <f>J350+Table2[[#This Row],[Calls Off]]</f>
        <v>142007</v>
      </c>
      <c r="K351" s="1">
        <f>K350+Table2[[#This Row],[Calls Ans]]</f>
        <v>132177</v>
      </c>
      <c r="L351" s="18">
        <v>0.88</v>
      </c>
      <c r="M351" s="105">
        <v>0.04</v>
      </c>
      <c r="N351" s="105">
        <v>0.96</v>
      </c>
      <c r="O351" s="105">
        <v>0.66</v>
      </c>
      <c r="P351" s="105">
        <v>1</v>
      </c>
      <c r="Q351" s="261">
        <v>2.2106481481481482E-3</v>
      </c>
      <c r="R351" s="1">
        <v>4</v>
      </c>
    </row>
    <row r="352" spans="1:18" x14ac:dyDescent="0.35">
      <c r="A352" s="254">
        <v>45002</v>
      </c>
      <c r="B352" s="39" t="s">
        <v>53</v>
      </c>
      <c r="C352" s="38" t="s">
        <v>60</v>
      </c>
      <c r="D352" s="47">
        <v>281</v>
      </c>
      <c r="E352" s="47">
        <v>276</v>
      </c>
      <c r="F352" s="72">
        <f>IFERROR(((Table2[[#This Row],[Calls Off]]-D345)/D345),0)</f>
        <v>-0.32125603864734298</v>
      </c>
      <c r="G352" s="72">
        <f>IFERROR(((Table2[[#This Row],[Calls Ans]]-E345)/E345),0)</f>
        <v>-0.29048843187660667</v>
      </c>
      <c r="H352" s="1">
        <f>H351+Table2[[#This Row],[Calls Off]]</f>
        <v>5752</v>
      </c>
      <c r="I352" s="1">
        <f>I351+Table2[[#This Row],[Calls Ans]]</f>
        <v>5498</v>
      </c>
      <c r="J352" s="1">
        <f>J351+Table2[[#This Row],[Calls Off]]</f>
        <v>142288</v>
      </c>
      <c r="K352" s="1">
        <f>K351+Table2[[#This Row],[Calls Ans]]</f>
        <v>132453</v>
      </c>
      <c r="L352" s="18">
        <v>0.38</v>
      </c>
      <c r="M352" s="105">
        <v>0.02</v>
      </c>
      <c r="N352" s="105">
        <v>0.98</v>
      </c>
      <c r="O352" s="105">
        <v>0.94</v>
      </c>
      <c r="P352" s="105">
        <v>1</v>
      </c>
      <c r="Q352" s="261">
        <v>1.8402777777777777E-3</v>
      </c>
      <c r="R352" s="1">
        <v>3</v>
      </c>
    </row>
    <row r="353" spans="1:18" x14ac:dyDescent="0.35">
      <c r="A353" s="254">
        <v>45003</v>
      </c>
      <c r="B353" s="38" t="s">
        <v>54</v>
      </c>
      <c r="C353" s="38" t="s">
        <v>60</v>
      </c>
      <c r="D353" s="47">
        <v>72</v>
      </c>
      <c r="E353" s="47">
        <v>70</v>
      </c>
      <c r="F353" s="72">
        <f>IFERROR(((Table2[[#This Row],[Calls Off]]-D346)/D346),0)</f>
        <v>-0.47058823529411764</v>
      </c>
      <c r="G353" s="72">
        <f>IFERROR(((Table2[[#This Row],[Calls Ans]]-E346)/E346),0)</f>
        <v>-0.46969696969696972</v>
      </c>
      <c r="H353" s="1">
        <f>H352+Table2[[#This Row],[Calls Off]]</f>
        <v>5824</v>
      </c>
      <c r="I353" s="1">
        <f>I352+Table2[[#This Row],[Calls Ans]]</f>
        <v>5568</v>
      </c>
      <c r="J353" s="1">
        <f>J352+Table2[[#This Row],[Calls Off]]</f>
        <v>142360</v>
      </c>
      <c r="K353" s="1">
        <f>K352+Table2[[#This Row],[Calls Ans]]</f>
        <v>132523</v>
      </c>
      <c r="L353" s="18">
        <v>0.33</v>
      </c>
      <c r="M353" s="105">
        <v>0.03</v>
      </c>
      <c r="N353" s="105">
        <v>0.97</v>
      </c>
      <c r="O353" s="105">
        <v>0.97</v>
      </c>
      <c r="P353" s="105">
        <v>1</v>
      </c>
      <c r="Q353" s="261">
        <v>1.8518518518518517E-3</v>
      </c>
      <c r="R353" s="1">
        <v>2</v>
      </c>
    </row>
    <row r="354" spans="1:18" x14ac:dyDescent="0.35">
      <c r="A354" s="254">
        <v>45004</v>
      </c>
      <c r="B354" s="39" t="s">
        <v>48</v>
      </c>
      <c r="C354" s="38" t="s">
        <v>60</v>
      </c>
      <c r="D354" s="47">
        <v>0</v>
      </c>
      <c r="E354" s="47">
        <v>0</v>
      </c>
      <c r="F354" s="72">
        <v>0</v>
      </c>
      <c r="G354" s="72">
        <v>0</v>
      </c>
      <c r="H354" s="1">
        <v>0</v>
      </c>
      <c r="I354" s="1">
        <v>0</v>
      </c>
      <c r="J354" s="1">
        <v>0</v>
      </c>
      <c r="K354" s="1">
        <v>0</v>
      </c>
      <c r="L354" s="18">
        <v>0</v>
      </c>
      <c r="M354" s="105">
        <v>0</v>
      </c>
      <c r="N354" s="105">
        <v>0</v>
      </c>
      <c r="O354" s="105">
        <v>0</v>
      </c>
      <c r="P354" s="105">
        <v>0</v>
      </c>
      <c r="Q354" s="261">
        <v>0</v>
      </c>
      <c r="R354" s="1">
        <v>0</v>
      </c>
    </row>
    <row r="355" spans="1:18" x14ac:dyDescent="0.35">
      <c r="A355" s="254">
        <v>45005</v>
      </c>
      <c r="B355" s="38" t="s">
        <v>49</v>
      </c>
      <c r="C355" s="38" t="s">
        <v>60</v>
      </c>
      <c r="D355" s="47">
        <v>506</v>
      </c>
      <c r="E355" s="47">
        <v>483</v>
      </c>
      <c r="F355" s="72">
        <f>IFERROR(((Table2[[#This Row],[Calls Off]]-D348)/D348),0)</f>
        <v>0.18779342723004694</v>
      </c>
      <c r="G355" s="72">
        <f>IFERROR(((Table2[[#This Row],[Calls Ans]]-E348)/E348),0)</f>
        <v>0.19851116625310175</v>
      </c>
      <c r="H355" s="1">
        <f>H353+Table2[[#This Row],[Calls Off]]</f>
        <v>6330</v>
      </c>
      <c r="I355" s="1">
        <f>I353+Table2[[#This Row],[Calls Ans]]</f>
        <v>6051</v>
      </c>
      <c r="J355" s="1">
        <f>J353+Table2[[#This Row],[Calls Off]]</f>
        <v>142866</v>
      </c>
      <c r="K355" s="1">
        <f>K353+Table2[[#This Row],[Calls Ans]]</f>
        <v>133006</v>
      </c>
      <c r="L355" s="18">
        <v>0.56999999999999995</v>
      </c>
      <c r="M355" s="105">
        <v>0.05</v>
      </c>
      <c r="N355" s="105">
        <v>0.95</v>
      </c>
      <c r="O355" s="105">
        <v>0.92</v>
      </c>
      <c r="P355" s="105">
        <v>1</v>
      </c>
      <c r="Q355" s="261">
        <v>2.0370370370370373E-3</v>
      </c>
      <c r="R355" s="1">
        <v>5</v>
      </c>
    </row>
    <row r="356" spans="1:18" x14ac:dyDescent="0.35">
      <c r="A356" s="254">
        <v>45006</v>
      </c>
      <c r="B356" s="38" t="s">
        <v>50</v>
      </c>
      <c r="C356" s="38" t="s">
        <v>60</v>
      </c>
      <c r="D356" s="47">
        <v>422</v>
      </c>
      <c r="E356" s="47">
        <v>398</v>
      </c>
      <c r="F356" s="72">
        <f>IFERROR(((Table2[[#This Row],[Calls Off]]-D349)/D349),0)</f>
        <v>0.31874999999999998</v>
      </c>
      <c r="G356" s="72">
        <f>IFERROR(((Table2[[#This Row],[Calls Ans]]-E349)/E349),0)</f>
        <v>0.29641693811074921</v>
      </c>
      <c r="H356" s="1">
        <f>H355+Table2[[#This Row],[Calls Off]]</f>
        <v>6752</v>
      </c>
      <c r="I356" s="1">
        <f>I355+Table2[[#This Row],[Calls Ans]]</f>
        <v>6449</v>
      </c>
      <c r="J356" s="1">
        <f>J355+Table2[[#This Row],[Calls Off]]</f>
        <v>143288</v>
      </c>
      <c r="K356" s="1">
        <f>K355+Table2[[#This Row],[Calls Ans]]</f>
        <v>133404</v>
      </c>
      <c r="L356" s="18">
        <v>0.55000000000000004</v>
      </c>
      <c r="M356" s="105">
        <v>0.06</v>
      </c>
      <c r="N356" s="105">
        <v>0.94</v>
      </c>
      <c r="O356" s="105">
        <v>0.9</v>
      </c>
      <c r="P356" s="105">
        <v>1</v>
      </c>
      <c r="Q356" s="261">
        <v>2.0833333333333333E-3</v>
      </c>
      <c r="R356" s="1">
        <v>5</v>
      </c>
    </row>
    <row r="357" spans="1:18" x14ac:dyDescent="0.35">
      <c r="A357" s="254">
        <v>45007</v>
      </c>
      <c r="B357" s="38" t="s">
        <v>51</v>
      </c>
      <c r="C357" s="38" t="s">
        <v>60</v>
      </c>
      <c r="D357" s="47">
        <v>521</v>
      </c>
      <c r="E357" s="47">
        <v>487</v>
      </c>
      <c r="F357" s="72">
        <f>IFERROR(((Table2[[#This Row],[Calls Off]]-D350)/D350),0)</f>
        <v>0.19495412844036697</v>
      </c>
      <c r="G357" s="72">
        <f>IFERROR(((Table2[[#This Row],[Calls Ans]]-E350)/E350),0)</f>
        <v>0.20544554455445543</v>
      </c>
      <c r="H357" s="1">
        <f>Table2[[#This Row],[Calls Off]]+H356</f>
        <v>7273</v>
      </c>
      <c r="I357" s="1">
        <f>Table2[[#This Row],[Calls Ans]]+I356</f>
        <v>6936</v>
      </c>
      <c r="J357" s="1">
        <f>J356+Table2[[#This Row],[Calls Off]]</f>
        <v>143809</v>
      </c>
      <c r="K357" s="1">
        <f>K356+Table2[[#This Row],[Calls Ans]]</f>
        <v>133891</v>
      </c>
      <c r="L357" s="18">
        <v>0.89</v>
      </c>
      <c r="M357" s="105">
        <v>7.0000000000000007E-2</v>
      </c>
      <c r="N357" s="105">
        <v>0.93</v>
      </c>
      <c r="O357" s="105">
        <v>0.69</v>
      </c>
      <c r="P357" s="105">
        <v>1</v>
      </c>
      <c r="Q357" s="261">
        <v>2.1875000000000002E-3</v>
      </c>
      <c r="R357" s="1">
        <v>5</v>
      </c>
    </row>
    <row r="358" spans="1:18" x14ac:dyDescent="0.35">
      <c r="A358" s="254">
        <v>45008</v>
      </c>
      <c r="B358" s="39" t="s">
        <v>52</v>
      </c>
      <c r="C358" s="38" t="s">
        <v>60</v>
      </c>
      <c r="D358" s="34">
        <v>390</v>
      </c>
      <c r="E358" s="34">
        <v>375</v>
      </c>
      <c r="F358" s="72">
        <f>IFERROR(((Table2[[#This Row],[Calls Off]]-D351)/D351),0)</f>
        <v>2.6315789473684209E-2</v>
      </c>
      <c r="G358" s="72">
        <f>IFERROR(((Table2[[#This Row],[Calls Ans]]-E351)/E351),0)</f>
        <v>2.4590163934426229E-2</v>
      </c>
      <c r="H358" s="1">
        <f>H357+Table2[[#This Row],[Calls Off]]</f>
        <v>7663</v>
      </c>
      <c r="I358" s="1">
        <f>I357+Table2[[#This Row],[Calls Ans]]</f>
        <v>7311</v>
      </c>
      <c r="J358" s="1">
        <f>J357+Table2[[#This Row],[Calls Off]]</f>
        <v>144199</v>
      </c>
      <c r="K358" s="1">
        <f>K357+Table2[[#This Row],[Calls Ans]]</f>
        <v>134266</v>
      </c>
      <c r="L358" s="40">
        <v>0.94</v>
      </c>
      <c r="M358" s="40">
        <v>0.04</v>
      </c>
      <c r="N358" s="40">
        <v>0.96</v>
      </c>
      <c r="O358" s="40">
        <v>0.66</v>
      </c>
      <c r="P358" s="40">
        <v>1</v>
      </c>
      <c r="Q358" s="261">
        <v>2.1296296296296298E-3</v>
      </c>
      <c r="R358" s="139">
        <v>4</v>
      </c>
    </row>
    <row r="359" spans="1:18" x14ac:dyDescent="0.35">
      <c r="A359" s="254">
        <v>45009</v>
      </c>
      <c r="B359" s="38" t="s">
        <v>53</v>
      </c>
      <c r="C359" s="38" t="s">
        <v>60</v>
      </c>
      <c r="D359" s="47">
        <v>396</v>
      </c>
      <c r="E359" s="47">
        <v>383</v>
      </c>
      <c r="F359" s="72">
        <f>IFERROR(((Table2[[#This Row],[Calls Off]]-D352)/D352),0)</f>
        <v>0.40925266903914592</v>
      </c>
      <c r="G359" s="72">
        <f>IFERROR(((Table2[[#This Row],[Calls Ans]]-E352)/E352),0)</f>
        <v>0.38768115942028986</v>
      </c>
      <c r="H359" s="1">
        <f>H358+Table2[[#This Row],[Calls Off]]</f>
        <v>8059</v>
      </c>
      <c r="I359" s="1">
        <f>I358+Table2[[#This Row],[Calls Ans]]</f>
        <v>7694</v>
      </c>
      <c r="J359" s="1">
        <f>J358+Table2[[#This Row],[Calls Off]]</f>
        <v>144595</v>
      </c>
      <c r="K359" s="1">
        <f>K358+Table2[[#This Row],[Calls Ans]]</f>
        <v>134649</v>
      </c>
      <c r="L359" s="18">
        <v>0.9</v>
      </c>
      <c r="M359" s="105">
        <v>0.03</v>
      </c>
      <c r="N359" s="105">
        <v>0.97</v>
      </c>
      <c r="O359" s="105">
        <v>0.67</v>
      </c>
      <c r="P359" s="105">
        <v>1</v>
      </c>
      <c r="Q359" s="261">
        <v>2.1412037037037038E-3</v>
      </c>
      <c r="R359" s="1">
        <v>4</v>
      </c>
    </row>
    <row r="360" spans="1:18" x14ac:dyDescent="0.35">
      <c r="A360" s="254">
        <v>45010</v>
      </c>
      <c r="B360" s="38" t="s">
        <v>54</v>
      </c>
      <c r="C360" s="38" t="s">
        <v>60</v>
      </c>
      <c r="D360" s="47">
        <v>152</v>
      </c>
      <c r="E360" s="47">
        <v>147</v>
      </c>
      <c r="F360" s="72">
        <f>IFERROR(((Table2[[#This Row],[Calls Off]]-D353)/D353),0)</f>
        <v>1.1111111111111112</v>
      </c>
      <c r="G360" s="72">
        <f>IFERROR(((Table2[[#This Row],[Calls Ans]]-E353)/E353),0)</f>
        <v>1.1000000000000001</v>
      </c>
      <c r="H360" s="1">
        <f>H359+Table2[[#This Row],[Calls Off]]</f>
        <v>8211</v>
      </c>
      <c r="I360" s="1">
        <f>I359+Table2[[#This Row],[Calls Ans]]</f>
        <v>7841</v>
      </c>
      <c r="J360" s="1">
        <f>J359+Table2[[#This Row],[Calls Off]]</f>
        <v>144747</v>
      </c>
      <c r="K360" s="1">
        <f>K359+Table2[[#This Row],[Calls Ans]]</f>
        <v>134796</v>
      </c>
      <c r="L360" s="18">
        <v>0.95</v>
      </c>
      <c r="M360" s="105">
        <v>0.03</v>
      </c>
      <c r="N360" s="105">
        <v>0.97</v>
      </c>
      <c r="O360" s="105">
        <v>0.45</v>
      </c>
      <c r="P360" s="105">
        <v>1</v>
      </c>
      <c r="Q360" s="261">
        <v>2.1990740740740742E-3</v>
      </c>
      <c r="R360" s="1">
        <v>4</v>
      </c>
    </row>
    <row r="361" spans="1:18" x14ac:dyDescent="0.35">
      <c r="A361" s="254">
        <v>45011</v>
      </c>
      <c r="B361" s="38" t="s">
        <v>48</v>
      </c>
      <c r="C361" s="38" t="s">
        <v>60</v>
      </c>
      <c r="D361" s="47">
        <v>0</v>
      </c>
      <c r="E361" s="47">
        <v>0</v>
      </c>
      <c r="F361" s="72">
        <v>0</v>
      </c>
      <c r="G361" s="72">
        <v>0</v>
      </c>
      <c r="H361" s="1">
        <v>0</v>
      </c>
      <c r="I361" s="1">
        <v>0</v>
      </c>
      <c r="J361" s="1">
        <v>0</v>
      </c>
      <c r="K361" s="1">
        <v>0</v>
      </c>
      <c r="L361" s="18">
        <v>0</v>
      </c>
      <c r="M361" s="105">
        <v>0</v>
      </c>
      <c r="N361" s="105">
        <v>0</v>
      </c>
      <c r="O361" s="105">
        <v>0</v>
      </c>
      <c r="P361" s="105">
        <v>0</v>
      </c>
      <c r="Q361" s="261">
        <v>0</v>
      </c>
      <c r="R361" s="1">
        <v>0</v>
      </c>
    </row>
    <row r="362" spans="1:18" x14ac:dyDescent="0.35">
      <c r="A362" s="254">
        <v>45012</v>
      </c>
      <c r="B362" s="38" t="s">
        <v>49</v>
      </c>
      <c r="C362" s="38" t="s">
        <v>60</v>
      </c>
      <c r="D362" s="47">
        <v>520</v>
      </c>
      <c r="E362" s="47">
        <v>487</v>
      </c>
      <c r="F362" s="72">
        <f>IFERROR(((Table2[[#This Row],[Calls Off]]-D355)/D355),0)</f>
        <v>2.766798418972332E-2</v>
      </c>
      <c r="G362" s="72">
        <f>IFERROR(((Table2[[#This Row],[Calls Ans]]-E355)/E355),0)</f>
        <v>8.2815734989648039E-3</v>
      </c>
      <c r="H362" s="1">
        <f>H360+Table2[[#This Row],[Calls Off]]</f>
        <v>8731</v>
      </c>
      <c r="I362" s="1">
        <f>I360+Table2[[#This Row],[Calls Ans]]</f>
        <v>8328</v>
      </c>
      <c r="J362" s="1">
        <f>J360+Table2[[#This Row],[Calls Off]]</f>
        <v>145267</v>
      </c>
      <c r="K362" s="1">
        <f>K360+Table2[[#This Row],[Calls Ans]]</f>
        <v>135283</v>
      </c>
      <c r="L362" s="18">
        <v>0.86</v>
      </c>
      <c r="M362" s="105">
        <v>0.06</v>
      </c>
      <c r="N362" s="105">
        <v>0.94</v>
      </c>
      <c r="O362" s="105">
        <v>0.67</v>
      </c>
      <c r="P362" s="105">
        <v>1</v>
      </c>
      <c r="Q362" s="261">
        <v>2.0833333333333333E-3</v>
      </c>
      <c r="R362" s="1">
        <v>5</v>
      </c>
    </row>
    <row r="363" spans="1:18" x14ac:dyDescent="0.35">
      <c r="A363" s="254">
        <v>45013</v>
      </c>
      <c r="B363" s="38" t="s">
        <v>50</v>
      </c>
      <c r="C363" s="38" t="s">
        <v>60</v>
      </c>
      <c r="D363" s="47">
        <v>447</v>
      </c>
      <c r="E363" s="47">
        <v>420</v>
      </c>
      <c r="F363" s="72">
        <f>IFERROR(((Table2[[#This Row],[Calls Off]]-D356)/D356),0)</f>
        <v>5.9241706161137442E-2</v>
      </c>
      <c r="G363" s="72">
        <f>IFERROR(((Table2[[#This Row],[Calls Ans]]-E356)/E356),0)</f>
        <v>5.5276381909547742E-2</v>
      </c>
      <c r="H363" s="1">
        <f>H362+Table2[[#This Row],[Calls Off]]</f>
        <v>9178</v>
      </c>
      <c r="I363" s="1">
        <f>I362+Table2[[#This Row],[Calls Ans]]</f>
        <v>8748</v>
      </c>
      <c r="J363" s="1">
        <f>J362+Table2[[#This Row],[Calls Off]]</f>
        <v>145714</v>
      </c>
      <c r="K363" s="1">
        <f>K362+Table2[[#This Row],[Calls Ans]]</f>
        <v>135703</v>
      </c>
      <c r="L363" s="18">
        <v>0.88</v>
      </c>
      <c r="M363" s="105">
        <v>0.06</v>
      </c>
      <c r="N363" s="105">
        <v>0.94</v>
      </c>
      <c r="O363" s="105">
        <v>0.61</v>
      </c>
      <c r="P363" s="105">
        <v>1</v>
      </c>
      <c r="Q363" s="261">
        <v>2.1180555555555553E-3</v>
      </c>
      <c r="R363" s="1">
        <v>5</v>
      </c>
    </row>
    <row r="364" spans="1:18" x14ac:dyDescent="0.35">
      <c r="A364" s="254">
        <v>45014</v>
      </c>
      <c r="B364" s="38" t="s">
        <v>51</v>
      </c>
      <c r="C364" s="38" t="s">
        <v>60</v>
      </c>
      <c r="D364" s="47">
        <v>470</v>
      </c>
      <c r="E364" s="47">
        <v>448</v>
      </c>
      <c r="F364" s="72">
        <f>IFERROR(((Table2[[#This Row],[Calls Off]]-D357)/D357),0)</f>
        <v>-9.7888675623800381E-2</v>
      </c>
      <c r="G364" s="72">
        <f>IFERROR(((Table2[[#This Row],[Calls Ans]]-E357)/E357),0)</f>
        <v>-8.0082135523613956E-2</v>
      </c>
      <c r="H364" s="1">
        <f>Table2[[#This Row],[Calls Off]]+H363</f>
        <v>9648</v>
      </c>
      <c r="I364" s="1">
        <f>Table2[[#This Row],[Calls Ans]]+I363</f>
        <v>9196</v>
      </c>
      <c r="J364" s="1">
        <f>J363+Table2[[#This Row],[Calls Off]]</f>
        <v>146184</v>
      </c>
      <c r="K364" s="1">
        <f>K363+Table2[[#This Row],[Calls Ans]]</f>
        <v>136151</v>
      </c>
      <c r="L364" s="18">
        <v>0.9</v>
      </c>
      <c r="M364" s="105">
        <v>0.05</v>
      </c>
      <c r="N364" s="105">
        <v>0.95</v>
      </c>
      <c r="O364" s="105">
        <v>0.53</v>
      </c>
      <c r="P364" s="105">
        <v>1</v>
      </c>
      <c r="Q364" s="261">
        <v>2.0370370370370373E-3</v>
      </c>
      <c r="R364" s="1">
        <v>5</v>
      </c>
    </row>
    <row r="365" spans="1:18" x14ac:dyDescent="0.35">
      <c r="A365" s="254">
        <v>45015</v>
      </c>
      <c r="B365" s="38" t="s">
        <v>52</v>
      </c>
      <c r="C365" s="38" t="s">
        <v>60</v>
      </c>
      <c r="D365" s="47">
        <v>449</v>
      </c>
      <c r="E365" s="47">
        <v>437</v>
      </c>
      <c r="F365" s="72">
        <f>IFERROR(((Table2[[#This Row],[Calls Off]]-D358)/D358),0)</f>
        <v>0.15128205128205127</v>
      </c>
      <c r="G365" s="72">
        <f>IFERROR(((Table2[[#This Row],[Calls Ans]]-E358)/E358),0)</f>
        <v>0.16533333333333333</v>
      </c>
      <c r="H365" s="1">
        <f>Table2[[#This Row],[Calls Off]]+H364</f>
        <v>10097</v>
      </c>
      <c r="I365" s="1">
        <f>Table2[[#This Row],[Calls Ans]]+I364</f>
        <v>9633</v>
      </c>
      <c r="J365" s="1">
        <f>J364+Table2[[#This Row],[Calls Off]]</f>
        <v>146633</v>
      </c>
      <c r="K365" s="1">
        <f>K364+Table2[[#This Row],[Calls Ans]]</f>
        <v>136588</v>
      </c>
      <c r="L365" s="18">
        <v>0.9</v>
      </c>
      <c r="M365" s="105">
        <v>0.03</v>
      </c>
      <c r="N365" s="105">
        <v>0.97</v>
      </c>
      <c r="O365" s="105">
        <v>0.62</v>
      </c>
      <c r="P365" s="105">
        <v>1</v>
      </c>
      <c r="Q365" s="261">
        <v>1.9444444444444442E-3</v>
      </c>
      <c r="R365" s="1">
        <v>4</v>
      </c>
    </row>
    <row r="366" spans="1:18" x14ac:dyDescent="0.35">
      <c r="A366" s="254">
        <v>45016</v>
      </c>
      <c r="B366" s="38" t="s">
        <v>53</v>
      </c>
      <c r="C366" s="38" t="s">
        <v>60</v>
      </c>
      <c r="D366" s="47">
        <v>438</v>
      </c>
      <c r="E366" s="47">
        <v>414</v>
      </c>
      <c r="F366" s="72">
        <f>IFERROR(((Table2[[#This Row],[Calls Off]]-D359)/D359),0)</f>
        <v>0.10606060606060606</v>
      </c>
      <c r="G366" s="72">
        <f>IFERROR(((Table2[[#This Row],[Calls Ans]]-E359)/E359),0)</f>
        <v>8.0939947780678853E-2</v>
      </c>
      <c r="H366" s="1">
        <f>H365+Table2[[#This Row],[Calls Off]]</f>
        <v>10535</v>
      </c>
      <c r="I366" s="1">
        <f>I365+Table2[[#This Row],[Calls Ans]]</f>
        <v>10047</v>
      </c>
      <c r="J366" s="1">
        <f>J365+Table2[[#This Row],[Calls Off]]</f>
        <v>147071</v>
      </c>
      <c r="K366" s="1">
        <f>K365+Table2[[#This Row],[Calls Ans]]</f>
        <v>137002</v>
      </c>
      <c r="L366" s="18">
        <v>0.88</v>
      </c>
      <c r="M366" s="105">
        <v>0.05</v>
      </c>
      <c r="N366" s="105">
        <v>0.95</v>
      </c>
      <c r="O366" s="105">
        <v>0.62</v>
      </c>
      <c r="P366" s="105">
        <v>1</v>
      </c>
      <c r="Q366" s="261">
        <v>2.0601851851851853E-3</v>
      </c>
      <c r="R366" s="1">
        <v>4</v>
      </c>
    </row>
  </sheetData>
  <autoFilter ref="R1" xr:uid="{CD6A03D8-B9E4-4B6C-9E6D-FBF14BCC2AFB}"/>
  <mergeCells count="1">
    <mergeCell ref="AL134:AM134"/>
  </mergeCells>
  <phoneticPr fontId="8" type="noConversion"/>
  <dataValidations disablePrompts="1" count="3">
    <dataValidation type="list" showInputMessage="1" showErrorMessage="1" sqref="U128" xr:uid="{580175D9-E308-4204-A0F3-FA6EDD86E3C3}">
      <formula1>period_OECS</formula1>
    </dataValidation>
    <dataValidation type="list" allowBlank="1" showInputMessage="1" showErrorMessage="1" sqref="U129" xr:uid="{79599377-70F8-49FB-9DAC-DE588EADEA64}">
      <formula1>period_OECS</formula1>
    </dataValidation>
    <dataValidation type="list" allowBlank="1" showInputMessage="1" showErrorMessage="1" sqref="Y7:Y8" xr:uid="{B8BB15A2-7ADB-4430-9759-82509986C7CD}">
      <formula1>WoW_dates_OECS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EF15-24EC-4123-A7AB-EEB4467F0080}">
  <sheetPr codeName="Sheet9"/>
  <dimension ref="A1:Y366"/>
  <sheetViews>
    <sheetView zoomScale="60" zoomScaleNormal="60" workbookViewId="0">
      <pane xSplit="1" ySplit="1" topLeftCell="B274" activePane="bottomRight" state="frozen"/>
      <selection pane="topRight" activeCell="B1" sqref="B1"/>
      <selection pane="bottomLeft" activeCell="A3" sqref="A3"/>
      <selection pane="bottomRight" activeCell="Q287" sqref="Q287"/>
    </sheetView>
  </sheetViews>
  <sheetFormatPr defaultRowHeight="14.5" x14ac:dyDescent="0.35"/>
  <cols>
    <col min="2" max="2" width="19" bestFit="1" customWidth="1"/>
    <col min="3" max="3" width="4.90625" customWidth="1"/>
    <col min="4" max="4" width="10.36328125" customWidth="1"/>
    <col min="5" max="5" width="13.7265625" bestFit="1" customWidth="1"/>
    <col min="6" max="6" width="24.81640625" bestFit="1" customWidth="1"/>
    <col min="7" max="7" width="24.08984375" bestFit="1" customWidth="1"/>
    <col min="8" max="8" width="21.81640625" bestFit="1" customWidth="1"/>
    <col min="9" max="9" width="18.36328125" bestFit="1" customWidth="1"/>
    <col min="10" max="10" width="21" bestFit="1" customWidth="1"/>
    <col min="11" max="11" width="17.6328125" bestFit="1" customWidth="1"/>
    <col min="15" max="15" width="9" customWidth="1"/>
    <col min="18" max="18" width="23.1796875" style="152" bestFit="1" customWidth="1"/>
    <col min="19" max="19" width="8.7265625" style="152"/>
    <col min="20" max="20" width="9.90625" customWidth="1"/>
    <col min="21" max="21" width="21.1796875" customWidth="1"/>
    <col min="22" max="22" width="23.1796875" customWidth="1"/>
    <col min="23" max="23" width="10.6328125" bestFit="1" customWidth="1"/>
  </cols>
  <sheetData>
    <row r="1" spans="1:24" x14ac:dyDescent="0.35">
      <c r="A1" s="43" t="s">
        <v>36</v>
      </c>
      <c r="B1" s="44" t="s">
        <v>55</v>
      </c>
      <c r="C1" s="44" t="s">
        <v>59</v>
      </c>
      <c r="D1" s="44" t="s">
        <v>58</v>
      </c>
      <c r="E1" s="44" t="s">
        <v>34</v>
      </c>
      <c r="F1" s="44" t="s">
        <v>154</v>
      </c>
      <c r="G1" s="44" t="s">
        <v>61</v>
      </c>
      <c r="H1" s="44" t="s">
        <v>56</v>
      </c>
      <c r="I1" s="44" t="s">
        <v>57</v>
      </c>
      <c r="J1" s="44" t="s">
        <v>153</v>
      </c>
      <c r="K1" s="44" t="s">
        <v>152</v>
      </c>
      <c r="L1" s="44" t="s">
        <v>32</v>
      </c>
      <c r="M1" s="44" t="s">
        <v>5</v>
      </c>
      <c r="N1" s="44" t="s">
        <v>4</v>
      </c>
      <c r="O1" s="44" t="s">
        <v>33</v>
      </c>
      <c r="P1" s="45" t="s">
        <v>7</v>
      </c>
      <c r="Q1" s="45" t="s">
        <v>82</v>
      </c>
      <c r="R1" s="153" t="s">
        <v>80</v>
      </c>
      <c r="S1" s="202"/>
    </row>
    <row r="2" spans="1:24" x14ac:dyDescent="0.35">
      <c r="A2" s="35">
        <v>44652</v>
      </c>
      <c r="B2" s="38" t="s">
        <v>53</v>
      </c>
      <c r="C2" s="38" t="s">
        <v>60</v>
      </c>
      <c r="D2" s="1">
        <v>197</v>
      </c>
      <c r="E2" s="1">
        <v>191</v>
      </c>
      <c r="F2" s="72">
        <v>-0.13596491228070176</v>
      </c>
      <c r="G2" s="72">
        <v>-0.15111111111111111</v>
      </c>
      <c r="H2" s="1">
        <v>197</v>
      </c>
      <c r="I2" s="1">
        <v>191</v>
      </c>
      <c r="J2" s="1">
        <v>197</v>
      </c>
      <c r="K2" s="1">
        <v>191</v>
      </c>
      <c r="L2" s="18">
        <v>0.9</v>
      </c>
      <c r="M2" s="18">
        <v>0.03</v>
      </c>
      <c r="N2" s="18">
        <v>0.97</v>
      </c>
      <c r="O2" s="18">
        <v>0.65</v>
      </c>
      <c r="P2" s="24">
        <v>1</v>
      </c>
      <c r="Q2" s="201"/>
      <c r="R2" s="154"/>
    </row>
    <row r="3" spans="1:24" x14ac:dyDescent="0.35">
      <c r="A3" s="35">
        <v>44653</v>
      </c>
      <c r="B3" s="38" t="s">
        <v>54</v>
      </c>
      <c r="C3" s="38" t="s">
        <v>60</v>
      </c>
      <c r="D3" s="1">
        <v>157</v>
      </c>
      <c r="E3" s="1">
        <v>152</v>
      </c>
      <c r="F3" s="72">
        <v>-0.25592417061611372</v>
      </c>
      <c r="G3" s="72">
        <v>-0.26923076923076922</v>
      </c>
      <c r="H3" s="1">
        <v>354</v>
      </c>
      <c r="I3" s="1">
        <v>343</v>
      </c>
      <c r="J3" s="1">
        <v>354</v>
      </c>
      <c r="K3" s="1">
        <v>343</v>
      </c>
      <c r="L3" s="18">
        <v>0.84</v>
      </c>
      <c r="M3" s="18">
        <v>0.03</v>
      </c>
      <c r="N3" s="18">
        <v>0.97</v>
      </c>
      <c r="O3" s="18">
        <v>0.65</v>
      </c>
      <c r="P3" s="18">
        <v>1</v>
      </c>
      <c r="Q3" s="18"/>
      <c r="R3" s="155"/>
      <c r="W3" t="s">
        <v>68</v>
      </c>
      <c r="X3" s="16">
        <v>44655</v>
      </c>
    </row>
    <row r="4" spans="1:24" x14ac:dyDescent="0.35">
      <c r="A4" s="29">
        <v>44654</v>
      </c>
      <c r="B4" s="38" t="s">
        <v>48</v>
      </c>
      <c r="C4" s="38" t="s">
        <v>60</v>
      </c>
      <c r="D4" s="1">
        <v>0</v>
      </c>
      <c r="E4" s="1">
        <v>0</v>
      </c>
      <c r="F4" s="72">
        <v>0</v>
      </c>
      <c r="G4" s="72">
        <v>0</v>
      </c>
      <c r="H4" s="1">
        <v>0</v>
      </c>
      <c r="I4" s="1">
        <v>0</v>
      </c>
      <c r="J4" s="1">
        <v>0</v>
      </c>
      <c r="K4" s="1">
        <v>0</v>
      </c>
      <c r="L4" s="18">
        <v>0</v>
      </c>
      <c r="M4" s="18">
        <v>0</v>
      </c>
      <c r="N4" s="18">
        <v>0</v>
      </c>
      <c r="O4" s="18">
        <v>0</v>
      </c>
      <c r="P4" s="24">
        <v>0</v>
      </c>
      <c r="Q4" s="24"/>
      <c r="R4" s="155"/>
      <c r="W4" t="s">
        <v>69</v>
      </c>
      <c r="X4" s="16">
        <v>45012</v>
      </c>
    </row>
    <row r="5" spans="1:24" x14ac:dyDescent="0.35">
      <c r="A5" s="35">
        <v>44655</v>
      </c>
      <c r="B5" s="38" t="s">
        <v>49</v>
      </c>
      <c r="C5" s="38" t="s">
        <v>60</v>
      </c>
      <c r="D5" s="1">
        <v>298</v>
      </c>
      <c r="E5" s="1">
        <v>284</v>
      </c>
      <c r="F5" s="72">
        <v>-8.0246913580246909E-2</v>
      </c>
      <c r="G5" s="72">
        <v>-0.10410094637223975</v>
      </c>
      <c r="H5" s="1">
        <v>652</v>
      </c>
      <c r="I5" s="1">
        <v>627</v>
      </c>
      <c r="J5" s="1">
        <v>652</v>
      </c>
      <c r="K5" s="1">
        <v>627</v>
      </c>
      <c r="L5" s="18">
        <v>0.89</v>
      </c>
      <c r="M5" s="18">
        <v>0.05</v>
      </c>
      <c r="N5" s="18">
        <v>0.95</v>
      </c>
      <c r="O5" s="18">
        <v>0.66</v>
      </c>
      <c r="P5" s="24">
        <v>1</v>
      </c>
      <c r="Q5" s="24"/>
      <c r="R5" s="155"/>
    </row>
    <row r="6" spans="1:24" x14ac:dyDescent="0.35">
      <c r="A6" s="35">
        <v>44656</v>
      </c>
      <c r="B6" s="38" t="s">
        <v>50</v>
      </c>
      <c r="C6" s="38" t="s">
        <v>60</v>
      </c>
      <c r="D6" s="1">
        <v>305</v>
      </c>
      <c r="E6" s="1">
        <v>297</v>
      </c>
      <c r="F6" s="72">
        <v>-7.29483282674772E-2</v>
      </c>
      <c r="G6" s="72">
        <v>-7.1874999999999994E-2</v>
      </c>
      <c r="H6" s="1">
        <v>957</v>
      </c>
      <c r="I6" s="1">
        <v>924</v>
      </c>
      <c r="J6" s="1">
        <v>957</v>
      </c>
      <c r="K6" s="1">
        <v>924</v>
      </c>
      <c r="L6" s="18">
        <v>0.88</v>
      </c>
      <c r="M6" s="18">
        <v>0.03</v>
      </c>
      <c r="N6" s="18">
        <v>0.97</v>
      </c>
      <c r="O6" s="18">
        <v>0.73</v>
      </c>
      <c r="P6" s="24">
        <v>1</v>
      </c>
      <c r="Q6" s="24"/>
      <c r="R6" s="155"/>
    </row>
    <row r="7" spans="1:24" x14ac:dyDescent="0.35">
      <c r="A7" s="35">
        <v>44657</v>
      </c>
      <c r="B7" s="38" t="s">
        <v>51</v>
      </c>
      <c r="C7" s="38" t="s">
        <v>60</v>
      </c>
      <c r="D7" s="1">
        <v>250</v>
      </c>
      <c r="E7" s="1">
        <v>241</v>
      </c>
      <c r="F7" s="72">
        <v>-0.16943521594684385</v>
      </c>
      <c r="G7" s="72">
        <v>-0.16319444444444445</v>
      </c>
      <c r="H7" s="1">
        <v>1207</v>
      </c>
      <c r="I7" s="1">
        <v>1165</v>
      </c>
      <c r="J7" s="1">
        <v>1207</v>
      </c>
      <c r="K7" s="1">
        <v>1165</v>
      </c>
      <c r="L7" s="18">
        <v>0.86</v>
      </c>
      <c r="M7" s="18">
        <v>0.04</v>
      </c>
      <c r="N7" s="18">
        <v>0.96</v>
      </c>
      <c r="O7" s="18">
        <v>0.66</v>
      </c>
      <c r="P7" s="24">
        <v>1</v>
      </c>
      <c r="Q7" s="24"/>
      <c r="R7" s="155"/>
      <c r="S7" s="203"/>
      <c r="T7" s="6" t="s">
        <v>65</v>
      </c>
      <c r="U7" s="7" t="s">
        <v>66</v>
      </c>
      <c r="V7" s="115" t="s">
        <v>67</v>
      </c>
    </row>
    <row r="8" spans="1:24" x14ac:dyDescent="0.35">
      <c r="A8" s="35">
        <v>44658</v>
      </c>
      <c r="B8" s="38" t="s">
        <v>52</v>
      </c>
      <c r="C8" s="38" t="s">
        <v>60</v>
      </c>
      <c r="D8" s="1">
        <v>263</v>
      </c>
      <c r="E8" s="1">
        <v>253</v>
      </c>
      <c r="F8" s="72">
        <v>-3.787878787878788E-3</v>
      </c>
      <c r="G8" s="72">
        <v>0</v>
      </c>
      <c r="H8" s="1">
        <v>1470</v>
      </c>
      <c r="I8" s="1">
        <v>1418</v>
      </c>
      <c r="J8" s="1">
        <v>1470</v>
      </c>
      <c r="K8" s="1">
        <v>1418</v>
      </c>
      <c r="L8" s="18">
        <v>0.89</v>
      </c>
      <c r="M8" s="18">
        <v>0.04</v>
      </c>
      <c r="N8" s="18">
        <v>0.96</v>
      </c>
      <c r="O8" s="18">
        <v>0.82</v>
      </c>
      <c r="P8" s="24">
        <v>1</v>
      </c>
      <c r="Q8" s="24"/>
      <c r="R8" s="155"/>
      <c r="S8" s="204"/>
      <c r="T8" s="29">
        <v>44655</v>
      </c>
      <c r="U8" s="1" cm="1">
        <f t="array" ref="U8">SUMIFS(calls_off_GUY,period_GUY,"&gt;="&amp;T8,period_GUY,"&lt;"&amp;T9)</f>
        <v>1584</v>
      </c>
      <c r="V8" s="116" cm="1">
        <f t="array" ref="V8">SUMIFS(calls_ans_GUY,period_GUY,"&gt;="&amp;T8,period_GUY,"&lt;"&amp;T9)</f>
        <v>1531</v>
      </c>
    </row>
    <row r="9" spans="1:24" x14ac:dyDescent="0.35">
      <c r="A9" s="35">
        <v>44659</v>
      </c>
      <c r="B9" s="38" t="s">
        <v>53</v>
      </c>
      <c r="C9" s="38" t="s">
        <v>60</v>
      </c>
      <c r="D9" s="1">
        <v>292</v>
      </c>
      <c r="E9" s="1">
        <v>286</v>
      </c>
      <c r="F9" s="72">
        <v>0.48223350253807107</v>
      </c>
      <c r="G9" s="72">
        <v>0.49738219895287961</v>
      </c>
      <c r="H9" s="1">
        <v>1762</v>
      </c>
      <c r="I9" s="1">
        <v>1704</v>
      </c>
      <c r="J9" s="1">
        <v>1762</v>
      </c>
      <c r="K9" s="1">
        <v>1704</v>
      </c>
      <c r="L9" s="18">
        <v>0.86</v>
      </c>
      <c r="M9" s="18">
        <v>0.02</v>
      </c>
      <c r="N9" s="18">
        <v>0.98</v>
      </c>
      <c r="O9" s="18">
        <v>0.73</v>
      </c>
      <c r="P9" s="24">
        <v>1</v>
      </c>
      <c r="Q9" s="24"/>
      <c r="R9" s="155"/>
      <c r="S9" s="204"/>
      <c r="T9" s="29">
        <f>T8+7</f>
        <v>44662</v>
      </c>
      <c r="U9" s="1" cm="1">
        <f t="array" ref="U9">SUMIFS(calls_off_GUY,period_GUY,"&gt;="&amp;T9,period_GUY,"&lt;"&amp;T10)</f>
        <v>1234</v>
      </c>
      <c r="V9" s="116" cm="1">
        <f t="array" ref="V9">SUMIFS(calls_ans_GUY,period_GUY,"&gt;="&amp;T9,period_GUY,"&lt;"&amp;T10)</f>
        <v>1219</v>
      </c>
    </row>
    <row r="10" spans="1:24" x14ac:dyDescent="0.35">
      <c r="A10" s="35">
        <v>44660</v>
      </c>
      <c r="B10" s="38" t="s">
        <v>54</v>
      </c>
      <c r="C10" s="38" t="s">
        <v>60</v>
      </c>
      <c r="D10" s="1">
        <v>176</v>
      </c>
      <c r="E10" s="1">
        <v>170</v>
      </c>
      <c r="F10" s="72">
        <v>0.12101910828025478</v>
      </c>
      <c r="G10" s="72">
        <v>0.11842105263157894</v>
      </c>
      <c r="H10" s="1">
        <v>1938</v>
      </c>
      <c r="I10" s="1">
        <v>1874</v>
      </c>
      <c r="J10" s="1">
        <v>1938</v>
      </c>
      <c r="K10" s="1">
        <v>1874</v>
      </c>
      <c r="L10" s="18">
        <v>0.86</v>
      </c>
      <c r="M10" s="18">
        <v>0.03</v>
      </c>
      <c r="N10" s="18">
        <v>0.97</v>
      </c>
      <c r="O10" s="18">
        <v>0.55000000000000004</v>
      </c>
      <c r="P10" s="24">
        <v>1</v>
      </c>
      <c r="Q10" s="24"/>
      <c r="R10" s="155"/>
      <c r="S10" s="204"/>
      <c r="T10" s="29">
        <f t="shared" ref="T10:T22" si="0">T9+7</f>
        <v>44669</v>
      </c>
      <c r="U10" s="1" cm="1">
        <f t="array" ref="U10">SUMIFS(calls_off_GUY,period_GUY,"&gt;="&amp;T10,period_GUY,"&lt;"&amp;T11)</f>
        <v>1327</v>
      </c>
      <c r="V10" s="116" cm="1">
        <f t="array" ref="V10">SUMIFS(calls_ans_GUY,period_GUY,"&gt;="&amp;T10,period_GUY,"&lt;"&amp;T11)</f>
        <v>1300</v>
      </c>
    </row>
    <row r="11" spans="1:24" x14ac:dyDescent="0.35">
      <c r="A11" s="29">
        <v>44661</v>
      </c>
      <c r="B11" s="38" t="s">
        <v>48</v>
      </c>
      <c r="C11" s="38" t="s">
        <v>60</v>
      </c>
      <c r="D11" s="1">
        <v>0</v>
      </c>
      <c r="E11" s="1">
        <v>0</v>
      </c>
      <c r="F11" s="72">
        <v>0</v>
      </c>
      <c r="G11" s="72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24">
        <v>0</v>
      </c>
      <c r="Q11" s="24"/>
      <c r="R11" s="155"/>
      <c r="S11" s="204"/>
      <c r="T11" s="29">
        <f t="shared" si="0"/>
        <v>44676</v>
      </c>
      <c r="U11" s="1" cm="1">
        <f t="array" ref="U11">SUMIFS(calls_off_GUY,period_GUY,"&gt;="&amp;T11,period_GUY,"&lt;"&amp;T12)</f>
        <v>1888</v>
      </c>
      <c r="V11" s="116" cm="1">
        <f t="array" ref="V11">SUMIFS(calls_ans_GUY,period_GUY,"&gt;="&amp;T11,period_GUY,"&lt;"&amp;T12)</f>
        <v>1792</v>
      </c>
    </row>
    <row r="12" spans="1:24" x14ac:dyDescent="0.35">
      <c r="A12" s="35">
        <v>44662</v>
      </c>
      <c r="B12" s="38" t="s">
        <v>49</v>
      </c>
      <c r="C12" s="38" t="s">
        <v>60</v>
      </c>
      <c r="D12" s="1">
        <v>300</v>
      </c>
      <c r="E12" s="1">
        <v>297</v>
      </c>
      <c r="F12" s="72">
        <v>6.7114093959731542E-3</v>
      </c>
      <c r="G12" s="72">
        <v>4.5774647887323945E-2</v>
      </c>
      <c r="H12" s="1">
        <v>2238</v>
      </c>
      <c r="I12" s="1">
        <v>2171</v>
      </c>
      <c r="J12" s="1">
        <v>2238</v>
      </c>
      <c r="K12" s="1">
        <v>2171</v>
      </c>
      <c r="L12" s="18">
        <v>0.95</v>
      </c>
      <c r="M12" s="18">
        <v>0.01</v>
      </c>
      <c r="N12" s="18">
        <v>0.99</v>
      </c>
      <c r="O12" s="18">
        <v>0.79</v>
      </c>
      <c r="P12" s="24">
        <v>1</v>
      </c>
      <c r="Q12" s="24"/>
      <c r="R12" s="155"/>
      <c r="S12" s="204"/>
      <c r="T12" s="29">
        <f t="shared" si="0"/>
        <v>44683</v>
      </c>
      <c r="U12" s="1" cm="1">
        <f t="array" ref="U12">SUMIFS(calls_off_GUY,period_GUY,"&gt;="&amp;T12,period_GUY,"&lt;"&amp;T13)</f>
        <v>1219</v>
      </c>
      <c r="V12" s="116" cm="1">
        <f t="array" ref="V12">SUMIFS(calls_ans_GUY,period_GUY,"&gt;="&amp;T12,period_GUY,"&lt;"&amp;T13)</f>
        <v>1181</v>
      </c>
    </row>
    <row r="13" spans="1:24" x14ac:dyDescent="0.35">
      <c r="A13" s="35">
        <v>44663</v>
      </c>
      <c r="B13" s="38" t="s">
        <v>50</v>
      </c>
      <c r="C13" s="38" t="s">
        <v>60</v>
      </c>
      <c r="D13" s="1">
        <v>247</v>
      </c>
      <c r="E13" s="1">
        <v>241</v>
      </c>
      <c r="F13" s="72">
        <v>-0.1901639344262295</v>
      </c>
      <c r="G13" s="72">
        <v>-0.18855218855218855</v>
      </c>
      <c r="H13" s="1">
        <v>2485</v>
      </c>
      <c r="I13" s="1">
        <v>2412</v>
      </c>
      <c r="J13" s="1">
        <v>2485</v>
      </c>
      <c r="K13" s="1">
        <v>2412</v>
      </c>
      <c r="L13" s="18">
        <v>0.87</v>
      </c>
      <c r="M13" s="18">
        <v>0.02</v>
      </c>
      <c r="N13" s="18">
        <v>0.98</v>
      </c>
      <c r="O13" s="18">
        <v>0.75</v>
      </c>
      <c r="P13" s="24">
        <v>1</v>
      </c>
      <c r="Q13" s="24"/>
      <c r="R13" s="155"/>
      <c r="S13" s="204"/>
      <c r="T13" s="29">
        <f t="shared" si="0"/>
        <v>44690</v>
      </c>
      <c r="U13" s="1" cm="1">
        <f t="array" ref="U13">SUMIFS(calls_off_GUY,period_GUY,"&gt;="&amp;T13,period_GUY,"&lt;"&amp;T14)</f>
        <v>1699</v>
      </c>
      <c r="V13" s="116" cm="1">
        <f t="array" ref="V13">SUMIFS(calls_ans_GUY,period_GUY,"&gt;="&amp;T13,period_GUY,"&lt;"&amp;T14)</f>
        <v>1612</v>
      </c>
    </row>
    <row r="14" spans="1:24" x14ac:dyDescent="0.35">
      <c r="A14" s="35">
        <v>44664</v>
      </c>
      <c r="B14" s="38" t="s">
        <v>51</v>
      </c>
      <c r="C14" s="38" t="s">
        <v>60</v>
      </c>
      <c r="D14" s="1">
        <v>268</v>
      </c>
      <c r="E14" s="1">
        <v>264</v>
      </c>
      <c r="F14" s="72">
        <v>7.1999999999999995E-2</v>
      </c>
      <c r="G14" s="72">
        <v>9.5435684647302899E-2</v>
      </c>
      <c r="H14" s="1">
        <v>2753</v>
      </c>
      <c r="I14" s="1">
        <v>2676</v>
      </c>
      <c r="J14" s="1">
        <v>2753</v>
      </c>
      <c r="K14" s="1">
        <v>2676</v>
      </c>
      <c r="L14" s="18">
        <v>0.89</v>
      </c>
      <c r="M14" s="18">
        <v>0.01</v>
      </c>
      <c r="N14" s="18">
        <v>0.99</v>
      </c>
      <c r="O14" s="18">
        <v>0.68</v>
      </c>
      <c r="P14" s="24">
        <v>1</v>
      </c>
      <c r="Q14" s="24"/>
      <c r="R14" s="155"/>
      <c r="S14" s="204"/>
      <c r="T14" s="29">
        <f t="shared" si="0"/>
        <v>44697</v>
      </c>
      <c r="U14" s="1" cm="1">
        <f t="array" ref="U14">SUMIFS(calls_off_GUY,period_GUY,"&gt;="&amp;T14,period_GUY,"&lt;"&amp;T15)</f>
        <v>1812</v>
      </c>
      <c r="V14" s="116" cm="1">
        <f t="array" ref="V14">SUMIFS(calls_ans_GUY,period_GUY,"&gt;="&amp;T14,period_GUY,"&lt;"&amp;T15)</f>
        <v>1731</v>
      </c>
    </row>
    <row r="15" spans="1:24" x14ac:dyDescent="0.35">
      <c r="A15" s="35">
        <v>44665</v>
      </c>
      <c r="B15" s="38" t="s">
        <v>52</v>
      </c>
      <c r="C15" s="38" t="s">
        <v>60</v>
      </c>
      <c r="D15" s="1">
        <v>238</v>
      </c>
      <c r="E15" s="1">
        <v>236</v>
      </c>
      <c r="F15" s="72">
        <v>-9.5057034220532313E-2</v>
      </c>
      <c r="G15" s="72">
        <v>-6.7193675889328064E-2</v>
      </c>
      <c r="H15" s="1">
        <v>2991</v>
      </c>
      <c r="I15" s="1">
        <v>2912</v>
      </c>
      <c r="J15" s="1">
        <v>2991</v>
      </c>
      <c r="K15" s="1">
        <v>2912</v>
      </c>
      <c r="L15" s="18">
        <v>0.9</v>
      </c>
      <c r="M15" s="18">
        <v>0.01</v>
      </c>
      <c r="N15" s="18">
        <v>0.99</v>
      </c>
      <c r="O15" s="18">
        <v>0.71</v>
      </c>
      <c r="P15" s="24">
        <v>1</v>
      </c>
      <c r="Q15" s="24"/>
      <c r="R15" s="155"/>
      <c r="S15" s="204"/>
      <c r="T15" s="29">
        <f t="shared" si="0"/>
        <v>44704</v>
      </c>
      <c r="U15" s="1" cm="1">
        <f t="array" ref="U15">SUMIFS(calls_off_GUY,period_GUY,"&gt;="&amp;T15,period_GUY,"&lt;"&amp;T16)</f>
        <v>1782</v>
      </c>
      <c r="V15" s="116" cm="1">
        <f t="array" ref="V15">SUMIFS(calls_ans_GUY,period_GUY,"&gt;="&amp;T15,period_GUY,"&lt;"&amp;T16)</f>
        <v>1724</v>
      </c>
    </row>
    <row r="16" spans="1:24" x14ac:dyDescent="0.35">
      <c r="A16" s="35">
        <v>44666</v>
      </c>
      <c r="B16" s="38" t="s">
        <v>53</v>
      </c>
      <c r="C16" s="38" t="s">
        <v>60</v>
      </c>
      <c r="D16" s="22">
        <v>0</v>
      </c>
      <c r="E16" s="22">
        <v>0</v>
      </c>
      <c r="F16" s="72">
        <v>0</v>
      </c>
      <c r="G16" s="7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60">
        <v>0</v>
      </c>
      <c r="Q16" s="60"/>
      <c r="R16" s="155"/>
      <c r="S16" s="204"/>
      <c r="T16" s="29">
        <f t="shared" si="0"/>
        <v>44711</v>
      </c>
      <c r="U16" s="1" cm="1">
        <f t="array" ref="U16">SUMIFS(calls_off_GUY,period_GUY,"&gt;="&amp;T16,period_GUY,"&lt;"&amp;T17)</f>
        <v>1923</v>
      </c>
      <c r="V16" s="116" cm="1">
        <f t="array" ref="V16">SUMIFS(calls_ans_GUY,period_GUY,"&gt;="&amp;T16,period_GUY,"&lt;"&amp;T17)</f>
        <v>1846</v>
      </c>
    </row>
    <row r="17" spans="1:22" x14ac:dyDescent="0.35">
      <c r="A17" s="35">
        <v>44667</v>
      </c>
      <c r="B17" s="38" t="s">
        <v>54</v>
      </c>
      <c r="C17" s="38" t="s">
        <v>60</v>
      </c>
      <c r="D17" s="1">
        <v>181</v>
      </c>
      <c r="E17" s="1">
        <v>181</v>
      </c>
      <c r="F17" s="72">
        <v>2.8409090909090908E-2</v>
      </c>
      <c r="G17" s="72">
        <v>6.4705882352941183E-2</v>
      </c>
      <c r="H17" s="1">
        <v>3172</v>
      </c>
      <c r="I17" s="1">
        <v>3093</v>
      </c>
      <c r="J17" s="1">
        <v>3172</v>
      </c>
      <c r="K17" s="1">
        <v>3093</v>
      </c>
      <c r="L17" s="18">
        <v>0.94</v>
      </c>
      <c r="M17" s="18">
        <v>0</v>
      </c>
      <c r="N17" s="18">
        <v>1</v>
      </c>
      <c r="O17" s="18">
        <v>0.66</v>
      </c>
      <c r="P17" s="24">
        <v>1</v>
      </c>
      <c r="Q17" s="24"/>
      <c r="R17" s="155"/>
      <c r="S17" s="204"/>
      <c r="T17" s="29">
        <f t="shared" si="0"/>
        <v>44718</v>
      </c>
      <c r="U17" s="1" cm="1">
        <f t="array" ref="U17">SUMIFS(calls_off_GUY,period_GUY,"&gt;="&amp;T17,period_GUY,"&lt;"&amp;T18)</f>
        <v>1523</v>
      </c>
      <c r="V17" s="116" cm="1">
        <f t="array" ref="V17">SUMIFS(calls_ans_GUY,period_GUY,"&gt;="&amp;T17,period_GUY,"&lt;"&amp;T18)</f>
        <v>1484</v>
      </c>
    </row>
    <row r="18" spans="1:22" x14ac:dyDescent="0.35">
      <c r="A18" s="29">
        <v>44668</v>
      </c>
      <c r="B18" s="38" t="s">
        <v>48</v>
      </c>
      <c r="C18" s="38" t="s">
        <v>60</v>
      </c>
      <c r="D18" s="1">
        <v>0</v>
      </c>
      <c r="E18" s="1">
        <v>0</v>
      </c>
      <c r="F18" s="72">
        <v>0</v>
      </c>
      <c r="G18" s="72">
        <v>0</v>
      </c>
      <c r="H18" s="1">
        <v>0</v>
      </c>
      <c r="I18" s="1">
        <v>0</v>
      </c>
      <c r="J18" s="1">
        <v>0</v>
      </c>
      <c r="K18" s="1">
        <v>0</v>
      </c>
      <c r="L18" s="18">
        <v>0</v>
      </c>
      <c r="M18" s="18">
        <v>0</v>
      </c>
      <c r="N18" s="18">
        <v>0</v>
      </c>
      <c r="O18" s="18">
        <v>0</v>
      </c>
      <c r="P18" s="24">
        <v>0</v>
      </c>
      <c r="Q18" s="24"/>
      <c r="R18" s="155"/>
      <c r="S18" s="204"/>
      <c r="T18" s="29">
        <f t="shared" si="0"/>
        <v>44725</v>
      </c>
      <c r="U18" s="1" cm="1">
        <f t="array" ref="U18">SUMIFS(calls_off_GUY,period_GUY,"&gt;="&amp;T18,period_GUY,"&lt;"&amp;T19)</f>
        <v>1710</v>
      </c>
      <c r="V18" s="116" cm="1">
        <f t="array" ref="V18">SUMIFS(calls_ans_GUY,period_GUY,"&gt;="&amp;T18,period_GUY,"&lt;"&amp;T19)</f>
        <v>1647</v>
      </c>
    </row>
    <row r="19" spans="1:22" x14ac:dyDescent="0.35">
      <c r="A19" s="35">
        <v>44669</v>
      </c>
      <c r="B19" s="38" t="s">
        <v>49</v>
      </c>
      <c r="C19" s="38" t="s">
        <v>60</v>
      </c>
      <c r="D19" s="22">
        <v>0</v>
      </c>
      <c r="E19" s="22">
        <v>0</v>
      </c>
      <c r="F19" s="72">
        <v>0</v>
      </c>
      <c r="G19" s="7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60">
        <v>0</v>
      </c>
      <c r="Q19" s="60"/>
      <c r="R19" s="155"/>
      <c r="S19" s="204"/>
      <c r="T19" s="29">
        <f t="shared" si="0"/>
        <v>44732</v>
      </c>
      <c r="U19" s="1" cm="1">
        <f t="array" ref="U19">SUMIFS(calls_off_GUY,period_GUY,"&gt;="&amp;T19,period_GUY,"&lt;"&amp;T20)</f>
        <v>1990</v>
      </c>
      <c r="V19" s="116" cm="1">
        <f t="array" ref="V19">SUMIFS(calls_ans_GUY,period_GUY,"&gt;="&amp;T19,period_GUY,"&lt;"&amp;T20)</f>
        <v>1947</v>
      </c>
    </row>
    <row r="20" spans="1:22" x14ac:dyDescent="0.35">
      <c r="A20" s="35">
        <v>44670</v>
      </c>
      <c r="B20" s="38" t="s">
        <v>50</v>
      </c>
      <c r="C20" s="38" t="s">
        <v>60</v>
      </c>
      <c r="D20" s="1">
        <v>342</v>
      </c>
      <c r="E20" s="1">
        <v>337</v>
      </c>
      <c r="F20" s="72">
        <v>0.38461538461538464</v>
      </c>
      <c r="G20" s="72">
        <v>0.39834024896265557</v>
      </c>
      <c r="H20" s="1">
        <v>3514</v>
      </c>
      <c r="I20" s="1">
        <v>3430</v>
      </c>
      <c r="J20" s="1">
        <v>3514</v>
      </c>
      <c r="K20" s="1">
        <v>3430</v>
      </c>
      <c r="L20" s="18">
        <v>0.89</v>
      </c>
      <c r="M20" s="18">
        <v>0.01</v>
      </c>
      <c r="N20" s="18">
        <v>0.99</v>
      </c>
      <c r="O20" s="18">
        <v>0.83</v>
      </c>
      <c r="P20" s="24">
        <v>1</v>
      </c>
      <c r="Q20" s="24"/>
      <c r="R20" s="155"/>
      <c r="S20" s="204"/>
      <c r="T20" s="29">
        <f t="shared" si="0"/>
        <v>44739</v>
      </c>
      <c r="U20" s="1" cm="1">
        <f t="array" ref="U20">SUMIFS(calls_off_GUY,period_GUY,"&gt;="&amp;T20,period_GUY,"&lt;"&amp;T21)</f>
        <v>1881</v>
      </c>
      <c r="V20" s="116" cm="1">
        <f t="array" ref="V20">SUMIFS(calls_ans_GUY,period_GUY,"&gt;="&amp;T20,period_GUY,"&lt;"&amp;T21)</f>
        <v>1825</v>
      </c>
    </row>
    <row r="21" spans="1:22" x14ac:dyDescent="0.35">
      <c r="A21" s="35">
        <v>44671</v>
      </c>
      <c r="B21" s="38" t="s">
        <v>51</v>
      </c>
      <c r="C21" s="38" t="s">
        <v>60</v>
      </c>
      <c r="D21" s="1">
        <v>296</v>
      </c>
      <c r="E21" s="1">
        <v>289</v>
      </c>
      <c r="F21" s="72">
        <v>0.1044776119402985</v>
      </c>
      <c r="G21" s="72">
        <v>9.4696969696969696E-2</v>
      </c>
      <c r="H21" s="1">
        <v>3810</v>
      </c>
      <c r="I21" s="1">
        <v>3719</v>
      </c>
      <c r="J21" s="1">
        <v>3810</v>
      </c>
      <c r="K21" s="1">
        <v>3719</v>
      </c>
      <c r="L21" s="18">
        <v>0.88</v>
      </c>
      <c r="M21" s="18">
        <v>0.02</v>
      </c>
      <c r="N21" s="18">
        <v>0.98</v>
      </c>
      <c r="O21" s="18">
        <v>0.76</v>
      </c>
      <c r="P21" s="24">
        <v>1</v>
      </c>
      <c r="Q21" s="24"/>
      <c r="R21" s="155"/>
      <c r="S21" s="204"/>
      <c r="T21" s="29">
        <f>T20+7</f>
        <v>44746</v>
      </c>
      <c r="U21" s="1" cm="1">
        <f t="array" ref="U21">SUMIFS(calls_off_GUY,period_GUY,"&gt;="&amp;T21,period_GUY,"&lt;"&amp;T22)</f>
        <v>1307</v>
      </c>
      <c r="V21" s="116" cm="1">
        <f t="array" ref="V21">SUMIFS(calls_ans_GUY,period_GUY,"&gt;="&amp;T21,period_GUY,"&lt;"&amp;T22)</f>
        <v>1270</v>
      </c>
    </row>
    <row r="22" spans="1:22" x14ac:dyDescent="0.35">
      <c r="A22" s="35">
        <v>44672</v>
      </c>
      <c r="B22" s="38" t="s">
        <v>52</v>
      </c>
      <c r="C22" s="38" t="s">
        <v>60</v>
      </c>
      <c r="D22" s="1">
        <v>249</v>
      </c>
      <c r="E22" s="1">
        <v>247</v>
      </c>
      <c r="F22" s="72">
        <v>4.6218487394957986E-2</v>
      </c>
      <c r="G22" s="72">
        <v>4.6610169491525424E-2</v>
      </c>
      <c r="H22" s="1">
        <v>4059</v>
      </c>
      <c r="I22" s="1">
        <v>3966</v>
      </c>
      <c r="J22" s="1">
        <v>4059</v>
      </c>
      <c r="K22" s="1">
        <v>3966</v>
      </c>
      <c r="L22" s="18">
        <v>0.89</v>
      </c>
      <c r="M22" s="18">
        <v>0.01</v>
      </c>
      <c r="N22" s="18">
        <v>0.99</v>
      </c>
      <c r="O22" s="18">
        <v>0.66</v>
      </c>
      <c r="P22" s="24">
        <v>1</v>
      </c>
      <c r="Q22" s="24"/>
      <c r="R22" s="155"/>
      <c r="S22" s="204"/>
      <c r="T22" s="29">
        <f t="shared" si="0"/>
        <v>44753</v>
      </c>
      <c r="U22" s="1" cm="1">
        <f t="array" ref="U22">SUMIFS(calls_off_GUY,period_GUY,"&gt;="&amp;T22,period_GUY,"&lt;"&amp;T23)</f>
        <v>1909</v>
      </c>
      <c r="V22" s="116" cm="1">
        <f t="array" ref="V22">SUMIFS(calls_ans_GUY,period_GUY,"&gt;="&amp;T22,period_GUY,"&lt;"&amp;T23)</f>
        <v>1869</v>
      </c>
    </row>
    <row r="23" spans="1:22" x14ac:dyDescent="0.35">
      <c r="A23" s="35">
        <v>44673</v>
      </c>
      <c r="B23" s="38" t="s">
        <v>53</v>
      </c>
      <c r="C23" s="38" t="s">
        <v>60</v>
      </c>
      <c r="D23" s="1">
        <v>267</v>
      </c>
      <c r="E23" s="1">
        <v>258</v>
      </c>
      <c r="F23" s="72">
        <v>0</v>
      </c>
      <c r="G23" s="72">
        <v>0</v>
      </c>
      <c r="H23" s="1">
        <v>4326</v>
      </c>
      <c r="I23" s="1">
        <v>4224</v>
      </c>
      <c r="J23" s="1">
        <v>4326</v>
      </c>
      <c r="K23" s="1">
        <v>4224</v>
      </c>
      <c r="L23" s="18">
        <v>0.82</v>
      </c>
      <c r="M23" s="18">
        <v>0.03</v>
      </c>
      <c r="N23" s="18">
        <v>0.97</v>
      </c>
      <c r="O23" s="18">
        <v>0.66</v>
      </c>
      <c r="P23" s="24">
        <v>1</v>
      </c>
      <c r="Q23" s="24"/>
      <c r="R23" s="155"/>
      <c r="S23" s="204"/>
      <c r="T23" s="29">
        <f t="shared" ref="T23:T59" si="1">T22+7</f>
        <v>44760</v>
      </c>
      <c r="U23" s="1" cm="1">
        <f t="array" ref="U23">SUMIFS(calls_off_GUY,period_GUY,"&gt;="&amp;T23,period_GUY,"&lt;"&amp;T24)</f>
        <v>2040</v>
      </c>
      <c r="V23" s="116" cm="1">
        <f t="array" ref="V23">SUMIFS(calls_ans_GUY,period_GUY,"&gt;="&amp;T23,period_GUY,"&lt;"&amp;T24)</f>
        <v>1970</v>
      </c>
    </row>
    <row r="24" spans="1:22" x14ac:dyDescent="0.35">
      <c r="A24" s="35">
        <v>44674</v>
      </c>
      <c r="B24" s="38" t="s">
        <v>54</v>
      </c>
      <c r="C24" s="38" t="s">
        <v>60</v>
      </c>
      <c r="D24" s="1">
        <v>173</v>
      </c>
      <c r="E24" s="1">
        <v>169</v>
      </c>
      <c r="F24" s="72">
        <v>-4.4198895027624308E-2</v>
      </c>
      <c r="G24" s="72">
        <v>-6.6298342541436461E-2</v>
      </c>
      <c r="H24" s="1">
        <v>4499</v>
      </c>
      <c r="I24" s="1">
        <v>4393</v>
      </c>
      <c r="J24" s="1">
        <v>4499</v>
      </c>
      <c r="K24" s="1">
        <v>4393</v>
      </c>
      <c r="L24" s="18">
        <v>0.89</v>
      </c>
      <c r="M24" s="18">
        <v>0.02</v>
      </c>
      <c r="N24" s="18">
        <v>0.98</v>
      </c>
      <c r="O24" s="18">
        <v>0.66</v>
      </c>
      <c r="P24" s="24">
        <v>1</v>
      </c>
      <c r="Q24" s="24"/>
      <c r="R24" s="155"/>
      <c r="S24" s="205"/>
      <c r="T24" s="35">
        <f t="shared" si="1"/>
        <v>44767</v>
      </c>
      <c r="U24" s="42" cm="1">
        <f t="array" ref="U24">SUMIFS(calls_off_GUY,period_GUY,"&gt;="&amp;T24,period_GUY,"&lt;"&amp;T25)</f>
        <v>2049</v>
      </c>
      <c r="V24" s="114" cm="1">
        <f t="array" ref="V24">SUMIFS(calls_ans_GUY,period_GUY,"&gt;="&amp;T24,period_GUY,"&lt;"&amp;T25)</f>
        <v>1989</v>
      </c>
    </row>
    <row r="25" spans="1:22" x14ac:dyDescent="0.35">
      <c r="A25" s="29">
        <v>44675</v>
      </c>
      <c r="B25" s="38" t="s">
        <v>48</v>
      </c>
      <c r="C25" s="38" t="s">
        <v>60</v>
      </c>
      <c r="D25" s="1">
        <v>0</v>
      </c>
      <c r="E25" s="1">
        <v>0</v>
      </c>
      <c r="F25" s="72">
        <v>0</v>
      </c>
      <c r="G25" s="72">
        <v>0</v>
      </c>
      <c r="H25" s="1">
        <v>0</v>
      </c>
      <c r="I25" s="1">
        <v>0</v>
      </c>
      <c r="J25" s="1">
        <v>0</v>
      </c>
      <c r="K25" s="1">
        <v>0</v>
      </c>
      <c r="L25" s="18">
        <v>0</v>
      </c>
      <c r="M25" s="18">
        <v>0</v>
      </c>
      <c r="N25" s="18">
        <v>0</v>
      </c>
      <c r="O25" s="18">
        <v>0</v>
      </c>
      <c r="P25" s="24">
        <v>0</v>
      </c>
      <c r="Q25" s="24"/>
      <c r="R25" s="155"/>
      <c r="S25" s="205"/>
      <c r="T25" s="35">
        <f t="shared" si="1"/>
        <v>44774</v>
      </c>
      <c r="U25" s="1" cm="1">
        <f t="array" ref="U25">SUMIFS(calls_off_GUY,period_GUY,"&gt;="&amp;T25,period_GUY,"&lt;"&amp;T26)</f>
        <v>1624</v>
      </c>
      <c r="V25" s="116" cm="1">
        <f t="array" ref="V25">SUMIFS(calls_ans_GUY,period_GUY,"&gt;="&amp;T25,period_GUY,"&lt;"&amp;T26)</f>
        <v>1569</v>
      </c>
    </row>
    <row r="26" spans="1:22" x14ac:dyDescent="0.35">
      <c r="A26" s="35">
        <v>44676</v>
      </c>
      <c r="B26" s="38" t="s">
        <v>49</v>
      </c>
      <c r="C26" s="38" t="s">
        <v>60</v>
      </c>
      <c r="D26" s="1">
        <v>291</v>
      </c>
      <c r="E26" s="1">
        <v>284</v>
      </c>
      <c r="F26" s="72">
        <v>0</v>
      </c>
      <c r="G26" s="72">
        <v>0</v>
      </c>
      <c r="H26" s="1">
        <v>4790</v>
      </c>
      <c r="I26" s="1">
        <v>4677</v>
      </c>
      <c r="J26" s="1">
        <v>4790</v>
      </c>
      <c r="K26" s="1">
        <v>4677</v>
      </c>
      <c r="L26" s="18">
        <v>0.93</v>
      </c>
      <c r="M26" s="18">
        <v>0.02</v>
      </c>
      <c r="N26" s="18">
        <v>0.98</v>
      </c>
      <c r="O26" s="18">
        <v>0.59</v>
      </c>
      <c r="P26" s="24">
        <v>0.99</v>
      </c>
      <c r="Q26" s="24"/>
      <c r="R26" s="155"/>
      <c r="S26" s="205"/>
      <c r="T26" s="35">
        <f t="shared" si="1"/>
        <v>44781</v>
      </c>
      <c r="U26" s="1" cm="1">
        <f t="array" ref="U26">SUMIFS(calls_off_GUY,period_GUY,"&gt;="&amp;T26,period_GUY,"&lt;"&amp;T27)</f>
        <v>2170</v>
      </c>
      <c r="V26" s="116" cm="1">
        <f t="array" ref="V26">SUMIFS(calls_ans_GUY,period_GUY,"&gt;="&amp;T26,period_GUY,"&lt;"&amp;T27)</f>
        <v>2074</v>
      </c>
    </row>
    <row r="27" spans="1:22" x14ac:dyDescent="0.35">
      <c r="A27" s="35">
        <v>44677</v>
      </c>
      <c r="B27" s="38" t="s">
        <v>50</v>
      </c>
      <c r="C27" s="38" t="s">
        <v>60</v>
      </c>
      <c r="D27" s="1">
        <v>352</v>
      </c>
      <c r="E27" s="1">
        <v>314</v>
      </c>
      <c r="F27" s="72">
        <v>2.9239766081871343E-2</v>
      </c>
      <c r="G27" s="72">
        <v>-6.8249258160237386E-2</v>
      </c>
      <c r="H27" s="1">
        <v>5142</v>
      </c>
      <c r="I27" s="1">
        <v>4991</v>
      </c>
      <c r="J27" s="1">
        <v>5142</v>
      </c>
      <c r="K27" s="1">
        <v>4991</v>
      </c>
      <c r="L27" s="18">
        <v>0.78</v>
      </c>
      <c r="M27" s="18">
        <v>0.11</v>
      </c>
      <c r="N27" s="18">
        <v>0.89</v>
      </c>
      <c r="O27" s="18">
        <v>0.71</v>
      </c>
      <c r="P27" s="24">
        <v>1</v>
      </c>
      <c r="Q27" s="24"/>
      <c r="R27" s="155"/>
      <c r="S27" s="205"/>
      <c r="T27" s="35">
        <f t="shared" si="1"/>
        <v>44788</v>
      </c>
      <c r="U27" s="1" cm="1">
        <f t="array" ref="U27">SUMIFS(calls_off_GUY,period_GUY,"&gt;="&amp;T27,period_GUY,"&lt;"&amp;T28)</f>
        <v>2014</v>
      </c>
      <c r="V27" s="116" cm="1">
        <f t="array" ref="V27">SUMIFS(calls_ans_GUY,period_GUY,"&gt;="&amp;T27,period_GUY,"&lt;"&amp;T28)</f>
        <v>1937</v>
      </c>
    </row>
    <row r="28" spans="1:22" x14ac:dyDescent="0.35">
      <c r="A28" s="35">
        <v>44678</v>
      </c>
      <c r="B28" s="38" t="s">
        <v>51</v>
      </c>
      <c r="C28" s="38" t="s">
        <v>60</v>
      </c>
      <c r="D28" s="1">
        <v>352</v>
      </c>
      <c r="E28" s="1">
        <v>336</v>
      </c>
      <c r="F28" s="72">
        <v>0.1891891891891892</v>
      </c>
      <c r="G28" s="72">
        <v>0.16262975778546712</v>
      </c>
      <c r="H28" s="1">
        <v>5494</v>
      </c>
      <c r="I28" s="1">
        <v>5327</v>
      </c>
      <c r="J28" s="1">
        <v>5494</v>
      </c>
      <c r="K28" s="1">
        <v>5327</v>
      </c>
      <c r="L28" s="18">
        <v>0.77</v>
      </c>
      <c r="M28" s="18">
        <v>0.05</v>
      </c>
      <c r="N28" s="18">
        <v>0.95</v>
      </c>
      <c r="O28" s="18">
        <v>0.68</v>
      </c>
      <c r="P28" s="24">
        <v>1</v>
      </c>
      <c r="Q28" s="24"/>
      <c r="R28" s="155"/>
      <c r="S28" s="205"/>
      <c r="T28" s="35">
        <f t="shared" si="1"/>
        <v>44795</v>
      </c>
      <c r="U28" s="1" cm="1">
        <f t="array" ref="U28">SUMIFS(calls_off_GUY,period_GUY,"&gt;="&amp;T28,period_GUY,"&lt;"&amp;T29)</f>
        <v>2432</v>
      </c>
      <c r="V28" s="116" cm="1">
        <f t="array" ref="V28">SUMIFS(calls_ans_GUY,period_GUY,"&gt;="&amp;T28,period_GUY,"&lt;"&amp;T29)</f>
        <v>2331</v>
      </c>
    </row>
    <row r="29" spans="1:22" x14ac:dyDescent="0.35">
      <c r="A29" s="35">
        <v>44679</v>
      </c>
      <c r="B29" s="38" t="s">
        <v>52</v>
      </c>
      <c r="C29" s="38" t="s">
        <v>60</v>
      </c>
      <c r="D29" s="1">
        <v>305</v>
      </c>
      <c r="E29" s="1">
        <v>292</v>
      </c>
      <c r="F29" s="72">
        <v>0.22489959839357429</v>
      </c>
      <c r="G29" s="72">
        <v>0.18218623481781376</v>
      </c>
      <c r="H29" s="1">
        <v>5799</v>
      </c>
      <c r="I29" s="1">
        <v>5619</v>
      </c>
      <c r="J29" s="1">
        <v>5799</v>
      </c>
      <c r="K29" s="1">
        <v>5619</v>
      </c>
      <c r="L29" s="18">
        <v>0.89</v>
      </c>
      <c r="M29" s="18">
        <v>0.04</v>
      </c>
      <c r="N29" s="18">
        <v>0.96</v>
      </c>
      <c r="O29" s="18">
        <v>0.72</v>
      </c>
      <c r="P29" s="24">
        <v>1</v>
      </c>
      <c r="Q29" s="24"/>
      <c r="R29" s="155"/>
      <c r="S29" s="205"/>
      <c r="T29" s="35">
        <f t="shared" si="1"/>
        <v>44802</v>
      </c>
      <c r="U29" s="1" cm="1">
        <f t="array" ref="U29">SUMIFS(calls_off_GUY,period_GUY,"&gt;="&amp;T29,period_GUY,"&lt;"&amp;T30)</f>
        <v>2671</v>
      </c>
      <c r="V29" s="116" cm="1">
        <f t="array" ref="V29">SUMIFS(calls_ans_GUY,period_GUY,"&gt;="&amp;T29,period_GUY,"&lt;"&amp;T30)</f>
        <v>2573</v>
      </c>
    </row>
    <row r="30" spans="1:22" x14ac:dyDescent="0.35">
      <c r="A30" s="35">
        <v>44680</v>
      </c>
      <c r="B30" s="38" t="s">
        <v>53</v>
      </c>
      <c r="C30" s="38" t="s">
        <v>60</v>
      </c>
      <c r="D30" s="1">
        <v>323</v>
      </c>
      <c r="E30" s="1">
        <v>312</v>
      </c>
      <c r="F30" s="72">
        <v>0.20973782771535582</v>
      </c>
      <c r="G30" s="72">
        <v>0.20930232558139536</v>
      </c>
      <c r="H30" s="1">
        <v>6122</v>
      </c>
      <c r="I30" s="1">
        <v>5931</v>
      </c>
      <c r="J30" s="1">
        <v>6122</v>
      </c>
      <c r="K30" s="1">
        <v>5931</v>
      </c>
      <c r="L30" s="18">
        <v>0.81</v>
      </c>
      <c r="M30" s="18">
        <v>0.03</v>
      </c>
      <c r="N30" s="18">
        <v>0.97</v>
      </c>
      <c r="O30" s="18">
        <v>0.7</v>
      </c>
      <c r="P30" s="24">
        <v>1</v>
      </c>
      <c r="Q30" s="24"/>
      <c r="R30" s="155"/>
      <c r="S30" s="205"/>
      <c r="T30" s="35">
        <f t="shared" si="1"/>
        <v>44809</v>
      </c>
      <c r="U30" s="1" cm="1">
        <f t="array" ref="U30">SUMIFS(calls_off_GUY,period_GUY,"&gt;="&amp;T30,period_GUY,"&lt;"&amp;T31)</f>
        <v>2459</v>
      </c>
      <c r="V30" s="116" cm="1">
        <f t="array" ref="V30">SUMIFS(calls_ans_GUY,period_GUY,"&gt;="&amp;T30,period_GUY,"&lt;"&amp;T31)</f>
        <v>2352</v>
      </c>
    </row>
    <row r="31" spans="1:22" x14ac:dyDescent="0.35">
      <c r="A31" s="35">
        <v>44681</v>
      </c>
      <c r="B31" s="38" t="s">
        <v>54</v>
      </c>
      <c r="C31" s="38" t="s">
        <v>60</v>
      </c>
      <c r="D31" s="1">
        <v>265</v>
      </c>
      <c r="E31" s="1">
        <v>254</v>
      </c>
      <c r="F31" s="72">
        <v>0.53179190751445082</v>
      </c>
      <c r="G31" s="72">
        <v>0.50295857988165682</v>
      </c>
      <c r="H31" s="1">
        <v>6387</v>
      </c>
      <c r="I31" s="1">
        <v>6185</v>
      </c>
      <c r="J31" s="1">
        <v>6387</v>
      </c>
      <c r="K31" s="1">
        <v>6185</v>
      </c>
      <c r="L31" s="18">
        <v>0.88</v>
      </c>
      <c r="M31" s="18">
        <v>0.04</v>
      </c>
      <c r="N31" s="18">
        <v>0.96</v>
      </c>
      <c r="O31" s="18">
        <v>0.57999999999999996</v>
      </c>
      <c r="P31" s="24">
        <v>1</v>
      </c>
      <c r="Q31" s="24"/>
      <c r="R31" s="155"/>
      <c r="S31" s="205"/>
      <c r="T31" s="35">
        <f t="shared" si="1"/>
        <v>44816</v>
      </c>
      <c r="U31" s="1" cm="1">
        <f t="array" ref="U31">SUMIFS(calls_off_GUY,period_GUY,"&gt;="&amp;T31,period_GUY,"&lt;"&amp;T32)</f>
        <v>2766</v>
      </c>
      <c r="V31" s="116" cm="1">
        <f t="array" ref="V31">SUMIFS(calls_ans_GUY,period_GUY,"&gt;="&amp;T31,period_GUY,"&lt;"&amp;T32)</f>
        <v>2625</v>
      </c>
    </row>
    <row r="32" spans="1:22" x14ac:dyDescent="0.35">
      <c r="A32" s="29">
        <v>44682</v>
      </c>
      <c r="B32" s="38" t="s">
        <v>48</v>
      </c>
      <c r="C32" s="38" t="s">
        <v>60</v>
      </c>
      <c r="D32" s="1">
        <v>0</v>
      </c>
      <c r="E32" s="1">
        <v>0</v>
      </c>
      <c r="F32" s="72">
        <v>0</v>
      </c>
      <c r="G32" s="72">
        <v>0</v>
      </c>
      <c r="H32" s="1">
        <v>0</v>
      </c>
      <c r="I32" s="1">
        <v>0</v>
      </c>
      <c r="J32" s="1">
        <v>0</v>
      </c>
      <c r="K32" s="1">
        <v>0</v>
      </c>
      <c r="L32" s="18">
        <v>0</v>
      </c>
      <c r="M32" s="18">
        <v>0</v>
      </c>
      <c r="N32" s="18">
        <v>0</v>
      </c>
      <c r="O32" s="18">
        <v>0</v>
      </c>
      <c r="P32" s="24">
        <v>0</v>
      </c>
      <c r="Q32" s="24"/>
      <c r="R32" s="155"/>
      <c r="S32" s="205"/>
      <c r="T32" s="35">
        <f t="shared" si="1"/>
        <v>44823</v>
      </c>
      <c r="U32" s="1" cm="1">
        <f t="array" ref="U32">SUMIFS(calls_off_GUY,period_GUY,"&gt;="&amp;T32,period_GUY,"&lt;"&amp;T33)</f>
        <v>2604</v>
      </c>
      <c r="V32" s="116" cm="1">
        <f t="array" ref="V32">SUMIFS(calls_ans_GUY,period_GUY,"&gt;="&amp;T32,period_GUY,"&lt;"&amp;T33)</f>
        <v>2496</v>
      </c>
    </row>
    <row r="33" spans="1:25" x14ac:dyDescent="0.35">
      <c r="A33" s="35">
        <v>44683</v>
      </c>
      <c r="B33" s="38" t="s">
        <v>49</v>
      </c>
      <c r="C33" s="38" t="s">
        <v>60</v>
      </c>
      <c r="D33" s="22">
        <v>0</v>
      </c>
      <c r="E33" s="22">
        <v>0</v>
      </c>
      <c r="F33" s="72">
        <v>0</v>
      </c>
      <c r="G33" s="7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60">
        <v>0</v>
      </c>
      <c r="Q33" s="60"/>
      <c r="R33" s="155"/>
      <c r="S33" s="205"/>
      <c r="T33" s="35">
        <f t="shared" si="1"/>
        <v>44830</v>
      </c>
      <c r="U33" s="1" cm="1">
        <f t="array" ref="U33">SUMIFS(calls_off_GUY,period_GUY,"&gt;="&amp;T33,period_GUY,"&lt;"&amp;T34)</f>
        <v>2573</v>
      </c>
      <c r="V33" s="116" cm="1">
        <f t="array" ref="V33">SUMIFS(calls_ans_GUY,period_GUY,"&gt;="&amp;T33,period_GUY,"&lt;"&amp;T34)</f>
        <v>2462</v>
      </c>
    </row>
    <row r="34" spans="1:25" x14ac:dyDescent="0.35">
      <c r="A34" s="35">
        <v>44684</v>
      </c>
      <c r="B34" s="38" t="s">
        <v>50</v>
      </c>
      <c r="C34" s="38" t="s">
        <v>60</v>
      </c>
      <c r="D34" s="1">
        <v>371</v>
      </c>
      <c r="E34" s="1">
        <v>355</v>
      </c>
      <c r="F34" s="72">
        <v>5.3977272727272728E-2</v>
      </c>
      <c r="G34" s="72">
        <v>0.13057324840764331</v>
      </c>
      <c r="H34" s="1">
        <v>371</v>
      </c>
      <c r="I34" s="1">
        <v>355</v>
      </c>
      <c r="J34" s="1">
        <v>6758</v>
      </c>
      <c r="K34" s="1">
        <v>6540</v>
      </c>
      <c r="L34" s="18">
        <v>0.84</v>
      </c>
      <c r="M34" s="18">
        <v>0.04</v>
      </c>
      <c r="N34" s="18">
        <v>0.96</v>
      </c>
      <c r="O34" s="18">
        <v>0.7</v>
      </c>
      <c r="P34" s="24">
        <v>1</v>
      </c>
      <c r="Q34" s="24"/>
      <c r="R34" s="155"/>
      <c r="S34" s="205"/>
      <c r="T34" s="35">
        <f t="shared" si="1"/>
        <v>44837</v>
      </c>
      <c r="U34" s="1" cm="1">
        <f t="array" ref="U34">SUMIFS(calls_off_GUY,period_GUY,"&gt;="&amp;T34,period_GUY,"&lt;"&amp;T35)</f>
        <v>2246</v>
      </c>
      <c r="V34" s="116" cm="1">
        <f t="array" ref="V34">SUMIFS(calls_ans_GUY,period_GUY,"&gt;="&amp;T34,period_GUY,"&lt;"&amp;T35)</f>
        <v>2137</v>
      </c>
    </row>
    <row r="35" spans="1:25" x14ac:dyDescent="0.35">
      <c r="A35" s="35">
        <v>44685</v>
      </c>
      <c r="B35" s="38" t="s">
        <v>51</v>
      </c>
      <c r="C35" s="38" t="s">
        <v>60</v>
      </c>
      <c r="D35" s="1">
        <v>306</v>
      </c>
      <c r="E35" s="1">
        <v>298</v>
      </c>
      <c r="F35" s="72">
        <v>-0.13068181818181818</v>
      </c>
      <c r="G35" s="72">
        <v>-0.1130952380952381</v>
      </c>
      <c r="H35" s="1">
        <v>677</v>
      </c>
      <c r="I35" s="1">
        <v>653</v>
      </c>
      <c r="J35" s="1">
        <v>7064</v>
      </c>
      <c r="K35" s="1">
        <v>6838</v>
      </c>
      <c r="L35" s="18">
        <v>0.94</v>
      </c>
      <c r="M35" s="18">
        <v>0.03</v>
      </c>
      <c r="N35" s="18">
        <v>0.97</v>
      </c>
      <c r="O35" s="18">
        <v>0.66</v>
      </c>
      <c r="P35" s="24">
        <v>1</v>
      </c>
      <c r="Q35" s="24"/>
      <c r="R35" s="155"/>
      <c r="S35" s="205"/>
      <c r="T35" s="35">
        <f t="shared" si="1"/>
        <v>44844</v>
      </c>
      <c r="U35" s="1" cm="1">
        <f t="array" ref="U35">SUMIFS(calls_off_GUY,period_GUY,"&gt;="&amp;T35,period_GUY,"&lt;"&amp;T36)</f>
        <v>2164</v>
      </c>
      <c r="V35" s="116" cm="1">
        <f t="array" ref="V35">SUMIFS(calls_ans_GUY,period_GUY,"&gt;="&amp;T35,period_GUY,"&lt;"&amp;T36)</f>
        <v>2073</v>
      </c>
    </row>
    <row r="36" spans="1:25" x14ac:dyDescent="0.35">
      <c r="A36" s="35">
        <v>44686</v>
      </c>
      <c r="B36" s="38" t="s">
        <v>52</v>
      </c>
      <c r="C36" s="38" t="s">
        <v>60</v>
      </c>
      <c r="D36" s="22">
        <v>0</v>
      </c>
      <c r="E36" s="22">
        <v>0</v>
      </c>
      <c r="F36" s="72">
        <v>0</v>
      </c>
      <c r="G36" s="7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60">
        <v>0</v>
      </c>
      <c r="Q36" s="60"/>
      <c r="R36" s="155"/>
      <c r="S36" s="205"/>
      <c r="T36" s="35">
        <f t="shared" si="1"/>
        <v>44851</v>
      </c>
      <c r="U36" s="1" cm="1">
        <f t="array" ref="U36">SUMIFS(calls_off_GUY,period_GUY,"&gt;="&amp;T36,period_GUY,"&lt;"&amp;T37)</f>
        <v>2769</v>
      </c>
      <c r="V36" s="116" cm="1">
        <f t="array" ref="V36">SUMIFS(calls_ans_GUY,period_GUY,"&gt;="&amp;T36,period_GUY,"&lt;"&amp;T37)</f>
        <v>2583</v>
      </c>
    </row>
    <row r="37" spans="1:25" x14ac:dyDescent="0.35">
      <c r="A37" s="35">
        <v>44687</v>
      </c>
      <c r="B37" s="38" t="s">
        <v>53</v>
      </c>
      <c r="C37" s="38" t="s">
        <v>60</v>
      </c>
      <c r="D37" s="1">
        <v>339</v>
      </c>
      <c r="E37" s="1">
        <v>330</v>
      </c>
      <c r="F37" s="72">
        <v>4.9535603715170282E-2</v>
      </c>
      <c r="G37" s="72">
        <v>5.7692307692307696E-2</v>
      </c>
      <c r="H37" s="1">
        <v>1016</v>
      </c>
      <c r="I37" s="1">
        <v>983</v>
      </c>
      <c r="J37" s="1">
        <v>7403</v>
      </c>
      <c r="K37" s="1">
        <v>7168</v>
      </c>
      <c r="L37" s="18">
        <v>0.82</v>
      </c>
      <c r="M37" s="18">
        <v>0.03</v>
      </c>
      <c r="N37" s="18">
        <v>0.97</v>
      </c>
      <c r="O37" s="18">
        <v>0.7</v>
      </c>
      <c r="P37" s="24">
        <v>1</v>
      </c>
      <c r="Q37" s="24"/>
      <c r="R37" s="155"/>
      <c r="S37" s="205"/>
      <c r="T37" s="35">
        <f t="shared" si="1"/>
        <v>44858</v>
      </c>
      <c r="U37" s="1" cm="1">
        <f t="array" ref="U37">SUMIFS(calls_off_GUY,period_GUY,"&gt;="&amp;T37,period_GUY,"&lt;"&amp;T38)</f>
        <v>2291</v>
      </c>
      <c r="V37" s="116" cm="1">
        <f t="array" ref="V37">SUMIFS(calls_ans_GUY,period_GUY,"&gt;="&amp;T37,period_GUY,"&lt;"&amp;T38)</f>
        <v>2184</v>
      </c>
    </row>
    <row r="38" spans="1:25" x14ac:dyDescent="0.35">
      <c r="A38" s="35">
        <v>44688</v>
      </c>
      <c r="B38" s="38" t="s">
        <v>54</v>
      </c>
      <c r="C38" s="38" t="s">
        <v>60</v>
      </c>
      <c r="D38" s="1">
        <v>203</v>
      </c>
      <c r="E38" s="1">
        <v>198</v>
      </c>
      <c r="F38" s="72">
        <v>-0.2339622641509434</v>
      </c>
      <c r="G38" s="72">
        <v>-0.22047244094488189</v>
      </c>
      <c r="H38" s="1">
        <v>1219</v>
      </c>
      <c r="I38" s="1">
        <v>1181</v>
      </c>
      <c r="J38" s="1">
        <v>7606</v>
      </c>
      <c r="K38" s="1">
        <v>7366</v>
      </c>
      <c r="L38" s="18">
        <v>0.93</v>
      </c>
      <c r="M38" s="18">
        <v>0.03</v>
      </c>
      <c r="N38" s="18">
        <v>0.97</v>
      </c>
      <c r="O38" s="18">
        <v>0.67</v>
      </c>
      <c r="P38" s="24">
        <v>1</v>
      </c>
      <c r="Q38" s="24"/>
      <c r="R38" s="155"/>
      <c r="S38" s="205"/>
      <c r="T38" s="35">
        <f t="shared" si="1"/>
        <v>44865</v>
      </c>
      <c r="U38" s="1" cm="1">
        <f t="array" ref="U38">SUMIFS(calls_off_GUY,period_GUY,"&gt;="&amp;T38,period_GUY,"&lt;"&amp;T39)</f>
        <v>3024</v>
      </c>
      <c r="V38" s="116" cm="1">
        <f t="array" ref="V38">SUMIFS(calls_ans_GUY,period_GUY,"&gt;="&amp;T38,period_GUY,"&lt;"&amp;T39)</f>
        <v>2808</v>
      </c>
    </row>
    <row r="39" spans="1:25" x14ac:dyDescent="0.35">
      <c r="A39" s="29">
        <v>44689</v>
      </c>
      <c r="B39" s="38" t="s">
        <v>48</v>
      </c>
      <c r="C39" s="38" t="s">
        <v>60</v>
      </c>
      <c r="D39" s="1">
        <v>0</v>
      </c>
      <c r="E39" s="1">
        <v>0</v>
      </c>
      <c r="F39" s="72">
        <v>0</v>
      </c>
      <c r="G39" s="72">
        <v>0</v>
      </c>
      <c r="H39" s="1">
        <v>0</v>
      </c>
      <c r="I39" s="1">
        <v>0</v>
      </c>
      <c r="J39" s="1">
        <v>0</v>
      </c>
      <c r="K39" s="1">
        <v>0</v>
      </c>
      <c r="L39" s="18">
        <v>0</v>
      </c>
      <c r="M39" s="18">
        <v>0</v>
      </c>
      <c r="N39" s="18">
        <v>0</v>
      </c>
      <c r="O39" s="18">
        <v>0</v>
      </c>
      <c r="P39" s="24">
        <v>0</v>
      </c>
      <c r="Q39" s="24"/>
      <c r="R39" s="155"/>
      <c r="S39" s="205"/>
      <c r="T39" s="35">
        <f t="shared" si="1"/>
        <v>44872</v>
      </c>
      <c r="U39" s="1" cm="1">
        <f t="array" ref="U39">SUMIFS(calls_off_GUY,period_GUY,"&gt;="&amp;T39,period_GUY,"&lt;"&amp;T40)</f>
        <v>2765</v>
      </c>
      <c r="V39" s="116" cm="1">
        <f t="array" ref="V39">SUMIFS(calls_ans_GUY,period_GUY,"&gt;="&amp;T39,period_GUY,"&lt;"&amp;T40)</f>
        <v>2649</v>
      </c>
      <c r="X39">
        <f>(Table10[[#This Row],[Sum of Calls - Offered]]-U38)/U38</f>
        <v>-8.5648148148148154E-2</v>
      </c>
      <c r="Y39">
        <f>(Table10[[#This Row],[Sum of Calls - Answered]]-V38)/V38</f>
        <v>-5.6623931623931624E-2</v>
      </c>
    </row>
    <row r="40" spans="1:25" x14ac:dyDescent="0.35">
      <c r="A40" s="35">
        <v>44690</v>
      </c>
      <c r="B40" s="38" t="s">
        <v>49</v>
      </c>
      <c r="C40" s="38" t="s">
        <v>60</v>
      </c>
      <c r="D40" s="1">
        <v>292</v>
      </c>
      <c r="E40" s="1">
        <v>283</v>
      </c>
      <c r="F40" s="72">
        <v>0</v>
      </c>
      <c r="G40" s="72">
        <v>0</v>
      </c>
      <c r="H40" s="1">
        <v>1511</v>
      </c>
      <c r="I40" s="1">
        <v>1464</v>
      </c>
      <c r="J40" s="1">
        <v>7898</v>
      </c>
      <c r="K40" s="1">
        <v>7649</v>
      </c>
      <c r="L40" s="18">
        <v>0.89</v>
      </c>
      <c r="M40" s="18">
        <v>0.03</v>
      </c>
      <c r="N40" s="18">
        <v>0.97</v>
      </c>
      <c r="O40" s="18">
        <v>0.65</v>
      </c>
      <c r="P40" s="24">
        <v>1</v>
      </c>
      <c r="Q40" s="24"/>
      <c r="R40" s="155"/>
      <c r="S40" s="205"/>
      <c r="T40" s="35">
        <f t="shared" si="1"/>
        <v>44879</v>
      </c>
      <c r="U40" s="1" cm="1">
        <f t="array" ref="U40">SUMIFS(calls_off_GUY,period_GUY,"&gt;="&amp;T40,period_GUY,"&lt;"&amp;T41)</f>
        <v>2959</v>
      </c>
      <c r="V40" s="116" cm="1">
        <f t="array" ref="V40">SUMIFS(calls_ans_GUY,period_GUY,"&gt;="&amp;T40,period_GUY,"&lt;"&amp;T41)</f>
        <v>2848</v>
      </c>
    </row>
    <row r="41" spans="1:25" x14ac:dyDescent="0.35">
      <c r="A41" s="35">
        <v>44691</v>
      </c>
      <c r="B41" s="38" t="s">
        <v>50</v>
      </c>
      <c r="C41" s="38" t="s">
        <v>60</v>
      </c>
      <c r="D41" s="1">
        <v>335</v>
      </c>
      <c r="E41" s="1">
        <v>308</v>
      </c>
      <c r="F41" s="72">
        <v>-9.7035040431266845E-2</v>
      </c>
      <c r="G41" s="72">
        <v>-0.13239436619718309</v>
      </c>
      <c r="H41" s="1">
        <v>1846</v>
      </c>
      <c r="I41" s="1">
        <v>1772</v>
      </c>
      <c r="J41" s="1">
        <v>8233</v>
      </c>
      <c r="K41" s="1">
        <v>7957</v>
      </c>
      <c r="L41" s="18">
        <v>0.88</v>
      </c>
      <c r="M41" s="18">
        <v>0.04</v>
      </c>
      <c r="N41" s="18">
        <v>0.96</v>
      </c>
      <c r="O41" s="18">
        <v>0.79</v>
      </c>
      <c r="P41" s="24">
        <v>1</v>
      </c>
      <c r="Q41" s="24"/>
      <c r="R41" s="155"/>
      <c r="S41" s="205"/>
      <c r="T41" s="35">
        <f t="shared" si="1"/>
        <v>44886</v>
      </c>
      <c r="U41" s="1" cm="1">
        <f t="array" ref="U41">SUMIFS(calls_off_GUY,period_GUY,"&gt;="&amp;T41,period_GUY,"&lt;"&amp;T42)</f>
        <v>4809</v>
      </c>
      <c r="V41" s="116" cm="1">
        <f t="array" ref="V41">SUMIFS(calls_ans_GUY,period_GUY,"&gt;="&amp;T41,period_GUY,"&lt;"&amp;T42)</f>
        <v>4022</v>
      </c>
    </row>
    <row r="42" spans="1:25" x14ac:dyDescent="0.35">
      <c r="A42" s="35">
        <v>44692</v>
      </c>
      <c r="B42" s="38" t="s">
        <v>51</v>
      </c>
      <c r="C42" s="38" t="s">
        <v>60</v>
      </c>
      <c r="D42" s="1">
        <v>327</v>
      </c>
      <c r="E42" s="1">
        <v>308</v>
      </c>
      <c r="F42" s="72">
        <v>6.8627450980392163E-2</v>
      </c>
      <c r="G42" s="72">
        <v>3.3557046979865772E-2</v>
      </c>
      <c r="H42" s="1">
        <v>2173</v>
      </c>
      <c r="I42" s="1">
        <v>2080</v>
      </c>
      <c r="J42" s="1">
        <v>8560</v>
      </c>
      <c r="K42" s="1">
        <v>8265</v>
      </c>
      <c r="L42" s="18">
        <v>0.82</v>
      </c>
      <c r="M42" s="18">
        <v>0.06</v>
      </c>
      <c r="N42" s="18">
        <v>0.94</v>
      </c>
      <c r="O42" s="18">
        <v>0.76</v>
      </c>
      <c r="P42" s="24">
        <v>1</v>
      </c>
      <c r="Q42" s="24"/>
      <c r="R42" s="155"/>
      <c r="S42" s="205"/>
      <c r="T42" s="35">
        <f t="shared" si="1"/>
        <v>44893</v>
      </c>
      <c r="U42" s="1" cm="1">
        <f t="array" ref="U42">SUMIFS(calls_off_GUY,period_GUY,"&gt;="&amp;T42,period_GUY,"&lt;"&amp;T43)</f>
        <v>7406</v>
      </c>
      <c r="V42" s="116" cm="1">
        <f t="array" ref="V42">SUMIFS(calls_ans_GUY,period_GUY,"&gt;="&amp;T42,period_GUY,"&lt;"&amp;T43)</f>
        <v>4286</v>
      </c>
    </row>
    <row r="43" spans="1:25" x14ac:dyDescent="0.35">
      <c r="A43" s="35">
        <v>44693</v>
      </c>
      <c r="B43" s="38" t="s">
        <v>52</v>
      </c>
      <c r="C43" s="38" t="s">
        <v>60</v>
      </c>
      <c r="D43" s="1">
        <v>308</v>
      </c>
      <c r="E43" s="1">
        <v>286</v>
      </c>
      <c r="F43" s="72">
        <v>0</v>
      </c>
      <c r="G43" s="72">
        <v>0</v>
      </c>
      <c r="H43" s="1">
        <v>2481</v>
      </c>
      <c r="I43" s="1">
        <v>2366</v>
      </c>
      <c r="J43" s="1">
        <v>8868</v>
      </c>
      <c r="K43" s="1">
        <v>8551</v>
      </c>
      <c r="L43" s="18">
        <v>0.81</v>
      </c>
      <c r="M43" s="18">
        <v>7.0000000000000007E-2</v>
      </c>
      <c r="N43" s="18">
        <v>0.93</v>
      </c>
      <c r="O43" s="18">
        <v>0.73</v>
      </c>
      <c r="P43" s="24">
        <v>0.97</v>
      </c>
      <c r="Q43" s="24"/>
      <c r="R43" s="155"/>
      <c r="S43" s="205"/>
      <c r="T43" s="35">
        <f t="shared" si="1"/>
        <v>44900</v>
      </c>
      <c r="U43" s="1" cm="1">
        <f t="array" ref="U43">SUMIFS(calls_off_GUY,period_GUY,"&gt;="&amp;T43,period_GUY,"&lt;"&amp;T44)</f>
        <v>4752</v>
      </c>
      <c r="V43" s="116" cm="1">
        <f t="array" ref="V43">SUMIFS(calls_ans_GUY,period_GUY,"&gt;="&amp;T43,period_GUY,"&lt;"&amp;T44)</f>
        <v>3415</v>
      </c>
    </row>
    <row r="44" spans="1:25" x14ac:dyDescent="0.35">
      <c r="A44" s="35">
        <v>44694</v>
      </c>
      <c r="B44" s="38" t="s">
        <v>53</v>
      </c>
      <c r="C44" s="38" t="s">
        <v>60</v>
      </c>
      <c r="D44" s="1">
        <v>244</v>
      </c>
      <c r="E44" s="1">
        <v>239</v>
      </c>
      <c r="F44" s="72">
        <v>-0.28023598820058998</v>
      </c>
      <c r="G44" s="72">
        <v>-0.27575757575757576</v>
      </c>
      <c r="H44" s="1">
        <v>2725</v>
      </c>
      <c r="I44" s="1">
        <v>2605</v>
      </c>
      <c r="J44" s="1">
        <v>9112</v>
      </c>
      <c r="K44" s="1">
        <v>8790</v>
      </c>
      <c r="L44" s="18">
        <v>0.82</v>
      </c>
      <c r="M44" s="18">
        <v>0.02</v>
      </c>
      <c r="N44" s="18">
        <v>0.98</v>
      </c>
      <c r="O44" s="18">
        <v>0.69</v>
      </c>
      <c r="P44" s="24">
        <v>1</v>
      </c>
      <c r="Q44" s="24"/>
      <c r="R44" s="155"/>
      <c r="S44" s="205"/>
      <c r="T44" s="35">
        <f t="shared" si="1"/>
        <v>44907</v>
      </c>
      <c r="U44" s="1" cm="1">
        <f t="array" ref="U44">SUMIFS(calls_off_GUY,period_GUY,"&gt;="&amp;T44,period_GUY,"&lt;"&amp;T45)</f>
        <v>4720</v>
      </c>
      <c r="V44" s="116" cm="1">
        <f t="array" ref="V44">SUMIFS(calls_ans_GUY,period_GUY,"&gt;="&amp;T44,period_GUY,"&lt;"&amp;T45)</f>
        <v>3758</v>
      </c>
    </row>
    <row r="45" spans="1:25" x14ac:dyDescent="0.35">
      <c r="A45" s="35">
        <v>44695</v>
      </c>
      <c r="B45" s="38" t="s">
        <v>54</v>
      </c>
      <c r="C45" s="38" t="s">
        <v>60</v>
      </c>
      <c r="D45" s="1">
        <v>193</v>
      </c>
      <c r="E45" s="1">
        <v>188</v>
      </c>
      <c r="F45" s="72">
        <v>-4.9261083743842367E-2</v>
      </c>
      <c r="G45" s="72">
        <v>-5.0505050505050504E-2</v>
      </c>
      <c r="H45" s="1">
        <v>2918</v>
      </c>
      <c r="I45" s="1">
        <v>2793</v>
      </c>
      <c r="J45" s="1">
        <v>9305</v>
      </c>
      <c r="K45" s="1">
        <v>8978</v>
      </c>
      <c r="L45" s="18">
        <v>0.89</v>
      </c>
      <c r="M45" s="18">
        <v>0.03</v>
      </c>
      <c r="N45" s="18">
        <v>0.97</v>
      </c>
      <c r="O45" s="18">
        <v>0.69</v>
      </c>
      <c r="P45" s="24">
        <v>1</v>
      </c>
      <c r="Q45" s="24"/>
      <c r="R45" s="155"/>
      <c r="S45" s="205"/>
      <c r="T45" s="35">
        <f t="shared" si="1"/>
        <v>44914</v>
      </c>
      <c r="U45" s="1" cm="1">
        <f t="array" ref="U45">SUMIFS(calls_off_GUY,period_GUY,"&gt;="&amp;T45,period_GUY,"&lt;"&amp;T46)</f>
        <v>4457</v>
      </c>
      <c r="V45" s="116" cm="1">
        <f t="array" ref="V45">SUMIFS(calls_ans_GUY,period_GUY,"&gt;="&amp;T45,period_GUY,"&lt;"&amp;T46)</f>
        <v>3417</v>
      </c>
    </row>
    <row r="46" spans="1:25" x14ac:dyDescent="0.35">
      <c r="A46" s="29">
        <v>44696</v>
      </c>
      <c r="B46" s="38" t="s">
        <v>48</v>
      </c>
      <c r="C46" s="38" t="s">
        <v>60</v>
      </c>
      <c r="D46" s="1">
        <v>0</v>
      </c>
      <c r="E46" s="1">
        <v>0</v>
      </c>
      <c r="F46" s="72">
        <v>0</v>
      </c>
      <c r="G46" s="72">
        <v>0</v>
      </c>
      <c r="H46" s="1">
        <v>0</v>
      </c>
      <c r="I46" s="1">
        <v>0</v>
      </c>
      <c r="J46" s="1">
        <v>0</v>
      </c>
      <c r="K46" s="1">
        <v>0</v>
      </c>
      <c r="L46" s="18">
        <v>0</v>
      </c>
      <c r="M46" s="18">
        <v>0</v>
      </c>
      <c r="N46" s="18">
        <v>0</v>
      </c>
      <c r="O46" s="18">
        <v>0</v>
      </c>
      <c r="P46" s="24">
        <v>0</v>
      </c>
      <c r="Q46" s="24"/>
      <c r="R46" s="155"/>
      <c r="S46" s="205"/>
      <c r="T46" s="35">
        <f t="shared" si="1"/>
        <v>44921</v>
      </c>
      <c r="U46" s="1" cm="1">
        <f t="array" ref="U46">SUMIFS(calls_off_GUY,period_GUY,"&gt;="&amp;T46,period_GUY,"&lt;"&amp;T47)</f>
        <v>1835</v>
      </c>
      <c r="V46" s="116" cm="1">
        <f t="array" ref="V46">SUMIFS(calls_ans_GUY,period_GUY,"&gt;="&amp;T46,period_GUY,"&lt;"&amp;T47)</f>
        <v>1462</v>
      </c>
      <c r="W46" s="16"/>
    </row>
    <row r="47" spans="1:25" x14ac:dyDescent="0.35">
      <c r="A47" s="35">
        <v>44697</v>
      </c>
      <c r="B47" s="38" t="s">
        <v>49</v>
      </c>
      <c r="C47" s="38" t="s">
        <v>60</v>
      </c>
      <c r="D47" s="1">
        <v>288</v>
      </c>
      <c r="E47" s="1">
        <v>272</v>
      </c>
      <c r="F47" s="72">
        <v>-1.3698630136986301E-2</v>
      </c>
      <c r="G47" s="72">
        <v>-3.8869257950530034E-2</v>
      </c>
      <c r="H47" s="1">
        <v>3206</v>
      </c>
      <c r="I47" s="1">
        <v>3065</v>
      </c>
      <c r="J47" s="1">
        <v>9593</v>
      </c>
      <c r="K47" s="1">
        <v>9250</v>
      </c>
      <c r="L47" s="18">
        <v>0.77</v>
      </c>
      <c r="M47" s="18">
        <v>0.06</v>
      </c>
      <c r="N47" s="18">
        <v>0.94</v>
      </c>
      <c r="O47" s="18">
        <v>0.69</v>
      </c>
      <c r="P47" s="24">
        <v>1</v>
      </c>
      <c r="Q47" s="24"/>
      <c r="R47" s="155"/>
      <c r="S47" s="205"/>
      <c r="T47" s="35">
        <f t="shared" si="1"/>
        <v>44928</v>
      </c>
      <c r="U47" s="1" cm="1">
        <f t="array" ref="U47">SUMIFS(calls_off_GUY,period_GUY,"&gt;="&amp;T47,period_GUY,"&lt;"&amp;T48)</f>
        <v>1880</v>
      </c>
      <c r="V47" s="116" cm="1">
        <f t="array" ref="V47">SUMIFS(calls_ans_GUY,period_GUY,"&gt;="&amp;T47,period_GUY,"&lt;"&amp;T48)</f>
        <v>1537</v>
      </c>
      <c r="W47" s="16"/>
    </row>
    <row r="48" spans="1:25" x14ac:dyDescent="0.35">
      <c r="A48" s="35">
        <v>44698</v>
      </c>
      <c r="B48" s="38" t="s">
        <v>50</v>
      </c>
      <c r="C48" s="38" t="s">
        <v>60</v>
      </c>
      <c r="D48" s="1">
        <v>291</v>
      </c>
      <c r="E48" s="1">
        <v>283</v>
      </c>
      <c r="F48" s="72">
        <v>-0.13134328358208955</v>
      </c>
      <c r="G48" s="72">
        <v>-8.1168831168831168E-2</v>
      </c>
      <c r="H48" s="1">
        <v>3497</v>
      </c>
      <c r="I48" s="1">
        <v>3348</v>
      </c>
      <c r="J48" s="1">
        <v>9884</v>
      </c>
      <c r="K48" s="1">
        <v>9533</v>
      </c>
      <c r="L48" s="18">
        <v>0.89</v>
      </c>
      <c r="M48" s="18">
        <v>0.03</v>
      </c>
      <c r="N48" s="18">
        <v>0.97</v>
      </c>
      <c r="O48" s="18">
        <v>0.69</v>
      </c>
      <c r="P48" s="24">
        <v>1</v>
      </c>
      <c r="Q48" s="24"/>
      <c r="R48" s="155"/>
      <c r="T48" s="35">
        <f t="shared" si="1"/>
        <v>44935</v>
      </c>
      <c r="U48" s="1" cm="1">
        <f t="array" ref="U48">SUMIFS(calls_off_GUY,period_GUY,"&gt;="&amp;T48,period_GUY,"&lt;"&amp;T49)</f>
        <v>2262</v>
      </c>
      <c r="V48" s="116" cm="1">
        <f t="array" ref="V48">SUMIFS(calls_ans_GUY,period_GUY,"&gt;="&amp;T48,period_GUY,"&lt;"&amp;T49)</f>
        <v>2117</v>
      </c>
    </row>
    <row r="49" spans="1:22" x14ac:dyDescent="0.35">
      <c r="A49" s="35">
        <v>44699</v>
      </c>
      <c r="B49" s="38" t="s">
        <v>51</v>
      </c>
      <c r="C49" s="38" t="s">
        <v>60</v>
      </c>
      <c r="D49" s="1">
        <v>357</v>
      </c>
      <c r="E49" s="1">
        <v>331</v>
      </c>
      <c r="F49" s="72">
        <v>9.1743119266055051E-2</v>
      </c>
      <c r="G49" s="72">
        <v>7.4675324675324672E-2</v>
      </c>
      <c r="H49" s="1">
        <v>3854</v>
      </c>
      <c r="I49" s="1">
        <v>3679</v>
      </c>
      <c r="J49" s="1">
        <v>10241</v>
      </c>
      <c r="K49" s="1">
        <v>9864</v>
      </c>
      <c r="L49" s="18">
        <v>0.78</v>
      </c>
      <c r="M49" s="18">
        <v>7.0000000000000007E-2</v>
      </c>
      <c r="N49" s="18">
        <v>0.93</v>
      </c>
      <c r="O49" s="18">
        <v>0.69</v>
      </c>
      <c r="P49" s="24">
        <v>0.99</v>
      </c>
      <c r="Q49" s="24"/>
      <c r="R49" s="155"/>
      <c r="T49" s="35">
        <f t="shared" si="1"/>
        <v>44942</v>
      </c>
      <c r="U49" s="1" cm="1">
        <f t="array" ref="U49">SUMIFS(calls_off_GUY,period_GUY,"&gt;="&amp;T49,period_GUY,"&lt;"&amp;T50)</f>
        <v>1633</v>
      </c>
      <c r="V49" s="116" cm="1">
        <f t="array" ref="V49">SUMIFS(calls_ans_GUY,period_GUY,"&gt;="&amp;T49,period_GUY,"&lt;"&amp;T50)</f>
        <v>1573</v>
      </c>
    </row>
    <row r="50" spans="1:22" x14ac:dyDescent="0.35">
      <c r="A50" s="35">
        <v>44700</v>
      </c>
      <c r="B50" s="38" t="s">
        <v>52</v>
      </c>
      <c r="C50" s="38" t="s">
        <v>60</v>
      </c>
      <c r="D50" s="1">
        <v>290</v>
      </c>
      <c r="E50" s="1">
        <v>284</v>
      </c>
      <c r="F50" s="72">
        <v>-5.844155844155844E-2</v>
      </c>
      <c r="G50" s="72">
        <v>-6.993006993006993E-3</v>
      </c>
      <c r="H50" s="1">
        <v>4144</v>
      </c>
      <c r="I50" s="1">
        <v>3963</v>
      </c>
      <c r="J50" s="1">
        <v>10531</v>
      </c>
      <c r="K50" s="1">
        <v>10148</v>
      </c>
      <c r="L50" s="18">
        <v>0.92</v>
      </c>
      <c r="M50" s="18">
        <v>0.02</v>
      </c>
      <c r="N50" s="18">
        <v>0.98</v>
      </c>
      <c r="O50" s="18">
        <v>0.68</v>
      </c>
      <c r="P50" s="24">
        <v>1</v>
      </c>
      <c r="Q50" s="24"/>
      <c r="R50" s="155"/>
      <c r="T50" s="35">
        <f t="shared" si="1"/>
        <v>44949</v>
      </c>
      <c r="U50" s="1" cm="1">
        <f t="array" ref="U50">SUMIFS(calls_off_GUY,period_GUY,"&gt;="&amp;T50,period_GUY,"&lt;"&amp;T51)</f>
        <v>1398</v>
      </c>
      <c r="V50" s="116" cm="1">
        <f t="array" ref="V50">SUMIFS(calls_ans_GUY,period_GUY,"&gt;="&amp;T50,period_GUY,"&lt;"&amp;T51)</f>
        <v>1333</v>
      </c>
    </row>
    <row r="51" spans="1:22" x14ac:dyDescent="0.35">
      <c r="A51" s="35">
        <v>44701</v>
      </c>
      <c r="B51" s="38" t="s">
        <v>53</v>
      </c>
      <c r="C51" s="38" t="s">
        <v>60</v>
      </c>
      <c r="D51" s="1">
        <v>343</v>
      </c>
      <c r="E51" s="1">
        <v>325</v>
      </c>
      <c r="F51" s="72">
        <v>0.40573770491803279</v>
      </c>
      <c r="G51" s="72">
        <v>0.35983263598326359</v>
      </c>
      <c r="H51" s="1">
        <v>4487</v>
      </c>
      <c r="I51" s="1">
        <v>4288</v>
      </c>
      <c r="J51" s="1">
        <v>10874</v>
      </c>
      <c r="K51" s="1">
        <v>10473</v>
      </c>
      <c r="L51" s="18">
        <v>0.79</v>
      </c>
      <c r="M51" s="18">
        <v>0.05</v>
      </c>
      <c r="N51" s="18">
        <v>0.95</v>
      </c>
      <c r="O51" s="18">
        <v>0.67</v>
      </c>
      <c r="P51" s="24">
        <v>1</v>
      </c>
      <c r="Q51" s="24"/>
      <c r="R51" s="155"/>
      <c r="T51" s="35">
        <f t="shared" si="1"/>
        <v>44956</v>
      </c>
      <c r="U51" s="1" cm="1">
        <f t="array" ref="U51">SUMIFS(calls_off_GUY,period_GUY,"&gt;="&amp;T51,period_GUY,"&lt;"&amp;T52)</f>
        <v>1226</v>
      </c>
      <c r="V51" s="116" cm="1">
        <f t="array" ref="V51">SUMIFS(calls_ans_GUY,period_GUY,"&gt;="&amp;T51,period_GUY,"&lt;"&amp;T52)</f>
        <v>1197</v>
      </c>
    </row>
    <row r="52" spans="1:22" x14ac:dyDescent="0.35">
      <c r="A52" s="35">
        <v>44702</v>
      </c>
      <c r="B52" s="38" t="s">
        <v>54</v>
      </c>
      <c r="C52" s="38" t="s">
        <v>60</v>
      </c>
      <c r="D52" s="1">
        <v>243</v>
      </c>
      <c r="E52" s="1">
        <v>236</v>
      </c>
      <c r="F52" s="72">
        <v>0.25906735751295334</v>
      </c>
      <c r="G52" s="72">
        <v>0.25531914893617019</v>
      </c>
      <c r="H52" s="1">
        <v>4730</v>
      </c>
      <c r="I52" s="1">
        <v>4524</v>
      </c>
      <c r="J52" s="1">
        <v>11117</v>
      </c>
      <c r="K52" s="1">
        <v>10709</v>
      </c>
      <c r="L52" s="18">
        <v>0.88</v>
      </c>
      <c r="M52" s="18">
        <v>0.03</v>
      </c>
      <c r="N52" s="18">
        <v>0.97</v>
      </c>
      <c r="O52" s="18">
        <v>0.65</v>
      </c>
      <c r="P52" s="24">
        <v>1</v>
      </c>
      <c r="Q52" s="24"/>
      <c r="R52" s="155"/>
      <c r="T52" s="35">
        <f t="shared" si="1"/>
        <v>44963</v>
      </c>
      <c r="U52" s="1" cm="1">
        <f t="array" ref="U52">SUMIFS(calls_off_GUY,period_GUY,"&gt;="&amp;T52,period_GUY,"&lt;"&amp;T53)</f>
        <v>1093</v>
      </c>
      <c r="V52" s="116" cm="1">
        <f t="array" ref="V52">SUMIFS(calls_ans_GUY,period_GUY,"&gt;="&amp;T52,period_GUY,"&lt;"&amp;T53)</f>
        <v>1058</v>
      </c>
    </row>
    <row r="53" spans="1:22" x14ac:dyDescent="0.35">
      <c r="A53" s="29">
        <v>44703</v>
      </c>
      <c r="B53" s="38" t="s">
        <v>48</v>
      </c>
      <c r="C53" s="38" t="s">
        <v>60</v>
      </c>
      <c r="D53" s="1">
        <v>0</v>
      </c>
      <c r="E53" s="1">
        <v>0</v>
      </c>
      <c r="F53" s="72">
        <v>0</v>
      </c>
      <c r="G53" s="72">
        <v>0</v>
      </c>
      <c r="H53" s="1">
        <v>0</v>
      </c>
      <c r="I53" s="1">
        <v>0</v>
      </c>
      <c r="J53" s="1">
        <v>0</v>
      </c>
      <c r="K53" s="1">
        <v>0</v>
      </c>
      <c r="L53" s="18">
        <v>0</v>
      </c>
      <c r="M53" s="18">
        <v>0</v>
      </c>
      <c r="N53" s="18">
        <v>0</v>
      </c>
      <c r="O53" s="18">
        <v>0</v>
      </c>
      <c r="P53" s="24">
        <v>0</v>
      </c>
      <c r="Q53" s="24"/>
      <c r="R53" s="155"/>
      <c r="T53" s="35">
        <f t="shared" si="1"/>
        <v>44970</v>
      </c>
      <c r="U53" s="1" cm="1">
        <f t="array" ref="U53">SUMIFS(calls_off_GUY,period_GUY,"&gt;="&amp;T53,period_GUY,"&lt;"&amp;T54)</f>
        <v>1031</v>
      </c>
      <c r="V53" s="116" cm="1">
        <f t="array" ref="V53">SUMIFS(calls_ans_GUY,period_GUY,"&gt;="&amp;T53,period_GUY,"&lt;"&amp;T54)</f>
        <v>988</v>
      </c>
    </row>
    <row r="54" spans="1:22" x14ac:dyDescent="0.35">
      <c r="A54" s="35">
        <v>44704</v>
      </c>
      <c r="B54" s="38" t="s">
        <v>49</v>
      </c>
      <c r="C54" s="38" t="s">
        <v>60</v>
      </c>
      <c r="D54" s="1">
        <v>432</v>
      </c>
      <c r="E54" s="1">
        <v>422</v>
      </c>
      <c r="F54" s="72">
        <v>0.5</v>
      </c>
      <c r="G54" s="72">
        <v>0.55147058823529416</v>
      </c>
      <c r="H54" s="1">
        <v>5162</v>
      </c>
      <c r="I54" s="1">
        <v>4946</v>
      </c>
      <c r="J54" s="1">
        <v>11549</v>
      </c>
      <c r="K54" s="1">
        <v>11131</v>
      </c>
      <c r="L54" s="18">
        <v>0.82</v>
      </c>
      <c r="M54" s="18">
        <v>0.02</v>
      </c>
      <c r="N54" s="18">
        <v>0.98</v>
      </c>
      <c r="O54" s="18">
        <v>0.72</v>
      </c>
      <c r="P54" s="24">
        <v>1</v>
      </c>
      <c r="Q54" s="24"/>
      <c r="R54" s="155"/>
      <c r="T54" s="35">
        <f t="shared" si="1"/>
        <v>44977</v>
      </c>
      <c r="U54" s="1" cm="1">
        <f t="array" ref="U54">SUMIFS(calls_off_GUY,period_GUY,"&gt;="&amp;T54,period_GUY,"&lt;"&amp;T55)</f>
        <v>1147</v>
      </c>
      <c r="V54" s="116" cm="1">
        <f t="array" ref="V54">SUMIFS(calls_ans_GUY,period_GUY,"&gt;="&amp;T54,period_GUY,"&lt;"&amp;T55)</f>
        <v>1066</v>
      </c>
    </row>
    <row r="55" spans="1:22" x14ac:dyDescent="0.35">
      <c r="A55" s="35">
        <v>44705</v>
      </c>
      <c r="B55" s="38" t="s">
        <v>50</v>
      </c>
      <c r="C55" s="38" t="s">
        <v>60</v>
      </c>
      <c r="D55" s="1">
        <v>372</v>
      </c>
      <c r="E55" s="1">
        <v>354</v>
      </c>
      <c r="F55" s="72">
        <v>0.27835051546391754</v>
      </c>
      <c r="G55" s="72">
        <v>0.25088339222614842</v>
      </c>
      <c r="H55" s="1">
        <v>5534</v>
      </c>
      <c r="I55" s="1">
        <v>5300</v>
      </c>
      <c r="J55" s="1">
        <v>11921</v>
      </c>
      <c r="K55" s="1">
        <v>11485</v>
      </c>
      <c r="L55" s="18">
        <v>0.86</v>
      </c>
      <c r="M55" s="18">
        <v>0.05</v>
      </c>
      <c r="N55" s="18">
        <v>0.95</v>
      </c>
      <c r="O55" s="18">
        <v>0.7</v>
      </c>
      <c r="P55" s="24">
        <v>0.99</v>
      </c>
      <c r="Q55" s="24"/>
      <c r="R55" s="155"/>
      <c r="T55" s="35">
        <f t="shared" si="1"/>
        <v>44984</v>
      </c>
      <c r="U55" s="1" cm="1">
        <f t="array" ref="U55">SUMIFS(calls_off_GUY,period_GUY,"&gt;="&amp;T55,period_GUY,"&lt;"&amp;T56)</f>
        <v>1346</v>
      </c>
      <c r="V55" s="116" cm="1">
        <f t="array" ref="V55">SUMIFS(calls_ans_GUY,period_GUY,"&gt;="&amp;T55,period_GUY,"&lt;"&amp;T56)</f>
        <v>1303</v>
      </c>
    </row>
    <row r="56" spans="1:22" x14ac:dyDescent="0.35">
      <c r="A56" s="35">
        <v>44706</v>
      </c>
      <c r="B56" s="38" t="s">
        <v>51</v>
      </c>
      <c r="C56" s="38" t="s">
        <v>60</v>
      </c>
      <c r="D56" s="1">
        <v>344</v>
      </c>
      <c r="E56" s="1">
        <v>338</v>
      </c>
      <c r="F56" s="72">
        <v>-3.6414565826330535E-2</v>
      </c>
      <c r="G56" s="72">
        <v>2.1148036253776436E-2</v>
      </c>
      <c r="H56" s="1">
        <v>5878</v>
      </c>
      <c r="I56" s="1">
        <v>5638</v>
      </c>
      <c r="J56" s="1">
        <v>12265</v>
      </c>
      <c r="K56" s="1">
        <v>11823</v>
      </c>
      <c r="L56" s="18">
        <v>0.93</v>
      </c>
      <c r="M56" s="18">
        <v>0.02</v>
      </c>
      <c r="N56" s="18">
        <v>0.98</v>
      </c>
      <c r="O56" s="18">
        <v>0.72</v>
      </c>
      <c r="P56" s="24">
        <v>1</v>
      </c>
      <c r="Q56" s="24"/>
      <c r="R56" s="155"/>
      <c r="T56" s="35">
        <f t="shared" si="1"/>
        <v>44991</v>
      </c>
      <c r="U56" s="1" cm="1">
        <f t="array" ref="U56">SUMIFS(calls_off_GUY,period_GUY,"&gt;="&amp;T56,period_GUY,"&lt;"&amp;T57)</f>
        <v>1127</v>
      </c>
      <c r="V56" s="116" cm="1">
        <f t="array" ref="V56">SUMIFS(calls_ans_GUY,period_GUY,"&gt;="&amp;T56,period_GUY,"&lt;"&amp;T57)</f>
        <v>1096</v>
      </c>
    </row>
    <row r="57" spans="1:22" x14ac:dyDescent="0.35">
      <c r="A57" s="92">
        <v>44707</v>
      </c>
      <c r="B57" s="93" t="s">
        <v>52</v>
      </c>
      <c r="C57" s="93" t="s">
        <v>60</v>
      </c>
      <c r="D57" s="37">
        <v>0</v>
      </c>
      <c r="E57" s="37">
        <v>0</v>
      </c>
      <c r="F57" s="94">
        <v>0</v>
      </c>
      <c r="G57" s="94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41">
        <v>0</v>
      </c>
      <c r="Q57" s="41"/>
      <c r="R57" s="155"/>
      <c r="T57" s="35">
        <f t="shared" si="1"/>
        <v>44998</v>
      </c>
      <c r="U57" s="1" cm="1">
        <f t="array" ref="U57">SUMIFS(calls_off_GUY,period_GUY,"&gt;="&amp;T57,period_GUY,"&lt;"&amp;T58)</f>
        <v>1185</v>
      </c>
      <c r="V57" s="116" cm="1">
        <f t="array" ref="V57">SUMIFS(calls_ans_GUY,period_GUY,"&gt;="&amp;T57,period_GUY,"&lt;"&amp;T58)</f>
        <v>1135</v>
      </c>
    </row>
    <row r="58" spans="1:22" x14ac:dyDescent="0.35">
      <c r="A58" s="35">
        <v>44708</v>
      </c>
      <c r="B58" s="38" t="s">
        <v>53</v>
      </c>
      <c r="C58" s="38" t="s">
        <v>60</v>
      </c>
      <c r="D58" s="1">
        <v>392</v>
      </c>
      <c r="E58" s="1">
        <v>374</v>
      </c>
      <c r="F58" s="72">
        <v>0.14285714285714285</v>
      </c>
      <c r="G58" s="72">
        <v>0.15076923076923077</v>
      </c>
      <c r="H58" s="1">
        <v>6270</v>
      </c>
      <c r="I58" s="1">
        <v>6012</v>
      </c>
      <c r="J58" s="1">
        <v>12657</v>
      </c>
      <c r="K58" s="1">
        <v>12197</v>
      </c>
      <c r="L58" s="18">
        <v>0.74</v>
      </c>
      <c r="M58" s="18">
        <v>0.05</v>
      </c>
      <c r="N58" s="18">
        <v>0.95</v>
      </c>
      <c r="O58" s="18">
        <v>0.77</v>
      </c>
      <c r="P58" s="24">
        <v>1</v>
      </c>
      <c r="Q58" s="24"/>
      <c r="R58" s="155"/>
      <c r="T58" s="35">
        <f t="shared" si="1"/>
        <v>45005</v>
      </c>
      <c r="U58" s="1" cm="1">
        <f t="array" ref="U58">SUMIFS(calls_off_GUY,period_GUY,"&gt;="&amp;T58,period_GUY,"&lt;"&amp;T59)</f>
        <v>1171</v>
      </c>
      <c r="V58" s="116" cm="1">
        <f t="array" ref="V58">SUMIFS(calls_ans_GUY,period_GUY,"&gt;="&amp;T58,period_GUY,"&lt;"&amp;T59)</f>
        <v>1132</v>
      </c>
    </row>
    <row r="59" spans="1:22" x14ac:dyDescent="0.35">
      <c r="A59" s="35">
        <v>44709</v>
      </c>
      <c r="B59" s="38" t="s">
        <v>54</v>
      </c>
      <c r="C59" s="38" t="s">
        <v>60</v>
      </c>
      <c r="D59" s="1">
        <v>242</v>
      </c>
      <c r="E59" s="1">
        <v>236</v>
      </c>
      <c r="F59" s="72">
        <v>-4.11522633744856E-3</v>
      </c>
      <c r="G59" s="72">
        <v>0</v>
      </c>
      <c r="H59" s="1">
        <v>6512</v>
      </c>
      <c r="I59" s="1">
        <v>6248</v>
      </c>
      <c r="J59" s="1">
        <v>12899</v>
      </c>
      <c r="K59" s="1">
        <v>12433</v>
      </c>
      <c r="L59" s="18">
        <v>0.93</v>
      </c>
      <c r="M59" s="18">
        <v>0.02</v>
      </c>
      <c r="N59" s="18">
        <v>0.98</v>
      </c>
      <c r="O59" s="18">
        <v>0.65</v>
      </c>
      <c r="P59" s="24">
        <v>1</v>
      </c>
      <c r="Q59" s="24"/>
      <c r="R59" s="155"/>
      <c r="T59" s="35">
        <f t="shared" si="1"/>
        <v>45012</v>
      </c>
      <c r="U59" s="1" cm="1">
        <f t="array" ref="U59">SUMIFS(calls_off_GUY,period_GUY,"&gt;="&amp;T59,period_GUY,"&lt;"&amp;T60)</f>
        <v>1198</v>
      </c>
      <c r="V59" s="116" cm="1">
        <f t="array" ref="V59">SUMIFS(calls_ans_GUY,period_GUY,"&gt;="&amp;T59,period_GUY,"&lt;"&amp;T60)</f>
        <v>1143</v>
      </c>
    </row>
    <row r="60" spans="1:22" x14ac:dyDescent="0.35">
      <c r="A60" s="29">
        <v>44710</v>
      </c>
      <c r="B60" s="38" t="s">
        <v>48</v>
      </c>
      <c r="C60" s="38" t="s">
        <v>60</v>
      </c>
      <c r="D60" s="1">
        <v>0</v>
      </c>
      <c r="E60" s="1">
        <v>0</v>
      </c>
      <c r="F60" s="72">
        <v>0</v>
      </c>
      <c r="G60" s="72">
        <v>0</v>
      </c>
      <c r="H60" s="1">
        <v>0</v>
      </c>
      <c r="I60" s="1">
        <v>0</v>
      </c>
      <c r="J60" s="1">
        <v>0</v>
      </c>
      <c r="K60" s="1">
        <v>0</v>
      </c>
      <c r="L60" s="18">
        <v>0</v>
      </c>
      <c r="M60" s="18">
        <v>0</v>
      </c>
      <c r="N60" s="18">
        <v>0</v>
      </c>
      <c r="O60" s="18">
        <v>0</v>
      </c>
      <c r="P60" s="24">
        <v>0</v>
      </c>
      <c r="Q60" s="24"/>
      <c r="R60" s="155"/>
      <c r="T60" s="35">
        <v>45017</v>
      </c>
      <c r="U60" s="42" cm="1">
        <f t="array" ref="U60">SUMIFS(calls_off_GUY,period_GUY,"&gt;="&amp;T60,period_GUY,"&lt;"&amp;T61)</f>
        <v>0</v>
      </c>
      <c r="V60" s="114" cm="1">
        <f t="array" ref="V60">SUMIFS(calls_ans_GUY,period_GUY,"&gt;="&amp;T60,period_GUY,"&lt;"&amp;T61)</f>
        <v>0</v>
      </c>
    </row>
    <row r="61" spans="1:22" x14ac:dyDescent="0.35">
      <c r="A61" s="35">
        <v>44711</v>
      </c>
      <c r="B61" s="38" t="s">
        <v>49</v>
      </c>
      <c r="C61" s="38" t="s">
        <v>60</v>
      </c>
      <c r="D61" s="1">
        <v>380</v>
      </c>
      <c r="E61" s="1">
        <v>362</v>
      </c>
      <c r="F61" s="72">
        <v>-0.12037037037037036</v>
      </c>
      <c r="G61" s="72">
        <v>-0.14218009478672985</v>
      </c>
      <c r="H61" s="1">
        <v>6892</v>
      </c>
      <c r="I61" s="1">
        <v>6610</v>
      </c>
      <c r="J61" s="1">
        <v>13279</v>
      </c>
      <c r="K61" s="1">
        <v>12795</v>
      </c>
      <c r="L61" s="18">
        <v>0.89</v>
      </c>
      <c r="M61" s="18">
        <v>0.03</v>
      </c>
      <c r="N61" s="18">
        <v>0.97</v>
      </c>
      <c r="O61" s="18">
        <v>0.74</v>
      </c>
      <c r="P61" s="24">
        <v>1</v>
      </c>
      <c r="Q61" s="24"/>
      <c r="R61" s="155"/>
    </row>
    <row r="62" spans="1:22" s="53" customFormat="1" x14ac:dyDescent="0.35">
      <c r="A62" s="89">
        <v>44712</v>
      </c>
      <c r="B62" s="88" t="s">
        <v>50</v>
      </c>
      <c r="C62" s="88" t="s">
        <v>60</v>
      </c>
      <c r="D62" s="74">
        <v>371</v>
      </c>
      <c r="E62" s="74">
        <v>355</v>
      </c>
      <c r="F62" s="95">
        <v>-2.6881720430107529E-3</v>
      </c>
      <c r="G62" s="95">
        <v>2.8248587570621469E-3</v>
      </c>
      <c r="H62" s="74">
        <v>7263</v>
      </c>
      <c r="I62" s="74">
        <v>6965</v>
      </c>
      <c r="J62" s="74">
        <v>13650</v>
      </c>
      <c r="K62" s="74">
        <v>13150</v>
      </c>
      <c r="L62" s="2">
        <v>0.81</v>
      </c>
      <c r="M62" s="2">
        <v>0.04</v>
      </c>
      <c r="N62" s="2">
        <v>0.96</v>
      </c>
      <c r="O62" s="2">
        <v>0.67</v>
      </c>
      <c r="P62" s="12">
        <v>1</v>
      </c>
      <c r="Q62" s="12"/>
      <c r="R62" s="156"/>
      <c r="S62" s="206"/>
      <c r="T62"/>
      <c r="U62"/>
      <c r="V62"/>
    </row>
    <row r="63" spans="1:22" x14ac:dyDescent="0.35">
      <c r="A63" s="35">
        <v>44713</v>
      </c>
      <c r="B63" s="38" t="s">
        <v>51</v>
      </c>
      <c r="C63" s="38" t="s">
        <v>60</v>
      </c>
      <c r="D63" s="1">
        <v>311</v>
      </c>
      <c r="E63" s="1">
        <v>300</v>
      </c>
      <c r="F63" s="72">
        <v>-9.5930232558139539E-2</v>
      </c>
      <c r="G63" s="72">
        <v>-0.11242603550295859</v>
      </c>
      <c r="H63" s="1">
        <v>311</v>
      </c>
      <c r="I63" s="1">
        <v>300</v>
      </c>
      <c r="J63" s="1">
        <v>13961</v>
      </c>
      <c r="K63" s="1">
        <v>13450</v>
      </c>
      <c r="L63" s="18">
        <v>0.81</v>
      </c>
      <c r="M63" s="18">
        <v>0.04</v>
      </c>
      <c r="N63" s="18">
        <v>0.96</v>
      </c>
      <c r="O63" s="18">
        <v>0.67</v>
      </c>
      <c r="P63" s="24">
        <v>1</v>
      </c>
      <c r="Q63" s="24"/>
      <c r="R63" s="155"/>
    </row>
    <row r="64" spans="1:22" x14ac:dyDescent="0.35">
      <c r="A64" s="35">
        <v>44714</v>
      </c>
      <c r="B64" s="38" t="s">
        <v>52</v>
      </c>
      <c r="C64" s="38" t="s">
        <v>60</v>
      </c>
      <c r="D64" s="1">
        <v>319</v>
      </c>
      <c r="E64" s="1">
        <v>305</v>
      </c>
      <c r="F64" s="72">
        <v>0</v>
      </c>
      <c r="G64" s="72">
        <v>0</v>
      </c>
      <c r="H64" s="1">
        <v>630</v>
      </c>
      <c r="I64" s="1">
        <v>605</v>
      </c>
      <c r="J64" s="1">
        <v>14280</v>
      </c>
      <c r="K64" s="1">
        <v>13755</v>
      </c>
      <c r="L64" s="18">
        <v>0.88</v>
      </c>
      <c r="M64" s="18">
        <v>0.04</v>
      </c>
      <c r="N64" s="18">
        <v>0.96</v>
      </c>
      <c r="O64" s="18">
        <v>0.71</v>
      </c>
      <c r="P64" s="24">
        <v>1</v>
      </c>
      <c r="Q64" s="24"/>
      <c r="R64" s="155"/>
    </row>
    <row r="65" spans="1:18" x14ac:dyDescent="0.35">
      <c r="A65" s="35">
        <v>44715</v>
      </c>
      <c r="B65" s="38" t="s">
        <v>53</v>
      </c>
      <c r="C65" s="38" t="s">
        <v>60</v>
      </c>
      <c r="D65" s="1">
        <v>294</v>
      </c>
      <c r="E65" s="1">
        <v>285</v>
      </c>
      <c r="F65" s="72">
        <v>-0.25</v>
      </c>
      <c r="G65" s="72">
        <v>-0.23796791443850268</v>
      </c>
      <c r="H65" s="1">
        <v>924</v>
      </c>
      <c r="I65" s="1">
        <v>890</v>
      </c>
      <c r="J65" s="1">
        <v>14574</v>
      </c>
      <c r="K65" s="1">
        <v>14040</v>
      </c>
      <c r="L65" s="18">
        <v>0.89</v>
      </c>
      <c r="M65" s="18">
        <v>0.03</v>
      </c>
      <c r="N65" s="18">
        <v>0.97</v>
      </c>
      <c r="O65" s="18">
        <v>0.7</v>
      </c>
      <c r="P65" s="24">
        <v>1</v>
      </c>
      <c r="Q65" s="24"/>
      <c r="R65" s="155"/>
    </row>
    <row r="66" spans="1:18" x14ac:dyDescent="0.35">
      <c r="A66" s="35">
        <v>44716</v>
      </c>
      <c r="B66" s="38" t="s">
        <v>54</v>
      </c>
      <c r="C66" s="38" t="s">
        <v>60</v>
      </c>
      <c r="D66" s="1">
        <v>248</v>
      </c>
      <c r="E66" s="1">
        <v>239</v>
      </c>
      <c r="F66" s="72">
        <v>2.4793388429752067E-2</v>
      </c>
      <c r="G66" s="72">
        <v>1.2711864406779662E-2</v>
      </c>
      <c r="H66" s="1">
        <v>1172</v>
      </c>
      <c r="I66" s="1">
        <v>1129</v>
      </c>
      <c r="J66" s="1">
        <v>14822</v>
      </c>
      <c r="K66" s="1">
        <v>14279</v>
      </c>
      <c r="L66" s="18">
        <v>0.89</v>
      </c>
      <c r="M66" s="18">
        <v>0.04</v>
      </c>
      <c r="N66" s="18">
        <v>0.96</v>
      </c>
      <c r="O66" s="18">
        <v>0.66</v>
      </c>
      <c r="P66" s="24">
        <v>1</v>
      </c>
      <c r="Q66" s="24"/>
      <c r="R66" s="155"/>
    </row>
    <row r="67" spans="1:18" x14ac:dyDescent="0.35">
      <c r="A67" s="29">
        <v>44717</v>
      </c>
      <c r="B67" s="38" t="s">
        <v>48</v>
      </c>
      <c r="C67" s="38" t="s">
        <v>60</v>
      </c>
      <c r="D67" s="1">
        <v>0</v>
      </c>
      <c r="E67" s="1">
        <v>0</v>
      </c>
      <c r="F67" s="72">
        <v>0</v>
      </c>
      <c r="G67" s="72">
        <v>0</v>
      </c>
      <c r="H67" s="1">
        <v>0</v>
      </c>
      <c r="I67" s="1">
        <v>0</v>
      </c>
      <c r="J67" s="1">
        <v>0</v>
      </c>
      <c r="K67" s="1">
        <v>0</v>
      </c>
      <c r="L67" s="18">
        <v>0</v>
      </c>
      <c r="M67" s="18">
        <v>0</v>
      </c>
      <c r="N67" s="18">
        <v>0</v>
      </c>
      <c r="O67" s="18">
        <v>0</v>
      </c>
      <c r="P67" s="24">
        <v>0</v>
      </c>
      <c r="Q67" s="24"/>
      <c r="R67" s="155"/>
    </row>
    <row r="68" spans="1:18" x14ac:dyDescent="0.35">
      <c r="A68" s="25">
        <v>44718</v>
      </c>
      <c r="B68" s="38" t="s">
        <v>49</v>
      </c>
      <c r="C68" s="38" t="s">
        <v>60</v>
      </c>
      <c r="D68" s="1">
        <v>304</v>
      </c>
      <c r="E68" s="1">
        <v>297</v>
      </c>
      <c r="F68" s="72">
        <v>-0.2</v>
      </c>
      <c r="G68" s="72">
        <v>-0.17955801104972377</v>
      </c>
      <c r="H68" s="1">
        <v>1476</v>
      </c>
      <c r="I68" s="1">
        <v>1426</v>
      </c>
      <c r="J68" s="1">
        <v>15070</v>
      </c>
      <c r="K68" s="1">
        <v>14518</v>
      </c>
      <c r="L68" s="18">
        <v>0.92</v>
      </c>
      <c r="M68" s="18">
        <v>0.02</v>
      </c>
      <c r="N68" s="18">
        <v>0.98</v>
      </c>
      <c r="O68" s="18">
        <v>0.74</v>
      </c>
      <c r="P68" s="24">
        <v>1</v>
      </c>
      <c r="Q68" s="24"/>
      <c r="R68" s="155"/>
    </row>
    <row r="69" spans="1:18" x14ac:dyDescent="0.35">
      <c r="A69" s="25">
        <v>44719</v>
      </c>
      <c r="B69" s="38" t="s">
        <v>50</v>
      </c>
      <c r="C69" s="38" t="s">
        <v>60</v>
      </c>
      <c r="D69" s="1">
        <v>269</v>
      </c>
      <c r="E69" s="1">
        <v>257</v>
      </c>
      <c r="F69" s="72">
        <v>-0.27493261455525608</v>
      </c>
      <c r="G69" s="72">
        <v>-0.27605633802816903</v>
      </c>
      <c r="H69" s="1">
        <v>1745</v>
      </c>
      <c r="I69" s="1">
        <v>1683</v>
      </c>
      <c r="J69" s="1">
        <v>15374</v>
      </c>
      <c r="K69" s="1">
        <v>14815</v>
      </c>
      <c r="L69" s="18">
        <v>0.89</v>
      </c>
      <c r="M69" s="18">
        <v>0.05</v>
      </c>
      <c r="N69" s="18">
        <v>0.95</v>
      </c>
      <c r="O69" s="18">
        <v>0.65</v>
      </c>
      <c r="P69" s="24">
        <v>1</v>
      </c>
      <c r="Q69" s="24"/>
      <c r="R69" s="155"/>
    </row>
    <row r="70" spans="1:18" x14ac:dyDescent="0.35">
      <c r="A70" s="25">
        <v>44720</v>
      </c>
      <c r="B70" s="38" t="s">
        <v>51</v>
      </c>
      <c r="C70" s="38" t="s">
        <v>60</v>
      </c>
      <c r="D70" s="1">
        <v>295</v>
      </c>
      <c r="E70" s="1">
        <v>290</v>
      </c>
      <c r="F70" s="72">
        <v>-5.1446945337620578E-2</v>
      </c>
      <c r="G70" s="72">
        <v>-3.3333333333333333E-2</v>
      </c>
      <c r="H70" s="1">
        <v>2040</v>
      </c>
      <c r="I70" s="1">
        <v>1973</v>
      </c>
      <c r="J70" s="1">
        <v>15643</v>
      </c>
      <c r="K70" s="1">
        <v>15072</v>
      </c>
      <c r="L70" s="18">
        <v>0.88</v>
      </c>
      <c r="M70" s="18">
        <v>0.02</v>
      </c>
      <c r="N70" s="18">
        <v>0.98</v>
      </c>
      <c r="O70" s="18">
        <v>0.65</v>
      </c>
      <c r="P70" s="24">
        <v>1</v>
      </c>
      <c r="Q70" s="24"/>
      <c r="R70" s="155"/>
    </row>
    <row r="71" spans="1:18" x14ac:dyDescent="0.35">
      <c r="A71" s="25">
        <v>44721</v>
      </c>
      <c r="B71" s="38" t="s">
        <v>52</v>
      </c>
      <c r="C71" s="38" t="s">
        <v>60</v>
      </c>
      <c r="D71" s="1">
        <v>204</v>
      </c>
      <c r="E71" s="1">
        <v>201</v>
      </c>
      <c r="F71" s="72">
        <v>-0.36050156739811912</v>
      </c>
      <c r="G71" s="72">
        <v>-0.34098360655737703</v>
      </c>
      <c r="H71" s="1">
        <v>2244</v>
      </c>
      <c r="I71" s="1">
        <v>2174</v>
      </c>
      <c r="J71" s="1">
        <v>15938</v>
      </c>
      <c r="K71" s="1">
        <v>15362</v>
      </c>
      <c r="L71" s="18">
        <v>0.92</v>
      </c>
      <c r="M71" s="18">
        <v>0.01</v>
      </c>
      <c r="N71" s="18">
        <v>0.99</v>
      </c>
      <c r="O71" s="18">
        <v>0.54</v>
      </c>
      <c r="P71" s="24">
        <v>1</v>
      </c>
      <c r="Q71" s="24"/>
      <c r="R71" s="155"/>
    </row>
    <row r="72" spans="1:18" x14ac:dyDescent="0.35">
      <c r="A72" s="25">
        <v>44722</v>
      </c>
      <c r="B72" s="38" t="s">
        <v>53</v>
      </c>
      <c r="C72" s="38" t="s">
        <v>60</v>
      </c>
      <c r="D72" s="1">
        <v>245</v>
      </c>
      <c r="E72" s="1">
        <v>240</v>
      </c>
      <c r="F72" s="72">
        <v>-0.16666666666666666</v>
      </c>
      <c r="G72" s="72">
        <v>-0.15789473684210525</v>
      </c>
      <c r="H72" s="1">
        <v>2489</v>
      </c>
      <c r="I72" s="1">
        <v>2414</v>
      </c>
      <c r="J72" s="1">
        <v>16142</v>
      </c>
      <c r="K72" s="1">
        <v>15563</v>
      </c>
      <c r="L72" s="18">
        <v>0.92</v>
      </c>
      <c r="M72" s="18">
        <v>0.02</v>
      </c>
      <c r="N72" s="18">
        <v>0.98</v>
      </c>
      <c r="O72" s="18">
        <v>0.67</v>
      </c>
      <c r="P72" s="24">
        <v>1</v>
      </c>
      <c r="Q72" s="24"/>
      <c r="R72" s="155"/>
    </row>
    <row r="73" spans="1:18" x14ac:dyDescent="0.35">
      <c r="A73" s="25">
        <v>44723</v>
      </c>
      <c r="B73" s="38" t="s">
        <v>54</v>
      </c>
      <c r="C73" s="38" t="s">
        <v>60</v>
      </c>
      <c r="D73" s="1">
        <v>206</v>
      </c>
      <c r="E73" s="1">
        <v>199</v>
      </c>
      <c r="F73" s="72">
        <v>-0.16935483870967741</v>
      </c>
      <c r="G73" s="72">
        <v>-0.16736401673640167</v>
      </c>
      <c r="H73" s="1">
        <v>2695</v>
      </c>
      <c r="I73" s="1">
        <v>2613</v>
      </c>
      <c r="J73" s="1">
        <v>16387</v>
      </c>
      <c r="K73" s="1">
        <v>15803</v>
      </c>
      <c r="L73" s="18">
        <v>0.87</v>
      </c>
      <c r="M73" s="18">
        <v>0.03</v>
      </c>
      <c r="N73" s="18">
        <v>0.97</v>
      </c>
      <c r="O73" s="18">
        <v>0.65</v>
      </c>
      <c r="P73" s="24">
        <v>1</v>
      </c>
      <c r="Q73" s="24"/>
      <c r="R73" s="155"/>
    </row>
    <row r="74" spans="1:18" x14ac:dyDescent="0.35">
      <c r="A74" s="29">
        <v>44724</v>
      </c>
      <c r="B74" s="38" t="s">
        <v>48</v>
      </c>
      <c r="C74" s="38" t="s">
        <v>60</v>
      </c>
      <c r="D74" s="1">
        <v>0</v>
      </c>
      <c r="E74" s="1">
        <v>0</v>
      </c>
      <c r="F74" s="72">
        <v>0</v>
      </c>
      <c r="G74" s="72">
        <v>0</v>
      </c>
      <c r="H74" s="1">
        <v>0</v>
      </c>
      <c r="I74" s="1">
        <v>0</v>
      </c>
      <c r="J74" s="1">
        <v>0</v>
      </c>
      <c r="K74" s="1">
        <v>0</v>
      </c>
      <c r="L74" s="18">
        <v>0</v>
      </c>
      <c r="M74" s="18">
        <v>0</v>
      </c>
      <c r="N74" s="18">
        <v>0</v>
      </c>
      <c r="O74" s="18">
        <v>0</v>
      </c>
      <c r="P74" s="24">
        <v>0</v>
      </c>
      <c r="Q74" s="24"/>
      <c r="R74" s="155"/>
    </row>
    <row r="75" spans="1:18" x14ac:dyDescent="0.35">
      <c r="A75" s="25">
        <v>44725</v>
      </c>
      <c r="B75" s="38" t="s">
        <v>49</v>
      </c>
      <c r="C75" s="38" t="s">
        <v>60</v>
      </c>
      <c r="D75" s="1">
        <v>316</v>
      </c>
      <c r="E75" s="1">
        <v>296</v>
      </c>
      <c r="F75" s="72">
        <v>3.9473684210526314E-2</v>
      </c>
      <c r="G75" s="72">
        <v>-3.3670033670033669E-3</v>
      </c>
      <c r="H75" s="1">
        <v>3011</v>
      </c>
      <c r="I75" s="1">
        <v>2909</v>
      </c>
      <c r="J75" s="1">
        <v>16703</v>
      </c>
      <c r="K75" s="1">
        <v>16099</v>
      </c>
      <c r="L75" s="18">
        <v>0.91</v>
      </c>
      <c r="M75" s="18">
        <v>0.06</v>
      </c>
      <c r="N75" s="18">
        <v>0.94</v>
      </c>
      <c r="O75" s="18">
        <v>0.68</v>
      </c>
      <c r="P75" s="24">
        <v>1</v>
      </c>
      <c r="Q75" s="24"/>
      <c r="R75" s="155"/>
    </row>
    <row r="76" spans="1:18" x14ac:dyDescent="0.35">
      <c r="A76" s="25">
        <v>44726</v>
      </c>
      <c r="B76" s="38" t="s">
        <v>50</v>
      </c>
      <c r="C76" s="38" t="s">
        <v>60</v>
      </c>
      <c r="D76" s="1">
        <v>310</v>
      </c>
      <c r="E76" s="1">
        <v>303</v>
      </c>
      <c r="F76" s="72">
        <v>0.15241635687732341</v>
      </c>
      <c r="G76" s="72">
        <v>0.17898832684824903</v>
      </c>
      <c r="H76" s="1">
        <v>3321</v>
      </c>
      <c r="I76" s="1">
        <v>3212</v>
      </c>
      <c r="J76" s="1">
        <v>17013</v>
      </c>
      <c r="K76" s="1">
        <v>16402</v>
      </c>
      <c r="L76" s="18">
        <v>0.89</v>
      </c>
      <c r="M76" s="18">
        <v>0.02</v>
      </c>
      <c r="N76" s="18">
        <v>0.98</v>
      </c>
      <c r="O76" s="18">
        <v>0.67</v>
      </c>
      <c r="P76" s="24">
        <v>1</v>
      </c>
      <c r="Q76" s="24"/>
      <c r="R76" s="155"/>
    </row>
    <row r="77" spans="1:18" x14ac:dyDescent="0.35">
      <c r="A77" s="25">
        <v>44727</v>
      </c>
      <c r="B77" s="38" t="s">
        <v>51</v>
      </c>
      <c r="C77" s="38" t="s">
        <v>60</v>
      </c>
      <c r="D77" s="1">
        <v>256</v>
      </c>
      <c r="E77" s="1">
        <v>246</v>
      </c>
      <c r="F77" s="72">
        <v>-0.13220338983050847</v>
      </c>
      <c r="G77" s="72">
        <v>-0.15172413793103448</v>
      </c>
      <c r="H77" s="1">
        <v>3577</v>
      </c>
      <c r="I77" s="1">
        <v>3458</v>
      </c>
      <c r="J77" s="1">
        <v>17269</v>
      </c>
      <c r="K77" s="1">
        <v>16648</v>
      </c>
      <c r="L77" s="18">
        <v>0.91</v>
      </c>
      <c r="M77" s="18">
        <v>0.04</v>
      </c>
      <c r="N77" s="18">
        <v>0.96</v>
      </c>
      <c r="O77" s="18">
        <v>0.66</v>
      </c>
      <c r="P77" s="24">
        <v>1</v>
      </c>
      <c r="Q77" s="24"/>
      <c r="R77" s="155"/>
    </row>
    <row r="78" spans="1:18" x14ac:dyDescent="0.35">
      <c r="A78" s="25">
        <v>44728</v>
      </c>
      <c r="B78" s="38" t="s">
        <v>52</v>
      </c>
      <c r="C78" s="38" t="s">
        <v>60</v>
      </c>
      <c r="D78" s="1">
        <v>315</v>
      </c>
      <c r="E78" s="1">
        <v>297</v>
      </c>
      <c r="F78" s="72">
        <v>0.54411764705882348</v>
      </c>
      <c r="G78" s="72">
        <v>0.47761194029850745</v>
      </c>
      <c r="H78" s="1">
        <v>3892</v>
      </c>
      <c r="I78" s="1">
        <v>3755</v>
      </c>
      <c r="J78" s="1">
        <v>17584</v>
      </c>
      <c r="K78" s="1">
        <v>16945</v>
      </c>
      <c r="L78" s="18">
        <v>0.87</v>
      </c>
      <c r="M78" s="18">
        <v>0.06</v>
      </c>
      <c r="N78" s="18">
        <v>0.94</v>
      </c>
      <c r="O78" s="18">
        <v>0.66</v>
      </c>
      <c r="P78" s="24">
        <v>1</v>
      </c>
      <c r="Q78" s="24"/>
      <c r="R78" s="155"/>
    </row>
    <row r="79" spans="1:18" x14ac:dyDescent="0.35">
      <c r="A79" s="25">
        <v>44729</v>
      </c>
      <c r="B79" s="38" t="s">
        <v>53</v>
      </c>
      <c r="C79" s="38" t="s">
        <v>60</v>
      </c>
      <c r="D79" s="1">
        <v>286</v>
      </c>
      <c r="E79" s="1">
        <v>281</v>
      </c>
      <c r="F79" s="72">
        <v>0.16734693877551021</v>
      </c>
      <c r="G79" s="72">
        <v>0.17083333333333334</v>
      </c>
      <c r="H79" s="1">
        <v>4178</v>
      </c>
      <c r="I79" s="1">
        <v>4036</v>
      </c>
      <c r="J79" s="1">
        <v>17870</v>
      </c>
      <c r="K79" s="1">
        <v>17226</v>
      </c>
      <c r="L79" s="18">
        <v>0.94</v>
      </c>
      <c r="M79" s="18">
        <v>0.02</v>
      </c>
      <c r="N79" s="18">
        <v>0.98</v>
      </c>
      <c r="O79" s="18">
        <v>0.66</v>
      </c>
      <c r="P79" s="24">
        <v>1</v>
      </c>
      <c r="Q79" s="24"/>
      <c r="R79" s="155"/>
    </row>
    <row r="80" spans="1:18" x14ac:dyDescent="0.35">
      <c r="A80" s="25">
        <v>44730</v>
      </c>
      <c r="B80" s="38" t="s">
        <v>54</v>
      </c>
      <c r="C80" s="38" t="s">
        <v>60</v>
      </c>
      <c r="D80" s="1">
        <v>227</v>
      </c>
      <c r="E80" s="1">
        <v>224</v>
      </c>
      <c r="F80" s="72">
        <v>0.10194174757281553</v>
      </c>
      <c r="G80" s="72">
        <v>0.12562814070351758</v>
      </c>
      <c r="H80" s="1">
        <v>4405</v>
      </c>
      <c r="I80" s="1">
        <v>4260</v>
      </c>
      <c r="J80" s="1">
        <v>18097</v>
      </c>
      <c r="K80" s="1">
        <v>17450</v>
      </c>
      <c r="L80" s="18">
        <v>0.88</v>
      </c>
      <c r="M80" s="18">
        <v>0.01</v>
      </c>
      <c r="N80" s="18">
        <v>0.99</v>
      </c>
      <c r="O80" s="18">
        <v>0.65</v>
      </c>
      <c r="P80" s="24">
        <v>1</v>
      </c>
      <c r="Q80" s="24"/>
      <c r="R80" s="155"/>
    </row>
    <row r="81" spans="1:18" x14ac:dyDescent="0.35">
      <c r="A81" s="29">
        <v>44731</v>
      </c>
      <c r="B81" s="38" t="s">
        <v>48</v>
      </c>
      <c r="C81" s="38" t="s">
        <v>60</v>
      </c>
      <c r="D81" s="1">
        <v>0</v>
      </c>
      <c r="E81" s="1">
        <v>0</v>
      </c>
      <c r="F81" s="72">
        <v>0</v>
      </c>
      <c r="G81" s="72">
        <v>0</v>
      </c>
      <c r="H81" s="1">
        <v>0</v>
      </c>
      <c r="I81" s="1">
        <v>0</v>
      </c>
      <c r="J81" s="1">
        <v>0</v>
      </c>
      <c r="K81" s="1">
        <v>0</v>
      </c>
      <c r="L81" s="18">
        <v>0</v>
      </c>
      <c r="M81" s="18">
        <v>0</v>
      </c>
      <c r="N81" s="18">
        <v>0</v>
      </c>
      <c r="O81" s="18">
        <v>0</v>
      </c>
      <c r="P81" s="24">
        <v>0</v>
      </c>
      <c r="Q81" s="24"/>
      <c r="R81" s="155"/>
    </row>
    <row r="82" spans="1:18" x14ac:dyDescent="0.35">
      <c r="A82" s="25">
        <v>44732</v>
      </c>
      <c r="B82" s="38" t="s">
        <v>49</v>
      </c>
      <c r="C82" s="38" t="s">
        <v>60</v>
      </c>
      <c r="D82" s="1">
        <v>359</v>
      </c>
      <c r="E82" s="1">
        <v>358</v>
      </c>
      <c r="F82" s="72">
        <v>0.13607594936708861</v>
      </c>
      <c r="G82" s="72">
        <v>0.20945945945945946</v>
      </c>
      <c r="H82" s="1">
        <v>4764</v>
      </c>
      <c r="I82" s="1">
        <v>4618</v>
      </c>
      <c r="J82" s="1">
        <v>18456</v>
      </c>
      <c r="K82" s="1">
        <v>17808</v>
      </c>
      <c r="L82" s="18">
        <v>0.91</v>
      </c>
      <c r="M82" s="18">
        <v>0</v>
      </c>
      <c r="N82" s="18">
        <v>1</v>
      </c>
      <c r="O82" s="18">
        <v>0.69</v>
      </c>
      <c r="P82" s="24">
        <v>1</v>
      </c>
      <c r="Q82" s="24"/>
      <c r="R82" s="155"/>
    </row>
    <row r="83" spans="1:18" x14ac:dyDescent="0.35">
      <c r="A83" s="25">
        <v>44733</v>
      </c>
      <c r="B83" s="38" t="s">
        <v>50</v>
      </c>
      <c r="C83" s="38" t="s">
        <v>60</v>
      </c>
      <c r="D83" s="1">
        <v>308</v>
      </c>
      <c r="E83" s="1">
        <v>301</v>
      </c>
      <c r="F83" s="72">
        <v>-6.4516129032258064E-3</v>
      </c>
      <c r="G83" s="72">
        <v>-6.6006600660066007E-3</v>
      </c>
      <c r="H83" s="1">
        <v>5072</v>
      </c>
      <c r="I83" s="1">
        <v>4919</v>
      </c>
      <c r="J83" s="1">
        <v>18764</v>
      </c>
      <c r="K83" s="1">
        <v>18109</v>
      </c>
      <c r="L83" s="18">
        <v>0.92</v>
      </c>
      <c r="M83" s="18">
        <v>0.02</v>
      </c>
      <c r="N83" s="18">
        <v>0.98</v>
      </c>
      <c r="O83" s="18">
        <v>0.66</v>
      </c>
      <c r="P83" s="24">
        <v>1</v>
      </c>
      <c r="Q83" s="24"/>
      <c r="R83" s="155"/>
    </row>
    <row r="84" spans="1:18" x14ac:dyDescent="0.35">
      <c r="A84" s="25">
        <v>44734</v>
      </c>
      <c r="B84" s="38" t="s">
        <v>51</v>
      </c>
      <c r="C84" s="38" t="s">
        <v>60</v>
      </c>
      <c r="D84" s="1">
        <v>455</v>
      </c>
      <c r="E84" s="1">
        <v>445</v>
      </c>
      <c r="F84" s="72">
        <v>0.77734375</v>
      </c>
      <c r="G84" s="72">
        <v>0.80894308943089432</v>
      </c>
      <c r="H84" s="1">
        <v>5527</v>
      </c>
      <c r="I84" s="1">
        <v>5364</v>
      </c>
      <c r="J84" s="1">
        <v>19219</v>
      </c>
      <c r="K84" s="1">
        <v>18554</v>
      </c>
      <c r="L84" s="18">
        <v>0.86</v>
      </c>
      <c r="M84" s="18">
        <v>0.02</v>
      </c>
      <c r="N84" s="18">
        <v>0.98</v>
      </c>
      <c r="O84" s="18">
        <v>0.71</v>
      </c>
      <c r="P84" s="24">
        <v>1</v>
      </c>
      <c r="Q84" s="24"/>
      <c r="R84" s="155"/>
    </row>
    <row r="85" spans="1:18" x14ac:dyDescent="0.35">
      <c r="A85" s="25">
        <v>44735</v>
      </c>
      <c r="B85" s="38" t="s">
        <v>52</v>
      </c>
      <c r="C85" s="38" t="s">
        <v>60</v>
      </c>
      <c r="D85" s="1">
        <v>355</v>
      </c>
      <c r="E85" s="1">
        <v>343</v>
      </c>
      <c r="F85" s="72">
        <v>0.12698412698412698</v>
      </c>
      <c r="G85" s="72">
        <v>0.15488215488215487</v>
      </c>
      <c r="H85" s="1">
        <v>5882</v>
      </c>
      <c r="I85" s="1">
        <v>5707</v>
      </c>
      <c r="J85" s="1">
        <v>19574</v>
      </c>
      <c r="K85" s="1">
        <v>18897</v>
      </c>
      <c r="L85" s="18">
        <v>0.9</v>
      </c>
      <c r="M85" s="18">
        <v>0.03</v>
      </c>
      <c r="N85" s="18">
        <v>0.97</v>
      </c>
      <c r="O85" s="18">
        <v>0.65</v>
      </c>
      <c r="P85" s="24">
        <v>1</v>
      </c>
      <c r="Q85" s="24"/>
      <c r="R85" s="155"/>
    </row>
    <row r="86" spans="1:18" x14ac:dyDescent="0.35">
      <c r="A86" s="25">
        <v>44736</v>
      </c>
      <c r="B86" s="38" t="s">
        <v>53</v>
      </c>
      <c r="C86" s="38" t="s">
        <v>60</v>
      </c>
      <c r="D86" s="1">
        <v>312</v>
      </c>
      <c r="E86" s="1">
        <v>306</v>
      </c>
      <c r="F86" s="72">
        <v>9.0909090909090912E-2</v>
      </c>
      <c r="G86" s="72">
        <v>8.8967971530249115E-2</v>
      </c>
      <c r="H86" s="1">
        <v>6194</v>
      </c>
      <c r="I86" s="1">
        <v>6013</v>
      </c>
      <c r="J86" s="1">
        <v>19886</v>
      </c>
      <c r="K86" s="1">
        <v>19203</v>
      </c>
      <c r="L86" s="18">
        <v>0.89</v>
      </c>
      <c r="M86" s="18">
        <v>0.02</v>
      </c>
      <c r="N86" s="18">
        <v>0.98</v>
      </c>
      <c r="O86" s="18">
        <v>0.72</v>
      </c>
      <c r="P86" s="24">
        <v>1</v>
      </c>
      <c r="Q86" s="24"/>
      <c r="R86" s="155"/>
    </row>
    <row r="87" spans="1:18" x14ac:dyDescent="0.35">
      <c r="A87" s="25">
        <v>44737</v>
      </c>
      <c r="B87" s="38" t="s">
        <v>54</v>
      </c>
      <c r="C87" s="38" t="s">
        <v>60</v>
      </c>
      <c r="D87" s="1">
        <v>201</v>
      </c>
      <c r="E87" s="1">
        <v>194</v>
      </c>
      <c r="F87" s="72">
        <v>-0.11453744493392071</v>
      </c>
      <c r="G87" s="72">
        <v>-0.13392857142857142</v>
      </c>
      <c r="H87" s="1">
        <v>6395</v>
      </c>
      <c r="I87" s="1">
        <v>6207</v>
      </c>
      <c r="J87" s="1">
        <v>20087</v>
      </c>
      <c r="K87" s="1">
        <v>19397</v>
      </c>
      <c r="L87" s="18">
        <v>0.89</v>
      </c>
      <c r="M87" s="18">
        <v>0.03</v>
      </c>
      <c r="N87" s="18">
        <v>0.97</v>
      </c>
      <c r="O87" s="18">
        <v>0.66</v>
      </c>
      <c r="P87" s="24">
        <v>1</v>
      </c>
      <c r="Q87" s="24"/>
      <c r="R87" s="155"/>
    </row>
    <row r="88" spans="1:18" x14ac:dyDescent="0.35">
      <c r="A88" s="25">
        <v>44738</v>
      </c>
      <c r="B88" s="38" t="s">
        <v>48</v>
      </c>
      <c r="C88" s="38" t="s">
        <v>60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8">
        <v>0</v>
      </c>
      <c r="M88" s="18">
        <v>0</v>
      </c>
      <c r="N88" s="18">
        <v>0</v>
      </c>
      <c r="O88" s="18">
        <v>0</v>
      </c>
      <c r="P88" s="24">
        <v>0</v>
      </c>
      <c r="Q88" s="24"/>
      <c r="R88" s="155"/>
    </row>
    <row r="89" spans="1:18" x14ac:dyDescent="0.35">
      <c r="A89" s="25">
        <v>44739</v>
      </c>
      <c r="B89" s="38" t="s">
        <v>49</v>
      </c>
      <c r="C89" s="38" t="s">
        <v>60</v>
      </c>
      <c r="D89" s="1">
        <v>380</v>
      </c>
      <c r="E89" s="1">
        <v>370</v>
      </c>
      <c r="F89" s="72">
        <v>5.8495821727019497E-2</v>
      </c>
      <c r="G89" s="72">
        <v>3.3519553072625698E-2</v>
      </c>
      <c r="H89" s="1">
        <v>6775</v>
      </c>
      <c r="I89" s="1">
        <v>6577</v>
      </c>
      <c r="J89" s="1">
        <v>20467</v>
      </c>
      <c r="K89" s="1">
        <v>19767</v>
      </c>
      <c r="L89" s="18">
        <v>0.91</v>
      </c>
      <c r="M89" s="18">
        <v>0.03</v>
      </c>
      <c r="N89" s="18">
        <v>0.97</v>
      </c>
      <c r="O89" s="18">
        <v>0.72</v>
      </c>
      <c r="P89" s="24">
        <v>1</v>
      </c>
      <c r="Q89" s="24"/>
      <c r="R89" s="155"/>
    </row>
    <row r="90" spans="1:18" x14ac:dyDescent="0.35">
      <c r="A90" s="25">
        <v>44740</v>
      </c>
      <c r="B90" s="38" t="s">
        <v>50</v>
      </c>
      <c r="C90" s="38" t="s">
        <v>60</v>
      </c>
      <c r="D90" s="1">
        <v>338</v>
      </c>
      <c r="E90" s="1">
        <v>322</v>
      </c>
      <c r="F90" s="72">
        <v>9.7402597402597407E-2</v>
      </c>
      <c r="G90" s="72">
        <v>6.9767441860465115E-2</v>
      </c>
      <c r="H90" s="1">
        <f>H89+Table9[[#This Row],[Calls Off]]</f>
        <v>7113</v>
      </c>
      <c r="I90" s="1">
        <f>I89+Table9[[#This Row],[Calls Ans]]</f>
        <v>6899</v>
      </c>
      <c r="J90" s="1">
        <v>20847</v>
      </c>
      <c r="K90" s="1">
        <v>20089</v>
      </c>
      <c r="L90" s="18">
        <v>0.87</v>
      </c>
      <c r="M90" s="18">
        <v>0.05</v>
      </c>
      <c r="N90" s="18">
        <v>0.95</v>
      </c>
      <c r="O90" s="18">
        <v>0.78</v>
      </c>
      <c r="P90" s="24">
        <v>1</v>
      </c>
      <c r="Q90" s="24"/>
      <c r="R90" s="155"/>
    </row>
    <row r="91" spans="1:18" x14ac:dyDescent="0.35">
      <c r="A91" s="25">
        <v>44741</v>
      </c>
      <c r="B91" s="38" t="s">
        <v>51</v>
      </c>
      <c r="C91" s="38" t="s">
        <v>60</v>
      </c>
      <c r="D91" s="1">
        <v>307</v>
      </c>
      <c r="E91" s="1">
        <v>297</v>
      </c>
      <c r="F91" s="72">
        <v>-0.32527472527472528</v>
      </c>
      <c r="G91" s="72">
        <v>-0.33258426966292137</v>
      </c>
      <c r="H91" s="1">
        <f>H90+Table9[[#This Row],[Calls Off]]</f>
        <v>7420</v>
      </c>
      <c r="I91" s="1">
        <f>I90+Table9[[#This Row],[Calls Ans]]</f>
        <v>7196</v>
      </c>
      <c r="J91" s="1">
        <v>20774</v>
      </c>
      <c r="K91" s="1">
        <v>20064</v>
      </c>
      <c r="L91" s="18">
        <v>0.88</v>
      </c>
      <c r="M91" s="18">
        <v>0.03</v>
      </c>
      <c r="N91" s="18">
        <v>0.97</v>
      </c>
      <c r="O91" s="18">
        <v>0.7</v>
      </c>
      <c r="P91" s="24">
        <v>0.99</v>
      </c>
      <c r="Q91" s="24"/>
      <c r="R91" s="155"/>
    </row>
    <row r="92" spans="1:18" x14ac:dyDescent="0.35">
      <c r="A92" s="25">
        <v>44742</v>
      </c>
      <c r="B92" s="38" t="s">
        <v>52</v>
      </c>
      <c r="C92" s="38" t="s">
        <v>60</v>
      </c>
      <c r="D92" s="1">
        <v>311</v>
      </c>
      <c r="E92" s="1">
        <v>303</v>
      </c>
      <c r="F92" s="72">
        <v>-0.12394366197183099</v>
      </c>
      <c r="G92" s="72">
        <v>-0.11661807580174927</v>
      </c>
      <c r="H92" s="1">
        <f>H91+Table9[[#This Row],[Calls Off]]</f>
        <v>7731</v>
      </c>
      <c r="I92" s="1">
        <f>I91+Table9[[#This Row],[Calls Ans]]</f>
        <v>7499</v>
      </c>
      <c r="J92" s="1">
        <v>21158</v>
      </c>
      <c r="K92" s="1">
        <v>20392</v>
      </c>
      <c r="L92" s="18">
        <v>0.9</v>
      </c>
      <c r="M92" s="18">
        <v>0.03</v>
      </c>
      <c r="N92" s="18">
        <v>0.97</v>
      </c>
      <c r="O92" s="18">
        <v>0.69</v>
      </c>
      <c r="P92" s="24">
        <v>1</v>
      </c>
      <c r="Q92" s="24"/>
      <c r="R92" s="155"/>
    </row>
    <row r="93" spans="1:18" x14ac:dyDescent="0.35">
      <c r="A93" s="25">
        <v>44743</v>
      </c>
      <c r="B93" s="38" t="s">
        <v>53</v>
      </c>
      <c r="C93" s="38" t="s">
        <v>60</v>
      </c>
      <c r="D93" s="1">
        <v>312</v>
      </c>
      <c r="E93" s="1">
        <v>305</v>
      </c>
      <c r="F93" s="72">
        <v>0</v>
      </c>
      <c r="G93" s="72">
        <v>-3.2679738562091504E-3</v>
      </c>
      <c r="H93" s="1">
        <f>Table9[[#This Row],[Calls Off]]</f>
        <v>312</v>
      </c>
      <c r="I93" s="1">
        <f>Table9[[#This Row],[Calls Ans]]</f>
        <v>305</v>
      </c>
      <c r="J93" s="1">
        <v>21086</v>
      </c>
      <c r="K93" s="1">
        <v>20369</v>
      </c>
      <c r="L93" s="18">
        <v>0.88</v>
      </c>
      <c r="M93" s="18">
        <v>0.02</v>
      </c>
      <c r="N93" s="18">
        <v>0.98</v>
      </c>
      <c r="O93" s="18">
        <v>0.66</v>
      </c>
      <c r="P93" s="24">
        <v>1</v>
      </c>
      <c r="Q93" s="24"/>
      <c r="R93" s="155"/>
    </row>
    <row r="94" spans="1:18" x14ac:dyDescent="0.35">
      <c r="A94" s="25">
        <v>44744</v>
      </c>
      <c r="B94" s="38" t="s">
        <v>54</v>
      </c>
      <c r="C94" s="38" t="s">
        <v>60</v>
      </c>
      <c r="D94" s="1">
        <v>233</v>
      </c>
      <c r="E94" s="1">
        <v>228</v>
      </c>
      <c r="F94" s="72">
        <v>0.15920398009950248</v>
      </c>
      <c r="G94" s="72">
        <v>0.17525773195876287</v>
      </c>
      <c r="H94" s="1">
        <f>H93+Table9[[#This Row],[Calls Off]]</f>
        <v>545</v>
      </c>
      <c r="I94" s="1">
        <f>I93+Table9[[#This Row],[Calls Ans]]</f>
        <v>533</v>
      </c>
      <c r="J94" s="1">
        <v>21391</v>
      </c>
      <c r="K94" s="1">
        <v>20620</v>
      </c>
      <c r="L94" s="18">
        <v>0.88</v>
      </c>
      <c r="M94" s="18">
        <v>0.02</v>
      </c>
      <c r="N94" s="18">
        <v>0.98</v>
      </c>
      <c r="O94" s="18">
        <v>0.72</v>
      </c>
      <c r="P94" s="24">
        <v>1</v>
      </c>
      <c r="Q94" s="24"/>
      <c r="R94" s="155"/>
    </row>
    <row r="95" spans="1:18" x14ac:dyDescent="0.35">
      <c r="A95" s="25">
        <v>44745</v>
      </c>
      <c r="B95" s="38" t="s">
        <v>48</v>
      </c>
      <c r="C95" s="38" t="s">
        <v>60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8">
        <v>0</v>
      </c>
      <c r="M95" s="18">
        <v>0</v>
      </c>
      <c r="N95" s="18">
        <v>0</v>
      </c>
      <c r="O95" s="18">
        <v>0</v>
      </c>
      <c r="P95" s="24">
        <v>0</v>
      </c>
      <c r="Q95" s="24"/>
      <c r="R95" s="155"/>
    </row>
    <row r="96" spans="1:18" x14ac:dyDescent="0.35">
      <c r="A96" s="25">
        <v>44746</v>
      </c>
      <c r="B96" s="38" t="s">
        <v>64</v>
      </c>
      <c r="C96" s="38" t="s">
        <v>60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8">
        <v>0</v>
      </c>
      <c r="M96" s="18">
        <v>0</v>
      </c>
      <c r="N96" s="18">
        <v>0</v>
      </c>
      <c r="O96" s="18">
        <v>0</v>
      </c>
      <c r="P96" s="24">
        <v>0</v>
      </c>
      <c r="Q96" s="24"/>
      <c r="R96" s="155"/>
    </row>
    <row r="97" spans="1:22" x14ac:dyDescent="0.35">
      <c r="A97" s="25">
        <v>44747</v>
      </c>
      <c r="B97" s="38" t="s">
        <v>50</v>
      </c>
      <c r="C97" s="38" t="s">
        <v>60</v>
      </c>
      <c r="D97" s="1">
        <v>425</v>
      </c>
      <c r="E97" s="1">
        <v>408</v>
      </c>
      <c r="F97" s="72">
        <v>0.25739644970414199</v>
      </c>
      <c r="G97" s="72">
        <v>0.26708074534161491</v>
      </c>
      <c r="H97" s="1">
        <f>H94+Table9[[#This Row],[Calls Off]]</f>
        <v>970</v>
      </c>
      <c r="I97" s="1">
        <f>I94+Table9[[#This Row],[Calls Ans]]</f>
        <v>941</v>
      </c>
      <c r="J97" s="1">
        <v>21816</v>
      </c>
      <c r="K97" s="1">
        <v>21028</v>
      </c>
      <c r="L97" s="18">
        <v>0.89</v>
      </c>
      <c r="M97" s="18">
        <v>0.04</v>
      </c>
      <c r="N97" s="18">
        <v>0.96</v>
      </c>
      <c r="O97" s="18">
        <v>0.89</v>
      </c>
      <c r="P97" s="24">
        <v>1</v>
      </c>
      <c r="Q97" s="24"/>
      <c r="R97" s="155"/>
      <c r="T97" s="53"/>
      <c r="U97" s="53"/>
      <c r="V97" s="53"/>
    </row>
    <row r="98" spans="1:22" x14ac:dyDescent="0.35">
      <c r="A98" s="25">
        <v>44748</v>
      </c>
      <c r="B98" s="38" t="s">
        <v>51</v>
      </c>
      <c r="C98" s="38" t="s">
        <v>60</v>
      </c>
      <c r="D98" s="1">
        <v>381</v>
      </c>
      <c r="E98" s="1">
        <v>370</v>
      </c>
      <c r="F98" s="72">
        <v>0.24104234527687296</v>
      </c>
      <c r="G98" s="72">
        <v>0.24579124579124578</v>
      </c>
      <c r="H98" s="1">
        <f>H97+Table9[[#This Row],[Calls Off]]</f>
        <v>1351</v>
      </c>
      <c r="I98" s="1">
        <f>I97+Table9[[#This Row],[Calls Ans]]</f>
        <v>1311</v>
      </c>
      <c r="J98" s="1">
        <v>22197</v>
      </c>
      <c r="K98" s="1">
        <v>21398</v>
      </c>
      <c r="L98" s="18">
        <v>0.9</v>
      </c>
      <c r="M98" s="18">
        <v>0.03</v>
      </c>
      <c r="N98" s="18">
        <v>0.97</v>
      </c>
      <c r="O98" s="18">
        <v>0.9</v>
      </c>
      <c r="P98" s="24">
        <v>1</v>
      </c>
      <c r="Q98" s="24"/>
      <c r="R98" s="155"/>
    </row>
    <row r="99" spans="1:22" x14ac:dyDescent="0.35">
      <c r="A99" s="25">
        <v>44749</v>
      </c>
      <c r="B99" s="38" t="s">
        <v>52</v>
      </c>
      <c r="C99" s="38" t="s">
        <v>60</v>
      </c>
      <c r="D99" s="1">
        <v>226</v>
      </c>
      <c r="E99" s="1">
        <v>221</v>
      </c>
      <c r="F99" s="72">
        <v>-0.27331189710610931</v>
      </c>
      <c r="G99" s="72">
        <v>-0.27062706270627063</v>
      </c>
      <c r="H99" s="1">
        <f>H98+Table9[[#This Row],[Calls Off]]</f>
        <v>1577</v>
      </c>
      <c r="I99" s="1">
        <f>I98+Table9[[#This Row],[Calls Ans]]</f>
        <v>1532</v>
      </c>
      <c r="J99" s="1">
        <v>22423</v>
      </c>
      <c r="K99" s="1">
        <v>21619</v>
      </c>
      <c r="L99" s="18">
        <v>0.92</v>
      </c>
      <c r="M99" s="18">
        <v>0.02</v>
      </c>
      <c r="N99" s="18">
        <v>0.98</v>
      </c>
      <c r="O99" s="18">
        <v>0.92</v>
      </c>
      <c r="P99" s="24">
        <v>1</v>
      </c>
      <c r="Q99" s="24"/>
      <c r="R99" s="155"/>
    </row>
    <row r="100" spans="1:22" x14ac:dyDescent="0.35">
      <c r="A100" s="25">
        <v>44750</v>
      </c>
      <c r="B100" s="38" t="s">
        <v>53</v>
      </c>
      <c r="C100" s="38" t="s">
        <v>60</v>
      </c>
      <c r="D100" s="1">
        <v>275</v>
      </c>
      <c r="E100" s="1">
        <v>271</v>
      </c>
      <c r="F100" s="72">
        <v>-0.11858974358974358</v>
      </c>
      <c r="G100" s="72">
        <v>-0.11147540983606558</v>
      </c>
      <c r="H100" s="1">
        <f>H99+Table9[[#This Row],[Calls Off]]</f>
        <v>1852</v>
      </c>
      <c r="I100" s="1">
        <f>I99+Table9[[#This Row],[Calls Ans]]</f>
        <v>1803</v>
      </c>
      <c r="J100" s="1">
        <v>22698</v>
      </c>
      <c r="K100" s="1">
        <v>21890</v>
      </c>
      <c r="L100" s="18">
        <v>0.92</v>
      </c>
      <c r="M100" s="18">
        <v>0.02</v>
      </c>
      <c r="N100" s="18">
        <v>0.98</v>
      </c>
      <c r="O100" s="18">
        <v>0.92</v>
      </c>
      <c r="P100" s="24">
        <v>1</v>
      </c>
      <c r="Q100" s="24"/>
      <c r="R100" s="155"/>
    </row>
    <row r="101" spans="1:22" x14ac:dyDescent="0.35">
      <c r="A101" s="25">
        <v>44751</v>
      </c>
      <c r="B101" s="38" t="s">
        <v>64</v>
      </c>
      <c r="C101" s="38" t="s">
        <v>60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8">
        <v>0</v>
      </c>
      <c r="M101" s="18">
        <v>0</v>
      </c>
      <c r="N101" s="18">
        <v>0</v>
      </c>
      <c r="O101" s="18">
        <v>0</v>
      </c>
      <c r="P101" s="24">
        <v>0</v>
      </c>
      <c r="Q101" s="24"/>
      <c r="R101" s="155"/>
    </row>
    <row r="102" spans="1:22" x14ac:dyDescent="0.35">
      <c r="A102" s="25">
        <v>44752</v>
      </c>
      <c r="B102" s="38" t="s">
        <v>48</v>
      </c>
      <c r="C102" s="38" t="s">
        <v>60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8">
        <v>0</v>
      </c>
      <c r="M102" s="18">
        <v>0</v>
      </c>
      <c r="N102" s="18">
        <v>0</v>
      </c>
      <c r="O102" s="18">
        <v>0</v>
      </c>
      <c r="P102" s="24">
        <v>0</v>
      </c>
      <c r="Q102" s="24"/>
      <c r="R102" s="155"/>
    </row>
    <row r="103" spans="1:22" x14ac:dyDescent="0.35">
      <c r="A103" s="25">
        <v>44753</v>
      </c>
      <c r="B103" s="38" t="s">
        <v>49</v>
      </c>
      <c r="C103" s="38" t="s">
        <v>60</v>
      </c>
      <c r="D103" s="1">
        <v>387</v>
      </c>
      <c r="E103" s="1">
        <v>379</v>
      </c>
      <c r="F103" s="72">
        <v>0</v>
      </c>
      <c r="G103" s="72">
        <v>0</v>
      </c>
      <c r="H103" s="1">
        <f>H100+Table9[[#This Row],[Calls Off]]</f>
        <v>2239</v>
      </c>
      <c r="I103" s="1">
        <f>I100+Table9[[#This Row],[Calls Ans]]</f>
        <v>2182</v>
      </c>
      <c r="J103" s="1">
        <v>23085</v>
      </c>
      <c r="K103" s="1">
        <v>22269</v>
      </c>
      <c r="L103" s="18">
        <v>0.91</v>
      </c>
      <c r="M103" s="18">
        <v>0.02</v>
      </c>
      <c r="N103" s="18">
        <v>0.98</v>
      </c>
      <c r="O103" s="18">
        <v>0.73</v>
      </c>
      <c r="P103" s="24">
        <v>1</v>
      </c>
      <c r="Q103" s="24"/>
      <c r="R103" s="155"/>
    </row>
    <row r="104" spans="1:22" x14ac:dyDescent="0.35">
      <c r="A104" s="25">
        <v>44754</v>
      </c>
      <c r="B104" s="38" t="s">
        <v>50</v>
      </c>
      <c r="C104" s="38" t="s">
        <v>60</v>
      </c>
      <c r="D104" s="1">
        <v>326</v>
      </c>
      <c r="E104" s="1">
        <v>320</v>
      </c>
      <c r="F104" s="72">
        <v>-0.23294117647058823</v>
      </c>
      <c r="G104" s="72">
        <v>-0.21568627450980393</v>
      </c>
      <c r="H104" s="1">
        <f>H103+Table9[[#This Row],[Calls Off]]</f>
        <v>2565</v>
      </c>
      <c r="I104" s="1">
        <f>I103+Table9[[#This Row],[Calls Ans]]</f>
        <v>2502</v>
      </c>
      <c r="J104" s="1">
        <v>23411</v>
      </c>
      <c r="K104" s="1">
        <v>22589</v>
      </c>
      <c r="L104" s="18">
        <v>0.9</v>
      </c>
      <c r="M104" s="18">
        <v>0.02</v>
      </c>
      <c r="N104" s="18">
        <v>0.98</v>
      </c>
      <c r="O104" s="18">
        <v>0.66</v>
      </c>
      <c r="P104" s="24">
        <v>1</v>
      </c>
      <c r="Q104" s="24"/>
      <c r="R104" s="155"/>
    </row>
    <row r="105" spans="1:22" x14ac:dyDescent="0.35">
      <c r="A105" s="25">
        <v>44755</v>
      </c>
      <c r="B105" s="38" t="s">
        <v>51</v>
      </c>
      <c r="C105" s="38" t="s">
        <v>60</v>
      </c>
      <c r="D105" s="1">
        <v>355</v>
      </c>
      <c r="E105" s="1">
        <v>350</v>
      </c>
      <c r="F105" s="72">
        <v>-6.8241469816272965E-2</v>
      </c>
      <c r="G105" s="72">
        <v>-5.4054054054054057E-2</v>
      </c>
      <c r="H105" s="1">
        <f>H104+Table9[[#This Row],[Calls Off]]</f>
        <v>2920</v>
      </c>
      <c r="I105" s="1">
        <f>I104+Table9[[#This Row],[Calls Ans]]</f>
        <v>2852</v>
      </c>
      <c r="J105" s="1">
        <v>23766</v>
      </c>
      <c r="K105" s="1">
        <v>22939</v>
      </c>
      <c r="L105" s="18">
        <v>0.9</v>
      </c>
      <c r="M105" s="18">
        <v>0.02</v>
      </c>
      <c r="N105" s="18">
        <v>0.98</v>
      </c>
      <c r="O105" s="18">
        <v>0.68</v>
      </c>
      <c r="P105" s="24">
        <v>1</v>
      </c>
      <c r="Q105" s="24"/>
      <c r="R105" s="155"/>
    </row>
    <row r="106" spans="1:22" x14ac:dyDescent="0.35">
      <c r="A106" s="25">
        <v>44756</v>
      </c>
      <c r="B106" s="38" t="s">
        <v>52</v>
      </c>
      <c r="C106" s="38" t="s">
        <v>60</v>
      </c>
      <c r="D106" s="1">
        <v>324</v>
      </c>
      <c r="E106" s="1">
        <v>310</v>
      </c>
      <c r="F106" s="72">
        <v>0.4336283185840708</v>
      </c>
      <c r="G106" s="72">
        <v>0.40271493212669685</v>
      </c>
      <c r="H106" s="1">
        <f>H105+Table9[[#This Row],[Calls Off]]</f>
        <v>3244</v>
      </c>
      <c r="I106" s="1">
        <f>I105+Table9[[#This Row],[Calls Ans]]</f>
        <v>3162</v>
      </c>
      <c r="J106" s="1">
        <v>24090</v>
      </c>
      <c r="K106" s="1">
        <v>23249</v>
      </c>
      <c r="L106" s="18">
        <v>0.81</v>
      </c>
      <c r="M106" s="18">
        <v>0.04</v>
      </c>
      <c r="N106" s="18">
        <v>0.96</v>
      </c>
      <c r="O106" s="18">
        <v>0.74</v>
      </c>
      <c r="P106" s="24">
        <v>1</v>
      </c>
      <c r="Q106" s="24"/>
      <c r="R106" s="155"/>
    </row>
    <row r="107" spans="1:22" x14ac:dyDescent="0.35">
      <c r="A107" s="25">
        <v>44757</v>
      </c>
      <c r="B107" s="38" t="s">
        <v>53</v>
      </c>
      <c r="C107" s="38" t="s">
        <v>60</v>
      </c>
      <c r="D107" s="1">
        <v>296</v>
      </c>
      <c r="E107" s="1">
        <v>292</v>
      </c>
      <c r="F107" s="72">
        <v>7.636363636363637E-2</v>
      </c>
      <c r="G107" s="72">
        <v>7.7490774907749083E-2</v>
      </c>
      <c r="H107" s="1">
        <f>H106+Table9[[#This Row],[Calls Off]]</f>
        <v>3540</v>
      </c>
      <c r="I107" s="1">
        <f>I106+Table9[[#This Row],[Calls Ans]]</f>
        <v>3454</v>
      </c>
      <c r="J107" s="1">
        <v>24386</v>
      </c>
      <c r="K107" s="1">
        <v>23541</v>
      </c>
      <c r="L107" s="18">
        <v>0.84</v>
      </c>
      <c r="M107" s="18">
        <v>0.01</v>
      </c>
      <c r="N107" s="18">
        <v>0.99</v>
      </c>
      <c r="O107" s="18">
        <v>0.71</v>
      </c>
      <c r="P107" s="24">
        <v>1</v>
      </c>
      <c r="Q107" s="24"/>
      <c r="R107" s="155"/>
    </row>
    <row r="108" spans="1:22" x14ac:dyDescent="0.35">
      <c r="A108" s="25">
        <v>44758</v>
      </c>
      <c r="B108" s="38" t="s">
        <v>54</v>
      </c>
      <c r="C108" s="38" t="s">
        <v>60</v>
      </c>
      <c r="D108" s="1">
        <v>221</v>
      </c>
      <c r="E108" s="1">
        <v>218</v>
      </c>
      <c r="F108" s="72">
        <v>0</v>
      </c>
      <c r="G108" s="72">
        <v>0</v>
      </c>
      <c r="H108" s="1">
        <f>H107+Table9[[#This Row],[Calls Off]]</f>
        <v>3761</v>
      </c>
      <c r="I108" s="1">
        <f>I107+Table9[[#This Row],[Calls Ans]]</f>
        <v>3672</v>
      </c>
      <c r="J108" s="1">
        <v>24607</v>
      </c>
      <c r="K108" s="1">
        <v>23759</v>
      </c>
      <c r="L108" s="18">
        <v>0.94</v>
      </c>
      <c r="M108" s="18">
        <v>0.01</v>
      </c>
      <c r="N108" s="18">
        <v>0.99</v>
      </c>
      <c r="O108" s="18">
        <v>0.65</v>
      </c>
      <c r="P108" s="24">
        <v>1</v>
      </c>
      <c r="Q108" s="24"/>
      <c r="R108" s="155"/>
    </row>
    <row r="109" spans="1:22" x14ac:dyDescent="0.35">
      <c r="A109" s="25">
        <v>44759</v>
      </c>
      <c r="B109" s="38" t="s">
        <v>48</v>
      </c>
      <c r="C109" s="38" t="s">
        <v>60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8">
        <v>0</v>
      </c>
      <c r="M109" s="18">
        <v>0</v>
      </c>
      <c r="N109" s="18">
        <v>0</v>
      </c>
      <c r="O109" s="18">
        <v>0</v>
      </c>
      <c r="P109" s="24">
        <v>0</v>
      </c>
      <c r="Q109" s="24"/>
      <c r="R109" s="155"/>
    </row>
    <row r="110" spans="1:22" x14ac:dyDescent="0.35">
      <c r="A110" s="25">
        <v>44760</v>
      </c>
      <c r="B110" s="38" t="s">
        <v>49</v>
      </c>
      <c r="C110" s="38" t="s">
        <v>60</v>
      </c>
      <c r="D110" s="1">
        <v>429</v>
      </c>
      <c r="E110" s="1">
        <v>417</v>
      </c>
      <c r="F110" s="72">
        <v>0.10852713178294573</v>
      </c>
      <c r="G110" s="72">
        <v>0.10026385224274406</v>
      </c>
      <c r="H110" s="1">
        <f>H108+Table9[[#This Row],[Calls Off]]</f>
        <v>4190</v>
      </c>
      <c r="I110" s="1">
        <f>I108+Table9[[#This Row],[Calls Ans]]</f>
        <v>4089</v>
      </c>
      <c r="J110" s="1">
        <v>25036</v>
      </c>
      <c r="K110" s="1">
        <v>24176</v>
      </c>
      <c r="L110" s="18">
        <v>0.90439999999999998</v>
      </c>
      <c r="M110" s="18">
        <v>0.03</v>
      </c>
      <c r="N110" s="18">
        <v>0.97</v>
      </c>
      <c r="O110" s="18">
        <v>0.77</v>
      </c>
      <c r="P110" s="24">
        <v>1</v>
      </c>
      <c r="Q110" s="24"/>
      <c r="R110" s="155"/>
      <c r="T110" t="s">
        <v>62</v>
      </c>
      <c r="U110" s="16">
        <v>44986</v>
      </c>
    </row>
    <row r="111" spans="1:22" x14ac:dyDescent="0.35">
      <c r="A111" s="25">
        <v>44761</v>
      </c>
      <c r="B111" s="38" t="s">
        <v>50</v>
      </c>
      <c r="C111" s="38" t="s">
        <v>60</v>
      </c>
      <c r="D111" s="1">
        <v>373</v>
      </c>
      <c r="E111" s="1">
        <v>362</v>
      </c>
      <c r="F111" s="72">
        <v>0.14417177914110429</v>
      </c>
      <c r="G111" s="72">
        <v>0.13125000000000001</v>
      </c>
      <c r="H111" s="1">
        <f>H110+Table9[[#This Row],[Calls Off]]</f>
        <v>4563</v>
      </c>
      <c r="I111" s="1">
        <f>I110+Table9[[#This Row],[Calls Ans]]</f>
        <v>4451</v>
      </c>
      <c r="J111" s="1">
        <v>25409</v>
      </c>
      <c r="K111" s="1">
        <v>24538</v>
      </c>
      <c r="L111" s="18">
        <v>0.81</v>
      </c>
      <c r="M111" s="18">
        <v>0.03</v>
      </c>
      <c r="N111" s="18">
        <v>0.97</v>
      </c>
      <c r="O111" s="18">
        <v>0.85</v>
      </c>
      <c r="P111" s="24">
        <v>1</v>
      </c>
      <c r="Q111" s="24"/>
      <c r="R111" s="155"/>
      <c r="T111" t="s">
        <v>63</v>
      </c>
      <c r="U111" s="16">
        <v>45016</v>
      </c>
    </row>
    <row r="112" spans="1:22" x14ac:dyDescent="0.35">
      <c r="A112" s="25">
        <v>44762</v>
      </c>
      <c r="B112" s="38" t="s">
        <v>51</v>
      </c>
      <c r="C112" s="38" t="s">
        <v>60</v>
      </c>
      <c r="D112" s="1">
        <v>343</v>
      </c>
      <c r="E112" s="1">
        <v>317</v>
      </c>
      <c r="F112" s="72">
        <v>-3.3802816901408447E-2</v>
      </c>
      <c r="G112" s="72">
        <v>-9.4285714285714292E-2</v>
      </c>
      <c r="H112" s="1">
        <f>H111+Table9[[#This Row],[Calls Off]]</f>
        <v>4906</v>
      </c>
      <c r="I112" s="1">
        <f>I111+Table9[[#This Row],[Calls Ans]]</f>
        <v>4768</v>
      </c>
      <c r="J112" s="1">
        <v>25752</v>
      </c>
      <c r="K112" s="1">
        <v>24855</v>
      </c>
      <c r="L112" s="18">
        <v>0.73</v>
      </c>
      <c r="M112" s="18">
        <v>0.08</v>
      </c>
      <c r="N112" s="18">
        <v>0.92</v>
      </c>
      <c r="O112" s="18">
        <v>0.78</v>
      </c>
      <c r="P112" s="24">
        <v>1</v>
      </c>
      <c r="Q112" s="24"/>
      <c r="R112" s="155"/>
    </row>
    <row r="113" spans="1:18" x14ac:dyDescent="0.35">
      <c r="A113" s="25">
        <v>44763</v>
      </c>
      <c r="B113" s="38" t="s">
        <v>52</v>
      </c>
      <c r="C113" s="38" t="s">
        <v>60</v>
      </c>
      <c r="D113" s="1">
        <v>352</v>
      </c>
      <c r="E113" s="1">
        <v>345</v>
      </c>
      <c r="F113" s="72">
        <v>8.6419753086419748E-2</v>
      </c>
      <c r="G113" s="72">
        <v>0.11290322580645161</v>
      </c>
      <c r="H113" s="1">
        <f>H112+Table9[[#This Row],[Calls Off]]</f>
        <v>5258</v>
      </c>
      <c r="I113" s="1">
        <f>I112+Table9[[#This Row],[Calls Ans]]</f>
        <v>5113</v>
      </c>
      <c r="J113" s="1">
        <v>26104</v>
      </c>
      <c r="K113" s="1">
        <v>25200</v>
      </c>
      <c r="L113" s="18">
        <v>0.89</v>
      </c>
      <c r="M113" s="18">
        <v>0.02</v>
      </c>
      <c r="N113" s="18">
        <v>0.98</v>
      </c>
      <c r="O113" s="18">
        <v>0.76</v>
      </c>
      <c r="P113" s="24">
        <v>1</v>
      </c>
      <c r="Q113" s="24"/>
      <c r="R113" s="155"/>
    </row>
    <row r="114" spans="1:18" x14ac:dyDescent="0.35">
      <c r="A114" s="25">
        <v>44764</v>
      </c>
      <c r="B114" s="38" t="s">
        <v>53</v>
      </c>
      <c r="C114" s="38" t="s">
        <v>60</v>
      </c>
      <c r="D114" s="1">
        <v>360</v>
      </c>
      <c r="E114" s="1">
        <v>348</v>
      </c>
      <c r="F114" s="72">
        <v>0.21621621621621623</v>
      </c>
      <c r="G114" s="72">
        <v>0.19178082191780821</v>
      </c>
      <c r="H114" s="1">
        <f>H113+Table9[[#This Row],[Calls Off]]</f>
        <v>5618</v>
      </c>
      <c r="I114" s="1">
        <f>I113+Table9[[#This Row],[Calls Ans]]</f>
        <v>5461</v>
      </c>
      <c r="J114" s="1">
        <v>26464</v>
      </c>
      <c r="K114" s="1">
        <v>25548</v>
      </c>
      <c r="L114" s="18">
        <v>0.86</v>
      </c>
      <c r="M114" s="18">
        <v>0.03</v>
      </c>
      <c r="N114" s="18">
        <v>0.97</v>
      </c>
      <c r="O114" s="18">
        <v>0.79</v>
      </c>
      <c r="P114" s="24">
        <v>1</v>
      </c>
      <c r="Q114" s="24"/>
      <c r="R114" s="155"/>
    </row>
    <row r="115" spans="1:18" x14ac:dyDescent="0.35">
      <c r="A115" s="25">
        <v>44765</v>
      </c>
      <c r="B115" s="38" t="s">
        <v>54</v>
      </c>
      <c r="C115" s="38" t="s">
        <v>60</v>
      </c>
      <c r="D115" s="1">
        <v>183</v>
      </c>
      <c r="E115" s="1">
        <v>181</v>
      </c>
      <c r="F115" s="72">
        <v>-0.17194570135746606</v>
      </c>
      <c r="G115" s="72">
        <v>-0.16972477064220184</v>
      </c>
      <c r="H115" s="1">
        <f>H114+Table9[[#This Row],[Calls Off]]</f>
        <v>5801</v>
      </c>
      <c r="I115" s="1">
        <f>I114+Table9[[#This Row],[Calls Ans]]</f>
        <v>5642</v>
      </c>
      <c r="J115" s="1">
        <v>26647</v>
      </c>
      <c r="K115" s="1">
        <v>25729</v>
      </c>
      <c r="L115" s="18">
        <v>0.88</v>
      </c>
      <c r="M115" s="18">
        <v>0.01</v>
      </c>
      <c r="N115" s="18">
        <v>0.99</v>
      </c>
      <c r="O115" s="18">
        <v>0.56999999999999995</v>
      </c>
      <c r="P115" s="24">
        <v>1</v>
      </c>
      <c r="Q115" s="24"/>
      <c r="R115" s="155"/>
    </row>
    <row r="116" spans="1:18" x14ac:dyDescent="0.35">
      <c r="A116" s="25">
        <v>44766</v>
      </c>
      <c r="B116" s="38" t="s">
        <v>48</v>
      </c>
      <c r="C116" s="38" t="s">
        <v>60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8">
        <v>0</v>
      </c>
      <c r="M116" s="18">
        <v>0</v>
      </c>
      <c r="N116" s="18">
        <v>0</v>
      </c>
      <c r="O116" s="18">
        <v>0</v>
      </c>
      <c r="P116" s="24">
        <v>0</v>
      </c>
      <c r="Q116" s="24"/>
      <c r="R116" s="155"/>
    </row>
    <row r="117" spans="1:18" x14ac:dyDescent="0.35">
      <c r="A117" s="25">
        <v>44767</v>
      </c>
      <c r="B117" s="38" t="s">
        <v>49</v>
      </c>
      <c r="C117" s="38" t="s">
        <v>60</v>
      </c>
      <c r="D117" s="1">
        <v>374</v>
      </c>
      <c r="E117" s="1">
        <v>365</v>
      </c>
      <c r="F117" s="72">
        <v>-0.12820512820512819</v>
      </c>
      <c r="G117" s="72">
        <v>-0.12470023980815348</v>
      </c>
      <c r="H117" s="1">
        <f>H115+Table9[[#This Row],[Calls Off]]</f>
        <v>6175</v>
      </c>
      <c r="I117" s="1">
        <f>I115+Table9[[#This Row],[Calls Ans]]</f>
        <v>6007</v>
      </c>
      <c r="J117" s="1">
        <v>27021</v>
      </c>
      <c r="K117" s="1">
        <v>26094</v>
      </c>
      <c r="L117" s="18">
        <v>0.9</v>
      </c>
      <c r="M117" s="18">
        <v>0.02</v>
      </c>
      <c r="N117" s="18">
        <v>0.98</v>
      </c>
      <c r="O117" s="18">
        <v>0.69</v>
      </c>
      <c r="P117" s="24">
        <v>1</v>
      </c>
      <c r="Q117" s="24"/>
      <c r="R117" s="155"/>
    </row>
    <row r="118" spans="1:18" x14ac:dyDescent="0.35">
      <c r="A118" s="25">
        <v>44768</v>
      </c>
      <c r="B118" s="38" t="s">
        <v>50</v>
      </c>
      <c r="C118" s="38" t="s">
        <v>60</v>
      </c>
      <c r="D118" s="1">
        <v>373</v>
      </c>
      <c r="E118" s="1">
        <v>369</v>
      </c>
      <c r="F118" s="72">
        <v>0</v>
      </c>
      <c r="G118" s="72">
        <v>1.9337016574585635E-2</v>
      </c>
      <c r="H118" s="1">
        <f>H117+Table9[[#This Row],[Calls Off]]</f>
        <v>6548</v>
      </c>
      <c r="I118" s="1">
        <f>I117+Table9[[#This Row],[Calls Ans]]</f>
        <v>6376</v>
      </c>
      <c r="J118" s="1">
        <v>27394</v>
      </c>
      <c r="K118" s="1">
        <v>26463</v>
      </c>
      <c r="L118" s="18">
        <v>0.9</v>
      </c>
      <c r="M118" s="18">
        <v>0.01</v>
      </c>
      <c r="N118" s="18">
        <v>0.99</v>
      </c>
      <c r="O118" s="18">
        <v>0.65</v>
      </c>
      <c r="P118" s="24">
        <v>1</v>
      </c>
      <c r="Q118" s="24"/>
      <c r="R118" s="155"/>
    </row>
    <row r="119" spans="1:18" x14ac:dyDescent="0.35">
      <c r="A119" s="25">
        <v>44769</v>
      </c>
      <c r="B119" s="38" t="s">
        <v>51</v>
      </c>
      <c r="C119" s="38" t="s">
        <v>60</v>
      </c>
      <c r="D119" s="1">
        <v>326</v>
      </c>
      <c r="E119" s="1">
        <v>317</v>
      </c>
      <c r="F119" s="72">
        <v>-4.9562682215743441E-2</v>
      </c>
      <c r="G119" s="72">
        <v>0</v>
      </c>
      <c r="H119" s="1">
        <f>H118+Table9[[#This Row],[Calls Off]]</f>
        <v>6874</v>
      </c>
      <c r="I119" s="1">
        <f>I118+Table9[[#This Row],[Calls Ans]]</f>
        <v>6693</v>
      </c>
      <c r="J119" s="1">
        <v>27720</v>
      </c>
      <c r="K119" s="1">
        <v>26780</v>
      </c>
      <c r="L119" s="18">
        <v>0.86</v>
      </c>
      <c r="M119" s="18">
        <v>0.03</v>
      </c>
      <c r="N119" s="18">
        <v>0.97</v>
      </c>
      <c r="O119" s="18">
        <v>0.72</v>
      </c>
      <c r="P119" s="24">
        <v>1</v>
      </c>
      <c r="Q119" s="24"/>
      <c r="R119" s="155"/>
    </row>
    <row r="120" spans="1:18" x14ac:dyDescent="0.35">
      <c r="A120" s="25">
        <v>44770</v>
      </c>
      <c r="B120" s="38" t="s">
        <v>52</v>
      </c>
      <c r="C120" s="38" t="s">
        <v>60</v>
      </c>
      <c r="D120" s="1">
        <v>419</v>
      </c>
      <c r="E120" s="1">
        <v>399</v>
      </c>
      <c r="F120" s="72">
        <v>0.19034090909090909</v>
      </c>
      <c r="G120" s="72">
        <v>0.15652173913043479</v>
      </c>
      <c r="H120" s="1">
        <f>H119+Table9[[#This Row],[Calls Off]]</f>
        <v>7293</v>
      </c>
      <c r="I120" s="1">
        <f>I119+Table9[[#This Row],[Calls Ans]]</f>
        <v>7092</v>
      </c>
      <c r="J120" s="1">
        <v>28139</v>
      </c>
      <c r="K120" s="1">
        <v>27179</v>
      </c>
      <c r="L120" s="18">
        <v>0.88</v>
      </c>
      <c r="M120" s="18">
        <v>0.05</v>
      </c>
      <c r="N120" s="18">
        <v>0.95</v>
      </c>
      <c r="O120" s="18">
        <v>0.8</v>
      </c>
      <c r="P120" s="24">
        <v>1</v>
      </c>
      <c r="Q120" s="24"/>
      <c r="R120" s="155"/>
    </row>
    <row r="121" spans="1:18" x14ac:dyDescent="0.35">
      <c r="A121" s="25">
        <v>44771</v>
      </c>
      <c r="B121" s="38" t="s">
        <v>53</v>
      </c>
      <c r="C121" s="38" t="s">
        <v>60</v>
      </c>
      <c r="D121" s="1">
        <v>285</v>
      </c>
      <c r="E121" s="1">
        <v>277</v>
      </c>
      <c r="F121" s="72">
        <v>-0.20833333333333334</v>
      </c>
      <c r="G121" s="72">
        <v>-0.20402298850574713</v>
      </c>
      <c r="H121" s="1">
        <f>H120+Table9[[#This Row],[Calls Off]]</f>
        <v>7578</v>
      </c>
      <c r="I121" s="1">
        <f>I120+Table9[[#This Row],[Calls Ans]]</f>
        <v>7369</v>
      </c>
      <c r="J121" s="1">
        <v>28424</v>
      </c>
      <c r="K121" s="1">
        <v>27456</v>
      </c>
      <c r="L121" s="18">
        <v>0.9</v>
      </c>
      <c r="M121" s="18">
        <v>0.03</v>
      </c>
      <c r="N121" s="18">
        <v>0.97</v>
      </c>
      <c r="O121" s="18">
        <v>0.71</v>
      </c>
      <c r="P121" s="24">
        <v>1</v>
      </c>
      <c r="Q121" s="24"/>
      <c r="R121" s="155"/>
    </row>
    <row r="122" spans="1:18" x14ac:dyDescent="0.35">
      <c r="A122" s="25">
        <v>44772</v>
      </c>
      <c r="B122" s="38" t="s">
        <v>54</v>
      </c>
      <c r="C122" s="38" t="s">
        <v>60</v>
      </c>
      <c r="D122" s="1">
        <v>272</v>
      </c>
      <c r="E122" s="1">
        <v>262</v>
      </c>
      <c r="F122" s="72">
        <v>0.48633879781420764</v>
      </c>
      <c r="G122" s="72">
        <v>0.44751381215469616</v>
      </c>
      <c r="H122" s="1">
        <f>H121+Table9[[#This Row],[Calls Off]]</f>
        <v>7850</v>
      </c>
      <c r="I122" s="1">
        <f>I121+Table9[[#This Row],[Calls Ans]]</f>
        <v>7631</v>
      </c>
      <c r="J122" s="1">
        <v>28696</v>
      </c>
      <c r="K122" s="1">
        <v>27718</v>
      </c>
      <c r="L122" s="18">
        <v>0.9</v>
      </c>
      <c r="M122" s="18">
        <v>0.04</v>
      </c>
      <c r="N122" s="18">
        <v>0.96</v>
      </c>
      <c r="O122" s="18">
        <v>0.73</v>
      </c>
      <c r="P122" s="24">
        <v>1</v>
      </c>
      <c r="Q122" s="24"/>
      <c r="R122" s="155"/>
    </row>
    <row r="123" spans="1:18" x14ac:dyDescent="0.35">
      <c r="A123" s="25">
        <v>44773</v>
      </c>
      <c r="B123" s="38" t="s">
        <v>48</v>
      </c>
      <c r="C123" s="38" t="s">
        <v>60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8">
        <v>0</v>
      </c>
      <c r="M123" s="18">
        <v>0</v>
      </c>
      <c r="N123" s="18">
        <v>0</v>
      </c>
      <c r="O123" s="18">
        <v>0</v>
      </c>
      <c r="P123" s="24">
        <v>0</v>
      </c>
      <c r="Q123" s="24"/>
      <c r="R123" s="155"/>
    </row>
    <row r="124" spans="1:18" x14ac:dyDescent="0.35">
      <c r="A124" s="120">
        <v>44774</v>
      </c>
      <c r="B124" s="55" t="s">
        <v>49</v>
      </c>
      <c r="C124" s="55" t="s">
        <v>60</v>
      </c>
      <c r="D124" s="56">
        <v>0</v>
      </c>
      <c r="E124" s="56">
        <v>0</v>
      </c>
      <c r="F124" s="56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7">
        <v>0</v>
      </c>
      <c r="M124" s="57">
        <v>0</v>
      </c>
      <c r="N124" s="57">
        <v>0</v>
      </c>
      <c r="O124" s="57">
        <v>0</v>
      </c>
      <c r="P124" s="121">
        <v>0</v>
      </c>
      <c r="Q124" s="121"/>
      <c r="R124" s="155"/>
    </row>
    <row r="125" spans="1:18" x14ac:dyDescent="0.35">
      <c r="A125" s="25">
        <v>44775</v>
      </c>
      <c r="B125" s="38" t="s">
        <v>50</v>
      </c>
      <c r="C125" s="38" t="s">
        <v>60</v>
      </c>
      <c r="D125" s="1">
        <v>343</v>
      </c>
      <c r="E125" s="1">
        <v>328</v>
      </c>
      <c r="F125" s="72">
        <v>-8.0428954423592491E-2</v>
      </c>
      <c r="G125" s="72">
        <v>-0.1111111111111111</v>
      </c>
      <c r="H125" s="1">
        <v>343</v>
      </c>
      <c r="I125" s="1">
        <v>328</v>
      </c>
      <c r="J125" s="1">
        <v>29039</v>
      </c>
      <c r="K125" s="1">
        <v>28046</v>
      </c>
      <c r="L125" s="18">
        <v>0.89</v>
      </c>
      <c r="M125" s="18">
        <v>0.04</v>
      </c>
      <c r="N125" s="18">
        <v>0.96</v>
      </c>
      <c r="O125" s="18">
        <v>0.74</v>
      </c>
      <c r="P125" s="24">
        <v>1</v>
      </c>
      <c r="Q125" s="24"/>
      <c r="R125" s="155"/>
    </row>
    <row r="126" spans="1:18" x14ac:dyDescent="0.35">
      <c r="A126" s="25">
        <v>44776</v>
      </c>
      <c r="B126" s="38" t="s">
        <v>51</v>
      </c>
      <c r="C126" s="38" t="s">
        <v>60</v>
      </c>
      <c r="D126" s="1">
        <v>319</v>
      </c>
      <c r="E126" s="1">
        <v>311</v>
      </c>
      <c r="F126" s="72">
        <v>-2.1472392638036811E-2</v>
      </c>
      <c r="G126" s="72">
        <v>-1.8927444794952682E-2</v>
      </c>
      <c r="H126" s="1">
        <v>662</v>
      </c>
      <c r="I126" s="1">
        <v>639</v>
      </c>
      <c r="J126" s="1">
        <v>29358</v>
      </c>
      <c r="K126" s="1">
        <v>28357</v>
      </c>
      <c r="L126" s="18">
        <v>0.89</v>
      </c>
      <c r="M126" s="18">
        <v>0.03</v>
      </c>
      <c r="N126" s="18">
        <v>0.97</v>
      </c>
      <c r="O126" s="18">
        <v>0.71</v>
      </c>
      <c r="P126" s="24">
        <v>1</v>
      </c>
      <c r="Q126" s="24"/>
      <c r="R126" s="155"/>
    </row>
    <row r="127" spans="1:18" x14ac:dyDescent="0.35">
      <c r="A127" s="25">
        <v>44777</v>
      </c>
      <c r="B127" s="38" t="s">
        <v>52</v>
      </c>
      <c r="C127" s="38" t="s">
        <v>60</v>
      </c>
      <c r="D127" s="1">
        <v>354</v>
      </c>
      <c r="E127" s="1">
        <v>344</v>
      </c>
      <c r="F127" s="72">
        <v>-0.15513126491646778</v>
      </c>
      <c r="G127" s="72">
        <v>-0.13784461152882205</v>
      </c>
      <c r="H127" s="1">
        <v>1016</v>
      </c>
      <c r="I127" s="1">
        <v>983</v>
      </c>
      <c r="J127" s="1">
        <v>29712</v>
      </c>
      <c r="K127" s="1">
        <v>28701</v>
      </c>
      <c r="L127" s="18">
        <v>0.88</v>
      </c>
      <c r="M127" s="18">
        <v>0.03</v>
      </c>
      <c r="N127" s="18">
        <v>0.97</v>
      </c>
      <c r="O127" s="18">
        <v>0.66</v>
      </c>
      <c r="P127" s="24">
        <v>1</v>
      </c>
      <c r="Q127" s="24"/>
      <c r="R127" s="155"/>
    </row>
    <row r="128" spans="1:18" x14ac:dyDescent="0.35">
      <c r="A128" s="25">
        <v>44778</v>
      </c>
      <c r="B128" s="38" t="s">
        <v>53</v>
      </c>
      <c r="C128" s="38" t="s">
        <v>60</v>
      </c>
      <c r="D128" s="1">
        <v>348</v>
      </c>
      <c r="E128" s="1">
        <v>331</v>
      </c>
      <c r="F128" s="72">
        <v>0.22105263157894736</v>
      </c>
      <c r="G128" s="72">
        <v>0.19494584837545126</v>
      </c>
      <c r="H128" s="1">
        <v>1364</v>
      </c>
      <c r="I128" s="1">
        <v>1314</v>
      </c>
      <c r="J128" s="1">
        <v>30060</v>
      </c>
      <c r="K128" s="1">
        <v>29032</v>
      </c>
      <c r="L128" s="18">
        <v>0.9</v>
      </c>
      <c r="M128" s="18">
        <v>0.05</v>
      </c>
      <c r="N128" s="18">
        <v>0.95</v>
      </c>
      <c r="O128" s="18">
        <v>0.79</v>
      </c>
      <c r="P128" s="24">
        <v>1</v>
      </c>
      <c r="Q128" s="24"/>
      <c r="R128" s="155"/>
    </row>
    <row r="129" spans="1:22" x14ac:dyDescent="0.35">
      <c r="A129" s="25">
        <v>44779</v>
      </c>
      <c r="B129" s="38" t="s">
        <v>54</v>
      </c>
      <c r="C129" s="38" t="s">
        <v>60</v>
      </c>
      <c r="D129" s="1">
        <v>260</v>
      </c>
      <c r="E129" s="1">
        <v>255</v>
      </c>
      <c r="F129" s="72">
        <v>-4.4117647058823532E-2</v>
      </c>
      <c r="G129" s="72">
        <v>-2.6717557251908396E-2</v>
      </c>
      <c r="H129" s="1">
        <v>1624</v>
      </c>
      <c r="I129" s="1">
        <v>1569</v>
      </c>
      <c r="J129" s="1">
        <v>30320</v>
      </c>
      <c r="K129" s="1">
        <v>29287</v>
      </c>
      <c r="L129" s="18">
        <v>0.91</v>
      </c>
      <c r="M129" s="18">
        <v>0.02</v>
      </c>
      <c r="N129" s="18">
        <v>0.98</v>
      </c>
      <c r="O129" s="18">
        <v>0.67</v>
      </c>
      <c r="P129" s="24">
        <v>1</v>
      </c>
      <c r="Q129" s="24"/>
      <c r="R129" s="155"/>
    </row>
    <row r="130" spans="1:22" x14ac:dyDescent="0.35">
      <c r="A130" s="25">
        <v>44780</v>
      </c>
      <c r="B130" s="38" t="s">
        <v>48</v>
      </c>
      <c r="C130" s="38" t="s">
        <v>60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8">
        <v>0</v>
      </c>
      <c r="M130" s="18">
        <v>0</v>
      </c>
      <c r="N130" s="18">
        <v>0</v>
      </c>
      <c r="O130" s="18">
        <v>0</v>
      </c>
      <c r="P130" s="24">
        <v>0</v>
      </c>
      <c r="Q130" s="24"/>
      <c r="R130" s="155"/>
    </row>
    <row r="131" spans="1:22" x14ac:dyDescent="0.35">
      <c r="A131" s="25">
        <v>44781</v>
      </c>
      <c r="B131" s="38" t="s">
        <v>49</v>
      </c>
      <c r="C131" s="38" t="s">
        <v>60</v>
      </c>
      <c r="D131" s="1">
        <v>417</v>
      </c>
      <c r="E131" s="1">
        <v>398</v>
      </c>
      <c r="F131" s="72">
        <v>0</v>
      </c>
      <c r="G131" s="72">
        <v>0</v>
      </c>
      <c r="H131" s="1">
        <v>2041</v>
      </c>
      <c r="I131" s="1">
        <v>1967</v>
      </c>
      <c r="J131" s="1">
        <v>30737</v>
      </c>
      <c r="K131" s="1">
        <v>29685</v>
      </c>
      <c r="L131" s="18">
        <v>0.87</v>
      </c>
      <c r="M131" s="18">
        <v>0.05</v>
      </c>
      <c r="N131" s="18">
        <v>0.95</v>
      </c>
      <c r="O131" s="18">
        <v>0.83</v>
      </c>
      <c r="P131" s="24">
        <v>1</v>
      </c>
      <c r="Q131" s="24"/>
      <c r="R131" s="155"/>
    </row>
    <row r="132" spans="1:22" x14ac:dyDescent="0.35">
      <c r="A132" s="25">
        <v>44782</v>
      </c>
      <c r="B132" s="38" t="s">
        <v>50</v>
      </c>
      <c r="C132" s="38" t="s">
        <v>60</v>
      </c>
      <c r="D132" s="1">
        <v>334</v>
      </c>
      <c r="E132" s="1">
        <v>312</v>
      </c>
      <c r="F132" s="72">
        <v>-2.6239067055393587E-2</v>
      </c>
      <c r="G132" s="72">
        <v>-4.878048780487805E-2</v>
      </c>
      <c r="H132" s="1">
        <v>2375</v>
      </c>
      <c r="I132" s="1">
        <v>2279</v>
      </c>
      <c r="J132" s="1">
        <v>31071</v>
      </c>
      <c r="K132" s="1">
        <v>29997</v>
      </c>
      <c r="L132" s="18">
        <v>0.84</v>
      </c>
      <c r="M132" s="18">
        <v>7.0000000000000007E-2</v>
      </c>
      <c r="N132" s="18">
        <v>0.93</v>
      </c>
      <c r="O132" s="18">
        <v>0.71</v>
      </c>
      <c r="P132" s="24">
        <v>1</v>
      </c>
      <c r="Q132" s="24"/>
      <c r="R132" s="155"/>
    </row>
    <row r="133" spans="1:22" x14ac:dyDescent="0.35">
      <c r="A133" s="25">
        <v>44783</v>
      </c>
      <c r="B133" s="38" t="s">
        <v>51</v>
      </c>
      <c r="C133" s="38" t="s">
        <v>60</v>
      </c>
      <c r="D133" s="1">
        <v>458</v>
      </c>
      <c r="E133" s="1">
        <v>444</v>
      </c>
      <c r="F133" s="72">
        <v>0.43573667711598746</v>
      </c>
      <c r="G133" s="72">
        <v>0.42765273311897106</v>
      </c>
      <c r="H133" s="1">
        <v>2833</v>
      </c>
      <c r="I133" s="1">
        <v>2723</v>
      </c>
      <c r="J133" s="1">
        <v>31529</v>
      </c>
      <c r="K133" s="1">
        <v>30441</v>
      </c>
      <c r="L133" s="18">
        <v>0.88</v>
      </c>
      <c r="M133" s="18">
        <v>0.03</v>
      </c>
      <c r="N133" s="18">
        <v>0.97</v>
      </c>
      <c r="O133" s="18">
        <v>0.8</v>
      </c>
      <c r="P133" s="24">
        <v>1</v>
      </c>
      <c r="Q133" s="24"/>
      <c r="R133" s="155"/>
      <c r="U133" s="276" t="s">
        <v>96</v>
      </c>
      <c r="V133" s="276"/>
    </row>
    <row r="134" spans="1:22" x14ac:dyDescent="0.35">
      <c r="A134" s="25">
        <v>44784</v>
      </c>
      <c r="B134" s="38" t="s">
        <v>52</v>
      </c>
      <c r="C134" s="38" t="s">
        <v>60</v>
      </c>
      <c r="D134" s="1">
        <v>332</v>
      </c>
      <c r="E134" s="1">
        <v>319</v>
      </c>
      <c r="F134" s="72">
        <v>-6.2146892655367235E-2</v>
      </c>
      <c r="G134" s="72">
        <v>-7.2674418604651167E-2</v>
      </c>
      <c r="H134" s="1">
        <v>3165</v>
      </c>
      <c r="I134" s="1">
        <v>3042</v>
      </c>
      <c r="J134" s="1">
        <v>31861</v>
      </c>
      <c r="K134" s="1">
        <v>30760</v>
      </c>
      <c r="L134" s="18">
        <v>0.78</v>
      </c>
      <c r="M134" s="18">
        <v>0.04</v>
      </c>
      <c r="N134" s="18">
        <v>0.96</v>
      </c>
      <c r="O134" s="18">
        <v>0.77</v>
      </c>
      <c r="P134" s="24">
        <v>1</v>
      </c>
      <c r="Q134" s="24"/>
      <c r="R134" s="155"/>
      <c r="U134" t="s">
        <v>97</v>
      </c>
      <c r="V134" t="s">
        <v>98</v>
      </c>
    </row>
    <row r="135" spans="1:22" x14ac:dyDescent="0.35">
      <c r="A135" s="25">
        <v>44785</v>
      </c>
      <c r="B135" s="38" t="s">
        <v>53</v>
      </c>
      <c r="C135" s="38" t="s">
        <v>60</v>
      </c>
      <c r="D135" s="1">
        <v>297</v>
      </c>
      <c r="E135" s="1">
        <v>282</v>
      </c>
      <c r="F135" s="72">
        <v>-0.14655172413793102</v>
      </c>
      <c r="G135" s="72">
        <v>-0.14803625377643503</v>
      </c>
      <c r="H135" s="1">
        <v>3462</v>
      </c>
      <c r="I135" s="1">
        <v>3324</v>
      </c>
      <c r="J135" s="1">
        <v>32158</v>
      </c>
      <c r="K135" s="1">
        <v>31042</v>
      </c>
      <c r="L135" s="18">
        <v>0.78</v>
      </c>
      <c r="M135" s="18">
        <v>0.05</v>
      </c>
      <c r="N135" s="18">
        <v>0.95</v>
      </c>
      <c r="O135" s="18">
        <v>0.65</v>
      </c>
      <c r="P135" s="24">
        <v>1</v>
      </c>
      <c r="Q135" s="24"/>
      <c r="R135" s="155"/>
      <c r="U135" t="s">
        <v>99</v>
      </c>
      <c r="V135" s="219">
        <v>0</v>
      </c>
    </row>
    <row r="136" spans="1:22" x14ac:dyDescent="0.35">
      <c r="A136" s="25">
        <v>44786</v>
      </c>
      <c r="B136" s="38" t="s">
        <v>54</v>
      </c>
      <c r="C136" s="38" t="s">
        <v>60</v>
      </c>
      <c r="D136" s="1">
        <v>332</v>
      </c>
      <c r="E136" s="1">
        <v>319</v>
      </c>
      <c r="F136" s="72">
        <v>0.27692307692307694</v>
      </c>
      <c r="G136" s="72">
        <v>0.25098039215686274</v>
      </c>
      <c r="H136" s="1">
        <v>3794</v>
      </c>
      <c r="I136" s="1">
        <v>3643</v>
      </c>
      <c r="J136" s="1">
        <v>32490</v>
      </c>
      <c r="K136" s="1">
        <v>31361</v>
      </c>
      <c r="L136" s="18">
        <v>0.9</v>
      </c>
      <c r="M136" s="18">
        <v>0.04</v>
      </c>
      <c r="N136" s="18">
        <v>0.96</v>
      </c>
      <c r="O136" s="18">
        <v>0.79</v>
      </c>
      <c r="P136" s="24">
        <v>1</v>
      </c>
      <c r="Q136" s="24"/>
      <c r="R136" s="155"/>
      <c r="U136" t="s">
        <v>100</v>
      </c>
      <c r="V136" s="219">
        <v>0.10416666666666667</v>
      </c>
    </row>
    <row r="137" spans="1:22" x14ac:dyDescent="0.35">
      <c r="A137" s="25">
        <v>44787</v>
      </c>
      <c r="B137" s="38" t="s">
        <v>48</v>
      </c>
      <c r="C137" s="38" t="s">
        <v>60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8">
        <v>0</v>
      </c>
      <c r="M137" s="18">
        <v>0</v>
      </c>
      <c r="N137" s="18">
        <v>0</v>
      </c>
      <c r="O137" s="18">
        <v>0</v>
      </c>
      <c r="P137" s="24">
        <v>0</v>
      </c>
      <c r="Q137" s="24"/>
      <c r="R137" s="155"/>
      <c r="U137" t="s">
        <v>101</v>
      </c>
      <c r="V137" s="219">
        <v>0.10416666666666667</v>
      </c>
    </row>
    <row r="138" spans="1:22" x14ac:dyDescent="0.35">
      <c r="A138" s="25">
        <v>44788</v>
      </c>
      <c r="B138" s="38" t="s">
        <v>49</v>
      </c>
      <c r="C138" s="38" t="s">
        <v>60</v>
      </c>
      <c r="D138" s="1">
        <v>356</v>
      </c>
      <c r="E138" s="1">
        <v>334</v>
      </c>
      <c r="F138" s="72">
        <v>-0.14628297362110312</v>
      </c>
      <c r="G138" s="72">
        <v>-0.16080402010050251</v>
      </c>
      <c r="H138" s="1">
        <v>4150</v>
      </c>
      <c r="I138" s="1">
        <v>3977</v>
      </c>
      <c r="J138" s="1">
        <v>32846</v>
      </c>
      <c r="K138" s="1">
        <v>31695</v>
      </c>
      <c r="L138" s="18">
        <v>0.84</v>
      </c>
      <c r="M138" s="18">
        <v>0.06</v>
      </c>
      <c r="N138" s="18">
        <v>0.94</v>
      </c>
      <c r="O138" s="18">
        <v>0.79</v>
      </c>
      <c r="P138" s="24">
        <v>1</v>
      </c>
      <c r="Q138" s="24"/>
      <c r="R138" s="155"/>
      <c r="U138" t="s">
        <v>102</v>
      </c>
      <c r="V138" s="219">
        <v>0.20833333333333334</v>
      </c>
    </row>
    <row r="139" spans="1:22" x14ac:dyDescent="0.35">
      <c r="A139" s="25">
        <v>44789</v>
      </c>
      <c r="B139" s="38" t="s">
        <v>50</v>
      </c>
      <c r="C139" s="38" t="s">
        <v>60</v>
      </c>
      <c r="D139" s="1">
        <v>315</v>
      </c>
      <c r="E139" s="1">
        <v>306</v>
      </c>
      <c r="F139" s="72">
        <v>-5.6886227544910177E-2</v>
      </c>
      <c r="G139" s="72">
        <v>-1.9230769230769232E-2</v>
      </c>
      <c r="H139" s="1">
        <v>4465</v>
      </c>
      <c r="I139" s="1">
        <v>4283</v>
      </c>
      <c r="J139" s="1">
        <v>33161</v>
      </c>
      <c r="K139" s="1">
        <v>32001</v>
      </c>
      <c r="L139" s="18">
        <v>0.9</v>
      </c>
      <c r="M139" s="18">
        <v>0.03</v>
      </c>
      <c r="N139" s="18">
        <v>0.97</v>
      </c>
      <c r="O139" s="18">
        <v>0.71</v>
      </c>
      <c r="P139" s="24">
        <v>1</v>
      </c>
      <c r="Q139" s="24"/>
      <c r="R139" s="155"/>
      <c r="U139" t="s">
        <v>98</v>
      </c>
      <c r="V139" s="219" cm="1">
        <f t="array" ref="V139">AVERAGEIF(chart_ATT_GUY, "&lt;&gt;0")</f>
        <v>1.204594017094017E-3</v>
      </c>
    </row>
    <row r="140" spans="1:22" x14ac:dyDescent="0.35">
      <c r="A140" s="25">
        <v>44790</v>
      </c>
      <c r="B140" s="38" t="s">
        <v>51</v>
      </c>
      <c r="C140" s="38" t="s">
        <v>60</v>
      </c>
      <c r="D140" s="1">
        <v>412</v>
      </c>
      <c r="E140" s="1">
        <v>396</v>
      </c>
      <c r="F140" s="72">
        <v>-0.10043668122270742</v>
      </c>
      <c r="G140" s="72">
        <v>-0.10810810810810811</v>
      </c>
      <c r="H140" s="1">
        <v>4877</v>
      </c>
      <c r="I140" s="1">
        <v>4679</v>
      </c>
      <c r="J140" s="1">
        <v>33573</v>
      </c>
      <c r="K140" s="1">
        <v>32397</v>
      </c>
      <c r="L140" s="18">
        <v>0.88</v>
      </c>
      <c r="M140" s="18">
        <v>0.04</v>
      </c>
      <c r="N140" s="18">
        <v>0.96</v>
      </c>
      <c r="O140" s="18">
        <v>0.82</v>
      </c>
      <c r="P140" s="24">
        <v>1</v>
      </c>
      <c r="Q140" s="24"/>
      <c r="R140" s="155"/>
    </row>
    <row r="141" spans="1:22" x14ac:dyDescent="0.35">
      <c r="A141" s="25">
        <v>44791</v>
      </c>
      <c r="B141" s="38" t="s">
        <v>52</v>
      </c>
      <c r="C141" s="38" t="s">
        <v>60</v>
      </c>
      <c r="D141" s="1">
        <v>288</v>
      </c>
      <c r="E141" s="1">
        <v>283</v>
      </c>
      <c r="F141" s="72">
        <v>-0.13253012048192772</v>
      </c>
      <c r="G141" s="72">
        <v>-0.11285266457680251</v>
      </c>
      <c r="H141" s="1">
        <v>5165</v>
      </c>
      <c r="I141" s="1">
        <v>4962</v>
      </c>
      <c r="J141" s="1">
        <v>33861</v>
      </c>
      <c r="K141" s="1">
        <v>32680</v>
      </c>
      <c r="L141" s="18">
        <v>0.9</v>
      </c>
      <c r="M141" s="18">
        <v>0.02</v>
      </c>
      <c r="N141" s="18">
        <v>0.98</v>
      </c>
      <c r="O141" s="18">
        <v>0.74</v>
      </c>
      <c r="P141" s="24">
        <v>1</v>
      </c>
      <c r="Q141" s="24"/>
      <c r="R141" s="155"/>
    </row>
    <row r="142" spans="1:22" x14ac:dyDescent="0.35">
      <c r="A142" s="25">
        <v>44792</v>
      </c>
      <c r="B142" s="38" t="s">
        <v>53</v>
      </c>
      <c r="C142" s="38" t="s">
        <v>60</v>
      </c>
      <c r="D142" s="1">
        <v>390</v>
      </c>
      <c r="E142" s="1">
        <v>372</v>
      </c>
      <c r="F142" s="72">
        <v>0.31313131313131315</v>
      </c>
      <c r="G142" s="72">
        <v>0.31914893617021278</v>
      </c>
      <c r="H142" s="1">
        <v>5555</v>
      </c>
      <c r="I142" s="1">
        <v>5334</v>
      </c>
      <c r="J142" s="1">
        <v>34251</v>
      </c>
      <c r="K142" s="1">
        <v>33052</v>
      </c>
      <c r="L142" s="18">
        <v>0.88</v>
      </c>
      <c r="M142" s="18">
        <v>0.04</v>
      </c>
      <c r="N142" s="18">
        <v>0.96</v>
      </c>
      <c r="O142" s="18">
        <v>0.92</v>
      </c>
      <c r="P142" s="24">
        <v>1</v>
      </c>
      <c r="Q142" s="24"/>
      <c r="R142" s="155"/>
    </row>
    <row r="143" spans="1:22" x14ac:dyDescent="0.35">
      <c r="A143" s="25">
        <v>44793</v>
      </c>
      <c r="B143" s="38" t="s">
        <v>54</v>
      </c>
      <c r="C143" s="38" t="s">
        <v>60</v>
      </c>
      <c r="D143" s="1">
        <v>253</v>
      </c>
      <c r="E143" s="1">
        <v>246</v>
      </c>
      <c r="F143" s="72">
        <v>-0.23795180722891565</v>
      </c>
      <c r="G143" s="72">
        <v>-0.22884012539184953</v>
      </c>
      <c r="H143" s="1">
        <v>5808</v>
      </c>
      <c r="I143" s="1">
        <v>5580</v>
      </c>
      <c r="J143" s="1">
        <v>34504</v>
      </c>
      <c r="K143" s="1">
        <v>33298</v>
      </c>
      <c r="L143" s="18">
        <v>0.83</v>
      </c>
      <c r="M143" s="18">
        <v>0.03</v>
      </c>
      <c r="N143" s="18">
        <v>0.97</v>
      </c>
      <c r="O143" s="18">
        <v>0.63</v>
      </c>
      <c r="P143" s="24">
        <v>1</v>
      </c>
      <c r="Q143" s="24"/>
      <c r="R143" s="155"/>
    </row>
    <row r="144" spans="1:22" x14ac:dyDescent="0.35">
      <c r="A144" s="25">
        <v>44794</v>
      </c>
      <c r="B144" s="38" t="s">
        <v>48</v>
      </c>
      <c r="C144" s="38" t="s">
        <v>60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8">
        <v>0</v>
      </c>
      <c r="M144" s="18">
        <v>0</v>
      </c>
      <c r="N144" s="18">
        <v>0</v>
      </c>
      <c r="O144" s="18">
        <v>0</v>
      </c>
      <c r="P144" s="24">
        <v>0</v>
      </c>
      <c r="Q144" s="24"/>
      <c r="R144" s="155"/>
    </row>
    <row r="145" spans="1:19" x14ac:dyDescent="0.35">
      <c r="A145" s="25">
        <v>44795</v>
      </c>
      <c r="B145" s="38" t="s">
        <v>49</v>
      </c>
      <c r="C145" s="38" t="s">
        <v>60</v>
      </c>
      <c r="D145" s="1">
        <v>425</v>
      </c>
      <c r="E145" s="1">
        <v>407</v>
      </c>
      <c r="F145" s="72">
        <v>0.19382022471910113</v>
      </c>
      <c r="G145" s="72">
        <v>0.21856287425149701</v>
      </c>
      <c r="H145" s="1">
        <v>6233</v>
      </c>
      <c r="I145" s="1">
        <v>5987</v>
      </c>
      <c r="J145" s="1">
        <v>34929</v>
      </c>
      <c r="K145" s="1">
        <v>33705</v>
      </c>
      <c r="L145" s="18">
        <v>0.87</v>
      </c>
      <c r="M145" s="18">
        <v>0.04</v>
      </c>
      <c r="N145" s="18">
        <v>0.96</v>
      </c>
      <c r="O145" s="18">
        <v>0.85</v>
      </c>
      <c r="P145" s="24">
        <v>1</v>
      </c>
      <c r="Q145" s="24"/>
      <c r="R145" s="155"/>
    </row>
    <row r="146" spans="1:19" x14ac:dyDescent="0.35">
      <c r="A146" s="25">
        <v>44796</v>
      </c>
      <c r="B146" s="38" t="s">
        <v>50</v>
      </c>
      <c r="C146" s="38" t="s">
        <v>60</v>
      </c>
      <c r="D146" s="1">
        <v>390</v>
      </c>
      <c r="E146" s="1">
        <v>379</v>
      </c>
      <c r="F146" s="72">
        <v>0.23809523809523808</v>
      </c>
      <c r="G146" s="72">
        <v>0.23856209150326799</v>
      </c>
      <c r="H146" s="1">
        <v>6623</v>
      </c>
      <c r="I146" s="1">
        <v>6366</v>
      </c>
      <c r="J146" s="1">
        <v>35319</v>
      </c>
      <c r="K146" s="1">
        <v>34084</v>
      </c>
      <c r="L146" s="18">
        <v>0.89</v>
      </c>
      <c r="M146" s="18">
        <v>0.03</v>
      </c>
      <c r="N146" s="18">
        <v>0.97</v>
      </c>
      <c r="O146" s="18">
        <v>0.91</v>
      </c>
      <c r="P146" s="24">
        <v>1</v>
      </c>
      <c r="Q146" s="24"/>
      <c r="R146" s="155"/>
    </row>
    <row r="147" spans="1:19" x14ac:dyDescent="0.35">
      <c r="A147" s="25">
        <v>44797</v>
      </c>
      <c r="B147" s="38" t="s">
        <v>51</v>
      </c>
      <c r="C147" s="38" t="s">
        <v>60</v>
      </c>
      <c r="D147" s="1">
        <v>482</v>
      </c>
      <c r="E147" s="1">
        <v>460</v>
      </c>
      <c r="F147" s="72">
        <v>0.16990291262135923</v>
      </c>
      <c r="G147" s="72">
        <v>0.16161616161616163</v>
      </c>
      <c r="H147" s="1">
        <v>7105</v>
      </c>
      <c r="I147" s="1">
        <v>6826</v>
      </c>
      <c r="J147" s="1">
        <v>35801</v>
      </c>
      <c r="K147" s="1">
        <v>34544</v>
      </c>
      <c r="L147" s="18">
        <v>0.88</v>
      </c>
      <c r="M147" s="18">
        <v>0.05</v>
      </c>
      <c r="N147" s="18">
        <v>0.95</v>
      </c>
      <c r="O147" s="18">
        <v>0.88</v>
      </c>
      <c r="P147" s="24">
        <v>1</v>
      </c>
      <c r="Q147" s="24"/>
      <c r="R147" s="155"/>
    </row>
    <row r="148" spans="1:19" x14ac:dyDescent="0.35">
      <c r="A148" s="25">
        <v>44798</v>
      </c>
      <c r="B148" s="38" t="s">
        <v>52</v>
      </c>
      <c r="C148" s="38" t="s">
        <v>60</v>
      </c>
      <c r="D148" s="1">
        <v>350</v>
      </c>
      <c r="E148" s="1">
        <v>337</v>
      </c>
      <c r="F148" s="72">
        <v>0.21527777777777779</v>
      </c>
      <c r="G148" s="72">
        <v>0.19081272084805653</v>
      </c>
      <c r="H148" s="1">
        <v>7455</v>
      </c>
      <c r="I148" s="1">
        <v>7163</v>
      </c>
      <c r="J148" s="1">
        <v>36151</v>
      </c>
      <c r="K148" s="1">
        <v>34881</v>
      </c>
      <c r="L148" s="18">
        <v>0.79</v>
      </c>
      <c r="M148" s="18">
        <v>0.04</v>
      </c>
      <c r="N148" s="18">
        <v>0.96</v>
      </c>
      <c r="O148" s="18">
        <v>0.82</v>
      </c>
      <c r="P148" s="24">
        <v>1</v>
      </c>
      <c r="Q148" s="24"/>
      <c r="R148" s="155"/>
    </row>
    <row r="149" spans="1:19" x14ac:dyDescent="0.35">
      <c r="A149" s="25">
        <v>44799</v>
      </c>
      <c r="B149" s="38" t="s">
        <v>53</v>
      </c>
      <c r="C149" s="38" t="s">
        <v>60</v>
      </c>
      <c r="D149" s="1">
        <v>402</v>
      </c>
      <c r="E149" s="1">
        <v>382</v>
      </c>
      <c r="F149" s="72">
        <v>3.0769230769230771E-2</v>
      </c>
      <c r="G149" s="72">
        <v>2.6881720430107527E-2</v>
      </c>
      <c r="H149" s="1">
        <v>7857</v>
      </c>
      <c r="I149" s="1">
        <v>7545</v>
      </c>
      <c r="J149" s="1">
        <v>36553</v>
      </c>
      <c r="K149" s="1">
        <v>35263</v>
      </c>
      <c r="L149" s="18">
        <v>0.87</v>
      </c>
      <c r="M149" s="18">
        <v>0.05</v>
      </c>
      <c r="N149" s="18">
        <v>0.95</v>
      </c>
      <c r="O149" s="18">
        <v>0.82</v>
      </c>
      <c r="P149" s="24">
        <v>1</v>
      </c>
      <c r="Q149" s="24"/>
      <c r="R149" s="155"/>
    </row>
    <row r="150" spans="1:19" x14ac:dyDescent="0.35">
      <c r="A150" s="25">
        <v>44800</v>
      </c>
      <c r="B150" s="38" t="s">
        <v>54</v>
      </c>
      <c r="C150" s="38" t="s">
        <v>60</v>
      </c>
      <c r="D150" s="1">
        <v>383</v>
      </c>
      <c r="E150" s="1">
        <v>366</v>
      </c>
      <c r="F150" s="72">
        <v>0.51383399209486169</v>
      </c>
      <c r="G150" s="72">
        <v>0.48780487804878048</v>
      </c>
      <c r="H150" s="1">
        <v>8240</v>
      </c>
      <c r="I150" s="1">
        <v>7911</v>
      </c>
      <c r="J150" s="1">
        <v>36936</v>
      </c>
      <c r="K150" s="1">
        <v>35629</v>
      </c>
      <c r="L150" s="18">
        <v>0.88</v>
      </c>
      <c r="M150" s="18">
        <v>0.04</v>
      </c>
      <c r="N150" s="18">
        <v>0.96</v>
      </c>
      <c r="O150" s="18">
        <v>0.8</v>
      </c>
      <c r="P150" s="24">
        <v>1</v>
      </c>
      <c r="Q150" s="24"/>
      <c r="R150" s="155"/>
    </row>
    <row r="151" spans="1:19" x14ac:dyDescent="0.35">
      <c r="A151" s="25">
        <v>44801</v>
      </c>
      <c r="B151" s="38" t="s">
        <v>48</v>
      </c>
      <c r="C151" s="38" t="s">
        <v>60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8">
        <v>0</v>
      </c>
      <c r="M151" s="18">
        <v>0</v>
      </c>
      <c r="N151" s="18">
        <v>0</v>
      </c>
      <c r="O151" s="18">
        <v>0</v>
      </c>
      <c r="P151" s="24">
        <v>0</v>
      </c>
      <c r="Q151" s="24"/>
      <c r="R151" s="155"/>
    </row>
    <row r="152" spans="1:19" x14ac:dyDescent="0.35">
      <c r="A152" s="25">
        <v>44802</v>
      </c>
      <c r="B152" s="38" t="s">
        <v>49</v>
      </c>
      <c r="C152" s="38" t="s">
        <v>60</v>
      </c>
      <c r="D152" s="1">
        <v>485</v>
      </c>
      <c r="E152" s="1">
        <v>476</v>
      </c>
      <c r="F152" s="72">
        <v>0.14117647058823529</v>
      </c>
      <c r="G152" s="72">
        <v>0.16953316953316952</v>
      </c>
      <c r="H152" s="1">
        <v>8725</v>
      </c>
      <c r="I152" s="1">
        <v>8387</v>
      </c>
      <c r="J152" s="1">
        <v>37421</v>
      </c>
      <c r="K152" s="1">
        <v>36105</v>
      </c>
      <c r="L152" s="18">
        <v>0.91</v>
      </c>
      <c r="M152" s="18">
        <v>0.02</v>
      </c>
      <c r="N152" s="18">
        <v>0.98</v>
      </c>
      <c r="O152" s="18">
        <v>0.82</v>
      </c>
      <c r="P152" s="24">
        <v>1</v>
      </c>
      <c r="Q152" s="24"/>
      <c r="R152" s="17"/>
      <c r="S152" s="21"/>
    </row>
    <row r="153" spans="1:19" x14ac:dyDescent="0.35">
      <c r="A153" s="25">
        <v>44803</v>
      </c>
      <c r="B153" s="38" t="s">
        <v>50</v>
      </c>
      <c r="C153" s="38" t="s">
        <v>60</v>
      </c>
      <c r="D153" s="1">
        <v>468</v>
      </c>
      <c r="E153" s="1">
        <v>453</v>
      </c>
      <c r="F153" s="72">
        <v>0.2</v>
      </c>
      <c r="G153" s="72">
        <v>0.19525065963060687</v>
      </c>
      <c r="H153" s="1">
        <v>9193</v>
      </c>
      <c r="I153" s="1">
        <v>8840</v>
      </c>
      <c r="J153" s="1">
        <v>37889</v>
      </c>
      <c r="K153" s="1">
        <v>36558</v>
      </c>
      <c r="L153" s="18">
        <v>0.82</v>
      </c>
      <c r="M153" s="18">
        <v>0.03</v>
      </c>
      <c r="N153" s="18">
        <v>0.97</v>
      </c>
      <c r="O153" s="18">
        <v>0.83</v>
      </c>
      <c r="P153" s="24">
        <v>1</v>
      </c>
      <c r="Q153" s="24"/>
      <c r="R153" s="17"/>
      <c r="S153" s="21"/>
    </row>
    <row r="154" spans="1:19" x14ac:dyDescent="0.35">
      <c r="A154" s="25">
        <v>44804</v>
      </c>
      <c r="B154" s="38" t="s">
        <v>51</v>
      </c>
      <c r="C154" s="38" t="s">
        <v>60</v>
      </c>
      <c r="D154" s="1">
        <v>421</v>
      </c>
      <c r="E154" s="1">
        <v>406</v>
      </c>
      <c r="F154" s="72">
        <v>-0.12655601659751037</v>
      </c>
      <c r="G154" s="72">
        <v>-0.11739130434782609</v>
      </c>
      <c r="H154" s="1">
        <v>9614</v>
      </c>
      <c r="I154" s="1">
        <v>9246</v>
      </c>
      <c r="J154" s="1">
        <v>38310</v>
      </c>
      <c r="K154" s="1">
        <v>36964</v>
      </c>
      <c r="L154" s="18">
        <v>0.82</v>
      </c>
      <c r="M154" s="18">
        <v>0.04</v>
      </c>
      <c r="N154" s="18">
        <v>0.96</v>
      </c>
      <c r="O154" s="18">
        <v>0.85</v>
      </c>
      <c r="P154" s="24">
        <v>1</v>
      </c>
      <c r="Q154" s="24"/>
      <c r="R154" s="17"/>
      <c r="S154" s="21"/>
    </row>
    <row r="155" spans="1:19" x14ac:dyDescent="0.35">
      <c r="A155" s="25">
        <v>44805</v>
      </c>
      <c r="B155" s="38" t="s">
        <v>52</v>
      </c>
      <c r="C155" s="38" t="s">
        <v>60</v>
      </c>
      <c r="D155" s="1">
        <v>556</v>
      </c>
      <c r="E155" s="1">
        <v>538</v>
      </c>
      <c r="F155" s="72">
        <v>0.58857142857142852</v>
      </c>
      <c r="G155" s="72">
        <v>0.59643916913946593</v>
      </c>
      <c r="H155" s="1">
        <v>556</v>
      </c>
      <c r="I155" s="1">
        <v>538</v>
      </c>
      <c r="J155" s="1">
        <v>38866</v>
      </c>
      <c r="K155" s="1">
        <v>37502</v>
      </c>
      <c r="L155" s="18">
        <v>0.89</v>
      </c>
      <c r="M155" s="18">
        <v>0.03</v>
      </c>
      <c r="N155" s="18">
        <v>0.97</v>
      </c>
      <c r="O155" s="18">
        <v>0.81</v>
      </c>
      <c r="P155" s="24">
        <v>1</v>
      </c>
      <c r="Q155" s="24"/>
      <c r="R155" s="17"/>
      <c r="S155" s="21"/>
    </row>
    <row r="156" spans="1:19" x14ac:dyDescent="0.35">
      <c r="A156" s="25">
        <v>44806</v>
      </c>
      <c r="B156" s="38" t="s">
        <v>53</v>
      </c>
      <c r="C156" s="38" t="s">
        <v>60</v>
      </c>
      <c r="D156" s="1">
        <v>424</v>
      </c>
      <c r="E156" s="1">
        <v>405</v>
      </c>
      <c r="F156" s="72">
        <v>5.4726368159203981E-2</v>
      </c>
      <c r="G156" s="72">
        <v>6.0209424083769635E-2</v>
      </c>
      <c r="H156" s="1">
        <v>980</v>
      </c>
      <c r="I156" s="1">
        <v>943</v>
      </c>
      <c r="J156" s="1">
        <v>39290</v>
      </c>
      <c r="K156" s="1">
        <v>37907</v>
      </c>
      <c r="L156" s="18">
        <v>0.77</v>
      </c>
      <c r="M156" s="18">
        <v>0.04</v>
      </c>
      <c r="N156" s="18">
        <v>0.96</v>
      </c>
      <c r="O156" s="18">
        <v>0.79</v>
      </c>
      <c r="P156" s="24">
        <v>1</v>
      </c>
      <c r="Q156" s="24"/>
      <c r="R156" s="17"/>
      <c r="S156" s="21"/>
    </row>
    <row r="157" spans="1:19" x14ac:dyDescent="0.35">
      <c r="A157" s="25">
        <v>44807</v>
      </c>
      <c r="B157" s="38" t="s">
        <v>54</v>
      </c>
      <c r="C157" s="38" t="s">
        <v>60</v>
      </c>
      <c r="D157" s="1">
        <v>317</v>
      </c>
      <c r="E157" s="1">
        <v>295</v>
      </c>
      <c r="F157" s="72">
        <v>-0.17232375979112272</v>
      </c>
      <c r="G157" s="72">
        <v>-0.19398907103825136</v>
      </c>
      <c r="H157" s="1">
        <v>1297</v>
      </c>
      <c r="I157" s="1">
        <v>1238</v>
      </c>
      <c r="J157" s="1">
        <v>39607</v>
      </c>
      <c r="K157" s="1">
        <v>38202</v>
      </c>
      <c r="L157" s="18">
        <v>0.8</v>
      </c>
      <c r="M157" s="18">
        <v>7.0000000000000007E-2</v>
      </c>
      <c r="N157" s="18">
        <v>0.93</v>
      </c>
      <c r="O157" s="18">
        <v>0.66</v>
      </c>
      <c r="P157" s="24">
        <v>1</v>
      </c>
      <c r="Q157" s="24"/>
      <c r="R157" s="17"/>
      <c r="S157" s="21"/>
    </row>
    <row r="158" spans="1:19" x14ac:dyDescent="0.35">
      <c r="A158" s="25">
        <v>44808</v>
      </c>
      <c r="B158" s="38" t="s">
        <v>48</v>
      </c>
      <c r="C158" s="38" t="s">
        <v>60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8">
        <v>0</v>
      </c>
      <c r="M158" s="18">
        <v>0</v>
      </c>
      <c r="N158" s="18">
        <v>0</v>
      </c>
      <c r="O158" s="18">
        <v>0</v>
      </c>
      <c r="P158" s="24">
        <v>0</v>
      </c>
      <c r="Q158" s="24"/>
      <c r="R158" s="17"/>
      <c r="S158" s="21"/>
    </row>
    <row r="159" spans="1:19" x14ac:dyDescent="0.35">
      <c r="A159" s="25">
        <v>44809</v>
      </c>
      <c r="B159" s="38" t="s">
        <v>49</v>
      </c>
      <c r="C159" s="38" t="s">
        <v>60</v>
      </c>
      <c r="D159" s="1">
        <v>479</v>
      </c>
      <c r="E159" s="1">
        <v>458</v>
      </c>
      <c r="F159" s="72">
        <v>-1.2371134020618556E-2</v>
      </c>
      <c r="G159" s="72">
        <v>-3.7815126050420166E-2</v>
      </c>
      <c r="H159" s="1">
        <v>1776</v>
      </c>
      <c r="I159" s="1">
        <v>1696</v>
      </c>
      <c r="J159" s="1">
        <v>40086</v>
      </c>
      <c r="K159" s="1">
        <v>38660</v>
      </c>
      <c r="L159" s="18">
        <v>0.89</v>
      </c>
      <c r="M159" s="18">
        <v>0.04</v>
      </c>
      <c r="N159" s="18">
        <v>0.96</v>
      </c>
      <c r="O159" s="18">
        <v>0.74</v>
      </c>
      <c r="P159" s="24">
        <v>1</v>
      </c>
      <c r="Q159" s="24"/>
      <c r="R159" s="17"/>
      <c r="S159" s="21"/>
    </row>
    <row r="160" spans="1:19" x14ac:dyDescent="0.35">
      <c r="A160" s="25">
        <v>44810</v>
      </c>
      <c r="B160" s="38" t="s">
        <v>50</v>
      </c>
      <c r="C160" s="38" t="s">
        <v>60</v>
      </c>
      <c r="D160" s="1">
        <v>428</v>
      </c>
      <c r="E160" s="1">
        <v>406</v>
      </c>
      <c r="F160" s="72">
        <v>-8.5470085470085472E-2</v>
      </c>
      <c r="G160" s="72">
        <v>-0.10375275938189846</v>
      </c>
      <c r="H160" s="1">
        <v>2204</v>
      </c>
      <c r="I160" s="1">
        <v>2102</v>
      </c>
      <c r="J160" s="1">
        <v>40514</v>
      </c>
      <c r="K160" s="1">
        <v>39066</v>
      </c>
      <c r="L160" s="18">
        <v>0.84</v>
      </c>
      <c r="M160" s="18">
        <v>0.05</v>
      </c>
      <c r="N160" s="18">
        <v>0.95</v>
      </c>
      <c r="O160" s="18">
        <v>0.84</v>
      </c>
      <c r="P160" s="24">
        <v>1</v>
      </c>
      <c r="Q160" s="24"/>
      <c r="R160" s="17"/>
      <c r="S160" s="21"/>
    </row>
    <row r="161" spans="1:21" x14ac:dyDescent="0.35">
      <c r="A161" s="25">
        <v>44811</v>
      </c>
      <c r="B161" s="38" t="s">
        <v>51</v>
      </c>
      <c r="C161" s="38" t="s">
        <v>60</v>
      </c>
      <c r="D161" s="1">
        <v>437</v>
      </c>
      <c r="E161" s="1">
        <v>416</v>
      </c>
      <c r="F161" s="72">
        <v>3.800475059382423E-2</v>
      </c>
      <c r="G161" s="72">
        <v>2.4630541871921183E-2</v>
      </c>
      <c r="H161" s="1">
        <v>2641</v>
      </c>
      <c r="I161" s="1">
        <v>2518</v>
      </c>
      <c r="J161" s="1">
        <v>40951</v>
      </c>
      <c r="K161" s="1">
        <v>39482</v>
      </c>
      <c r="L161" s="18">
        <v>0.87</v>
      </c>
      <c r="M161" s="18">
        <v>0.05</v>
      </c>
      <c r="N161" s="18">
        <v>0.95</v>
      </c>
      <c r="O161" s="18">
        <v>0.66</v>
      </c>
      <c r="P161" s="24">
        <v>1</v>
      </c>
      <c r="Q161" s="24"/>
      <c r="R161" s="17"/>
      <c r="S161" s="21"/>
    </row>
    <row r="162" spans="1:21" x14ac:dyDescent="0.35">
      <c r="A162" s="25">
        <v>44812</v>
      </c>
      <c r="B162" s="38" t="s">
        <v>52</v>
      </c>
      <c r="C162" s="38" t="s">
        <v>60</v>
      </c>
      <c r="D162" s="1">
        <v>359</v>
      </c>
      <c r="E162" s="1">
        <v>344</v>
      </c>
      <c r="F162" s="72">
        <v>-0.35431654676258995</v>
      </c>
      <c r="G162" s="72">
        <v>-0.36059479553903345</v>
      </c>
      <c r="H162" s="1">
        <v>3000</v>
      </c>
      <c r="I162" s="1">
        <v>2862</v>
      </c>
      <c r="J162" s="1">
        <v>41310</v>
      </c>
      <c r="K162" s="1">
        <v>39826</v>
      </c>
      <c r="L162" s="18">
        <v>0.84</v>
      </c>
      <c r="M162" s="18">
        <v>0.04</v>
      </c>
      <c r="N162" s="18">
        <v>0.96</v>
      </c>
      <c r="O162" s="18">
        <v>0.79</v>
      </c>
      <c r="P162" s="24">
        <v>1</v>
      </c>
      <c r="Q162" s="24"/>
      <c r="R162" s="17"/>
      <c r="S162" s="21"/>
    </row>
    <row r="163" spans="1:21" x14ac:dyDescent="0.35">
      <c r="A163" s="25">
        <v>44813</v>
      </c>
      <c r="B163" s="38" t="s">
        <v>53</v>
      </c>
      <c r="C163" s="38" t="s">
        <v>60</v>
      </c>
      <c r="D163" s="1">
        <v>430</v>
      </c>
      <c r="E163" s="1">
        <v>421</v>
      </c>
      <c r="F163" s="72">
        <v>1.4150943396226415E-2</v>
      </c>
      <c r="G163" s="72">
        <v>3.9506172839506172E-2</v>
      </c>
      <c r="H163" s="1">
        <v>3430</v>
      </c>
      <c r="I163" s="1">
        <v>3283</v>
      </c>
      <c r="J163" s="1">
        <v>41740</v>
      </c>
      <c r="K163" s="1">
        <v>40247</v>
      </c>
      <c r="L163" s="18">
        <v>0.9</v>
      </c>
      <c r="M163" s="18">
        <v>0.02</v>
      </c>
      <c r="N163" s="18">
        <v>0.98</v>
      </c>
      <c r="O163" s="18">
        <v>0.74</v>
      </c>
      <c r="P163" s="24">
        <v>1</v>
      </c>
      <c r="Q163" s="24"/>
      <c r="R163" s="17"/>
      <c r="S163" s="21"/>
    </row>
    <row r="164" spans="1:21" x14ac:dyDescent="0.35">
      <c r="A164" s="25">
        <v>44814</v>
      </c>
      <c r="B164" s="38" t="s">
        <v>54</v>
      </c>
      <c r="C164" s="38" t="s">
        <v>60</v>
      </c>
      <c r="D164" s="1">
        <v>326</v>
      </c>
      <c r="E164" s="1">
        <v>307</v>
      </c>
      <c r="F164" s="72">
        <v>2.8391167192429023E-2</v>
      </c>
      <c r="G164" s="72">
        <v>4.0677966101694912E-2</v>
      </c>
      <c r="H164" s="1">
        <v>3756</v>
      </c>
      <c r="I164" s="1">
        <v>3590</v>
      </c>
      <c r="J164" s="1">
        <v>42066</v>
      </c>
      <c r="K164" s="1">
        <v>40554</v>
      </c>
      <c r="L164" s="18">
        <v>0.85</v>
      </c>
      <c r="M164" s="18">
        <v>0.06</v>
      </c>
      <c r="N164" s="18">
        <v>0.94</v>
      </c>
      <c r="O164" s="18">
        <v>0.64</v>
      </c>
      <c r="P164" s="24">
        <v>1</v>
      </c>
      <c r="Q164" s="24"/>
      <c r="R164" s="17"/>
      <c r="S164" s="21"/>
    </row>
    <row r="165" spans="1:21" x14ac:dyDescent="0.35">
      <c r="A165" s="25">
        <v>44815</v>
      </c>
      <c r="B165" s="38" t="s">
        <v>48</v>
      </c>
      <c r="C165" s="38" t="s">
        <v>60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8">
        <v>0</v>
      </c>
      <c r="M165" s="18">
        <v>0</v>
      </c>
      <c r="N165" s="18">
        <v>0</v>
      </c>
      <c r="O165" s="18">
        <v>0</v>
      </c>
      <c r="P165" s="24">
        <v>0</v>
      </c>
      <c r="Q165" s="24"/>
      <c r="R165" s="17"/>
      <c r="S165" s="21"/>
    </row>
    <row r="166" spans="1:21" x14ac:dyDescent="0.35">
      <c r="A166" s="25">
        <v>44816</v>
      </c>
      <c r="B166" s="38" t="s">
        <v>49</v>
      </c>
      <c r="C166" s="38" t="s">
        <v>60</v>
      </c>
      <c r="D166" s="1">
        <v>519</v>
      </c>
      <c r="E166" s="1">
        <v>502</v>
      </c>
      <c r="F166" s="72">
        <v>8.3507306889352817E-2</v>
      </c>
      <c r="G166" s="72">
        <v>9.606986899563319E-2</v>
      </c>
      <c r="H166" s="1">
        <v>4275</v>
      </c>
      <c r="I166" s="1">
        <v>4092</v>
      </c>
      <c r="J166" s="1">
        <v>42585</v>
      </c>
      <c r="K166" s="1">
        <v>41056</v>
      </c>
      <c r="L166" s="18">
        <v>0.91</v>
      </c>
      <c r="M166" s="18">
        <v>0.03</v>
      </c>
      <c r="N166" s="18">
        <v>0.97</v>
      </c>
      <c r="O166" s="18">
        <v>0.76</v>
      </c>
      <c r="P166" s="24">
        <v>1</v>
      </c>
      <c r="Q166" s="191"/>
      <c r="R166" s="157"/>
      <c r="S166" s="21"/>
    </row>
    <row r="167" spans="1:21" x14ac:dyDescent="0.35">
      <c r="A167" s="25">
        <v>44817</v>
      </c>
      <c r="B167" s="38" t="s">
        <v>50</v>
      </c>
      <c r="C167" s="38" t="s">
        <v>60</v>
      </c>
      <c r="D167" s="1">
        <v>453</v>
      </c>
      <c r="E167" s="1">
        <v>433</v>
      </c>
      <c r="F167" s="72">
        <v>5.8411214953271028E-2</v>
      </c>
      <c r="G167" s="72">
        <v>6.6502463054187194E-2</v>
      </c>
      <c r="H167" s="1">
        <v>4728</v>
      </c>
      <c r="I167" s="1">
        <v>4525</v>
      </c>
      <c r="J167" s="1">
        <v>43038</v>
      </c>
      <c r="K167" s="1">
        <v>41489</v>
      </c>
      <c r="L167" s="18">
        <v>0.79</v>
      </c>
      <c r="M167" s="18">
        <v>0.04</v>
      </c>
      <c r="N167" s="18">
        <v>0.96</v>
      </c>
      <c r="O167" s="18">
        <v>0.79</v>
      </c>
      <c r="P167" s="24">
        <v>1</v>
      </c>
      <c r="Q167" s="191"/>
      <c r="R167" s="157"/>
      <c r="S167" s="21"/>
      <c r="U167">
        <f>AVERAGEIF(L349:L355,"&lt;&gt;0")</f>
        <v>0.90500000000000014</v>
      </c>
    </row>
    <row r="168" spans="1:21" x14ac:dyDescent="0.35">
      <c r="A168" s="25">
        <v>44818</v>
      </c>
      <c r="B168" s="38" t="s">
        <v>51</v>
      </c>
      <c r="C168" s="38" t="s">
        <v>60</v>
      </c>
      <c r="D168" s="1">
        <v>534</v>
      </c>
      <c r="E168" s="1">
        <v>498</v>
      </c>
      <c r="F168" s="72">
        <v>0.2219679633867277</v>
      </c>
      <c r="G168" s="72">
        <v>0.19711538461538461</v>
      </c>
      <c r="H168" s="1">
        <v>5262</v>
      </c>
      <c r="I168" s="1">
        <v>5023</v>
      </c>
      <c r="J168" s="1">
        <v>43572</v>
      </c>
      <c r="K168" s="1">
        <v>41987</v>
      </c>
      <c r="L168" s="18">
        <v>0.79</v>
      </c>
      <c r="M168" s="18">
        <v>7.0000000000000007E-2</v>
      </c>
      <c r="N168" s="18">
        <v>0.93</v>
      </c>
      <c r="O168" s="18">
        <v>0.89</v>
      </c>
      <c r="P168" s="24">
        <v>1</v>
      </c>
      <c r="Q168" s="191"/>
      <c r="R168" s="157"/>
      <c r="S168" s="21"/>
    </row>
    <row r="169" spans="1:21" x14ac:dyDescent="0.35">
      <c r="A169" s="25">
        <v>44819</v>
      </c>
      <c r="B169" s="38" t="s">
        <v>52</v>
      </c>
      <c r="C169" s="38" t="s">
        <v>60</v>
      </c>
      <c r="D169" s="1">
        <v>512</v>
      </c>
      <c r="E169" s="1">
        <v>476</v>
      </c>
      <c r="F169" s="72">
        <v>0.42618384401114207</v>
      </c>
      <c r="G169" s="72">
        <v>0.38372093023255816</v>
      </c>
      <c r="H169" s="1">
        <v>5774</v>
      </c>
      <c r="I169" s="1">
        <v>5499</v>
      </c>
      <c r="J169" s="1">
        <v>44084</v>
      </c>
      <c r="K169" s="1">
        <v>42463</v>
      </c>
      <c r="L169" s="18">
        <v>0.69</v>
      </c>
      <c r="M169" s="18">
        <v>7.0000000000000007E-2</v>
      </c>
      <c r="N169" s="18">
        <v>0.93</v>
      </c>
      <c r="O169" s="18">
        <v>0.87</v>
      </c>
      <c r="P169" s="24">
        <v>1</v>
      </c>
      <c r="Q169" s="191"/>
      <c r="R169" s="157"/>
      <c r="S169" s="21"/>
    </row>
    <row r="170" spans="1:21" x14ac:dyDescent="0.35">
      <c r="A170" s="25">
        <v>44820</v>
      </c>
      <c r="B170" s="38" t="s">
        <v>53</v>
      </c>
      <c r="C170" s="38" t="s">
        <v>60</v>
      </c>
      <c r="D170" s="1">
        <v>379</v>
      </c>
      <c r="E170" s="1">
        <v>356</v>
      </c>
      <c r="F170" s="72">
        <v>-0.1186046511627907</v>
      </c>
      <c r="G170" s="72">
        <v>-0.15439429928741091</v>
      </c>
      <c r="H170" s="1">
        <v>6153</v>
      </c>
      <c r="I170" s="1">
        <v>5855</v>
      </c>
      <c r="J170" s="1">
        <v>44463</v>
      </c>
      <c r="K170" s="1">
        <v>42819</v>
      </c>
      <c r="L170" s="18">
        <v>0.74</v>
      </c>
      <c r="M170" s="18">
        <v>0.06</v>
      </c>
      <c r="N170" s="18">
        <v>0.94</v>
      </c>
      <c r="O170" s="18">
        <v>0.65</v>
      </c>
      <c r="P170" s="24">
        <v>1</v>
      </c>
      <c r="Q170" s="191"/>
      <c r="R170" s="157"/>
      <c r="S170" s="21"/>
    </row>
    <row r="171" spans="1:21" x14ac:dyDescent="0.35">
      <c r="A171" s="25">
        <v>44821</v>
      </c>
      <c r="B171" s="38" t="s">
        <v>54</v>
      </c>
      <c r="C171" s="38" t="s">
        <v>60</v>
      </c>
      <c r="D171" s="1">
        <v>369</v>
      </c>
      <c r="E171" s="1">
        <v>360</v>
      </c>
      <c r="F171" s="72">
        <v>0.13190184049079753</v>
      </c>
      <c r="G171" s="72">
        <v>0.17263843648208468</v>
      </c>
      <c r="H171" s="1">
        <v>6522</v>
      </c>
      <c r="I171" s="1">
        <v>6215</v>
      </c>
      <c r="J171" s="1">
        <v>44832</v>
      </c>
      <c r="K171" s="1">
        <v>43179</v>
      </c>
      <c r="L171" s="18">
        <v>0.89</v>
      </c>
      <c r="M171" s="18">
        <v>0.02</v>
      </c>
      <c r="N171" s="18">
        <v>0.98</v>
      </c>
      <c r="O171" s="18">
        <v>0.7</v>
      </c>
      <c r="P171" s="24">
        <v>1</v>
      </c>
      <c r="Q171" s="191"/>
      <c r="R171" s="157"/>
      <c r="S171" s="21"/>
    </row>
    <row r="172" spans="1:21" x14ac:dyDescent="0.35">
      <c r="A172" s="25">
        <v>44822</v>
      </c>
      <c r="B172" s="38" t="s">
        <v>48</v>
      </c>
      <c r="C172" s="38" t="s">
        <v>60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8">
        <v>0</v>
      </c>
      <c r="M172" s="18">
        <v>0</v>
      </c>
      <c r="N172" s="18">
        <v>0</v>
      </c>
      <c r="O172" s="18">
        <v>0</v>
      </c>
      <c r="P172" s="24">
        <v>0</v>
      </c>
      <c r="Q172" s="24"/>
      <c r="R172" s="17"/>
      <c r="S172" s="21"/>
    </row>
    <row r="173" spans="1:21" x14ac:dyDescent="0.35">
      <c r="A173" s="25">
        <v>44823</v>
      </c>
      <c r="B173" s="38" t="s">
        <v>49</v>
      </c>
      <c r="C173" s="38" t="s">
        <v>60</v>
      </c>
      <c r="D173" s="1">
        <v>543</v>
      </c>
      <c r="E173" s="1">
        <v>518</v>
      </c>
      <c r="F173" s="72">
        <v>4.6242774566473986E-2</v>
      </c>
      <c r="G173" s="72">
        <v>3.1872509960159362E-2</v>
      </c>
      <c r="H173" s="1">
        <v>7065</v>
      </c>
      <c r="I173" s="1">
        <v>6733</v>
      </c>
      <c r="J173" s="1">
        <v>45375</v>
      </c>
      <c r="K173" s="1">
        <v>43697</v>
      </c>
      <c r="L173" s="18">
        <v>0.84</v>
      </c>
      <c r="M173" s="18">
        <v>0.05</v>
      </c>
      <c r="N173" s="18">
        <v>0.95</v>
      </c>
      <c r="O173" s="18">
        <v>0.9</v>
      </c>
      <c r="P173" s="24">
        <v>1</v>
      </c>
      <c r="Q173" s="191"/>
      <c r="R173" s="157"/>
      <c r="S173" s="21"/>
    </row>
    <row r="174" spans="1:21" x14ac:dyDescent="0.35">
      <c r="A174" s="25">
        <v>44824</v>
      </c>
      <c r="B174" s="38" t="s">
        <v>50</v>
      </c>
      <c r="C174" s="38" t="s">
        <v>60</v>
      </c>
      <c r="D174" s="1">
        <v>476</v>
      </c>
      <c r="E174" s="1">
        <v>471</v>
      </c>
      <c r="F174" s="72">
        <v>5.0772626931567331E-2</v>
      </c>
      <c r="G174" s="72">
        <v>8.7759815242494224E-2</v>
      </c>
      <c r="H174" s="1">
        <v>7541</v>
      </c>
      <c r="I174" s="1">
        <v>7204</v>
      </c>
      <c r="J174" s="1">
        <v>45851</v>
      </c>
      <c r="K174" s="1">
        <v>44168</v>
      </c>
      <c r="L174" s="18">
        <v>0.93</v>
      </c>
      <c r="M174" s="18">
        <v>0.01</v>
      </c>
      <c r="N174" s="18">
        <v>0.99</v>
      </c>
      <c r="O174" s="18">
        <v>0.83</v>
      </c>
      <c r="P174" s="24">
        <v>0.99</v>
      </c>
      <c r="Q174" s="191"/>
      <c r="R174" s="157"/>
      <c r="S174" s="21"/>
    </row>
    <row r="175" spans="1:21" x14ac:dyDescent="0.35">
      <c r="A175" s="25">
        <v>44825</v>
      </c>
      <c r="B175" s="38" t="s">
        <v>51</v>
      </c>
      <c r="C175" s="38" t="s">
        <v>60</v>
      </c>
      <c r="D175" s="1">
        <v>400</v>
      </c>
      <c r="E175" s="1">
        <v>386</v>
      </c>
      <c r="F175" s="72">
        <v>-0.25093632958801498</v>
      </c>
      <c r="G175" s="72">
        <v>-0.22489959839357429</v>
      </c>
      <c r="H175" s="1">
        <v>7941</v>
      </c>
      <c r="I175" s="1">
        <v>7590</v>
      </c>
      <c r="J175" s="1">
        <v>46251</v>
      </c>
      <c r="K175" s="1">
        <v>44554</v>
      </c>
      <c r="L175" s="18">
        <v>0.85</v>
      </c>
      <c r="M175" s="18">
        <v>0.04</v>
      </c>
      <c r="N175" s="18">
        <v>0.96</v>
      </c>
      <c r="O175" s="18">
        <v>0.76</v>
      </c>
      <c r="P175" s="24">
        <v>1</v>
      </c>
      <c r="Q175" s="191"/>
      <c r="R175" s="157"/>
      <c r="S175" s="21"/>
    </row>
    <row r="176" spans="1:21" x14ac:dyDescent="0.35">
      <c r="A176" s="25">
        <v>44826</v>
      </c>
      <c r="B176" s="38" t="s">
        <v>52</v>
      </c>
      <c r="C176" s="38" t="s">
        <v>60</v>
      </c>
      <c r="D176" s="1">
        <v>369</v>
      </c>
      <c r="E176" s="1">
        <v>348</v>
      </c>
      <c r="F176" s="72">
        <v>-0.279296875</v>
      </c>
      <c r="G176" s="72">
        <v>-0.26890756302521007</v>
      </c>
      <c r="H176" s="1">
        <v>8310</v>
      </c>
      <c r="I176" s="1">
        <v>7938</v>
      </c>
      <c r="J176" s="1">
        <v>46620</v>
      </c>
      <c r="K176" s="1">
        <v>44902</v>
      </c>
      <c r="L176" s="18">
        <v>0.85</v>
      </c>
      <c r="M176" s="18">
        <v>0.06</v>
      </c>
      <c r="N176" s="18">
        <v>0.94</v>
      </c>
      <c r="O176" s="18">
        <v>0.65</v>
      </c>
      <c r="P176" s="24">
        <v>1</v>
      </c>
      <c r="Q176" s="191"/>
      <c r="R176" s="157"/>
      <c r="S176" s="21"/>
    </row>
    <row r="177" spans="1:19" x14ac:dyDescent="0.35">
      <c r="A177" s="25">
        <v>44827</v>
      </c>
      <c r="B177" s="38" t="s">
        <v>53</v>
      </c>
      <c r="C177" s="38" t="s">
        <v>60</v>
      </c>
      <c r="D177" s="1">
        <v>535</v>
      </c>
      <c r="E177" s="1">
        <v>502</v>
      </c>
      <c r="F177" s="72">
        <v>0.41160949868073876</v>
      </c>
      <c r="G177" s="72">
        <v>0.4101123595505618</v>
      </c>
      <c r="H177" s="1">
        <v>8845</v>
      </c>
      <c r="I177" s="1">
        <v>8440</v>
      </c>
      <c r="J177" s="1">
        <v>47155</v>
      </c>
      <c r="K177" s="1">
        <v>45404</v>
      </c>
      <c r="L177" s="18">
        <v>0.81</v>
      </c>
      <c r="M177" s="18">
        <v>0.06</v>
      </c>
      <c r="N177" s="18">
        <v>0.94</v>
      </c>
      <c r="O177" s="18">
        <v>0.79</v>
      </c>
      <c r="P177" s="24">
        <v>1</v>
      </c>
      <c r="Q177" s="191"/>
      <c r="R177" s="157"/>
      <c r="S177" s="21"/>
    </row>
    <row r="178" spans="1:19" x14ac:dyDescent="0.35">
      <c r="A178" s="25">
        <v>44828</v>
      </c>
      <c r="B178" s="38" t="s">
        <v>54</v>
      </c>
      <c r="C178" s="38" t="s">
        <v>60</v>
      </c>
      <c r="D178" s="1">
        <v>281</v>
      </c>
      <c r="E178" s="1">
        <v>271</v>
      </c>
      <c r="F178" s="72">
        <v>-0.23848238482384823</v>
      </c>
      <c r="G178" s="72">
        <v>-0.24722222222222223</v>
      </c>
      <c r="H178" s="1">
        <v>9126</v>
      </c>
      <c r="I178" s="1">
        <v>8711</v>
      </c>
      <c r="J178" s="1">
        <v>47436</v>
      </c>
      <c r="K178" s="1">
        <v>45675</v>
      </c>
      <c r="L178" s="18">
        <v>0.9</v>
      </c>
      <c r="M178" s="18">
        <v>0.04</v>
      </c>
      <c r="N178" s="18">
        <v>0.96</v>
      </c>
      <c r="O178" s="18">
        <v>0.68</v>
      </c>
      <c r="P178" s="24">
        <v>1</v>
      </c>
      <c r="Q178" s="191"/>
      <c r="R178" s="157"/>
      <c r="S178" s="21"/>
    </row>
    <row r="179" spans="1:19" x14ac:dyDescent="0.35">
      <c r="A179" s="25">
        <v>44829</v>
      </c>
      <c r="B179" s="38" t="s">
        <v>48</v>
      </c>
      <c r="C179" s="38" t="s">
        <v>60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8">
        <v>0</v>
      </c>
      <c r="M179" s="18">
        <v>0</v>
      </c>
      <c r="N179" s="18">
        <v>0</v>
      </c>
      <c r="O179" s="18">
        <v>0</v>
      </c>
      <c r="P179" s="24">
        <v>0</v>
      </c>
      <c r="Q179" s="24"/>
      <c r="R179" s="17"/>
      <c r="S179" s="21"/>
    </row>
    <row r="180" spans="1:19" x14ac:dyDescent="0.35">
      <c r="A180" s="25">
        <v>44830</v>
      </c>
      <c r="B180" s="38" t="s">
        <v>49</v>
      </c>
      <c r="C180" s="38" t="s">
        <v>60</v>
      </c>
      <c r="D180" s="1">
        <v>588</v>
      </c>
      <c r="E180" s="1">
        <v>557</v>
      </c>
      <c r="F180" s="72">
        <v>8.2872928176795577E-2</v>
      </c>
      <c r="G180" s="72">
        <v>7.5289575289575292E-2</v>
      </c>
      <c r="H180" s="1">
        <v>9714</v>
      </c>
      <c r="I180" s="1">
        <v>9268</v>
      </c>
      <c r="J180" s="1">
        <v>48024</v>
      </c>
      <c r="K180" s="1">
        <v>46232</v>
      </c>
      <c r="L180" s="18">
        <v>0.86</v>
      </c>
      <c r="M180" s="18">
        <v>0.05</v>
      </c>
      <c r="N180" s="18">
        <v>0.95</v>
      </c>
      <c r="O180" s="18">
        <v>0.9</v>
      </c>
      <c r="P180" s="24">
        <v>1</v>
      </c>
      <c r="Q180" s="191"/>
      <c r="R180" s="157"/>
      <c r="S180" s="21"/>
    </row>
    <row r="181" spans="1:19" x14ac:dyDescent="0.35">
      <c r="A181" s="25">
        <v>44831</v>
      </c>
      <c r="B181" s="38" t="s">
        <v>50</v>
      </c>
      <c r="C181" s="38" t="s">
        <v>60</v>
      </c>
      <c r="D181" s="1">
        <v>433</v>
      </c>
      <c r="E181" s="1">
        <v>406</v>
      </c>
      <c r="F181" s="72">
        <v>-9.0336134453781511E-2</v>
      </c>
      <c r="G181" s="72">
        <v>-0.13800424628450106</v>
      </c>
      <c r="H181" s="1">
        <v>10147</v>
      </c>
      <c r="I181" s="1">
        <v>9674</v>
      </c>
      <c r="J181" s="1">
        <v>48457</v>
      </c>
      <c r="K181" s="1">
        <v>46638</v>
      </c>
      <c r="L181" s="18">
        <v>0.83</v>
      </c>
      <c r="M181" s="18">
        <v>0.06</v>
      </c>
      <c r="N181" s="18">
        <v>0.94</v>
      </c>
      <c r="O181" s="18">
        <v>0.71</v>
      </c>
      <c r="P181" s="24">
        <v>1</v>
      </c>
      <c r="Q181" s="191"/>
      <c r="R181" s="157"/>
      <c r="S181" s="21"/>
    </row>
    <row r="182" spans="1:19" x14ac:dyDescent="0.35">
      <c r="A182" s="25">
        <v>44832</v>
      </c>
      <c r="B182" s="38" t="s">
        <v>51</v>
      </c>
      <c r="C182" s="38" t="s">
        <v>60</v>
      </c>
      <c r="D182" s="1">
        <v>408</v>
      </c>
      <c r="E182" s="1">
        <v>393</v>
      </c>
      <c r="F182" s="72">
        <v>0.02</v>
      </c>
      <c r="G182" s="72">
        <v>1.8134715025906734E-2</v>
      </c>
      <c r="H182" s="1">
        <v>10555</v>
      </c>
      <c r="I182" s="1">
        <v>10067</v>
      </c>
      <c r="J182" s="1">
        <v>48865</v>
      </c>
      <c r="K182" s="1">
        <v>47031</v>
      </c>
      <c r="L182" s="18">
        <v>0.88</v>
      </c>
      <c r="M182" s="18">
        <v>0.04</v>
      </c>
      <c r="N182" s="18">
        <v>0.96</v>
      </c>
      <c r="O182" s="18">
        <v>0.66</v>
      </c>
      <c r="P182" s="24">
        <v>1</v>
      </c>
      <c r="Q182" s="191"/>
      <c r="R182" s="157"/>
      <c r="S182" s="21"/>
    </row>
    <row r="183" spans="1:19" x14ac:dyDescent="0.35">
      <c r="A183" s="25">
        <v>44833</v>
      </c>
      <c r="B183" s="38" t="s">
        <v>52</v>
      </c>
      <c r="C183" s="38" t="s">
        <v>60</v>
      </c>
      <c r="D183" s="1">
        <v>414</v>
      </c>
      <c r="E183" s="1">
        <v>409</v>
      </c>
      <c r="F183" s="72">
        <v>0.12195121951219512</v>
      </c>
      <c r="G183" s="72">
        <v>0.17528735632183909</v>
      </c>
      <c r="H183" s="1">
        <v>10969</v>
      </c>
      <c r="I183" s="1">
        <v>10476</v>
      </c>
      <c r="J183" s="1">
        <v>49279</v>
      </c>
      <c r="K183" s="1">
        <v>47440</v>
      </c>
      <c r="L183" s="18">
        <v>0.93</v>
      </c>
      <c r="M183" s="18">
        <v>0.01</v>
      </c>
      <c r="N183" s="18">
        <v>0.99</v>
      </c>
      <c r="O183" s="18">
        <v>0.66</v>
      </c>
      <c r="P183" s="24">
        <v>1</v>
      </c>
      <c r="Q183" s="191"/>
      <c r="R183" s="157"/>
      <c r="S183" s="21"/>
    </row>
    <row r="184" spans="1:19" x14ac:dyDescent="0.35">
      <c r="A184" s="25">
        <v>44834</v>
      </c>
      <c r="B184" s="38" t="s">
        <v>53</v>
      </c>
      <c r="C184" s="38" t="s">
        <v>60</v>
      </c>
      <c r="D184" s="1">
        <v>401</v>
      </c>
      <c r="E184" s="1">
        <v>383</v>
      </c>
      <c r="F184" s="72">
        <v>-0.25046728971962617</v>
      </c>
      <c r="G184" s="72">
        <v>-0.23705179282868527</v>
      </c>
      <c r="H184" s="1">
        <v>11370</v>
      </c>
      <c r="I184" s="1">
        <v>10859</v>
      </c>
      <c r="J184" s="1">
        <v>49680</v>
      </c>
      <c r="K184" s="1">
        <v>47823</v>
      </c>
      <c r="L184" s="18">
        <v>0.83</v>
      </c>
      <c r="M184" s="18">
        <v>0.04</v>
      </c>
      <c r="N184" s="18">
        <v>0.96</v>
      </c>
      <c r="O184" s="18">
        <v>0.67</v>
      </c>
      <c r="P184" s="24">
        <v>0.99</v>
      </c>
      <c r="Q184" s="191"/>
      <c r="R184" s="157"/>
      <c r="S184" s="21"/>
    </row>
    <row r="185" spans="1:19" x14ac:dyDescent="0.35">
      <c r="A185" s="25">
        <v>44835</v>
      </c>
      <c r="B185" s="38" t="s">
        <v>54</v>
      </c>
      <c r="C185" s="38" t="s">
        <v>60</v>
      </c>
      <c r="D185" s="1">
        <v>329</v>
      </c>
      <c r="E185" s="1">
        <v>314</v>
      </c>
      <c r="F185" s="72">
        <v>0.1708185053380783</v>
      </c>
      <c r="G185" s="72">
        <v>0.15867158671586715</v>
      </c>
      <c r="H185" s="1">
        <v>329</v>
      </c>
      <c r="I185" s="1">
        <v>314</v>
      </c>
      <c r="J185" s="1">
        <v>50009</v>
      </c>
      <c r="K185" s="1">
        <v>48137</v>
      </c>
      <c r="L185" s="18">
        <v>0.9</v>
      </c>
      <c r="M185" s="18">
        <v>0.05</v>
      </c>
      <c r="N185" s="18">
        <v>0.95</v>
      </c>
      <c r="O185" s="18">
        <v>0.65</v>
      </c>
      <c r="P185" s="24">
        <v>1</v>
      </c>
      <c r="Q185" s="191"/>
      <c r="R185" s="157"/>
      <c r="S185" s="21"/>
    </row>
    <row r="186" spans="1:19" x14ac:dyDescent="0.35">
      <c r="A186" s="25">
        <v>44836</v>
      </c>
      <c r="B186" s="38" t="s">
        <v>48</v>
      </c>
      <c r="C186" s="38" t="s">
        <v>60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8">
        <v>0</v>
      </c>
      <c r="M186" s="18">
        <v>0</v>
      </c>
      <c r="N186" s="18">
        <v>0</v>
      </c>
      <c r="O186" s="18">
        <v>0</v>
      </c>
      <c r="P186" s="24">
        <v>0</v>
      </c>
      <c r="Q186" s="24"/>
      <c r="R186" s="17"/>
      <c r="S186" s="21"/>
    </row>
    <row r="187" spans="1:19" x14ac:dyDescent="0.35">
      <c r="A187" s="25">
        <v>44837</v>
      </c>
      <c r="B187" s="38" t="s">
        <v>49</v>
      </c>
      <c r="C187" s="38" t="s">
        <v>60</v>
      </c>
      <c r="D187" s="1">
        <v>443</v>
      </c>
      <c r="E187" s="1">
        <v>423</v>
      </c>
      <c r="F187" s="72">
        <v>-0.24659863945578231</v>
      </c>
      <c r="G187" s="72">
        <v>-0.24057450628366248</v>
      </c>
      <c r="H187" s="1">
        <v>772</v>
      </c>
      <c r="I187" s="1">
        <v>737</v>
      </c>
      <c r="J187" s="1">
        <v>50452</v>
      </c>
      <c r="K187" s="1">
        <v>48560</v>
      </c>
      <c r="L187" s="18">
        <v>0.82</v>
      </c>
      <c r="M187" s="18">
        <v>0.05</v>
      </c>
      <c r="N187" s="18">
        <v>0.95</v>
      </c>
      <c r="O187" s="18">
        <v>0.79</v>
      </c>
      <c r="P187" s="24">
        <v>0.99</v>
      </c>
      <c r="Q187" s="24"/>
      <c r="R187" s="17"/>
      <c r="S187" s="21"/>
    </row>
    <row r="188" spans="1:19" x14ac:dyDescent="0.35">
      <c r="A188" s="25">
        <v>44838</v>
      </c>
      <c r="B188" s="38" t="s">
        <v>50</v>
      </c>
      <c r="C188" s="38" t="s">
        <v>60</v>
      </c>
      <c r="D188" s="1">
        <v>391</v>
      </c>
      <c r="E188" s="1">
        <v>369</v>
      </c>
      <c r="F188" s="72">
        <v>-9.6997690531177835E-2</v>
      </c>
      <c r="G188" s="72">
        <v>-9.1133004926108374E-2</v>
      </c>
      <c r="H188" s="1">
        <v>1163</v>
      </c>
      <c r="I188" s="1">
        <v>1106</v>
      </c>
      <c r="J188" s="1">
        <v>50843</v>
      </c>
      <c r="K188" s="1">
        <v>48929</v>
      </c>
      <c r="L188" s="76">
        <v>0.85</v>
      </c>
      <c r="M188" s="76">
        <v>0.06</v>
      </c>
      <c r="N188" s="76">
        <v>0.94</v>
      </c>
      <c r="O188" s="76">
        <v>0.82</v>
      </c>
      <c r="P188" s="108">
        <v>1</v>
      </c>
      <c r="Q188" s="108"/>
      <c r="R188" s="17"/>
      <c r="S188" s="21"/>
    </row>
    <row r="189" spans="1:19" x14ac:dyDescent="0.35">
      <c r="A189" s="25">
        <v>44839</v>
      </c>
      <c r="B189" s="38" t="s">
        <v>51</v>
      </c>
      <c r="C189" s="38" t="s">
        <v>60</v>
      </c>
      <c r="D189" s="1">
        <v>383</v>
      </c>
      <c r="E189" s="1">
        <v>368</v>
      </c>
      <c r="F189" s="72">
        <v>-6.1274509803921566E-2</v>
      </c>
      <c r="G189" s="72">
        <v>-6.3613231552162849E-2</v>
      </c>
      <c r="H189" s="1">
        <v>1546</v>
      </c>
      <c r="I189" s="1">
        <v>1474</v>
      </c>
      <c r="J189" s="1">
        <v>51226</v>
      </c>
      <c r="K189" s="1">
        <v>49297</v>
      </c>
      <c r="L189" s="18">
        <v>0.81</v>
      </c>
      <c r="M189" s="18">
        <v>0.04</v>
      </c>
      <c r="N189" s="18">
        <v>0.96</v>
      </c>
      <c r="O189" s="18">
        <v>0.65</v>
      </c>
      <c r="P189" s="24">
        <v>1</v>
      </c>
      <c r="Q189" s="24"/>
      <c r="R189" s="17"/>
      <c r="S189" s="21"/>
    </row>
    <row r="190" spans="1:19" x14ac:dyDescent="0.35">
      <c r="A190" s="25">
        <v>44840</v>
      </c>
      <c r="B190" s="38" t="s">
        <v>52</v>
      </c>
      <c r="C190" s="38" t="s">
        <v>60</v>
      </c>
      <c r="D190" s="1">
        <v>402</v>
      </c>
      <c r="E190" s="1">
        <v>372</v>
      </c>
      <c r="F190" s="72">
        <v>-2.8985507246376812E-2</v>
      </c>
      <c r="G190" s="72">
        <v>-9.0464547677261614E-2</v>
      </c>
      <c r="H190" s="1">
        <v>1948</v>
      </c>
      <c r="I190" s="1">
        <v>1846</v>
      </c>
      <c r="J190" s="1">
        <v>51628</v>
      </c>
      <c r="K190" s="1">
        <v>49669</v>
      </c>
      <c r="L190" s="18">
        <v>0.75</v>
      </c>
      <c r="M190" s="18">
        <v>7.0000000000000007E-2</v>
      </c>
      <c r="N190" s="18">
        <v>0.93</v>
      </c>
      <c r="O190" s="18">
        <v>0.72</v>
      </c>
      <c r="P190" s="24">
        <v>1</v>
      </c>
      <c r="Q190" s="24"/>
      <c r="R190" s="17"/>
      <c r="S190" s="21"/>
    </row>
    <row r="191" spans="1:19" x14ac:dyDescent="0.35">
      <c r="A191" s="25">
        <v>44841</v>
      </c>
      <c r="B191" s="38" t="s">
        <v>53</v>
      </c>
      <c r="C191" s="38" t="s">
        <v>60</v>
      </c>
      <c r="D191" s="1">
        <v>365</v>
      </c>
      <c r="E191" s="1">
        <v>351</v>
      </c>
      <c r="F191" s="72">
        <v>-8.9775561097256859E-2</v>
      </c>
      <c r="G191" s="72">
        <v>-8.3550913838120106E-2</v>
      </c>
      <c r="H191" s="1">
        <v>2313</v>
      </c>
      <c r="I191" s="1">
        <v>2197</v>
      </c>
      <c r="J191" s="1">
        <v>51993</v>
      </c>
      <c r="K191" s="1">
        <v>50020</v>
      </c>
      <c r="L191" s="18">
        <v>0.93</v>
      </c>
      <c r="M191" s="18">
        <v>0.04</v>
      </c>
      <c r="N191" s="18">
        <v>0.96</v>
      </c>
      <c r="O191" s="18">
        <v>0.66</v>
      </c>
      <c r="P191" s="24">
        <v>1</v>
      </c>
      <c r="Q191" s="24"/>
      <c r="R191" s="17"/>
      <c r="S191" s="21"/>
    </row>
    <row r="192" spans="1:19" x14ac:dyDescent="0.35">
      <c r="A192" s="25">
        <v>44842</v>
      </c>
      <c r="B192" s="38" t="s">
        <v>54</v>
      </c>
      <c r="C192" s="38" t="s">
        <v>60</v>
      </c>
      <c r="D192" s="1">
        <v>262</v>
      </c>
      <c r="E192" s="1">
        <v>254</v>
      </c>
      <c r="F192" s="72">
        <v>-0.20364741641337386</v>
      </c>
      <c r="G192" s="72">
        <v>-0.19108280254777071</v>
      </c>
      <c r="H192" s="1">
        <v>2575</v>
      </c>
      <c r="I192" s="1">
        <v>2451</v>
      </c>
      <c r="J192" s="1">
        <v>52255</v>
      </c>
      <c r="K192" s="1">
        <v>50274</v>
      </c>
      <c r="L192" s="18">
        <v>0.89</v>
      </c>
      <c r="M192" s="18">
        <v>0.03</v>
      </c>
      <c r="N192" s="18">
        <v>0.97</v>
      </c>
      <c r="O192" s="18">
        <v>0.66</v>
      </c>
      <c r="P192" s="24">
        <v>1</v>
      </c>
      <c r="Q192" s="24"/>
      <c r="R192" s="17"/>
      <c r="S192" s="21"/>
    </row>
    <row r="193" spans="1:19" x14ac:dyDescent="0.35">
      <c r="A193" s="25">
        <v>44843</v>
      </c>
      <c r="B193" s="38" t="s">
        <v>48</v>
      </c>
      <c r="C193" s="38" t="s">
        <v>60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8">
        <v>0</v>
      </c>
      <c r="M193" s="18">
        <v>0</v>
      </c>
      <c r="N193" s="18">
        <v>0</v>
      </c>
      <c r="O193" s="18">
        <v>0</v>
      </c>
      <c r="P193" s="24">
        <v>0</v>
      </c>
      <c r="Q193" s="24"/>
      <c r="R193" s="17"/>
      <c r="S193" s="21"/>
    </row>
    <row r="194" spans="1:19" x14ac:dyDescent="0.35">
      <c r="A194" s="25">
        <v>44844</v>
      </c>
      <c r="B194" s="38" t="s">
        <v>49</v>
      </c>
      <c r="C194" s="38" t="s">
        <v>60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8">
        <v>0</v>
      </c>
      <c r="M194" s="18">
        <v>0</v>
      </c>
      <c r="N194" s="18">
        <v>0</v>
      </c>
      <c r="O194" s="18">
        <v>0</v>
      </c>
      <c r="P194" s="24">
        <v>0</v>
      </c>
      <c r="Q194" s="24"/>
      <c r="R194" s="17"/>
      <c r="S194" s="21"/>
    </row>
    <row r="195" spans="1:19" x14ac:dyDescent="0.35">
      <c r="A195" s="25">
        <v>44845</v>
      </c>
      <c r="B195" s="38" t="s">
        <v>50</v>
      </c>
      <c r="C195" s="38" t="s">
        <v>60</v>
      </c>
      <c r="D195" s="1">
        <v>427</v>
      </c>
      <c r="E195" s="1">
        <v>404</v>
      </c>
      <c r="F195" s="72">
        <v>9.2071611253196933E-2</v>
      </c>
      <c r="G195" s="72">
        <v>9.4850948509485097E-2</v>
      </c>
      <c r="H195" s="1">
        <v>3002</v>
      </c>
      <c r="I195" s="1">
        <v>2855</v>
      </c>
      <c r="J195" s="1">
        <v>52682</v>
      </c>
      <c r="K195" s="1">
        <v>50678</v>
      </c>
      <c r="L195" s="18">
        <v>0.81</v>
      </c>
      <c r="M195" s="18">
        <v>0.05</v>
      </c>
      <c r="N195" s="18">
        <v>0.95</v>
      </c>
      <c r="O195" s="18">
        <v>0.72</v>
      </c>
      <c r="P195" s="24">
        <v>1</v>
      </c>
      <c r="Q195" s="24"/>
      <c r="R195" s="17"/>
      <c r="S195" s="21"/>
    </row>
    <row r="196" spans="1:19" x14ac:dyDescent="0.35">
      <c r="A196" s="25">
        <v>44846</v>
      </c>
      <c r="B196" s="38" t="s">
        <v>51</v>
      </c>
      <c r="C196" s="38" t="s">
        <v>60</v>
      </c>
      <c r="D196" s="1">
        <v>458</v>
      </c>
      <c r="E196" s="1">
        <v>442</v>
      </c>
      <c r="F196" s="72">
        <v>0.195822454308094</v>
      </c>
      <c r="G196" s="72">
        <v>0.20108695652173914</v>
      </c>
      <c r="H196" s="1">
        <v>3460</v>
      </c>
      <c r="I196" s="1">
        <v>3297</v>
      </c>
      <c r="J196" s="1">
        <v>53140</v>
      </c>
      <c r="K196" s="1">
        <v>51120</v>
      </c>
      <c r="L196" s="18">
        <v>0.81</v>
      </c>
      <c r="M196" s="18">
        <v>0.03</v>
      </c>
      <c r="N196" s="18">
        <v>0.97</v>
      </c>
      <c r="O196" s="18">
        <v>0.76</v>
      </c>
      <c r="P196" s="24">
        <v>0.99</v>
      </c>
      <c r="Q196" s="24"/>
      <c r="R196" s="17"/>
      <c r="S196" s="21"/>
    </row>
    <row r="197" spans="1:19" x14ac:dyDescent="0.35">
      <c r="A197" s="25">
        <v>44847</v>
      </c>
      <c r="B197" s="38" t="s">
        <v>52</v>
      </c>
      <c r="C197" s="38" t="s">
        <v>60</v>
      </c>
      <c r="D197" s="1">
        <v>495</v>
      </c>
      <c r="E197" s="1">
        <v>471</v>
      </c>
      <c r="F197" s="72">
        <v>0.23134328358208955</v>
      </c>
      <c r="G197" s="72">
        <v>0.2661290322580645</v>
      </c>
      <c r="H197" s="1">
        <v>3955</v>
      </c>
      <c r="I197" s="1">
        <v>3768</v>
      </c>
      <c r="J197" s="1">
        <v>53635</v>
      </c>
      <c r="K197" s="1">
        <v>51591</v>
      </c>
      <c r="L197" s="18">
        <v>0.81</v>
      </c>
      <c r="M197" s="18">
        <v>0.04</v>
      </c>
      <c r="N197" s="18">
        <v>0.96</v>
      </c>
      <c r="O197" s="18">
        <v>0.84</v>
      </c>
      <c r="P197" s="24">
        <v>0.99</v>
      </c>
      <c r="Q197" s="24"/>
      <c r="R197" s="17"/>
      <c r="S197" s="21"/>
    </row>
    <row r="198" spans="1:19" x14ac:dyDescent="0.35">
      <c r="A198" s="25">
        <v>44848</v>
      </c>
      <c r="B198" s="38" t="s">
        <v>53</v>
      </c>
      <c r="C198" s="38" t="s">
        <v>60</v>
      </c>
      <c r="D198" s="1">
        <v>495</v>
      </c>
      <c r="E198" s="1">
        <v>471</v>
      </c>
      <c r="F198" s="72">
        <v>0.35616438356164382</v>
      </c>
      <c r="G198" s="72">
        <v>0.34188034188034189</v>
      </c>
      <c r="H198" s="1">
        <v>4450</v>
      </c>
      <c r="I198" s="1">
        <v>4239</v>
      </c>
      <c r="J198" s="1">
        <v>54130</v>
      </c>
      <c r="K198" s="1">
        <v>52062</v>
      </c>
      <c r="L198" s="18">
        <v>0.82</v>
      </c>
      <c r="M198" s="18">
        <v>0.05</v>
      </c>
      <c r="N198" s="18">
        <v>0.95</v>
      </c>
      <c r="O198" s="18">
        <v>1.0376000000000001</v>
      </c>
      <c r="P198" s="24">
        <v>1</v>
      </c>
      <c r="Q198" s="24"/>
      <c r="R198" s="17"/>
      <c r="S198" s="21"/>
    </row>
    <row r="199" spans="1:19" x14ac:dyDescent="0.35">
      <c r="A199" s="25">
        <v>44849</v>
      </c>
      <c r="B199" s="38" t="s">
        <v>54</v>
      </c>
      <c r="C199" s="38" t="s">
        <v>60</v>
      </c>
      <c r="D199" s="1">
        <v>289</v>
      </c>
      <c r="E199" s="1">
        <v>285</v>
      </c>
      <c r="F199" s="72">
        <v>0.10305343511450382</v>
      </c>
      <c r="G199" s="72">
        <v>0.12204724409448819</v>
      </c>
      <c r="H199" s="1">
        <v>4739</v>
      </c>
      <c r="I199" s="1">
        <v>4524</v>
      </c>
      <c r="J199" s="1">
        <v>54419</v>
      </c>
      <c r="K199" s="1">
        <v>52347</v>
      </c>
      <c r="L199" s="18">
        <v>0.93</v>
      </c>
      <c r="M199" s="18">
        <v>0.01</v>
      </c>
      <c r="N199" s="18">
        <v>0.99</v>
      </c>
      <c r="O199" s="18">
        <v>0.65</v>
      </c>
      <c r="P199" s="24">
        <v>1</v>
      </c>
      <c r="Q199" s="24"/>
      <c r="R199" s="17"/>
      <c r="S199" s="21"/>
    </row>
    <row r="200" spans="1:19" x14ac:dyDescent="0.35">
      <c r="A200" s="25">
        <v>44850</v>
      </c>
      <c r="B200" s="38" t="s">
        <v>48</v>
      </c>
      <c r="C200" s="38" t="s">
        <v>60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8">
        <v>0</v>
      </c>
      <c r="M200" s="18">
        <v>0</v>
      </c>
      <c r="N200" s="18">
        <v>0</v>
      </c>
      <c r="O200" s="18">
        <v>0</v>
      </c>
      <c r="P200" s="24">
        <v>0</v>
      </c>
      <c r="Q200" s="24"/>
      <c r="R200" s="17"/>
      <c r="S200" s="21"/>
    </row>
    <row r="201" spans="1:19" x14ac:dyDescent="0.35">
      <c r="A201" s="25">
        <v>44851</v>
      </c>
      <c r="B201" s="38" t="s">
        <v>49</v>
      </c>
      <c r="C201" s="38" t="s">
        <v>60</v>
      </c>
      <c r="D201" s="1">
        <v>545</v>
      </c>
      <c r="E201" s="1">
        <v>512</v>
      </c>
      <c r="F201" s="72">
        <v>0</v>
      </c>
      <c r="G201" s="72">
        <v>0</v>
      </c>
      <c r="H201" s="1">
        <v>5284</v>
      </c>
      <c r="I201" s="1">
        <v>5036</v>
      </c>
      <c r="J201" s="1">
        <v>54964</v>
      </c>
      <c r="K201" s="1">
        <v>52859</v>
      </c>
      <c r="L201" s="18">
        <v>0.78</v>
      </c>
      <c r="M201" s="18">
        <v>0.06</v>
      </c>
      <c r="N201" s="18">
        <v>0.94</v>
      </c>
      <c r="O201" s="18">
        <v>0.83</v>
      </c>
      <c r="P201" s="24">
        <v>1</v>
      </c>
      <c r="Q201" s="24"/>
      <c r="R201" s="17"/>
      <c r="S201" s="21"/>
    </row>
    <row r="202" spans="1:19" x14ac:dyDescent="0.35">
      <c r="A202" s="25">
        <v>44852</v>
      </c>
      <c r="B202" s="38" t="s">
        <v>50</v>
      </c>
      <c r="C202" s="38" t="s">
        <v>60</v>
      </c>
      <c r="D202" s="1">
        <v>490</v>
      </c>
      <c r="E202" s="1">
        <v>449</v>
      </c>
      <c r="F202" s="72">
        <v>0.14754098360655737</v>
      </c>
      <c r="G202" s="72">
        <v>0.11138613861386139</v>
      </c>
      <c r="H202" s="1">
        <v>5774</v>
      </c>
      <c r="I202" s="1">
        <v>5485</v>
      </c>
      <c r="J202" s="1">
        <v>55454</v>
      </c>
      <c r="K202" s="1">
        <v>53308</v>
      </c>
      <c r="L202" s="18">
        <v>0.8</v>
      </c>
      <c r="M202" s="18">
        <v>0.08</v>
      </c>
      <c r="N202" s="18">
        <v>0.92</v>
      </c>
      <c r="O202" s="18">
        <v>0.73</v>
      </c>
      <c r="P202" s="24">
        <v>1</v>
      </c>
      <c r="Q202" s="24"/>
      <c r="R202" s="17"/>
      <c r="S202" s="21"/>
    </row>
    <row r="203" spans="1:19" x14ac:dyDescent="0.35">
      <c r="A203" s="25">
        <v>44853</v>
      </c>
      <c r="B203" s="38" t="s">
        <v>51</v>
      </c>
      <c r="C203" s="38" t="s">
        <v>60</v>
      </c>
      <c r="D203" s="1">
        <v>591</v>
      </c>
      <c r="E203" s="1">
        <v>542</v>
      </c>
      <c r="F203" s="72">
        <v>0.29039301310043669</v>
      </c>
      <c r="G203" s="72">
        <v>0.22624434389140272</v>
      </c>
      <c r="H203" s="1">
        <v>6365</v>
      </c>
      <c r="I203" s="1">
        <v>6027</v>
      </c>
      <c r="J203" s="1">
        <v>56045</v>
      </c>
      <c r="K203" s="1">
        <v>53850</v>
      </c>
      <c r="L203" s="18">
        <v>0.73</v>
      </c>
      <c r="M203" s="18">
        <v>0.08</v>
      </c>
      <c r="N203" s="18">
        <v>0.92</v>
      </c>
      <c r="O203" s="18">
        <v>0.86</v>
      </c>
      <c r="P203" s="24">
        <v>1</v>
      </c>
      <c r="Q203" s="24"/>
      <c r="R203" s="17"/>
      <c r="S203" s="21"/>
    </row>
    <row r="204" spans="1:19" x14ac:dyDescent="0.35">
      <c r="A204" s="25">
        <v>44854</v>
      </c>
      <c r="B204" s="38" t="s">
        <v>52</v>
      </c>
      <c r="C204" s="38" t="s">
        <v>60</v>
      </c>
      <c r="D204" s="1">
        <v>477</v>
      </c>
      <c r="E204" s="1">
        <v>438</v>
      </c>
      <c r="F204" s="72">
        <v>-3.6363636363636362E-2</v>
      </c>
      <c r="G204" s="72">
        <v>-7.0063694267515922E-2</v>
      </c>
      <c r="H204" s="1">
        <v>6842</v>
      </c>
      <c r="I204" s="1">
        <v>6465</v>
      </c>
      <c r="J204" s="1">
        <v>56522</v>
      </c>
      <c r="K204" s="1">
        <v>54288</v>
      </c>
      <c r="L204" s="18">
        <v>0.76</v>
      </c>
      <c r="M204" s="18">
        <v>0.08</v>
      </c>
      <c r="N204" s="18">
        <v>0.92</v>
      </c>
      <c r="O204" s="18">
        <v>0.86</v>
      </c>
      <c r="P204" s="24">
        <v>1</v>
      </c>
      <c r="Q204" s="24"/>
      <c r="R204" s="17"/>
      <c r="S204" s="21"/>
    </row>
    <row r="205" spans="1:19" x14ac:dyDescent="0.35">
      <c r="A205" s="25">
        <v>44855</v>
      </c>
      <c r="B205" s="38" t="s">
        <v>53</v>
      </c>
      <c r="C205" s="38" t="s">
        <v>60</v>
      </c>
      <c r="D205" s="1">
        <v>317</v>
      </c>
      <c r="E205" s="1">
        <v>305</v>
      </c>
      <c r="F205" s="72">
        <v>-0.35959595959595958</v>
      </c>
      <c r="G205" s="72">
        <v>-0.35244161358811038</v>
      </c>
      <c r="H205" s="1">
        <v>7159</v>
      </c>
      <c r="I205" s="1">
        <v>6770</v>
      </c>
      <c r="J205" s="1">
        <v>56839</v>
      </c>
      <c r="K205" s="1">
        <v>54593</v>
      </c>
      <c r="L205" s="18">
        <v>0.89</v>
      </c>
      <c r="M205" s="18">
        <v>0.04</v>
      </c>
      <c r="N205" s="18">
        <v>0.96</v>
      </c>
      <c r="O205" s="18">
        <v>0.65</v>
      </c>
      <c r="P205" s="24">
        <v>1</v>
      </c>
      <c r="Q205" s="24"/>
      <c r="R205" s="17"/>
      <c r="S205" s="21"/>
    </row>
    <row r="206" spans="1:19" x14ac:dyDescent="0.35">
      <c r="A206" s="25">
        <v>44856</v>
      </c>
      <c r="B206" s="38" t="s">
        <v>54</v>
      </c>
      <c r="C206" s="38" t="s">
        <v>60</v>
      </c>
      <c r="D206" s="1">
        <v>349</v>
      </c>
      <c r="E206" s="1">
        <v>337</v>
      </c>
      <c r="F206" s="72">
        <v>0.20761245674740483</v>
      </c>
      <c r="G206" s="72">
        <v>0.18245614035087721</v>
      </c>
      <c r="H206" s="1">
        <v>7508</v>
      </c>
      <c r="I206" s="1">
        <v>7107</v>
      </c>
      <c r="J206" s="1">
        <v>57188</v>
      </c>
      <c r="K206" s="1">
        <v>54930</v>
      </c>
      <c r="L206" s="18">
        <v>0.89</v>
      </c>
      <c r="M206" s="18">
        <v>0.03</v>
      </c>
      <c r="N206" s="18">
        <v>0.97</v>
      </c>
      <c r="O206" s="18">
        <v>0.67</v>
      </c>
      <c r="P206" s="24">
        <v>1</v>
      </c>
      <c r="Q206" s="24"/>
      <c r="R206" s="17"/>
      <c r="S206" s="21"/>
    </row>
    <row r="207" spans="1:19" x14ac:dyDescent="0.35">
      <c r="A207" s="25">
        <v>44857</v>
      </c>
      <c r="B207" s="38" t="s">
        <v>48</v>
      </c>
      <c r="C207" s="38" t="s">
        <v>60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8">
        <v>0</v>
      </c>
      <c r="M207" s="18">
        <v>0</v>
      </c>
      <c r="N207" s="18">
        <v>0</v>
      </c>
      <c r="O207" s="18">
        <v>0</v>
      </c>
      <c r="P207" s="24">
        <v>0</v>
      </c>
      <c r="Q207" s="24"/>
      <c r="R207" s="17"/>
      <c r="S207" s="21"/>
    </row>
    <row r="208" spans="1:19" x14ac:dyDescent="0.35">
      <c r="A208" s="25">
        <v>44858</v>
      </c>
      <c r="B208" s="38" t="s">
        <v>49</v>
      </c>
      <c r="C208" s="38" t="s">
        <v>60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8">
        <v>0</v>
      </c>
      <c r="M208" s="18">
        <v>0</v>
      </c>
      <c r="N208" s="18">
        <v>0</v>
      </c>
      <c r="O208" s="18">
        <v>0</v>
      </c>
      <c r="P208" s="24">
        <v>0</v>
      </c>
      <c r="Q208" s="24"/>
      <c r="R208" s="17"/>
      <c r="S208" s="21"/>
    </row>
    <row r="209" spans="1:22" x14ac:dyDescent="0.35">
      <c r="A209" s="25">
        <v>44859</v>
      </c>
      <c r="B209" s="38" t="s">
        <v>50</v>
      </c>
      <c r="C209" s="38" t="s">
        <v>60</v>
      </c>
      <c r="D209" s="1">
        <v>527</v>
      </c>
      <c r="E209" s="1">
        <v>497</v>
      </c>
      <c r="F209" s="72">
        <v>7.5510204081632656E-2</v>
      </c>
      <c r="G209" s="72">
        <v>0.10690423162583519</v>
      </c>
      <c r="H209" s="1">
        <v>8035</v>
      </c>
      <c r="I209" s="1">
        <v>7604</v>
      </c>
      <c r="J209" s="1">
        <v>57715</v>
      </c>
      <c r="K209" s="1">
        <v>55427</v>
      </c>
      <c r="L209" s="18">
        <v>0.81</v>
      </c>
      <c r="M209" s="18">
        <v>0.06</v>
      </c>
      <c r="N209" s="18">
        <v>0.94</v>
      </c>
      <c r="O209" s="18">
        <v>0.97</v>
      </c>
      <c r="P209" s="24">
        <v>0.99</v>
      </c>
      <c r="Q209" s="24"/>
      <c r="R209" s="17"/>
      <c r="S209" s="21"/>
    </row>
    <row r="210" spans="1:22" x14ac:dyDescent="0.35">
      <c r="A210" s="25">
        <v>44860</v>
      </c>
      <c r="B210" s="38" t="s">
        <v>51</v>
      </c>
      <c r="C210" s="38" t="s">
        <v>60</v>
      </c>
      <c r="D210" s="1">
        <v>462</v>
      </c>
      <c r="E210" s="1">
        <v>443</v>
      </c>
      <c r="F210" s="72">
        <v>-0.21827411167512689</v>
      </c>
      <c r="G210" s="72">
        <v>-0.18265682656826568</v>
      </c>
      <c r="H210" s="1">
        <v>8497</v>
      </c>
      <c r="I210" s="1">
        <v>8047</v>
      </c>
      <c r="J210" s="1">
        <v>58177</v>
      </c>
      <c r="K210" s="1">
        <v>55870</v>
      </c>
      <c r="L210" s="18">
        <v>0.82</v>
      </c>
      <c r="M210" s="18">
        <v>0.04</v>
      </c>
      <c r="N210" s="18">
        <v>0.96</v>
      </c>
      <c r="O210" s="18">
        <v>0.7</v>
      </c>
      <c r="P210" s="24">
        <v>1</v>
      </c>
      <c r="Q210" s="24"/>
      <c r="R210" s="17"/>
      <c r="S210" s="21"/>
    </row>
    <row r="211" spans="1:22" x14ac:dyDescent="0.35">
      <c r="A211" s="25">
        <v>44861</v>
      </c>
      <c r="B211" s="38" t="s">
        <v>52</v>
      </c>
      <c r="C211" s="38" t="s">
        <v>60</v>
      </c>
      <c r="D211" s="1">
        <v>520</v>
      </c>
      <c r="E211" s="1">
        <v>499</v>
      </c>
      <c r="F211" s="72">
        <v>9.0146750524109018E-2</v>
      </c>
      <c r="G211" s="72">
        <v>0.13926940639269406</v>
      </c>
      <c r="H211" s="1">
        <v>9017</v>
      </c>
      <c r="I211" s="1">
        <v>8546</v>
      </c>
      <c r="J211" s="1">
        <v>58697</v>
      </c>
      <c r="K211" s="1">
        <v>56369</v>
      </c>
      <c r="L211" s="18">
        <v>0.85</v>
      </c>
      <c r="M211" s="18">
        <v>0.04</v>
      </c>
      <c r="N211" s="18">
        <v>0.96</v>
      </c>
      <c r="O211" s="18">
        <v>0.89</v>
      </c>
      <c r="P211" s="24">
        <v>1</v>
      </c>
      <c r="Q211" s="24"/>
      <c r="R211" s="17"/>
      <c r="S211" s="21"/>
    </row>
    <row r="212" spans="1:22" x14ac:dyDescent="0.35">
      <c r="A212" s="25">
        <v>44862</v>
      </c>
      <c r="B212" s="38" t="s">
        <v>53</v>
      </c>
      <c r="C212" s="38" t="s">
        <v>60</v>
      </c>
      <c r="D212" s="1">
        <v>451</v>
      </c>
      <c r="E212" s="1">
        <v>430</v>
      </c>
      <c r="F212" s="72">
        <v>0.4227129337539432</v>
      </c>
      <c r="G212" s="72">
        <v>0.4098360655737705</v>
      </c>
      <c r="H212" s="1">
        <v>9468</v>
      </c>
      <c r="I212" s="1">
        <v>8976</v>
      </c>
      <c r="J212" s="1">
        <v>59148</v>
      </c>
      <c r="K212" s="1">
        <v>56799</v>
      </c>
      <c r="L212" s="18">
        <v>0.81</v>
      </c>
      <c r="M212" s="18">
        <v>0.05</v>
      </c>
      <c r="N212" s="18">
        <v>0.95</v>
      </c>
      <c r="O212" s="18">
        <v>0.72</v>
      </c>
      <c r="P212" s="24">
        <v>1</v>
      </c>
      <c r="Q212" s="24"/>
      <c r="R212" s="17"/>
      <c r="S212" s="21"/>
    </row>
    <row r="213" spans="1:22" x14ac:dyDescent="0.35">
      <c r="A213" s="25">
        <v>44863</v>
      </c>
      <c r="B213" s="38" t="s">
        <v>54</v>
      </c>
      <c r="C213" s="38" t="s">
        <v>60</v>
      </c>
      <c r="D213" s="1">
        <v>331</v>
      </c>
      <c r="E213" s="1">
        <v>315</v>
      </c>
      <c r="F213" s="72">
        <v>-5.1575931232091692E-2</v>
      </c>
      <c r="G213" s="72">
        <v>-6.5281899109792291E-2</v>
      </c>
      <c r="H213" s="1">
        <v>9799</v>
      </c>
      <c r="I213" s="1">
        <v>9291</v>
      </c>
      <c r="J213" s="1">
        <v>59479</v>
      </c>
      <c r="K213" s="1">
        <v>57114</v>
      </c>
      <c r="L213" s="18">
        <v>0.87</v>
      </c>
      <c r="M213" s="18">
        <v>0.05</v>
      </c>
      <c r="N213" s="18">
        <v>0.95</v>
      </c>
      <c r="O213" s="18">
        <v>0.71</v>
      </c>
      <c r="P213" s="24">
        <v>1</v>
      </c>
      <c r="Q213" s="24"/>
      <c r="R213" s="17"/>
      <c r="S213" s="21"/>
    </row>
    <row r="214" spans="1:22" x14ac:dyDescent="0.35">
      <c r="A214" s="25">
        <v>44864</v>
      </c>
      <c r="B214" s="38" t="s">
        <v>48</v>
      </c>
      <c r="C214" s="38" t="s">
        <v>60</v>
      </c>
      <c r="D214" s="1">
        <v>0</v>
      </c>
      <c r="E214" s="1">
        <v>0</v>
      </c>
      <c r="F214" s="72">
        <v>0</v>
      </c>
      <c r="G214" s="72">
        <v>0</v>
      </c>
      <c r="H214" s="1">
        <v>0</v>
      </c>
      <c r="I214" s="1">
        <v>0</v>
      </c>
      <c r="J214" s="1">
        <v>0</v>
      </c>
      <c r="K214" s="1">
        <v>0</v>
      </c>
      <c r="L214" s="18">
        <v>0</v>
      </c>
      <c r="M214" s="18">
        <v>0</v>
      </c>
      <c r="N214" s="18">
        <v>0</v>
      </c>
      <c r="O214" s="18">
        <v>0</v>
      </c>
      <c r="P214" s="24">
        <v>0</v>
      </c>
      <c r="Q214" s="24"/>
      <c r="R214" s="17"/>
      <c r="S214" s="21"/>
    </row>
    <row r="215" spans="1:22" s="54" customFormat="1" x14ac:dyDescent="0.35">
      <c r="A215" s="120">
        <v>44865</v>
      </c>
      <c r="B215" s="55" t="s">
        <v>49</v>
      </c>
      <c r="C215" s="55" t="s">
        <v>60</v>
      </c>
      <c r="D215" s="56">
        <v>559</v>
      </c>
      <c r="E215" s="56">
        <v>476</v>
      </c>
      <c r="F215" s="91">
        <v>0</v>
      </c>
      <c r="G215" s="91">
        <v>0</v>
      </c>
      <c r="H215" s="56">
        <v>10358</v>
      </c>
      <c r="I215" s="56">
        <v>9767</v>
      </c>
      <c r="J215" s="56">
        <v>60038</v>
      </c>
      <c r="K215" s="56">
        <v>57590</v>
      </c>
      <c r="L215" s="57">
        <v>0.82</v>
      </c>
      <c r="M215" s="57">
        <v>0.05</v>
      </c>
      <c r="N215" s="57">
        <v>0.95</v>
      </c>
      <c r="O215" s="57">
        <v>0.96</v>
      </c>
      <c r="P215" s="121">
        <v>1</v>
      </c>
      <c r="Q215" s="121"/>
      <c r="R215" s="172"/>
      <c r="S215" s="207"/>
      <c r="T215"/>
      <c r="U215"/>
      <c r="V215"/>
    </row>
    <row r="216" spans="1:22" x14ac:dyDescent="0.35">
      <c r="A216" s="25">
        <v>44866</v>
      </c>
      <c r="B216" s="38" t="s">
        <v>50</v>
      </c>
      <c r="C216" s="38" t="s">
        <v>60</v>
      </c>
      <c r="D216" s="1">
        <v>476</v>
      </c>
      <c r="E216" s="1">
        <v>453</v>
      </c>
      <c r="F216" s="72">
        <v>-9.6774193548387094E-2</v>
      </c>
      <c r="G216" s="72">
        <v>-8.8531187122736416E-2</v>
      </c>
      <c r="H216" s="1">
        <v>476</v>
      </c>
      <c r="I216" s="1">
        <v>453</v>
      </c>
      <c r="J216" s="1">
        <v>59955</v>
      </c>
      <c r="K216" s="1">
        <v>57567</v>
      </c>
      <c r="L216" s="18">
        <v>0.83</v>
      </c>
      <c r="M216" s="18">
        <v>0.05</v>
      </c>
      <c r="N216" s="18">
        <v>0.95</v>
      </c>
      <c r="O216" s="18">
        <v>0.65</v>
      </c>
      <c r="P216" s="24">
        <v>1</v>
      </c>
      <c r="Q216" s="24"/>
      <c r="R216" s="17"/>
      <c r="S216" s="21"/>
    </row>
    <row r="217" spans="1:22" x14ac:dyDescent="0.35">
      <c r="A217" s="25">
        <v>44867</v>
      </c>
      <c r="B217" s="38" t="s">
        <v>51</v>
      </c>
      <c r="C217" s="38" t="s">
        <v>60</v>
      </c>
      <c r="D217" s="1">
        <v>634</v>
      </c>
      <c r="E217" s="1">
        <v>569</v>
      </c>
      <c r="F217" s="72">
        <v>0.37229437229437229</v>
      </c>
      <c r="G217" s="72">
        <v>0.28442437923250563</v>
      </c>
      <c r="H217" s="1">
        <v>1110</v>
      </c>
      <c r="I217" s="1">
        <v>1022</v>
      </c>
      <c r="J217" s="1">
        <v>60589</v>
      </c>
      <c r="K217" s="1">
        <v>58136</v>
      </c>
      <c r="L217" s="18">
        <v>0.71</v>
      </c>
      <c r="M217" s="18">
        <v>0.1</v>
      </c>
      <c r="N217" s="18">
        <v>0.9</v>
      </c>
      <c r="O217" s="18">
        <v>0.97</v>
      </c>
      <c r="P217" s="24">
        <v>0.99</v>
      </c>
      <c r="Q217" s="24"/>
      <c r="R217" s="17"/>
      <c r="S217" s="21"/>
    </row>
    <row r="218" spans="1:22" x14ac:dyDescent="0.35">
      <c r="A218" s="25">
        <v>44868</v>
      </c>
      <c r="B218" s="38" t="s">
        <v>52</v>
      </c>
      <c r="C218" s="38" t="s">
        <v>60</v>
      </c>
      <c r="D218" s="1">
        <v>507</v>
      </c>
      <c r="E218" s="1">
        <v>479</v>
      </c>
      <c r="F218" s="72">
        <v>-2.5000000000000001E-2</v>
      </c>
      <c r="G218" s="72">
        <v>-4.0080160320641281E-2</v>
      </c>
      <c r="H218" s="1">
        <v>1617</v>
      </c>
      <c r="I218" s="1">
        <v>1501</v>
      </c>
      <c r="J218" s="1">
        <v>61096</v>
      </c>
      <c r="K218" s="1">
        <v>58615</v>
      </c>
      <c r="L218" s="18">
        <v>0.81</v>
      </c>
      <c r="M218" s="18">
        <v>0.06</v>
      </c>
      <c r="N218" s="18">
        <v>0.94</v>
      </c>
      <c r="O218" s="18">
        <v>0.84</v>
      </c>
      <c r="P218" s="24">
        <v>0.99</v>
      </c>
      <c r="Q218" s="24"/>
      <c r="R218" s="17"/>
      <c r="S218" s="21"/>
    </row>
    <row r="219" spans="1:22" x14ac:dyDescent="0.35">
      <c r="A219" s="25">
        <v>44869</v>
      </c>
      <c r="B219" s="38" t="s">
        <v>53</v>
      </c>
      <c r="C219" s="38" t="s">
        <v>60</v>
      </c>
      <c r="D219" s="1">
        <v>458</v>
      </c>
      <c r="E219" s="1">
        <v>447</v>
      </c>
      <c r="F219" s="72">
        <v>1.5521064301552107E-2</v>
      </c>
      <c r="G219" s="72">
        <v>3.9534883720930232E-2</v>
      </c>
      <c r="H219" s="1">
        <v>2075</v>
      </c>
      <c r="I219" s="1">
        <v>1948</v>
      </c>
      <c r="J219" s="1">
        <v>61554</v>
      </c>
      <c r="K219" s="1">
        <v>59062</v>
      </c>
      <c r="L219" s="18">
        <v>0.93</v>
      </c>
      <c r="M219" s="18">
        <v>0.02</v>
      </c>
      <c r="N219" s="18">
        <v>0.98</v>
      </c>
      <c r="O219" s="18">
        <v>0.7</v>
      </c>
      <c r="P219" s="24">
        <v>0.99</v>
      </c>
      <c r="Q219" s="24"/>
      <c r="R219" s="17"/>
      <c r="S219" s="21"/>
    </row>
    <row r="220" spans="1:22" x14ac:dyDescent="0.35">
      <c r="A220" s="25">
        <v>44870</v>
      </c>
      <c r="B220" s="38" t="s">
        <v>54</v>
      </c>
      <c r="C220" s="38" t="s">
        <v>60</v>
      </c>
      <c r="D220" s="1">
        <v>300</v>
      </c>
      <c r="E220" s="1">
        <v>298</v>
      </c>
      <c r="F220" s="72">
        <v>-9.3655589123867067E-2</v>
      </c>
      <c r="G220" s="72">
        <v>-5.3968253968253971E-2</v>
      </c>
      <c r="H220" s="1">
        <v>2375</v>
      </c>
      <c r="I220" s="1">
        <v>2246</v>
      </c>
      <c r="J220" s="1">
        <v>61854</v>
      </c>
      <c r="K220" s="1">
        <v>59360</v>
      </c>
      <c r="L220" s="18">
        <v>0.95</v>
      </c>
      <c r="M220" s="18">
        <v>0.01</v>
      </c>
      <c r="N220" s="18">
        <v>0.99</v>
      </c>
      <c r="O220" s="18">
        <v>0.65</v>
      </c>
      <c r="P220" s="24">
        <v>1</v>
      </c>
      <c r="Q220" s="24"/>
      <c r="R220" s="17"/>
      <c r="S220" s="21"/>
    </row>
    <row r="221" spans="1:22" x14ac:dyDescent="0.35">
      <c r="A221" s="25">
        <v>44871</v>
      </c>
      <c r="B221" s="38" t="s">
        <v>48</v>
      </c>
      <c r="C221" s="38" t="s">
        <v>60</v>
      </c>
      <c r="D221" s="1">
        <v>90</v>
      </c>
      <c r="E221" s="1">
        <v>86</v>
      </c>
      <c r="F221" s="1">
        <v>0</v>
      </c>
      <c r="G221" s="1">
        <v>0</v>
      </c>
      <c r="H221" s="1">
        <v>2465</v>
      </c>
      <c r="I221" s="1">
        <v>2332</v>
      </c>
      <c r="J221" s="1">
        <v>61944</v>
      </c>
      <c r="K221" s="1">
        <v>59446</v>
      </c>
      <c r="L221" s="18">
        <v>0.9</v>
      </c>
      <c r="M221" s="18">
        <v>0.04</v>
      </c>
      <c r="N221" s="18">
        <v>0.96</v>
      </c>
      <c r="O221" s="18">
        <v>0.57999999999999996</v>
      </c>
      <c r="P221" s="24">
        <v>1</v>
      </c>
      <c r="Q221" s="24"/>
      <c r="R221" s="17"/>
      <c r="S221" s="21"/>
    </row>
    <row r="222" spans="1:22" x14ac:dyDescent="0.35">
      <c r="A222" s="25">
        <v>44872</v>
      </c>
      <c r="B222" s="38" t="s">
        <v>49</v>
      </c>
      <c r="C222" s="38" t="s">
        <v>60</v>
      </c>
      <c r="D222" s="1">
        <v>578</v>
      </c>
      <c r="E222" s="1">
        <v>563</v>
      </c>
      <c r="F222" s="19">
        <v>3.3989266547406083E-2</v>
      </c>
      <c r="G222" s="19">
        <v>0.18277310924369747</v>
      </c>
      <c r="H222" s="1">
        <v>3043</v>
      </c>
      <c r="I222" s="1">
        <v>2895</v>
      </c>
      <c r="J222" s="1">
        <v>62522</v>
      </c>
      <c r="K222" s="1">
        <v>60009</v>
      </c>
      <c r="L222" s="18">
        <v>0.88</v>
      </c>
      <c r="M222" s="18">
        <v>0.03</v>
      </c>
      <c r="N222" s="18">
        <v>0.97</v>
      </c>
      <c r="O222" s="18">
        <v>0.78</v>
      </c>
      <c r="P222" s="24">
        <v>0.99</v>
      </c>
      <c r="Q222" s="24"/>
      <c r="R222" s="17"/>
      <c r="S222" s="21"/>
    </row>
    <row r="223" spans="1:22" x14ac:dyDescent="0.35">
      <c r="A223" s="25">
        <v>44873</v>
      </c>
      <c r="B223" s="38" t="s">
        <v>50</v>
      </c>
      <c r="C223" s="38" t="s">
        <v>60</v>
      </c>
      <c r="D223" s="1">
        <v>480</v>
      </c>
      <c r="E223" s="1">
        <v>453</v>
      </c>
      <c r="F223" s="19">
        <v>8.4033613445378148E-3</v>
      </c>
      <c r="G223" s="19">
        <v>0</v>
      </c>
      <c r="H223" s="1">
        <v>3523</v>
      </c>
      <c r="I223" s="1">
        <v>3348</v>
      </c>
      <c r="J223" s="1">
        <v>63002</v>
      </c>
      <c r="K223" s="1">
        <v>60462</v>
      </c>
      <c r="L223" s="18">
        <v>0.89</v>
      </c>
      <c r="M223" s="18">
        <v>0.05</v>
      </c>
      <c r="N223" s="18">
        <v>0.95</v>
      </c>
      <c r="O223" s="18">
        <v>0.65</v>
      </c>
      <c r="P223" s="24">
        <v>1</v>
      </c>
      <c r="Q223" s="24"/>
      <c r="R223" s="17"/>
      <c r="S223" s="21"/>
    </row>
    <row r="224" spans="1:22" x14ac:dyDescent="0.35">
      <c r="A224" s="25">
        <v>44874</v>
      </c>
      <c r="B224" s="38" t="s">
        <v>51</v>
      </c>
      <c r="C224" s="38" t="s">
        <v>60</v>
      </c>
      <c r="D224" s="1">
        <v>489</v>
      </c>
      <c r="E224" s="1">
        <v>464</v>
      </c>
      <c r="F224" s="19">
        <v>-0.22870662460567823</v>
      </c>
      <c r="G224" s="19">
        <v>-0.18453427065026362</v>
      </c>
      <c r="H224" s="1">
        <v>4012</v>
      </c>
      <c r="I224" s="1">
        <v>3812</v>
      </c>
      <c r="J224" s="1">
        <v>63491</v>
      </c>
      <c r="K224" s="1">
        <v>60926</v>
      </c>
      <c r="L224" s="18">
        <v>0.81</v>
      </c>
      <c r="M224" s="18">
        <v>0.05</v>
      </c>
      <c r="N224" s="18">
        <v>0.95</v>
      </c>
      <c r="O224" s="18">
        <v>0.65</v>
      </c>
      <c r="P224" s="24">
        <v>1</v>
      </c>
      <c r="Q224" s="24"/>
      <c r="R224" s="17"/>
      <c r="S224" s="21"/>
    </row>
    <row r="225" spans="1:22" x14ac:dyDescent="0.35">
      <c r="A225" s="25">
        <v>44875</v>
      </c>
      <c r="B225" s="38" t="s">
        <v>52</v>
      </c>
      <c r="C225" s="38" t="s">
        <v>60</v>
      </c>
      <c r="D225" s="1">
        <v>399</v>
      </c>
      <c r="E225" s="1">
        <v>379</v>
      </c>
      <c r="F225" s="19">
        <v>-0.21301775147928995</v>
      </c>
      <c r="G225" s="19">
        <v>-0.20876826722338204</v>
      </c>
      <c r="H225" s="1">
        <v>4411</v>
      </c>
      <c r="I225" s="1">
        <v>4191</v>
      </c>
      <c r="J225" s="1">
        <v>63890</v>
      </c>
      <c r="K225" s="1">
        <v>61305</v>
      </c>
      <c r="L225" s="18">
        <v>0.86</v>
      </c>
      <c r="M225" s="18">
        <v>0.05</v>
      </c>
      <c r="N225" s="18">
        <v>0.95</v>
      </c>
      <c r="O225" s="18">
        <v>0.65</v>
      </c>
      <c r="P225" s="24">
        <v>1</v>
      </c>
      <c r="Q225" s="24"/>
      <c r="R225" s="17"/>
      <c r="S225" s="21"/>
    </row>
    <row r="226" spans="1:22" x14ac:dyDescent="0.35">
      <c r="A226" s="25">
        <v>44876</v>
      </c>
      <c r="B226" s="38" t="s">
        <v>53</v>
      </c>
      <c r="C226" s="38" t="s">
        <v>60</v>
      </c>
      <c r="D226" s="1">
        <v>437</v>
      </c>
      <c r="E226" s="1">
        <v>420</v>
      </c>
      <c r="F226" s="19">
        <v>-4.5851528384279479E-2</v>
      </c>
      <c r="G226" s="19">
        <v>-6.0402684563758392E-2</v>
      </c>
      <c r="H226" s="1">
        <v>4848</v>
      </c>
      <c r="I226" s="1">
        <v>4611</v>
      </c>
      <c r="J226" s="1">
        <v>64327</v>
      </c>
      <c r="K226" s="1">
        <v>61725</v>
      </c>
      <c r="L226" s="18">
        <v>0.89</v>
      </c>
      <c r="M226" s="18">
        <v>3.9E-2</v>
      </c>
      <c r="N226" s="18">
        <v>0.96</v>
      </c>
      <c r="O226" s="18">
        <v>0.71</v>
      </c>
      <c r="P226" s="24">
        <v>0.99</v>
      </c>
      <c r="Q226" s="24"/>
      <c r="R226" s="17"/>
      <c r="S226" s="21"/>
    </row>
    <row r="227" spans="1:22" x14ac:dyDescent="0.35">
      <c r="A227" s="25">
        <v>44877</v>
      </c>
      <c r="B227" s="38" t="s">
        <v>54</v>
      </c>
      <c r="C227" s="38" t="s">
        <v>60</v>
      </c>
      <c r="D227" s="1">
        <v>321</v>
      </c>
      <c r="E227" s="1">
        <v>311</v>
      </c>
      <c r="F227" s="19">
        <v>7.0000000000000007E-2</v>
      </c>
      <c r="G227" s="19">
        <v>4.3624161073825503E-2</v>
      </c>
      <c r="H227" s="1">
        <v>5169</v>
      </c>
      <c r="I227" s="1">
        <v>4922</v>
      </c>
      <c r="J227" s="1">
        <v>64648</v>
      </c>
      <c r="K227" s="1">
        <v>62036</v>
      </c>
      <c r="L227" s="18">
        <v>0.89</v>
      </c>
      <c r="M227" s="18">
        <v>0.03</v>
      </c>
      <c r="N227" s="18">
        <v>0.97</v>
      </c>
      <c r="O227" s="18">
        <v>0.67</v>
      </c>
      <c r="P227" s="24">
        <v>0.99</v>
      </c>
      <c r="Q227" s="24"/>
      <c r="R227" s="17"/>
      <c r="S227" s="21"/>
    </row>
    <row r="228" spans="1:22" x14ac:dyDescent="0.35">
      <c r="A228" s="25">
        <v>44878</v>
      </c>
      <c r="B228" s="38" t="s">
        <v>48</v>
      </c>
      <c r="C228" s="38" t="s">
        <v>60</v>
      </c>
      <c r="D228" s="1">
        <v>61</v>
      </c>
      <c r="E228" s="1">
        <v>59</v>
      </c>
      <c r="F228" s="19">
        <v>-0.32222222222222224</v>
      </c>
      <c r="G228" s="19">
        <v>-0.31395348837209303</v>
      </c>
      <c r="H228" s="1">
        <v>5230</v>
      </c>
      <c r="I228" s="1">
        <v>4981</v>
      </c>
      <c r="J228" s="1">
        <v>64709</v>
      </c>
      <c r="K228" s="1">
        <v>62095</v>
      </c>
      <c r="L228" s="18">
        <v>0.89</v>
      </c>
      <c r="M228" s="18">
        <v>0.03</v>
      </c>
      <c r="N228" s="18">
        <v>0.97</v>
      </c>
      <c r="O228" s="18">
        <v>0.37</v>
      </c>
      <c r="P228" s="24">
        <v>0.98</v>
      </c>
      <c r="Q228" s="24"/>
      <c r="R228" s="17"/>
      <c r="S228" s="21"/>
    </row>
    <row r="229" spans="1:22" x14ac:dyDescent="0.35">
      <c r="A229" s="25">
        <v>44879</v>
      </c>
      <c r="B229" s="38" t="s">
        <v>49</v>
      </c>
      <c r="C229" s="38" t="s">
        <v>60</v>
      </c>
      <c r="D229" s="1">
        <v>513</v>
      </c>
      <c r="E229" s="1">
        <v>496</v>
      </c>
      <c r="F229" s="19">
        <v>-0.11245674740484429</v>
      </c>
      <c r="G229" s="19">
        <v>-0.11900532859680284</v>
      </c>
      <c r="H229" s="1">
        <v>5743</v>
      </c>
      <c r="I229" s="1">
        <v>5477</v>
      </c>
      <c r="J229" s="1">
        <v>65222</v>
      </c>
      <c r="K229" s="1">
        <v>62591</v>
      </c>
      <c r="L229" s="18">
        <v>0.88</v>
      </c>
      <c r="M229" s="18">
        <v>0.03</v>
      </c>
      <c r="N229" s="18">
        <v>0.97</v>
      </c>
      <c r="O229" s="18">
        <v>0.67</v>
      </c>
      <c r="P229" s="24">
        <v>1</v>
      </c>
      <c r="Q229" s="24"/>
      <c r="R229" s="17"/>
      <c r="S229" s="21"/>
    </row>
    <row r="230" spans="1:22" x14ac:dyDescent="0.35">
      <c r="A230" s="25">
        <v>44880</v>
      </c>
      <c r="B230" s="38" t="s">
        <v>50</v>
      </c>
      <c r="C230" s="38" t="s">
        <v>60</v>
      </c>
      <c r="D230" s="1">
        <v>503</v>
      </c>
      <c r="E230" s="1">
        <v>479</v>
      </c>
      <c r="F230" s="19">
        <v>4.791666666666667E-2</v>
      </c>
      <c r="G230" s="19">
        <v>5.7395143487858721E-2</v>
      </c>
      <c r="H230" s="1">
        <v>6246</v>
      </c>
      <c r="I230" s="1">
        <v>5956</v>
      </c>
      <c r="J230" s="1">
        <v>65725</v>
      </c>
      <c r="K230" s="1">
        <v>63070</v>
      </c>
      <c r="L230" s="18">
        <v>0.81</v>
      </c>
      <c r="M230" s="18">
        <v>0.05</v>
      </c>
      <c r="N230" s="18">
        <v>0.95</v>
      </c>
      <c r="O230" s="18">
        <v>0.65</v>
      </c>
      <c r="P230" s="24">
        <v>1</v>
      </c>
      <c r="Q230" s="24"/>
      <c r="R230" s="17"/>
      <c r="S230" s="21"/>
    </row>
    <row r="231" spans="1:22" x14ac:dyDescent="0.35">
      <c r="A231" s="25">
        <v>44881</v>
      </c>
      <c r="B231" s="38" t="s">
        <v>51</v>
      </c>
      <c r="C231" s="38" t="s">
        <v>60</v>
      </c>
      <c r="D231" s="1">
        <v>527</v>
      </c>
      <c r="E231" s="1">
        <v>497</v>
      </c>
      <c r="F231" s="19">
        <v>7.7709611451942745E-2</v>
      </c>
      <c r="G231" s="19">
        <v>7.1120689655172417E-2</v>
      </c>
      <c r="H231" s="1">
        <v>6773</v>
      </c>
      <c r="I231" s="1">
        <v>6453</v>
      </c>
      <c r="J231" s="1">
        <v>66252</v>
      </c>
      <c r="K231" s="1">
        <v>63567</v>
      </c>
      <c r="L231" s="18">
        <v>0.86</v>
      </c>
      <c r="M231" s="18">
        <v>0.05</v>
      </c>
      <c r="N231" s="18">
        <v>0.95</v>
      </c>
      <c r="O231" s="18">
        <v>0.67</v>
      </c>
      <c r="P231" s="24">
        <v>1</v>
      </c>
      <c r="Q231" s="24"/>
      <c r="R231" s="17"/>
      <c r="S231" s="21"/>
    </row>
    <row r="232" spans="1:22" x14ac:dyDescent="0.35">
      <c r="A232" s="25">
        <v>44882</v>
      </c>
      <c r="B232" s="38" t="s">
        <v>52</v>
      </c>
      <c r="C232" s="38" t="s">
        <v>60</v>
      </c>
      <c r="D232" s="1">
        <v>478</v>
      </c>
      <c r="E232" s="1">
        <v>462</v>
      </c>
      <c r="F232" s="19">
        <v>0.19799498746867167</v>
      </c>
      <c r="G232" s="19">
        <v>0.21899736147757257</v>
      </c>
      <c r="H232" s="1">
        <v>7251</v>
      </c>
      <c r="I232" s="1">
        <v>6915</v>
      </c>
      <c r="J232" s="1">
        <v>66730</v>
      </c>
      <c r="K232" s="1">
        <v>64029</v>
      </c>
      <c r="L232" s="18">
        <v>0.89</v>
      </c>
      <c r="M232" s="18">
        <v>0.03</v>
      </c>
      <c r="N232" s="18">
        <v>0.97</v>
      </c>
      <c r="O232" s="18">
        <v>0.75</v>
      </c>
      <c r="P232" s="24">
        <v>1</v>
      </c>
      <c r="Q232" s="24"/>
      <c r="R232" s="17"/>
      <c r="S232" s="21"/>
    </row>
    <row r="233" spans="1:22" x14ac:dyDescent="0.35">
      <c r="A233" s="25">
        <v>44883</v>
      </c>
      <c r="B233" s="38" t="s">
        <v>53</v>
      </c>
      <c r="C233" s="38" t="s">
        <v>60</v>
      </c>
      <c r="D233" s="1">
        <v>490</v>
      </c>
      <c r="E233" s="1">
        <v>477</v>
      </c>
      <c r="F233" s="19">
        <v>0.12128146453089245</v>
      </c>
      <c r="G233" s="19">
        <v>0.1357142857142857</v>
      </c>
      <c r="H233" s="1">
        <v>7741</v>
      </c>
      <c r="I233" s="1">
        <v>7392</v>
      </c>
      <c r="J233" s="1">
        <v>67220</v>
      </c>
      <c r="K233" s="1">
        <v>64506</v>
      </c>
      <c r="L233" s="18">
        <v>0.86</v>
      </c>
      <c r="M233" s="18">
        <v>0.03</v>
      </c>
      <c r="N233" s="18">
        <v>0.97</v>
      </c>
      <c r="O233" s="18">
        <v>0.65</v>
      </c>
      <c r="P233" s="24">
        <v>1</v>
      </c>
      <c r="Q233" s="24"/>
      <c r="R233" s="17"/>
      <c r="S233" s="21"/>
    </row>
    <row r="234" spans="1:22" x14ac:dyDescent="0.35">
      <c r="A234" s="25">
        <v>44884</v>
      </c>
      <c r="B234" s="38" t="s">
        <v>54</v>
      </c>
      <c r="C234" s="38" t="s">
        <v>60</v>
      </c>
      <c r="D234" s="1">
        <v>371</v>
      </c>
      <c r="E234" s="1">
        <v>364</v>
      </c>
      <c r="F234" s="19">
        <v>0.1557632398753894</v>
      </c>
      <c r="G234" s="19">
        <v>0.17041800643086816</v>
      </c>
      <c r="H234" s="1">
        <v>8112</v>
      </c>
      <c r="I234" s="1">
        <v>7756</v>
      </c>
      <c r="J234" s="1">
        <v>67591</v>
      </c>
      <c r="K234" s="1">
        <v>64870</v>
      </c>
      <c r="L234" s="18">
        <v>0.92</v>
      </c>
      <c r="M234" s="18">
        <v>0.02</v>
      </c>
      <c r="N234" s="18">
        <v>0.98</v>
      </c>
      <c r="O234" s="18">
        <v>0.68</v>
      </c>
      <c r="P234" s="24">
        <v>1</v>
      </c>
      <c r="Q234" s="24"/>
      <c r="R234" s="17"/>
      <c r="S234" s="21"/>
    </row>
    <row r="235" spans="1:22" x14ac:dyDescent="0.35">
      <c r="A235" s="25">
        <v>44885</v>
      </c>
      <c r="B235" s="38" t="s">
        <v>48</v>
      </c>
      <c r="C235" s="38" t="s">
        <v>60</v>
      </c>
      <c r="D235" s="1">
        <v>77</v>
      </c>
      <c r="E235" s="1">
        <v>73</v>
      </c>
      <c r="F235" s="19">
        <f>IFERROR((Table9[[#This Row],[Calls Off]]-D228)/D228,0)</f>
        <v>0.26229508196721313</v>
      </c>
      <c r="G235" s="19">
        <f>IFERROR((Table9[[#This Row],[Calls Ans]]-E228)/E228,0)</f>
        <v>0.23728813559322035</v>
      </c>
      <c r="H235" s="1">
        <f>H234+Table9[[#This Row],[Calls Off]]</f>
        <v>8189</v>
      </c>
      <c r="I235" s="1">
        <f>I234+Table9[[#This Row],[Calls Ans]]</f>
        <v>7829</v>
      </c>
      <c r="J235" s="1">
        <f>J234+Table9[[#This Row],[Calls Off]]</f>
        <v>67668</v>
      </c>
      <c r="K235" s="1">
        <f>K234+Table9[[#This Row],[Calls Ans]]</f>
        <v>64943</v>
      </c>
      <c r="L235" s="18">
        <v>0.88</v>
      </c>
      <c r="M235" s="18">
        <v>0.05</v>
      </c>
      <c r="N235" s="18">
        <v>0.95</v>
      </c>
      <c r="O235" s="18">
        <v>0.51</v>
      </c>
      <c r="P235" s="24">
        <v>1</v>
      </c>
      <c r="Q235" s="24"/>
      <c r="R235" s="155"/>
    </row>
    <row r="236" spans="1:22" x14ac:dyDescent="0.35">
      <c r="A236" s="25">
        <v>44886</v>
      </c>
      <c r="B236" s="38" t="s">
        <v>49</v>
      </c>
      <c r="C236" s="38" t="s">
        <v>60</v>
      </c>
      <c r="D236" s="1">
        <v>669</v>
      </c>
      <c r="E236" s="1">
        <v>636</v>
      </c>
      <c r="F236" s="19">
        <f>IFERROR((Table9[[#This Row],[Calls Off]]-D229)/D229,0)</f>
        <v>0.30409356725146197</v>
      </c>
      <c r="G236" s="19">
        <f>IFERROR((Table9[[#This Row],[Calls Ans]]-E229)/E229,0)</f>
        <v>0.28225806451612906</v>
      </c>
      <c r="H236" s="1">
        <f>H235+Table9[[#This Row],[Calls Off]]</f>
        <v>8858</v>
      </c>
      <c r="I236" s="1">
        <f>I235+Table9[[#This Row],[Calls Ans]]</f>
        <v>8465</v>
      </c>
      <c r="J236" s="1">
        <f>J235+Table9[[#This Row],[Calls Off]]</f>
        <v>68337</v>
      </c>
      <c r="K236" s="1">
        <f>K235+Table9[[#This Row],[Calls Ans]]</f>
        <v>65579</v>
      </c>
      <c r="L236" s="18">
        <v>0.77</v>
      </c>
      <c r="M236" s="18">
        <v>0.05</v>
      </c>
      <c r="N236" s="18">
        <v>0.95</v>
      </c>
      <c r="O236" s="18">
        <v>0.83</v>
      </c>
      <c r="P236" s="24">
        <v>1</v>
      </c>
      <c r="Q236" s="24"/>
      <c r="R236" s="155"/>
      <c r="T236" s="54"/>
      <c r="U236" s="54"/>
      <c r="V236" s="54"/>
    </row>
    <row r="237" spans="1:22" x14ac:dyDescent="0.35">
      <c r="A237" s="25">
        <v>44887</v>
      </c>
      <c r="B237" s="38" t="s">
        <v>50</v>
      </c>
      <c r="C237" s="38" t="s">
        <v>60</v>
      </c>
      <c r="D237" s="1">
        <v>510</v>
      </c>
      <c r="E237" s="1">
        <v>469</v>
      </c>
      <c r="F237" s="19">
        <f>IFERROR((Table9[[#This Row],[Calls Off]]-D230)/D230,0)</f>
        <v>1.3916500994035786E-2</v>
      </c>
      <c r="G237" s="19">
        <f>IFERROR((Table9[[#This Row],[Calls Ans]]-E230)/E230,0)</f>
        <v>-2.0876826722338204E-2</v>
      </c>
      <c r="H237" s="1">
        <f>H236+Table9[[#This Row],[Calls Off]]</f>
        <v>9368</v>
      </c>
      <c r="I237" s="1">
        <f>I236+Table9[[#This Row],[Calls Ans]]</f>
        <v>8934</v>
      </c>
      <c r="J237" s="1">
        <f>J236+Table9[[#This Row],[Calls Off]]</f>
        <v>68847</v>
      </c>
      <c r="K237" s="1">
        <f>K236+Table9[[#This Row],[Calls Ans]]</f>
        <v>66048</v>
      </c>
      <c r="L237" s="18">
        <v>0.74</v>
      </c>
      <c r="M237" s="18">
        <v>0.08</v>
      </c>
      <c r="N237" s="18">
        <v>0.92</v>
      </c>
      <c r="O237" s="18">
        <v>0.65</v>
      </c>
      <c r="P237" s="24">
        <v>1</v>
      </c>
      <c r="Q237" s="24"/>
      <c r="R237" s="155"/>
    </row>
    <row r="238" spans="1:22" x14ac:dyDescent="0.35">
      <c r="A238" s="25">
        <v>44888</v>
      </c>
      <c r="B238" s="38" t="s">
        <v>51</v>
      </c>
      <c r="C238" s="38" t="s">
        <v>60</v>
      </c>
      <c r="D238" s="1">
        <v>534</v>
      </c>
      <c r="E238" s="1">
        <v>517</v>
      </c>
      <c r="F238" s="19">
        <f>IFERROR((Table9[[#This Row],[Calls Off]]-D231)/D231,0)</f>
        <v>1.3282732447817837E-2</v>
      </c>
      <c r="G238" s="19">
        <f>IFERROR((Table9[[#This Row],[Calls Ans]]-E231)/E231,0)</f>
        <v>4.0241448692152917E-2</v>
      </c>
      <c r="H238" s="1">
        <f>H237+Table9[[#This Row],[Calls Off]]</f>
        <v>9902</v>
      </c>
      <c r="I238" s="1">
        <f>I237+Table9[[#This Row],[Calls Ans]]</f>
        <v>9451</v>
      </c>
      <c r="J238" s="1">
        <f>J237+Table9[[#This Row],[Calls Off]]</f>
        <v>69381</v>
      </c>
      <c r="K238" s="1">
        <f>K237+Table9[[#This Row],[Calls Ans]]</f>
        <v>66565</v>
      </c>
      <c r="L238" s="18">
        <v>0.89</v>
      </c>
      <c r="M238" s="18">
        <v>0.03</v>
      </c>
      <c r="N238" s="18">
        <v>0.97</v>
      </c>
      <c r="O238" s="18">
        <v>0.74</v>
      </c>
      <c r="P238" s="24">
        <v>1</v>
      </c>
      <c r="Q238" s="24"/>
      <c r="R238" s="155"/>
    </row>
    <row r="239" spans="1:22" x14ac:dyDescent="0.35">
      <c r="A239" s="25">
        <v>44889</v>
      </c>
      <c r="B239" s="38" t="s">
        <v>52</v>
      </c>
      <c r="C239" s="38" t="s">
        <v>60</v>
      </c>
      <c r="D239" s="1">
        <v>685</v>
      </c>
      <c r="E239" s="1">
        <v>645</v>
      </c>
      <c r="F239" s="19">
        <f>IFERROR((Table9[[#This Row],[Calls Off]]-D232)/D232,0)</f>
        <v>0.43305439330543932</v>
      </c>
      <c r="G239" s="19">
        <f>IFERROR((Table9[[#This Row],[Calls Ans]]-E232)/E232,0)</f>
        <v>0.39610389610389612</v>
      </c>
      <c r="H239" s="1">
        <f>H238+Table9[[#This Row],[Calls Off]]</f>
        <v>10587</v>
      </c>
      <c r="I239" s="1">
        <f>I238+Table9[[#This Row],[Calls Ans]]</f>
        <v>10096</v>
      </c>
      <c r="J239" s="1">
        <f>J238+Table9[[#This Row],[Calls Off]]</f>
        <v>70066</v>
      </c>
      <c r="K239" s="1">
        <f>K238+Table9[[#This Row],[Calls Ans]]</f>
        <v>67210</v>
      </c>
      <c r="L239" s="18">
        <v>0.82</v>
      </c>
      <c r="M239" s="18">
        <v>0.06</v>
      </c>
      <c r="N239" s="18">
        <v>0.94</v>
      </c>
      <c r="O239" s="18">
        <v>0.93</v>
      </c>
      <c r="P239" s="24">
        <v>1</v>
      </c>
      <c r="Q239" s="24"/>
      <c r="R239" s="155"/>
    </row>
    <row r="240" spans="1:22" x14ac:dyDescent="0.35">
      <c r="A240" s="25">
        <v>44890</v>
      </c>
      <c r="B240" s="38" t="s">
        <v>53</v>
      </c>
      <c r="C240" s="38" t="s">
        <v>60</v>
      </c>
      <c r="D240" s="1">
        <v>1492</v>
      </c>
      <c r="E240" s="1">
        <v>918</v>
      </c>
      <c r="F240" s="19">
        <f>IFERROR((Table9[[#This Row],[Calls Off]]-D233)/D233,0)</f>
        <v>2.0448979591836736</v>
      </c>
      <c r="G240" s="19">
        <f>IFERROR((Table9[[#This Row],[Calls Ans]]-E233)/E233,0)</f>
        <v>0.92452830188679247</v>
      </c>
      <c r="H240" s="1">
        <f>H239+Table9[[#This Row],[Calls Off]]</f>
        <v>12079</v>
      </c>
      <c r="I240" s="1">
        <f>I239+Table9[[#This Row],[Calls Ans]]</f>
        <v>11014</v>
      </c>
      <c r="J240" s="1">
        <f>J239+Table9[[#This Row],[Calls Off]]</f>
        <v>71558</v>
      </c>
      <c r="K240" s="1">
        <f>K239+Table9[[#This Row],[Calls Ans]]</f>
        <v>68128</v>
      </c>
      <c r="L240" s="18">
        <v>0.21</v>
      </c>
      <c r="M240" s="18">
        <v>0.39</v>
      </c>
      <c r="N240" s="18">
        <v>0.61</v>
      </c>
      <c r="O240" s="18">
        <v>1.17</v>
      </c>
      <c r="P240" s="24">
        <v>0.98</v>
      </c>
      <c r="Q240" s="24"/>
      <c r="R240" s="155"/>
    </row>
    <row r="241" spans="1:22" x14ac:dyDescent="0.35">
      <c r="A241" s="25">
        <v>44891</v>
      </c>
      <c r="B241" s="38" t="s">
        <v>54</v>
      </c>
      <c r="C241" s="38" t="s">
        <v>60</v>
      </c>
      <c r="D241" s="1">
        <v>761</v>
      </c>
      <c r="E241" s="1">
        <v>686</v>
      </c>
      <c r="F241" s="19">
        <f>IFERROR((Table9[[#This Row],[Calls Off]]-D234)/D234,0)</f>
        <v>1.0512129380053907</v>
      </c>
      <c r="G241" s="19">
        <f>IFERROR((Table9[[#This Row],[Calls Ans]]-E234)/E234,0)</f>
        <v>0.88461538461538458</v>
      </c>
      <c r="H241" s="1">
        <f>H240+Table9[[#This Row],[Calls Off]]</f>
        <v>12840</v>
      </c>
      <c r="I241" s="1">
        <f>I240+Table9[[#This Row],[Calls Ans]]</f>
        <v>11700</v>
      </c>
      <c r="J241" s="1">
        <f>J240+Table9[[#This Row],[Calls Off]]</f>
        <v>72319</v>
      </c>
      <c r="K241" s="1">
        <f>K240+Table9[[#This Row],[Calls Ans]]</f>
        <v>68814</v>
      </c>
      <c r="L241" s="18">
        <v>0.77</v>
      </c>
      <c r="M241" s="18">
        <v>0.1</v>
      </c>
      <c r="N241" s="18">
        <v>0.9</v>
      </c>
      <c r="O241" s="18">
        <v>1.17</v>
      </c>
      <c r="P241" s="24">
        <v>1</v>
      </c>
      <c r="Q241" s="24"/>
      <c r="R241" s="155"/>
    </row>
    <row r="242" spans="1:22" x14ac:dyDescent="0.35">
      <c r="A242" s="25">
        <v>44892</v>
      </c>
      <c r="B242" s="38" t="s">
        <v>48</v>
      </c>
      <c r="C242" s="38" t="s">
        <v>60</v>
      </c>
      <c r="D242" s="1">
        <v>158</v>
      </c>
      <c r="E242" s="1">
        <v>151</v>
      </c>
      <c r="F242" s="19">
        <f>IFERROR((Table9[[#This Row],[Calls Off]]-D235)/D235,0)</f>
        <v>1.051948051948052</v>
      </c>
      <c r="G242" s="19">
        <f>IFERROR((Table9[[#This Row],[Calls Ans]]-E235)/E235,0)</f>
        <v>1.0684931506849316</v>
      </c>
      <c r="H242" s="1">
        <f>H241+Table9[[#This Row],[Calls Off]]</f>
        <v>12998</v>
      </c>
      <c r="I242" s="1">
        <f>I241+Table9[[#This Row],[Calls Ans]]</f>
        <v>11851</v>
      </c>
      <c r="J242" s="1">
        <f>J241+Table9[[#This Row],[Calls Off]]</f>
        <v>72477</v>
      </c>
      <c r="K242" s="1">
        <f>K241+Table9[[#This Row],[Calls Ans]]</f>
        <v>68965</v>
      </c>
      <c r="L242" s="18">
        <v>0.91</v>
      </c>
      <c r="M242" s="18">
        <v>0.04</v>
      </c>
      <c r="N242" s="18">
        <v>0.96</v>
      </c>
      <c r="O242" s="18">
        <v>0.48</v>
      </c>
      <c r="P242" s="24">
        <v>1</v>
      </c>
      <c r="Q242" s="24"/>
      <c r="R242" s="155"/>
    </row>
    <row r="243" spans="1:22" x14ac:dyDescent="0.35">
      <c r="A243" s="25">
        <v>44893</v>
      </c>
      <c r="B243" s="38" t="s">
        <v>49</v>
      </c>
      <c r="C243" s="38" t="s">
        <v>60</v>
      </c>
      <c r="D243" s="1">
        <v>1876</v>
      </c>
      <c r="E243" s="1">
        <v>845</v>
      </c>
      <c r="F243" s="19">
        <f>IFERROR((Table9[[#This Row],[Calls Off]]-D236)/D236,0)</f>
        <v>1.804185351270553</v>
      </c>
      <c r="G243" s="19">
        <f>IFERROR((Table9[[#This Row],[Calls Ans]]-E236)/E236,0)</f>
        <v>0.32861635220125784</v>
      </c>
      <c r="H243" s="1">
        <f>H242+Table9[[#This Row],[Calls Off]]</f>
        <v>14874</v>
      </c>
      <c r="I243" s="1">
        <f>I242+Table9[[#This Row],[Calls Ans]]</f>
        <v>12696</v>
      </c>
      <c r="J243" s="1">
        <f>J242+Table9[[#This Row],[Calls Off]]</f>
        <v>74353</v>
      </c>
      <c r="K243" s="1">
        <f>K242+Table9[[#This Row],[Calls Ans]]</f>
        <v>69810</v>
      </c>
      <c r="L243" s="18">
        <v>0.03</v>
      </c>
      <c r="M243" s="18">
        <v>0.55000000000000004</v>
      </c>
      <c r="N243" s="18">
        <v>0.45</v>
      </c>
      <c r="O243" s="18">
        <v>1.26</v>
      </c>
      <c r="P243" s="24">
        <v>1</v>
      </c>
      <c r="Q243" s="24"/>
      <c r="R243" s="155"/>
    </row>
    <row r="244" spans="1:22" x14ac:dyDescent="0.35">
      <c r="A244" s="25">
        <v>44894</v>
      </c>
      <c r="B244" s="38" t="s">
        <v>50</v>
      </c>
      <c r="C244" s="38" t="s">
        <v>60</v>
      </c>
      <c r="D244" s="1">
        <v>1344</v>
      </c>
      <c r="E244" s="1">
        <v>766</v>
      </c>
      <c r="F244" s="19">
        <f>IFERROR((Table9[[#This Row],[Calls Off]]-D237)/D237,0)</f>
        <v>1.6352941176470588</v>
      </c>
      <c r="G244" s="19">
        <f>IFERROR((Table9[[#This Row],[Calls Ans]]-E237)/E237,0)</f>
        <v>0.63326226012793174</v>
      </c>
      <c r="H244" s="1">
        <f>H243+Table9[[#This Row],[Calls Off]]</f>
        <v>16218</v>
      </c>
      <c r="I244" s="1">
        <f>I243+Table9[[#This Row],[Calls Ans]]</f>
        <v>13462</v>
      </c>
      <c r="J244" s="1">
        <f>J243+Table9[[#This Row],[Calls Off]]</f>
        <v>75697</v>
      </c>
      <c r="K244" s="1">
        <f>K243+Table9[[#This Row],[Calls Ans]]</f>
        <v>70576</v>
      </c>
      <c r="L244" s="18">
        <v>0.11</v>
      </c>
      <c r="M244" s="18">
        <v>0.43</v>
      </c>
      <c r="N244" s="18">
        <v>0.56999999999999995</v>
      </c>
      <c r="O244" s="18">
        <v>1.59</v>
      </c>
      <c r="P244" s="24">
        <v>1</v>
      </c>
      <c r="Q244" s="24"/>
      <c r="R244" s="155"/>
    </row>
    <row r="245" spans="1:22" x14ac:dyDescent="0.35">
      <c r="A245" s="25">
        <v>44895</v>
      </c>
      <c r="B245" s="38" t="s">
        <v>51</v>
      </c>
      <c r="C245" s="38" t="s">
        <v>60</v>
      </c>
      <c r="D245" s="1">
        <v>1365</v>
      </c>
      <c r="E245" s="1">
        <v>759</v>
      </c>
      <c r="F245" s="19">
        <f>IFERROR((Table9[[#This Row],[Calls Off]]-D238)/D238,0)</f>
        <v>1.5561797752808988</v>
      </c>
      <c r="G245" s="19">
        <f>IFERROR((Table9[[#This Row],[Calls Ans]]-E238)/E238,0)</f>
        <v>0.46808510638297873</v>
      </c>
      <c r="H245" s="1">
        <f>H244+Table9[[#This Row],[Calls Off]]</f>
        <v>17583</v>
      </c>
      <c r="I245" s="1">
        <f>I244+Table9[[#This Row],[Calls Ans]]</f>
        <v>14221</v>
      </c>
      <c r="J245" s="1">
        <f>J244+Table9[[#This Row],[Calls Off]]</f>
        <v>77062</v>
      </c>
      <c r="K245" s="1">
        <f>K244+Table9[[#This Row],[Calls Ans]]</f>
        <v>71335</v>
      </c>
      <c r="L245" s="18">
        <v>7.0000000000000007E-2</v>
      </c>
      <c r="M245" s="18">
        <v>0.44</v>
      </c>
      <c r="N245" s="18">
        <v>0.56000000000000005</v>
      </c>
      <c r="O245" s="18">
        <v>1.58</v>
      </c>
      <c r="P245" s="24">
        <v>0.99</v>
      </c>
      <c r="Q245" s="24"/>
      <c r="R245" s="155"/>
    </row>
    <row r="246" spans="1:22" s="53" customFormat="1" x14ac:dyDescent="0.35">
      <c r="A246" s="87">
        <v>44896</v>
      </c>
      <c r="B246" s="88" t="s">
        <v>52</v>
      </c>
      <c r="C246" s="88" t="s">
        <v>60</v>
      </c>
      <c r="D246" s="74">
        <v>1085</v>
      </c>
      <c r="E246" s="74">
        <v>658</v>
      </c>
      <c r="F246" s="190">
        <f>IFERROR((Table9[[#This Row],[Calls Off]]-D239)/D239,0)</f>
        <v>0.58394160583941601</v>
      </c>
      <c r="G246" s="190">
        <f>IFERROR((Table9[[#This Row],[Calls Ans]]-E239)/E239,0)</f>
        <v>2.0155038759689922E-2</v>
      </c>
      <c r="H246" s="74">
        <f>Table9[[#This Row],[Calls Off]]</f>
        <v>1085</v>
      </c>
      <c r="I246" s="74">
        <f>Table9[[#This Row],[Calls Ans]]</f>
        <v>658</v>
      </c>
      <c r="J246" s="74">
        <f>J245+Table9[[#This Row],[Calls Off]]</f>
        <v>78147</v>
      </c>
      <c r="K246" s="74">
        <f>K245+Table9[[#This Row],[Calls Ans]]</f>
        <v>71993</v>
      </c>
      <c r="L246" s="2">
        <v>0.16</v>
      </c>
      <c r="M246" s="2">
        <v>0.39</v>
      </c>
      <c r="N246" s="2">
        <v>0.61</v>
      </c>
      <c r="O246" s="2">
        <v>0.14000000000000001</v>
      </c>
      <c r="P246" s="12">
        <v>1</v>
      </c>
      <c r="Q246" s="12"/>
      <c r="R246" s="156"/>
      <c r="S246" s="206"/>
      <c r="T246"/>
      <c r="U246"/>
      <c r="V246"/>
    </row>
    <row r="247" spans="1:22" x14ac:dyDescent="0.35">
      <c r="A247" s="25">
        <v>44897</v>
      </c>
      <c r="B247" s="38" t="s">
        <v>53</v>
      </c>
      <c r="C247" s="38" t="s">
        <v>60</v>
      </c>
      <c r="D247" s="1">
        <v>904</v>
      </c>
      <c r="E247" s="1">
        <v>638</v>
      </c>
      <c r="F247" s="19">
        <f>IFERROR((Table9[[#This Row],[Calls Off]]-D240)/D240,0)</f>
        <v>-0.3941018766756032</v>
      </c>
      <c r="G247" s="19">
        <f>IFERROR((Table9[[#This Row],[Calls Ans]]-E240)/E240,0)</f>
        <v>-0.30501089324618735</v>
      </c>
      <c r="H247" s="1">
        <f>Table9[[#This Row],[Calls Off]]+H246</f>
        <v>1989</v>
      </c>
      <c r="I247" s="1">
        <f>Table9[[#This Row],[Calls Ans]]+I246</f>
        <v>1296</v>
      </c>
      <c r="J247" s="1">
        <f>J246+Table9[[#This Row],[Calls Off]]</f>
        <v>79051</v>
      </c>
      <c r="K247" s="1">
        <f>K246+Table9[[#This Row],[Calls Ans]]</f>
        <v>72631</v>
      </c>
      <c r="L247" s="18">
        <v>0.28999999999999998</v>
      </c>
      <c r="M247" s="18">
        <v>0.23</v>
      </c>
      <c r="N247" s="18">
        <v>0.77</v>
      </c>
      <c r="O247" s="18">
        <v>1.36</v>
      </c>
      <c r="P247" s="24">
        <v>1</v>
      </c>
      <c r="Q247" s="24"/>
      <c r="R247" s="155"/>
    </row>
    <row r="248" spans="1:22" x14ac:dyDescent="0.35">
      <c r="A248" s="25">
        <v>44898</v>
      </c>
      <c r="B248" s="38" t="s">
        <v>54</v>
      </c>
      <c r="C248" s="38" t="s">
        <v>60</v>
      </c>
      <c r="D248" s="1">
        <v>728</v>
      </c>
      <c r="E248" s="1">
        <v>542</v>
      </c>
      <c r="F248" s="19">
        <f>IFERROR((Table9[[#This Row],[Calls Off]]-D241)/D241,0)</f>
        <v>-4.3363994743758211E-2</v>
      </c>
      <c r="G248" s="19">
        <f>IFERROR((Table9[[#This Row],[Calls Ans]]-E241)/E241,0)</f>
        <v>-0.2099125364431487</v>
      </c>
      <c r="H248" s="1">
        <f>Table9[[#This Row],[Calls Off]]+H247</f>
        <v>2717</v>
      </c>
      <c r="I248" s="1">
        <f>Table9[[#This Row],[Calls Ans]]+I247</f>
        <v>1838</v>
      </c>
      <c r="J248" s="1">
        <f>J247+Table9[[#This Row],[Calls Off]]</f>
        <v>79779</v>
      </c>
      <c r="K248" s="1">
        <f>K247+Table9[[#This Row],[Calls Ans]]</f>
        <v>73173</v>
      </c>
      <c r="L248" s="18">
        <v>0.39</v>
      </c>
      <c r="M248" s="18">
        <v>0.25</v>
      </c>
      <c r="N248" s="18">
        <v>0.75</v>
      </c>
      <c r="O248" s="18">
        <v>1.22</v>
      </c>
      <c r="P248" s="24">
        <v>1</v>
      </c>
      <c r="Q248" s="24"/>
      <c r="R248" s="155"/>
    </row>
    <row r="249" spans="1:22" x14ac:dyDescent="0.35">
      <c r="A249" s="25">
        <v>44899</v>
      </c>
      <c r="B249" s="38" t="s">
        <v>48</v>
      </c>
      <c r="C249" s="38" t="s">
        <v>60</v>
      </c>
      <c r="D249" s="1">
        <v>104</v>
      </c>
      <c r="E249" s="1">
        <v>78</v>
      </c>
      <c r="F249" s="19">
        <f>IFERROR((Table9[[#This Row],[Calls Off]]-D242)/D242,0)</f>
        <v>-0.34177215189873417</v>
      </c>
      <c r="G249" s="19">
        <f>IFERROR((Table9[[#This Row],[Calls Ans]]-E242)/E242,0)</f>
        <v>-0.48344370860927155</v>
      </c>
      <c r="H249" s="1">
        <f>Table9[[#This Row],[Calls Off]]+H248</f>
        <v>2821</v>
      </c>
      <c r="I249" s="1">
        <f>Table9[[#This Row],[Calls Ans]]+I248</f>
        <v>1916</v>
      </c>
      <c r="J249" s="1">
        <f>J248+Table9[[#This Row],[Calls Off]]</f>
        <v>79883</v>
      </c>
      <c r="K249" s="1">
        <f>K248+Table9[[#This Row],[Calls Ans]]</f>
        <v>73251</v>
      </c>
      <c r="L249" s="18">
        <v>0.75</v>
      </c>
      <c r="M249" s="18">
        <v>0.06</v>
      </c>
      <c r="N249" s="18">
        <v>0.94</v>
      </c>
      <c r="O249" s="18">
        <v>0.56000000000000005</v>
      </c>
      <c r="P249" s="24">
        <v>0.99</v>
      </c>
      <c r="Q249" s="24"/>
      <c r="R249" s="155"/>
    </row>
    <row r="250" spans="1:22" x14ac:dyDescent="0.35">
      <c r="A250" s="25">
        <v>44900</v>
      </c>
      <c r="B250" s="38" t="s">
        <v>49</v>
      </c>
      <c r="C250" s="38" t="s">
        <v>60</v>
      </c>
      <c r="D250" s="1">
        <v>960</v>
      </c>
      <c r="E250" s="1">
        <v>647</v>
      </c>
      <c r="F250" s="19">
        <f>IFERROR((Table9[[#This Row],[Calls Off]]-D243)/D243,0)</f>
        <v>-0.48827292110874199</v>
      </c>
      <c r="G250" s="19">
        <f>IFERROR((Table9[[#This Row],[Calls Ans]]-E243)/E243,0)</f>
        <v>-0.23431952662721894</v>
      </c>
      <c r="H250" s="1">
        <f>Table9[[#This Row],[Calls Off]]+H249</f>
        <v>3781</v>
      </c>
      <c r="I250" s="1">
        <f>Table9[[#This Row],[Calls Ans]]+I249</f>
        <v>2563</v>
      </c>
      <c r="J250" s="1">
        <f>J249+Table9[[#This Row],[Calls Off]]</f>
        <v>80843</v>
      </c>
      <c r="K250" s="1">
        <f>K249+Table9[[#This Row],[Calls Ans]]</f>
        <v>73898</v>
      </c>
      <c r="L250" s="18">
        <v>0.26</v>
      </c>
      <c r="M250" s="18">
        <v>0.33</v>
      </c>
      <c r="N250" s="18">
        <v>0.67</v>
      </c>
      <c r="O250" s="18">
        <v>1.41</v>
      </c>
      <c r="P250" s="24">
        <v>1</v>
      </c>
      <c r="Q250" s="24"/>
      <c r="R250" s="155"/>
    </row>
    <row r="251" spans="1:22" x14ac:dyDescent="0.35">
      <c r="A251" s="25">
        <v>44901</v>
      </c>
      <c r="B251" s="38" t="s">
        <v>50</v>
      </c>
      <c r="C251" s="38" t="s">
        <v>60</v>
      </c>
      <c r="D251" s="1">
        <v>894</v>
      </c>
      <c r="E251" s="1">
        <v>613</v>
      </c>
      <c r="F251" s="19">
        <f>IFERROR((Table9[[#This Row],[Calls Off]]-D244)/D244,0)</f>
        <v>-0.33482142857142855</v>
      </c>
      <c r="G251" s="19">
        <f>IFERROR((Table9[[#This Row],[Calls Ans]]-E244)/E244,0)</f>
        <v>-0.19973890339425587</v>
      </c>
      <c r="H251" s="1">
        <f>Table9[[#This Row],[Calls Off]]+H250</f>
        <v>4675</v>
      </c>
      <c r="I251" s="1">
        <f>Table9[[#This Row],[Calls Ans]]+I250</f>
        <v>3176</v>
      </c>
      <c r="J251" s="1">
        <f>J250+Table9[[#This Row],[Calls Off]]</f>
        <v>81737</v>
      </c>
      <c r="K251" s="1">
        <f>K250+Table9[[#This Row],[Calls Ans]]</f>
        <v>74511</v>
      </c>
      <c r="L251" s="18">
        <v>0.31</v>
      </c>
      <c r="M251" s="18">
        <v>0.24</v>
      </c>
      <c r="N251" s="18">
        <v>0.76</v>
      </c>
      <c r="O251" s="18">
        <v>1.34</v>
      </c>
      <c r="P251" s="24">
        <v>1</v>
      </c>
      <c r="Q251" s="24"/>
      <c r="R251" s="155"/>
    </row>
    <row r="252" spans="1:22" x14ac:dyDescent="0.35">
      <c r="A252" s="25">
        <v>44902</v>
      </c>
      <c r="B252" s="38" t="s">
        <v>51</v>
      </c>
      <c r="C252" s="38" t="s">
        <v>60</v>
      </c>
      <c r="D252" s="1">
        <v>847</v>
      </c>
      <c r="E252" s="1">
        <v>460</v>
      </c>
      <c r="F252" s="19">
        <f>IFERROR((Table9[[#This Row],[Calls Off]]-D245)/D245,0)</f>
        <v>-0.37948717948717947</v>
      </c>
      <c r="G252" s="19">
        <f>IFERROR((Table9[[#This Row],[Calls Ans]]-E245)/E245,0)</f>
        <v>-0.39393939393939392</v>
      </c>
      <c r="H252" s="1">
        <f>Table9[[#This Row],[Calls Off]]+H251</f>
        <v>5522</v>
      </c>
      <c r="I252" s="1">
        <f>Table9[[#This Row],[Calls Ans]]+I251</f>
        <v>3636</v>
      </c>
      <c r="J252" s="1">
        <f>J251+Table9[[#This Row],[Calls Off]]</f>
        <v>82584</v>
      </c>
      <c r="K252" s="1">
        <f>K251+Table9[[#This Row],[Calls Ans]]</f>
        <v>74971</v>
      </c>
      <c r="L252" s="18">
        <v>0.09</v>
      </c>
      <c r="M252" s="18">
        <v>0.46</v>
      </c>
      <c r="N252" s="18">
        <v>0.54</v>
      </c>
      <c r="O252" s="18">
        <v>1.36</v>
      </c>
      <c r="P252" s="24">
        <v>0.99</v>
      </c>
      <c r="Q252" s="24"/>
      <c r="R252" s="155"/>
    </row>
    <row r="253" spans="1:22" x14ac:dyDescent="0.35">
      <c r="A253" s="25">
        <v>44903</v>
      </c>
      <c r="B253" s="38" t="s">
        <v>52</v>
      </c>
      <c r="C253" s="38" t="s">
        <v>60</v>
      </c>
      <c r="D253" s="1">
        <v>722</v>
      </c>
      <c r="E253" s="1">
        <v>560</v>
      </c>
      <c r="F253" s="19">
        <f>IFERROR((Table9[[#This Row],[Calls Off]]-D246)/D246,0)</f>
        <v>-0.33456221198156683</v>
      </c>
      <c r="G253" s="19">
        <f>IFERROR((Table9[[#This Row],[Calls Ans]]-E246)/E246,0)</f>
        <v>-0.14893617021276595</v>
      </c>
      <c r="H253" s="1">
        <f>Table9[[#This Row],[Calls Off]]+H252</f>
        <v>6244</v>
      </c>
      <c r="I253" s="1">
        <f>Table9[[#This Row],[Calls Ans]]+I252</f>
        <v>4196</v>
      </c>
      <c r="J253" s="1">
        <f>J252+Table9[[#This Row],[Calls Off]]</f>
        <v>83306</v>
      </c>
      <c r="K253" s="1">
        <f>K252+Table9[[#This Row],[Calls Ans]]</f>
        <v>75531</v>
      </c>
      <c r="L253" s="18">
        <v>0.36</v>
      </c>
      <c r="M253" s="18">
        <v>0.22</v>
      </c>
      <c r="N253" s="18">
        <v>0.78</v>
      </c>
      <c r="O253" s="18">
        <v>1.21</v>
      </c>
      <c r="P253" s="24">
        <v>1</v>
      </c>
      <c r="Q253" s="24"/>
      <c r="R253" s="155"/>
    </row>
    <row r="254" spans="1:22" x14ac:dyDescent="0.35">
      <c r="A254" s="25">
        <v>44904</v>
      </c>
      <c r="B254" s="38" t="s">
        <v>53</v>
      </c>
      <c r="C254" s="38" t="s">
        <v>60</v>
      </c>
      <c r="D254" s="1">
        <v>697</v>
      </c>
      <c r="E254" s="1">
        <v>601</v>
      </c>
      <c r="F254" s="19">
        <f>IFERROR((Table9[[#This Row],[Calls Off]]-D247)/D247,0)</f>
        <v>-0.22898230088495575</v>
      </c>
      <c r="G254" s="19">
        <f>IFERROR((Table9[[#This Row],[Calls Ans]]-E247)/E247,0)</f>
        <v>-5.7993730407523508E-2</v>
      </c>
      <c r="H254" s="1">
        <f>Table9[[#This Row],[Calls Off]]+H253</f>
        <v>6941</v>
      </c>
      <c r="I254" s="1">
        <f>Table9[[#This Row],[Calls Ans]]+I253</f>
        <v>4797</v>
      </c>
      <c r="J254" s="1">
        <f>J253+Table9[[#This Row],[Calls Off]]</f>
        <v>84003</v>
      </c>
      <c r="K254" s="1">
        <f>K253+Table9[[#This Row],[Calls Ans]]</f>
        <v>76132</v>
      </c>
      <c r="L254" s="18">
        <v>0.5</v>
      </c>
      <c r="M254" s="18">
        <v>0.14000000000000001</v>
      </c>
      <c r="N254" s="18">
        <v>0.86</v>
      </c>
      <c r="O254" s="18">
        <v>1.1299999999999999</v>
      </c>
      <c r="P254" s="24">
        <v>1</v>
      </c>
      <c r="Q254" s="24"/>
      <c r="R254" s="17">
        <v>3</v>
      </c>
      <c r="S254" s="21"/>
    </row>
    <row r="255" spans="1:22" x14ac:dyDescent="0.35">
      <c r="A255" s="25">
        <v>44905</v>
      </c>
      <c r="B255" s="38" t="s">
        <v>54</v>
      </c>
      <c r="C255" s="38" t="s">
        <v>60</v>
      </c>
      <c r="D255" s="1">
        <v>505</v>
      </c>
      <c r="E255" s="1">
        <v>414</v>
      </c>
      <c r="F255" s="19">
        <f>IFERROR((Table9[[#This Row],[Calls Off]]-D248)/D248,0)</f>
        <v>-0.30631868131868134</v>
      </c>
      <c r="G255" s="19">
        <f>IFERROR((Table9[[#This Row],[Calls Ans]]-E248)/E248,0)</f>
        <v>-0.23616236162361623</v>
      </c>
      <c r="H255" s="1">
        <f>Table9[[#This Row],[Calls Off]]+H254</f>
        <v>7446</v>
      </c>
      <c r="I255" s="1">
        <f>Table9[[#This Row],[Calls Ans]]+I254</f>
        <v>5211</v>
      </c>
      <c r="J255" s="1">
        <f>J254+Table9[[#This Row],[Calls Off]]</f>
        <v>84508</v>
      </c>
      <c r="K255" s="1">
        <f>K254+Table9[[#This Row],[Calls Ans]]</f>
        <v>76546</v>
      </c>
      <c r="L255" s="18">
        <v>0.56000000000000005</v>
      </c>
      <c r="M255" s="18">
        <v>0.18</v>
      </c>
      <c r="N255" s="18">
        <v>0.82</v>
      </c>
      <c r="O255" s="18">
        <v>1.17</v>
      </c>
      <c r="P255" s="24">
        <v>1</v>
      </c>
      <c r="Q255" s="24"/>
      <c r="R255" s="17">
        <v>3</v>
      </c>
      <c r="S255" s="21"/>
    </row>
    <row r="256" spans="1:22" x14ac:dyDescent="0.35">
      <c r="A256" s="25">
        <v>44906</v>
      </c>
      <c r="B256" s="38" t="s">
        <v>48</v>
      </c>
      <c r="C256" s="38" t="s">
        <v>60</v>
      </c>
      <c r="D256" s="1">
        <v>127</v>
      </c>
      <c r="E256" s="1">
        <v>120</v>
      </c>
      <c r="F256" s="19">
        <f>IFERROR((Table9[[#This Row],[Calls Off]]-D249)/D249,0)</f>
        <v>0.22115384615384615</v>
      </c>
      <c r="G256" s="19">
        <f>IFERROR((Table9[[#This Row],[Calls Ans]]-E249)/E249,0)</f>
        <v>0.53846153846153844</v>
      </c>
      <c r="H256" s="1">
        <f>Table9[[#This Row],[Calls Off]]+H255</f>
        <v>7573</v>
      </c>
      <c r="I256" s="1">
        <f>Table9[[#This Row],[Calls Ans]]+I255</f>
        <v>5331</v>
      </c>
      <c r="J256" s="1">
        <f>J255+Table9[[#This Row],[Calls Off]]</f>
        <v>84635</v>
      </c>
      <c r="K256" s="1">
        <f>K255+Table9[[#This Row],[Calls Ans]]</f>
        <v>76666</v>
      </c>
      <c r="L256" s="18">
        <v>0.84</v>
      </c>
      <c r="M256" s="18">
        <v>0.06</v>
      </c>
      <c r="N256" s="18">
        <v>0.94</v>
      </c>
      <c r="O256" s="18">
        <v>0.61</v>
      </c>
      <c r="P256" s="24">
        <v>1</v>
      </c>
      <c r="Q256" s="24"/>
      <c r="R256" s="17">
        <v>3</v>
      </c>
      <c r="S256" s="21"/>
    </row>
    <row r="257" spans="1:22" x14ac:dyDescent="0.35">
      <c r="A257" s="25">
        <v>44907</v>
      </c>
      <c r="B257" s="38" t="s">
        <v>49</v>
      </c>
      <c r="C257" s="38" t="s">
        <v>60</v>
      </c>
      <c r="D257" s="1">
        <v>911</v>
      </c>
      <c r="E257" s="1">
        <v>688</v>
      </c>
      <c r="F257" s="98">
        <f>IFERROR((Table9[[#This Row],[Calls Off]]-D250)/D250,0)</f>
        <v>-5.1041666666666666E-2</v>
      </c>
      <c r="G257" s="98">
        <f>IFERROR((Table9[[#This Row],[Calls Ans]]-E250)/E250,0)</f>
        <v>6.3369397217928905E-2</v>
      </c>
      <c r="H257" s="1">
        <f>Table9[[#This Row],[Calls Off]]+H256</f>
        <v>8484</v>
      </c>
      <c r="I257" s="1">
        <f>Table9[[#This Row],[Calls Ans]]+I256</f>
        <v>6019</v>
      </c>
      <c r="J257" s="1">
        <f>J256+Table9[[#This Row],[Calls Off]]</f>
        <v>85546</v>
      </c>
      <c r="K257" s="1">
        <f>K256+Table9[[#This Row],[Calls Ans]]</f>
        <v>77354</v>
      </c>
      <c r="L257" s="18">
        <v>0.4</v>
      </c>
      <c r="M257" s="18">
        <v>0.24</v>
      </c>
      <c r="N257" s="18">
        <v>0.76</v>
      </c>
      <c r="O257" s="18">
        <v>1.1100000000000001</v>
      </c>
      <c r="P257" s="24">
        <v>1</v>
      </c>
      <c r="Q257" s="24"/>
      <c r="R257" s="17">
        <v>4</v>
      </c>
      <c r="S257" s="21"/>
    </row>
    <row r="258" spans="1:22" x14ac:dyDescent="0.35">
      <c r="A258" s="25">
        <v>44908</v>
      </c>
      <c r="B258" s="38" t="s">
        <v>50</v>
      </c>
      <c r="C258" s="38" t="s">
        <v>60</v>
      </c>
      <c r="D258" s="1">
        <v>915</v>
      </c>
      <c r="E258" s="1">
        <v>722</v>
      </c>
      <c r="F258" s="98">
        <f>IFERROR((Table9[[#This Row],[Calls Off]]-D251)/D251,0)</f>
        <v>2.3489932885906041E-2</v>
      </c>
      <c r="G258" s="98">
        <f>IFERROR((Table9[[#This Row],[Calls Ans]]-E251)/E251,0)</f>
        <v>0.17781402936378465</v>
      </c>
      <c r="H258" s="1">
        <f>Table9[[#This Row],[Calls Off]]+H257</f>
        <v>9399</v>
      </c>
      <c r="I258" s="1">
        <f>Table9[[#This Row],[Calls Ans]]+I257</f>
        <v>6741</v>
      </c>
      <c r="J258" s="1">
        <f>J257+Table9[[#This Row],[Calls Off]]</f>
        <v>86461</v>
      </c>
      <c r="K258" s="1">
        <f>K257+Table9[[#This Row],[Calls Ans]]</f>
        <v>78076</v>
      </c>
      <c r="L258" s="18">
        <v>0.44</v>
      </c>
      <c r="M258" s="18">
        <v>0.21</v>
      </c>
      <c r="N258" s="18">
        <v>0.79</v>
      </c>
      <c r="O258" s="18">
        <v>1.79</v>
      </c>
      <c r="P258" s="24">
        <v>0.99</v>
      </c>
      <c r="Q258" s="24"/>
      <c r="R258" s="17">
        <v>4</v>
      </c>
      <c r="S258" s="21"/>
      <c r="U258">
        <f>AVERAGEIF(P1:P366,"&lt;&gt;0")</f>
        <v>0.99832786885245983</v>
      </c>
    </row>
    <row r="259" spans="1:22" x14ac:dyDescent="0.35">
      <c r="A259" s="25">
        <v>44909</v>
      </c>
      <c r="B259" s="38" t="s">
        <v>51</v>
      </c>
      <c r="C259" s="38" t="s">
        <v>60</v>
      </c>
      <c r="D259" s="1">
        <v>768</v>
      </c>
      <c r="E259" s="1">
        <v>623</v>
      </c>
      <c r="F259" s="98">
        <f>IFERROR((Table9[[#This Row],[Calls Off]]-D252)/D252,0)</f>
        <v>-9.3270365997638729E-2</v>
      </c>
      <c r="G259" s="98">
        <f>IFERROR((Table9[[#This Row],[Calls Ans]]-E252)/E252,0)</f>
        <v>0.35434782608695653</v>
      </c>
      <c r="H259" s="1">
        <f>Table9[[#This Row],[Calls Off]]+H258</f>
        <v>10167</v>
      </c>
      <c r="I259" s="1">
        <f>Table9[[#This Row],[Calls Ans]]+I258</f>
        <v>7364</v>
      </c>
      <c r="J259" s="1">
        <f>J258+Table9[[#This Row],[Calls Off]]</f>
        <v>87229</v>
      </c>
      <c r="K259" s="1">
        <f>K258+Table9[[#This Row],[Calls Ans]]</f>
        <v>78699</v>
      </c>
      <c r="L259" s="18">
        <v>0.4</v>
      </c>
      <c r="M259" s="18">
        <v>0.18</v>
      </c>
      <c r="N259" s="18">
        <v>0.82</v>
      </c>
      <c r="O259" s="18">
        <v>1.32</v>
      </c>
      <c r="P259" s="24">
        <v>1</v>
      </c>
      <c r="Q259" s="24"/>
      <c r="R259" s="17">
        <v>4</v>
      </c>
      <c r="S259" s="21"/>
    </row>
    <row r="260" spans="1:22" x14ac:dyDescent="0.35">
      <c r="A260" s="25">
        <v>44910</v>
      </c>
      <c r="B260" s="38" t="s">
        <v>52</v>
      </c>
      <c r="C260" s="38" t="s">
        <v>60</v>
      </c>
      <c r="D260" s="1">
        <v>780</v>
      </c>
      <c r="E260" s="1">
        <v>640</v>
      </c>
      <c r="F260" s="98">
        <f>IFERROR((Table9[[#This Row],[Calls Off]]-D253)/D253,0)</f>
        <v>8.0332409972299165E-2</v>
      </c>
      <c r="G260" s="98">
        <f>IFERROR((Table9[[#This Row],[Calls Ans]]-E253)/E253,0)</f>
        <v>0.14285714285714285</v>
      </c>
      <c r="H260" s="1">
        <f>Table9[[#This Row],[Calls Off]]+H259</f>
        <v>10947</v>
      </c>
      <c r="I260" s="1">
        <f>Table9[[#This Row],[Calls Ans]]+I259</f>
        <v>8004</v>
      </c>
      <c r="J260" s="1">
        <f>J259+Table9[[#This Row],[Calls Off]]</f>
        <v>88009</v>
      </c>
      <c r="K260" s="1">
        <f>K259+Table9[[#This Row],[Calls Ans]]</f>
        <v>79339</v>
      </c>
      <c r="L260" s="18">
        <v>0.51</v>
      </c>
      <c r="M260" s="18">
        <v>0.18</v>
      </c>
      <c r="N260" s="18">
        <v>0.82</v>
      </c>
      <c r="O260" s="18">
        <v>1.4</v>
      </c>
      <c r="P260" s="24">
        <v>1</v>
      </c>
      <c r="Q260" s="24"/>
      <c r="R260" s="17">
        <v>4</v>
      </c>
      <c r="S260" s="21"/>
    </row>
    <row r="261" spans="1:22" x14ac:dyDescent="0.35">
      <c r="A261" s="25">
        <v>44911</v>
      </c>
      <c r="B261" s="38" t="s">
        <v>53</v>
      </c>
      <c r="C261" s="38" t="s">
        <v>60</v>
      </c>
      <c r="D261" s="1">
        <v>667</v>
      </c>
      <c r="E261" s="1">
        <v>561</v>
      </c>
      <c r="F261" s="98">
        <f>IFERROR((Table9[[#This Row],[Calls Off]]-D254)/D254,0)</f>
        <v>-4.3041606886657105E-2</v>
      </c>
      <c r="G261" s="98">
        <f>IFERROR((Table9[[#This Row],[Calls Ans]]-E254)/E254,0)</f>
        <v>-6.6555740432612309E-2</v>
      </c>
      <c r="H261" s="1">
        <f>Table9[[#This Row],[Calls Off]]+H260</f>
        <v>11614</v>
      </c>
      <c r="I261" s="1">
        <f>Table9[[#This Row],[Calls Ans]]+I260</f>
        <v>8565</v>
      </c>
      <c r="J261" s="1">
        <f>J260+Table9[[#This Row],[Calls Off]]</f>
        <v>88676</v>
      </c>
      <c r="K261" s="1">
        <f>K260+Table9[[#This Row],[Calls Ans]]</f>
        <v>79900</v>
      </c>
      <c r="L261" s="18">
        <v>0.59</v>
      </c>
      <c r="M261" s="18">
        <v>0.16</v>
      </c>
      <c r="N261" s="18">
        <v>0.84</v>
      </c>
      <c r="O261" s="18">
        <v>1.19</v>
      </c>
      <c r="P261" s="24">
        <v>1</v>
      </c>
      <c r="Q261" s="24"/>
      <c r="R261" s="17">
        <v>4</v>
      </c>
      <c r="S261" s="21"/>
    </row>
    <row r="262" spans="1:22" x14ac:dyDescent="0.35">
      <c r="A262" s="25">
        <v>44912</v>
      </c>
      <c r="B262" s="38" t="s">
        <v>54</v>
      </c>
      <c r="C262" s="38" t="s">
        <v>60</v>
      </c>
      <c r="D262" s="1">
        <v>523</v>
      </c>
      <c r="E262" s="1">
        <v>376</v>
      </c>
      <c r="F262" s="98">
        <f>IFERROR((Table9[[#This Row],[Calls Off]]-D255)/D255,0)</f>
        <v>3.5643564356435641E-2</v>
      </c>
      <c r="G262" s="98">
        <f>IFERROR((Table9[[#This Row],[Calls Ans]]-E255)/E255,0)</f>
        <v>-9.1787439613526575E-2</v>
      </c>
      <c r="H262" s="1">
        <f>Table9[[#This Row],[Calls Off]]+H261</f>
        <v>12137</v>
      </c>
      <c r="I262" s="1">
        <f>Table9[[#This Row],[Calls Ans]]+I261</f>
        <v>8941</v>
      </c>
      <c r="J262" s="1">
        <f>J261+Table9[[#This Row],[Calls Off]]</f>
        <v>89199</v>
      </c>
      <c r="K262" s="1">
        <f>K261+Table9[[#This Row],[Calls Ans]]</f>
        <v>80276</v>
      </c>
      <c r="L262" s="18">
        <v>0.38</v>
      </c>
      <c r="M262" s="18">
        <v>0.28000000000000003</v>
      </c>
      <c r="N262" s="18">
        <v>0.72</v>
      </c>
      <c r="O262" s="18">
        <v>1.06</v>
      </c>
      <c r="P262" s="24">
        <v>1</v>
      </c>
      <c r="Q262" s="24"/>
      <c r="R262" s="17">
        <v>3</v>
      </c>
      <c r="S262" s="21"/>
    </row>
    <row r="263" spans="1:22" x14ac:dyDescent="0.35">
      <c r="A263" s="25">
        <v>44913</v>
      </c>
      <c r="B263" s="38" t="s">
        <v>48</v>
      </c>
      <c r="C263" s="38" t="s">
        <v>60</v>
      </c>
      <c r="D263" s="1">
        <v>156</v>
      </c>
      <c r="E263" s="1">
        <v>148</v>
      </c>
      <c r="F263" s="98">
        <f>IFERROR((Table9[[#This Row],[Calls Off]]-D256)/D256,0)</f>
        <v>0.2283464566929134</v>
      </c>
      <c r="G263" s="98">
        <f>IFERROR((Table9[[#This Row],[Calls Ans]]-E256)/E256,0)</f>
        <v>0.23333333333333334</v>
      </c>
      <c r="H263" s="1">
        <f>Table9[[#This Row],[Calls Off]]+H262</f>
        <v>12293</v>
      </c>
      <c r="I263" s="1">
        <f>Table9[[#This Row],[Calls Ans]]+I262</f>
        <v>9089</v>
      </c>
      <c r="J263" s="1">
        <f>J262+Table9[[#This Row],[Calls Off]]</f>
        <v>89355</v>
      </c>
      <c r="K263" s="1">
        <f>K262+Table9[[#This Row],[Calls Ans]]</f>
        <v>80424</v>
      </c>
      <c r="L263" s="18">
        <v>0.85</v>
      </c>
      <c r="M263" s="18">
        <v>0.05</v>
      </c>
      <c r="N263" s="18">
        <v>0.95</v>
      </c>
      <c r="O263" s="18">
        <v>0.5</v>
      </c>
      <c r="P263" s="24">
        <v>0.99</v>
      </c>
      <c r="Q263" s="24"/>
      <c r="R263" s="17">
        <v>3</v>
      </c>
      <c r="S263" s="21"/>
    </row>
    <row r="264" spans="1:22" x14ac:dyDescent="0.35">
      <c r="A264" s="25">
        <v>44914</v>
      </c>
      <c r="B264" s="110" t="s">
        <v>49</v>
      </c>
      <c r="C264" s="38" t="s">
        <v>60</v>
      </c>
      <c r="D264" s="42">
        <v>969</v>
      </c>
      <c r="E264" s="42">
        <v>706</v>
      </c>
      <c r="F264" s="98">
        <f>IFERROR((Table9[[#This Row],[Calls Off]]-D257)/D257,0)</f>
        <v>6.3666300768386391E-2</v>
      </c>
      <c r="G264" s="98">
        <f>IFERROR((Table9[[#This Row],[Calls Ans]]-E257)/E257,0)</f>
        <v>2.616279069767442E-2</v>
      </c>
      <c r="H264" s="1">
        <f>Table9[[#This Row],[Calls Off]]+H263</f>
        <v>13262</v>
      </c>
      <c r="I264" s="1">
        <f>Table9[[#This Row],[Calls Ans]]+I263</f>
        <v>9795</v>
      </c>
      <c r="J264" s="1">
        <f>J263+Table9[[#This Row],[Calls Off]]</f>
        <v>90324</v>
      </c>
      <c r="K264" s="1">
        <f>K263+Table9[[#This Row],[Calls Ans]]</f>
        <v>81130</v>
      </c>
      <c r="L264" s="52">
        <v>0.5</v>
      </c>
      <c r="M264" s="52">
        <v>0.27</v>
      </c>
      <c r="N264" s="52">
        <v>0.73</v>
      </c>
      <c r="O264" s="52">
        <v>1.41</v>
      </c>
      <c r="P264" s="191">
        <v>1</v>
      </c>
      <c r="Q264" s="191"/>
      <c r="R264" s="17">
        <v>4</v>
      </c>
      <c r="S264" s="21"/>
      <c r="T264" s="53"/>
      <c r="U264" s="53"/>
      <c r="V264" s="53"/>
    </row>
    <row r="265" spans="1:22" x14ac:dyDescent="0.35">
      <c r="A265" s="25">
        <v>44915</v>
      </c>
      <c r="B265" s="110" t="s">
        <v>50</v>
      </c>
      <c r="C265" s="38" t="s">
        <v>60</v>
      </c>
      <c r="D265" s="42">
        <v>799</v>
      </c>
      <c r="E265" s="42">
        <v>606</v>
      </c>
      <c r="F265" s="98">
        <f>IFERROR((Table9[[#This Row],[Calls Off]]-D258)/D258,0)</f>
        <v>-0.126775956284153</v>
      </c>
      <c r="G265" s="98">
        <f>IFERROR((Table9[[#This Row],[Calls Ans]]-E258)/E258,0)</f>
        <v>-0.16066481994459833</v>
      </c>
      <c r="H265" s="1">
        <f>Table9[[#This Row],[Calls Off]]+H264</f>
        <v>14061</v>
      </c>
      <c r="I265" s="1">
        <f>Table9[[#This Row],[Calls Ans]]+I264</f>
        <v>10401</v>
      </c>
      <c r="J265" s="1">
        <f>J264+Table9[[#This Row],[Calls Off]]</f>
        <v>91123</v>
      </c>
      <c r="K265" s="1">
        <f>K264+Table9[[#This Row],[Calls Ans]]</f>
        <v>81736</v>
      </c>
      <c r="L265" s="52">
        <v>0.44</v>
      </c>
      <c r="M265" s="52">
        <v>0.24</v>
      </c>
      <c r="N265" s="52">
        <v>0.76</v>
      </c>
      <c r="O265" s="52">
        <v>0.92</v>
      </c>
      <c r="P265" s="191">
        <v>1</v>
      </c>
      <c r="Q265" s="191"/>
      <c r="R265" s="17">
        <v>4</v>
      </c>
      <c r="S265" s="21"/>
    </row>
    <row r="266" spans="1:22" x14ac:dyDescent="0.35">
      <c r="A266" s="25">
        <v>44916</v>
      </c>
      <c r="B266" s="38" t="s">
        <v>51</v>
      </c>
      <c r="C266" s="38" t="s">
        <v>60</v>
      </c>
      <c r="D266" s="1">
        <v>822</v>
      </c>
      <c r="E266" s="1">
        <v>579</v>
      </c>
      <c r="F266" s="98">
        <f>IFERROR((Table9[[#This Row],[Calls Off]]-D259)/D259,0)</f>
        <v>7.03125E-2</v>
      </c>
      <c r="G266" s="98">
        <f>IFERROR((Table9[[#This Row],[Calls Ans]]-E259)/E259,0)</f>
        <v>-7.0626003210272875E-2</v>
      </c>
      <c r="H266" s="1">
        <f>Table9[[#This Row],[Calls Off]]+H265</f>
        <v>14883</v>
      </c>
      <c r="I266" s="1">
        <f>Table9[[#This Row],[Calls Ans]]+I265</f>
        <v>10980</v>
      </c>
      <c r="J266" s="1">
        <f>J265+Table9[[#This Row],[Calls Off]]</f>
        <v>91945</v>
      </c>
      <c r="K266" s="1">
        <f>K265+Table9[[#This Row],[Calls Ans]]</f>
        <v>82315</v>
      </c>
      <c r="L266" s="18">
        <v>0.31</v>
      </c>
      <c r="M266" s="18">
        <v>0.3</v>
      </c>
      <c r="N266" s="18">
        <v>0.7</v>
      </c>
      <c r="O266" s="18">
        <v>1.08</v>
      </c>
      <c r="P266" s="24">
        <v>0.99</v>
      </c>
      <c r="Q266" s="24"/>
      <c r="R266" s="17">
        <v>4</v>
      </c>
      <c r="S266" s="21"/>
    </row>
    <row r="267" spans="1:22" x14ac:dyDescent="0.35">
      <c r="A267" s="25">
        <v>44917</v>
      </c>
      <c r="B267" s="38" t="s">
        <v>52</v>
      </c>
      <c r="C267" s="38" t="s">
        <v>60</v>
      </c>
      <c r="D267" s="1">
        <v>769</v>
      </c>
      <c r="E267" s="1">
        <v>623</v>
      </c>
      <c r="F267" s="98">
        <f>IFERROR((Table9[[#This Row],[Calls Off]]-D260)/D260,0)</f>
        <v>-1.4102564102564103E-2</v>
      </c>
      <c r="G267" s="98">
        <f>IFERROR((Table9[[#This Row],[Calls Ans]]-E260)/E260,0)</f>
        <v>-2.6562499999999999E-2</v>
      </c>
      <c r="H267" s="1">
        <f>Table9[[#This Row],[Calls Off]]+H266</f>
        <v>15652</v>
      </c>
      <c r="I267" s="1">
        <f>Table9[[#This Row],[Calls Ans]]+I266</f>
        <v>11603</v>
      </c>
      <c r="J267" s="1">
        <f>J266+Table9[[#This Row],[Calls Off]]</f>
        <v>92714</v>
      </c>
      <c r="K267" s="1">
        <f>K266+Table9[[#This Row],[Calls Ans]]</f>
        <v>82938</v>
      </c>
      <c r="L267" s="18">
        <v>0.47</v>
      </c>
      <c r="M267" s="18">
        <v>0.19</v>
      </c>
      <c r="N267" s="18">
        <v>0.81</v>
      </c>
      <c r="O267" s="18">
        <v>1.19</v>
      </c>
      <c r="P267" s="24">
        <v>1</v>
      </c>
      <c r="Q267" s="24"/>
      <c r="R267" s="17">
        <v>4</v>
      </c>
      <c r="S267" s="21"/>
    </row>
    <row r="268" spans="1:22" x14ac:dyDescent="0.35">
      <c r="A268" s="25">
        <v>44918</v>
      </c>
      <c r="B268" s="38" t="s">
        <v>53</v>
      </c>
      <c r="C268" s="38" t="s">
        <v>60</v>
      </c>
      <c r="D268" s="1">
        <v>756</v>
      </c>
      <c r="E268" s="1">
        <v>597</v>
      </c>
      <c r="F268" s="98">
        <f>IFERROR((Table9[[#This Row],[Calls Off]]-D261)/D261,0)</f>
        <v>0.13343328335832083</v>
      </c>
      <c r="G268" s="98">
        <f>IFERROR((Table9[[#This Row],[Calls Ans]]-E261)/E261,0)</f>
        <v>6.4171122994652413E-2</v>
      </c>
      <c r="H268" s="1">
        <f>Table9[[#This Row],[Calls Off]]+H267</f>
        <v>16408</v>
      </c>
      <c r="I268" s="1">
        <f>Table9[[#This Row],[Calls Ans]]+I267</f>
        <v>12200</v>
      </c>
      <c r="J268" s="1">
        <f>J267+Table9[[#This Row],[Calls Off]]</f>
        <v>93470</v>
      </c>
      <c r="K268" s="1">
        <f>K267+Table9[[#This Row],[Calls Ans]]</f>
        <v>83535</v>
      </c>
      <c r="L268" s="18">
        <v>0.46</v>
      </c>
      <c r="M268" s="18">
        <v>0.21</v>
      </c>
      <c r="N268" s="18">
        <v>0.79</v>
      </c>
      <c r="O268" s="18">
        <v>1.18</v>
      </c>
      <c r="P268" s="24">
        <v>1</v>
      </c>
      <c r="Q268" s="24"/>
      <c r="R268" s="17">
        <v>4</v>
      </c>
      <c r="S268" s="21"/>
    </row>
    <row r="269" spans="1:22" x14ac:dyDescent="0.35">
      <c r="A269" s="25">
        <v>44919</v>
      </c>
      <c r="B269" s="38" t="s">
        <v>54</v>
      </c>
      <c r="C269" s="38" t="s">
        <v>60</v>
      </c>
      <c r="D269" s="1">
        <v>342</v>
      </c>
      <c r="E269" s="1">
        <v>306</v>
      </c>
      <c r="F269" s="98">
        <f>IFERROR((Table9[[#This Row],[Calls Off]]-D262)/D262,0)</f>
        <v>-0.34608030592734224</v>
      </c>
      <c r="G269" s="98">
        <f>IFERROR((Table9[[#This Row],[Calls Ans]]-E262)/E262,0)</f>
        <v>-0.18617021276595744</v>
      </c>
      <c r="H269" s="1">
        <f>Table9[[#This Row],[Calls Off]]+H268</f>
        <v>16750</v>
      </c>
      <c r="I269" s="1">
        <f>Table9[[#This Row],[Calls Ans]]+I268</f>
        <v>12506</v>
      </c>
      <c r="J269" s="1">
        <f>J268+Table9[[#This Row],[Calls Off]]</f>
        <v>93812</v>
      </c>
      <c r="K269" s="1">
        <f>K268+Table9[[#This Row],[Calls Ans]]</f>
        <v>83841</v>
      </c>
      <c r="L269" s="18">
        <v>0.66</v>
      </c>
      <c r="M269" s="18">
        <v>0.11</v>
      </c>
      <c r="N269" s="18">
        <v>0.89</v>
      </c>
      <c r="O269" s="18">
        <v>0.66</v>
      </c>
      <c r="P269" s="24">
        <v>0.99</v>
      </c>
      <c r="Q269" s="24"/>
      <c r="R269" s="17">
        <v>3</v>
      </c>
      <c r="S269" s="21"/>
    </row>
    <row r="270" spans="1:22" x14ac:dyDescent="0.35">
      <c r="A270" s="25">
        <v>44920</v>
      </c>
      <c r="B270" s="38" t="s">
        <v>48</v>
      </c>
      <c r="C270" s="38" t="s">
        <v>60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8">
        <v>0</v>
      </c>
      <c r="M270" s="18">
        <v>0</v>
      </c>
      <c r="N270" s="18">
        <v>0</v>
      </c>
      <c r="O270" s="18">
        <v>0</v>
      </c>
      <c r="P270" s="24">
        <v>0</v>
      </c>
      <c r="Q270" s="24"/>
      <c r="R270" s="17">
        <v>0</v>
      </c>
      <c r="S270" s="21"/>
    </row>
    <row r="271" spans="1:22" x14ac:dyDescent="0.35">
      <c r="A271" s="25">
        <v>44921</v>
      </c>
      <c r="B271" s="38" t="s">
        <v>49</v>
      </c>
      <c r="C271" s="38" t="s">
        <v>60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8">
        <v>0</v>
      </c>
      <c r="M271" s="18">
        <v>0</v>
      </c>
      <c r="N271" s="18">
        <v>0</v>
      </c>
      <c r="O271" s="18">
        <v>0</v>
      </c>
      <c r="P271" s="24">
        <v>0</v>
      </c>
      <c r="Q271" s="24"/>
      <c r="R271" s="17">
        <v>0</v>
      </c>
      <c r="S271" s="21"/>
    </row>
    <row r="272" spans="1:22" x14ac:dyDescent="0.35">
      <c r="A272" s="25">
        <v>44922</v>
      </c>
      <c r="B272" s="38" t="s">
        <v>50</v>
      </c>
      <c r="C272" s="38" t="s">
        <v>60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8">
        <v>0</v>
      </c>
      <c r="M272" s="18">
        <v>0</v>
      </c>
      <c r="N272" s="18">
        <v>0</v>
      </c>
      <c r="O272" s="18">
        <v>0</v>
      </c>
      <c r="P272" s="24">
        <v>0</v>
      </c>
      <c r="Q272" s="24"/>
      <c r="R272" s="17">
        <v>0</v>
      </c>
      <c r="S272" s="21"/>
    </row>
    <row r="273" spans="1:19" x14ac:dyDescent="0.35">
      <c r="A273" s="25">
        <v>44923</v>
      </c>
      <c r="B273" s="38" t="s">
        <v>51</v>
      </c>
      <c r="C273" s="38" t="s">
        <v>60</v>
      </c>
      <c r="D273" s="1">
        <v>655</v>
      </c>
      <c r="E273" s="1">
        <v>574</v>
      </c>
      <c r="F273" s="98">
        <f>IFERROR((Table9[[#This Row],[Calls Off]]-D266)/D266,0)</f>
        <v>-0.20316301703163017</v>
      </c>
      <c r="G273" s="98">
        <f>IFERROR((Table9[[#This Row],[Calls Ans]]-E266)/E266,0)</f>
        <v>-8.6355785837651123E-3</v>
      </c>
      <c r="H273" s="1">
        <f>Table9[[#This Row],[Calls Off]]+H269</f>
        <v>17405</v>
      </c>
      <c r="I273" s="1">
        <f>Table9[[#This Row],[Calls Ans]]+I269</f>
        <v>13080</v>
      </c>
      <c r="J273" s="1">
        <f>J269+Table9[[#This Row],[Calls Off]]</f>
        <v>94467</v>
      </c>
      <c r="K273" s="1">
        <f>K269+Table9[[#This Row],[Calls Ans]]</f>
        <v>84415</v>
      </c>
      <c r="L273" s="18">
        <v>0.56000000000000005</v>
      </c>
      <c r="M273" s="18">
        <v>0.12</v>
      </c>
      <c r="N273" s="18">
        <v>0.88</v>
      </c>
      <c r="O273" s="18">
        <v>0.92</v>
      </c>
      <c r="P273" s="24">
        <v>1</v>
      </c>
      <c r="Q273" s="24"/>
      <c r="R273" s="17">
        <v>4</v>
      </c>
      <c r="S273" s="21"/>
    </row>
    <row r="274" spans="1:19" x14ac:dyDescent="0.35">
      <c r="A274" s="25">
        <v>44924</v>
      </c>
      <c r="B274" s="38" t="s">
        <v>52</v>
      </c>
      <c r="C274" s="38" t="s">
        <v>60</v>
      </c>
      <c r="D274" s="1">
        <v>503</v>
      </c>
      <c r="E274" s="1">
        <v>290</v>
      </c>
      <c r="F274" s="98">
        <f>IFERROR((Table9[[#This Row],[Calls Off]]-D267)/D267,0)</f>
        <v>-0.34590377113133941</v>
      </c>
      <c r="G274" s="98">
        <f>IFERROR((Table9[[#This Row],[Calls Ans]]-E267)/E267,0)</f>
        <v>-0.5345104333868379</v>
      </c>
      <c r="H274" s="1">
        <f>Table9[[#This Row],[Calls Off]]+H273</f>
        <v>17908</v>
      </c>
      <c r="I274" s="1">
        <f>Table9[[#This Row],[Calls Ans]]+I273</f>
        <v>13370</v>
      </c>
      <c r="J274" s="1">
        <f>J273+Table9[[#This Row],[Calls Off]]</f>
        <v>94970</v>
      </c>
      <c r="K274" s="1">
        <f>K273+Table9[[#This Row],[Calls Ans]]</f>
        <v>84705</v>
      </c>
      <c r="L274" s="18">
        <v>0.45</v>
      </c>
      <c r="M274" s="18">
        <v>0.22</v>
      </c>
      <c r="N274" s="18">
        <v>0.78</v>
      </c>
      <c r="O274" s="18">
        <v>1.1200000000000001</v>
      </c>
      <c r="P274" s="24">
        <v>0.96</v>
      </c>
      <c r="Q274" s="24"/>
      <c r="R274" s="17">
        <v>3</v>
      </c>
      <c r="S274" s="21"/>
    </row>
    <row r="275" spans="1:19" x14ac:dyDescent="0.35">
      <c r="A275" s="25">
        <v>44925</v>
      </c>
      <c r="B275" s="38" t="s">
        <v>53</v>
      </c>
      <c r="C275" s="38" t="s">
        <v>60</v>
      </c>
      <c r="D275" s="1">
        <v>441</v>
      </c>
      <c r="E275" s="1">
        <v>382</v>
      </c>
      <c r="F275" s="98">
        <f>IFERROR((Table9[[#This Row],[Calls Off]]-D268)/D268,0)</f>
        <v>-0.41666666666666669</v>
      </c>
      <c r="G275" s="98">
        <f>IFERROR((Table9[[#This Row],[Calls Ans]]-E268)/E268,0)</f>
        <v>-0.36013400335008378</v>
      </c>
      <c r="H275" s="1">
        <f>Table9[[#This Row],[Calls Off]]+H274</f>
        <v>18349</v>
      </c>
      <c r="I275" s="1">
        <f>Table9[[#This Row],[Calls Ans]]+I274</f>
        <v>13752</v>
      </c>
      <c r="J275" s="1">
        <f>J274+Table9[[#This Row],[Calls Off]]</f>
        <v>95411</v>
      </c>
      <c r="K275" s="1">
        <f>K274+Table9[[#This Row],[Calls Ans]]</f>
        <v>85087</v>
      </c>
      <c r="L275" s="18">
        <v>0.55000000000000004</v>
      </c>
      <c r="M275" s="18">
        <v>0.13</v>
      </c>
      <c r="N275" s="18">
        <v>0.87</v>
      </c>
      <c r="O275" s="18">
        <v>1.18</v>
      </c>
      <c r="P275" s="24">
        <v>0.96</v>
      </c>
      <c r="Q275" s="24"/>
      <c r="R275" s="17">
        <v>3</v>
      </c>
      <c r="S275" s="21"/>
    </row>
    <row r="276" spans="1:19" x14ac:dyDescent="0.35">
      <c r="A276" s="25">
        <v>44926</v>
      </c>
      <c r="B276" s="38" t="s">
        <v>54</v>
      </c>
      <c r="C276" s="38" t="s">
        <v>60</v>
      </c>
      <c r="D276" s="1">
        <v>236</v>
      </c>
      <c r="E276" s="1">
        <v>216</v>
      </c>
      <c r="F276" s="98">
        <f>IFERROR((Table9[[#This Row],[Calls Off]]-D269)/D269,0)</f>
        <v>-0.30994152046783624</v>
      </c>
      <c r="G276" s="98">
        <f>IFERROR((Table9[[#This Row],[Calls Ans]]-E269)/E269,0)</f>
        <v>-0.29411764705882354</v>
      </c>
      <c r="H276" s="1">
        <f>Table9[[#This Row],[Calls Off]]+H275</f>
        <v>18585</v>
      </c>
      <c r="I276" s="1">
        <f>Table9[[#This Row],[Calls Ans]]+I275</f>
        <v>13968</v>
      </c>
      <c r="J276" s="1">
        <f>J275+Table9[[#This Row],[Calls Off]]</f>
        <v>95647</v>
      </c>
      <c r="K276" s="1">
        <f>K275+Table9[[#This Row],[Calls Ans]]</f>
        <v>85303</v>
      </c>
      <c r="L276" s="18">
        <v>0.68</v>
      </c>
      <c r="M276" s="18">
        <v>0.08</v>
      </c>
      <c r="N276" s="18">
        <v>0.92</v>
      </c>
      <c r="O276" s="18">
        <v>0.83</v>
      </c>
      <c r="P276" s="24">
        <v>1</v>
      </c>
      <c r="Q276" s="24"/>
      <c r="R276" s="17">
        <v>3</v>
      </c>
      <c r="S276" s="21"/>
    </row>
    <row r="277" spans="1:19" x14ac:dyDescent="0.35">
      <c r="A277" s="25">
        <v>44927</v>
      </c>
      <c r="B277" s="38" t="s">
        <v>48</v>
      </c>
      <c r="C277" s="38" t="s">
        <v>60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8">
        <v>0</v>
      </c>
      <c r="M277" s="18">
        <v>0</v>
      </c>
      <c r="N277" s="18">
        <v>0</v>
      </c>
      <c r="O277" s="18">
        <v>0</v>
      </c>
      <c r="P277" s="24">
        <v>0</v>
      </c>
      <c r="Q277" s="24"/>
      <c r="R277" s="17">
        <v>0</v>
      </c>
      <c r="S277" s="21"/>
    </row>
    <row r="278" spans="1:19" x14ac:dyDescent="0.35">
      <c r="A278" s="25">
        <v>44928</v>
      </c>
      <c r="B278" s="38" t="s">
        <v>49</v>
      </c>
      <c r="C278" s="38" t="s">
        <v>60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8">
        <v>0</v>
      </c>
      <c r="M278" s="18">
        <v>0</v>
      </c>
      <c r="N278" s="18">
        <v>0</v>
      </c>
      <c r="O278" s="18">
        <v>0</v>
      </c>
      <c r="P278" s="24">
        <v>0</v>
      </c>
      <c r="Q278" s="24"/>
      <c r="R278" s="17">
        <v>0</v>
      </c>
      <c r="S278" s="21"/>
    </row>
    <row r="279" spans="1:19" x14ac:dyDescent="0.35">
      <c r="A279" s="25">
        <v>44929</v>
      </c>
      <c r="B279" s="38" t="s">
        <v>50</v>
      </c>
      <c r="C279" s="38" t="s">
        <v>60</v>
      </c>
      <c r="D279" s="1">
        <v>542</v>
      </c>
      <c r="E279" s="1">
        <v>375</v>
      </c>
      <c r="F279" s="98">
        <f>IFERROR((Table9[[#This Row],[Calls Off]]-D272)/D272,0)</f>
        <v>0</v>
      </c>
      <c r="G279" s="98">
        <f>IFERROR((Table9[[#This Row],[Calls Ans]]-E272)/E272,0)</f>
        <v>0</v>
      </c>
      <c r="H279" s="1">
        <f>Table9[[#This Row],[Calls Off]]</f>
        <v>542</v>
      </c>
      <c r="I279" s="1">
        <f>Table9[[#This Row],[Calls Ans]]</f>
        <v>375</v>
      </c>
      <c r="J279" s="1">
        <f>J276+Table9[[#This Row],[Calls Off]]</f>
        <v>96189</v>
      </c>
      <c r="K279" s="1">
        <f>K276+Table9[[#This Row],[Calls Ans]]</f>
        <v>85678</v>
      </c>
      <c r="L279" s="18">
        <v>0.36</v>
      </c>
      <c r="M279" s="18">
        <v>0.31</v>
      </c>
      <c r="N279" s="18">
        <v>0.69</v>
      </c>
      <c r="O279" s="18">
        <v>0.82</v>
      </c>
      <c r="P279" s="24">
        <v>0.99</v>
      </c>
      <c r="Q279" s="264">
        <v>1.4583333333333334E-3</v>
      </c>
      <c r="R279" s="17">
        <v>3</v>
      </c>
      <c r="S279" s="21"/>
    </row>
    <row r="280" spans="1:19" x14ac:dyDescent="0.35">
      <c r="A280" s="25">
        <v>44930</v>
      </c>
      <c r="B280" s="38" t="s">
        <v>51</v>
      </c>
      <c r="C280" s="38" t="s">
        <v>60</v>
      </c>
      <c r="D280" s="1">
        <v>421</v>
      </c>
      <c r="E280" s="1">
        <v>328</v>
      </c>
      <c r="F280" s="98">
        <f>IFERROR((Table9[[#This Row],[Calls Off]]-D273)/D273,0)</f>
        <v>-0.35725190839694654</v>
      </c>
      <c r="G280" s="98">
        <f>IFERROR((Table9[[#This Row],[Calls Ans]]-E273)/E273,0)</f>
        <v>-0.42857142857142855</v>
      </c>
      <c r="H280" s="1">
        <f>Table9[[#This Row],[Calls Off]]+H279</f>
        <v>963</v>
      </c>
      <c r="I280" s="1">
        <f>Table9[[#This Row],[Calls Ans]]+I279</f>
        <v>703</v>
      </c>
      <c r="J280" s="1">
        <f>J279+Table9[[#This Row],[Calls Off]]</f>
        <v>96610</v>
      </c>
      <c r="K280" s="1">
        <f>K279+Table9[[#This Row],[Calls Ans]]</f>
        <v>86006</v>
      </c>
      <c r="L280" s="18">
        <v>0.49</v>
      </c>
      <c r="M280" s="18">
        <v>0.22</v>
      </c>
      <c r="N280" s="18">
        <v>0.78</v>
      </c>
      <c r="O280" s="18">
        <v>1.07</v>
      </c>
      <c r="P280" s="24">
        <v>1</v>
      </c>
      <c r="Q280" s="264">
        <v>2.1064814814814813E-3</v>
      </c>
      <c r="R280" s="17">
        <v>3</v>
      </c>
      <c r="S280" s="21"/>
    </row>
    <row r="281" spans="1:19" x14ac:dyDescent="0.35">
      <c r="A281" s="25">
        <v>44931</v>
      </c>
      <c r="B281" s="38" t="s">
        <v>52</v>
      </c>
      <c r="C281" s="38" t="s">
        <v>60</v>
      </c>
      <c r="D281" s="1">
        <v>353</v>
      </c>
      <c r="E281" s="1">
        <v>312</v>
      </c>
      <c r="F281" s="98">
        <f>IFERROR((Table9[[#This Row],[Calls Off]]-D274)/D274,0)</f>
        <v>-0.29821073558648109</v>
      </c>
      <c r="G281" s="98">
        <f>IFERROR((Table9[[#This Row],[Calls Ans]]-E274)/E274,0)</f>
        <v>7.586206896551724E-2</v>
      </c>
      <c r="H281" s="1">
        <f>Table9[[#This Row],[Calls Off]]+H280</f>
        <v>1316</v>
      </c>
      <c r="I281" s="1">
        <f>Table9[[#This Row],[Calls Ans]]+I280</f>
        <v>1015</v>
      </c>
      <c r="J281" s="1">
        <f>J280+Table9[[#This Row],[Calls Off]]</f>
        <v>96963</v>
      </c>
      <c r="K281" s="1">
        <f>K280+Table9[[#This Row],[Calls Ans]]</f>
        <v>86318</v>
      </c>
      <c r="L281" s="18">
        <v>0.7</v>
      </c>
      <c r="M281" s="18">
        <v>0.22</v>
      </c>
      <c r="N281" s="18">
        <v>0.78</v>
      </c>
      <c r="O281" s="18">
        <v>0.96</v>
      </c>
      <c r="P281" s="24">
        <v>0.99</v>
      </c>
      <c r="Q281" s="264">
        <v>1.7708333333333332E-3</v>
      </c>
      <c r="R281" s="17">
        <v>3</v>
      </c>
      <c r="S281" s="21"/>
    </row>
    <row r="282" spans="1:19" x14ac:dyDescent="0.35">
      <c r="A282" s="25">
        <v>44932</v>
      </c>
      <c r="B282" s="38" t="s">
        <v>53</v>
      </c>
      <c r="C282" s="38" t="s">
        <v>60</v>
      </c>
      <c r="D282" s="1">
        <v>315</v>
      </c>
      <c r="E282" s="1">
        <v>288</v>
      </c>
      <c r="F282" s="98">
        <f>IFERROR((Table9[[#This Row],[Calls Off]]-D275)/D275,0)</f>
        <v>-0.2857142857142857</v>
      </c>
      <c r="G282" s="98">
        <f>IFERROR((Table9[[#This Row],[Calls Ans]]-E275)/E275,0)</f>
        <v>-0.24607329842931938</v>
      </c>
      <c r="H282" s="1">
        <f>Table9[[#This Row],[Calls Off]]+H281</f>
        <v>1631</v>
      </c>
      <c r="I282" s="1">
        <f>Table9[[#This Row],[Calls Ans]]+I281</f>
        <v>1303</v>
      </c>
      <c r="J282" s="1">
        <f>J281+Table9[[#This Row],[Calls Off]]</f>
        <v>97278</v>
      </c>
      <c r="K282" s="1">
        <f>K281+Table9[[#This Row],[Calls Ans]]</f>
        <v>86606</v>
      </c>
      <c r="L282" s="18">
        <v>0.74</v>
      </c>
      <c r="M282" s="18">
        <v>0.09</v>
      </c>
      <c r="N282" s="18">
        <v>0.91</v>
      </c>
      <c r="O282" s="18">
        <v>0.9</v>
      </c>
      <c r="P282" s="24">
        <v>0.99</v>
      </c>
      <c r="Q282" s="264">
        <v>1.8171296296296297E-3</v>
      </c>
      <c r="R282" s="17">
        <v>3</v>
      </c>
      <c r="S282" s="21"/>
    </row>
    <row r="283" spans="1:19" x14ac:dyDescent="0.35">
      <c r="A283" s="25">
        <v>44933</v>
      </c>
      <c r="B283" s="38" t="s">
        <v>54</v>
      </c>
      <c r="C283" s="38" t="s">
        <v>60</v>
      </c>
      <c r="D283" s="1">
        <v>249</v>
      </c>
      <c r="E283" s="1">
        <v>234</v>
      </c>
      <c r="F283" s="98">
        <f>IFERROR((Table9[[#This Row],[Calls Off]]-D276)/D276,0)</f>
        <v>5.5084745762711863E-2</v>
      </c>
      <c r="G283" s="98">
        <f>IFERROR((Table9[[#This Row],[Calls Ans]]-E276)/E276,0)</f>
        <v>8.3333333333333329E-2</v>
      </c>
      <c r="H283" s="1">
        <f>Table9[[#This Row],[Calls Off]]+H282</f>
        <v>1880</v>
      </c>
      <c r="I283" s="1">
        <f>Table9[[#This Row],[Calls Ans]]+I282</f>
        <v>1537</v>
      </c>
      <c r="J283" s="1">
        <f>J282+Table9[[#This Row],[Calls Off]]</f>
        <v>97527</v>
      </c>
      <c r="K283" s="1">
        <f>K282+Table9[[#This Row],[Calls Ans]]</f>
        <v>86840</v>
      </c>
      <c r="L283" s="18">
        <v>0.8</v>
      </c>
      <c r="M283" s="18">
        <v>0.06</v>
      </c>
      <c r="N283" s="18">
        <v>0.94</v>
      </c>
      <c r="O283" s="18">
        <v>0.57999999999999996</v>
      </c>
      <c r="P283" s="24">
        <v>0.98</v>
      </c>
      <c r="Q283" s="264">
        <v>1.4120370370370369E-3</v>
      </c>
      <c r="R283" s="17">
        <v>3</v>
      </c>
      <c r="S283" s="21"/>
    </row>
    <row r="284" spans="1:19" x14ac:dyDescent="0.35">
      <c r="A284" s="25">
        <v>44934</v>
      </c>
      <c r="B284" s="38" t="s">
        <v>48</v>
      </c>
      <c r="C284" s="38" t="s">
        <v>60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8">
        <v>0</v>
      </c>
      <c r="M284" s="18">
        <v>0</v>
      </c>
      <c r="N284" s="18">
        <v>0</v>
      </c>
      <c r="O284" s="18">
        <v>0</v>
      </c>
      <c r="P284" s="24">
        <v>0</v>
      </c>
      <c r="Q284" s="264">
        <v>0</v>
      </c>
      <c r="R284" s="17">
        <v>0</v>
      </c>
      <c r="S284" s="21"/>
    </row>
    <row r="285" spans="1:19" x14ac:dyDescent="0.35">
      <c r="A285" s="25">
        <v>44935</v>
      </c>
      <c r="B285" s="38" t="s">
        <v>49</v>
      </c>
      <c r="C285" s="38" t="s">
        <v>60</v>
      </c>
      <c r="D285" s="1">
        <v>401</v>
      </c>
      <c r="E285" s="1">
        <v>377</v>
      </c>
      <c r="F285" s="98">
        <f>IFERROR((Table9[[#This Row],[Calls Off]]-D278)/D278,0)</f>
        <v>0</v>
      </c>
      <c r="G285" s="98">
        <f>IFERROR((Table9[[#This Row],[Calls Ans]]-E278)/E278,0)</f>
        <v>0</v>
      </c>
      <c r="H285" s="1">
        <f>Table9[[#This Row],[Calls Off]]+H283</f>
        <v>2281</v>
      </c>
      <c r="I285" s="1">
        <f>Table9[[#This Row],[Calls Ans]]+I283</f>
        <v>1914</v>
      </c>
      <c r="J285" s="1">
        <f>J283+Table9[[#This Row],[Calls Off]]</f>
        <v>97928</v>
      </c>
      <c r="K285" s="1">
        <f>K283+Table9[[#This Row],[Calls Ans]]</f>
        <v>87217</v>
      </c>
      <c r="L285" s="18">
        <v>0.82</v>
      </c>
      <c r="M285" s="18">
        <v>0.06</v>
      </c>
      <c r="N285" s="18">
        <v>0.94</v>
      </c>
      <c r="O285" s="18">
        <v>0.65</v>
      </c>
      <c r="P285" s="24">
        <v>0.99</v>
      </c>
      <c r="Q285" s="264">
        <v>1.1111111111111111E-3</v>
      </c>
      <c r="R285" s="17">
        <v>4</v>
      </c>
      <c r="S285" s="21"/>
    </row>
    <row r="286" spans="1:19" x14ac:dyDescent="0.35">
      <c r="A286" s="25">
        <v>44936</v>
      </c>
      <c r="B286" s="38" t="s">
        <v>50</v>
      </c>
      <c r="C286" s="38" t="s">
        <v>60</v>
      </c>
      <c r="D286" s="1">
        <v>407</v>
      </c>
      <c r="E286" s="1">
        <v>372</v>
      </c>
      <c r="F286" s="98">
        <f>IFERROR((Table9[[#This Row],[Calls Off]]-D279)/D279,0)</f>
        <v>-0.24907749077490776</v>
      </c>
      <c r="G286" s="98">
        <f>IFERROR((Table9[[#This Row],[Calls Ans]]-E279)/E279,0)</f>
        <v>-8.0000000000000002E-3</v>
      </c>
      <c r="H286" s="1">
        <f>Table9[[#This Row],[Calls Off]]+H285</f>
        <v>2688</v>
      </c>
      <c r="I286" s="1">
        <f>Table9[[#This Row],[Calls Ans]]+I285</f>
        <v>2286</v>
      </c>
      <c r="J286" s="1">
        <f>J285+Table9[[#This Row],[Calls Off]]</f>
        <v>98335</v>
      </c>
      <c r="K286" s="1">
        <f>K285+Table9[[#This Row],[Calls Ans]]</f>
        <v>87589</v>
      </c>
      <c r="L286" s="18">
        <v>0.81</v>
      </c>
      <c r="M286" s="18">
        <v>0.09</v>
      </c>
      <c r="N286" s="18">
        <v>0.91</v>
      </c>
      <c r="O286" s="18">
        <v>0.76</v>
      </c>
      <c r="P286" s="24">
        <v>0.99</v>
      </c>
      <c r="Q286" s="264">
        <v>1.2962962962962963E-3</v>
      </c>
      <c r="R286" s="17">
        <v>4</v>
      </c>
      <c r="S286" s="21"/>
    </row>
    <row r="287" spans="1:19" x14ac:dyDescent="0.35">
      <c r="A287" s="25">
        <v>44937</v>
      </c>
      <c r="B287" s="38" t="s">
        <v>51</v>
      </c>
      <c r="C287" s="38" t="s">
        <v>60</v>
      </c>
      <c r="D287" s="1">
        <v>347</v>
      </c>
      <c r="E287" s="1">
        <v>333</v>
      </c>
      <c r="F287" s="98">
        <f>IFERROR((Table9[[#This Row],[Calls Off]]-D280)/D280,0)</f>
        <v>-0.17577197149643706</v>
      </c>
      <c r="G287" s="98">
        <f>IFERROR((Table9[[#This Row],[Calls Ans]]-E280)/E280,0)</f>
        <v>1.524390243902439E-2</v>
      </c>
      <c r="H287" s="1">
        <f>Table9[[#This Row],[Calls Off]]+H286</f>
        <v>3035</v>
      </c>
      <c r="I287" s="1">
        <f>Table9[[#This Row],[Calls Ans]]+I286</f>
        <v>2619</v>
      </c>
      <c r="J287" s="1">
        <f>J286+Table9[[#This Row],[Calls Off]]</f>
        <v>98682</v>
      </c>
      <c r="K287" s="1">
        <f>K286+Table9[[#This Row],[Calls Ans]]</f>
        <v>87922</v>
      </c>
      <c r="L287" s="18">
        <v>0.86</v>
      </c>
      <c r="M287" s="18">
        <v>0.04</v>
      </c>
      <c r="N287" s="18">
        <v>0.96</v>
      </c>
      <c r="O287" s="18">
        <v>0.71</v>
      </c>
      <c r="P287" s="24">
        <v>1</v>
      </c>
      <c r="Q287" s="264">
        <v>1.1805555555555556E-3</v>
      </c>
      <c r="R287" s="17">
        <v>4</v>
      </c>
      <c r="S287" s="21"/>
    </row>
    <row r="288" spans="1:19" x14ac:dyDescent="0.35">
      <c r="A288" s="25">
        <v>44938</v>
      </c>
      <c r="B288" s="38" t="s">
        <v>52</v>
      </c>
      <c r="C288" s="38" t="s">
        <v>60</v>
      </c>
      <c r="D288" s="1">
        <v>419</v>
      </c>
      <c r="E288" s="1">
        <v>405</v>
      </c>
      <c r="F288" s="98">
        <f>IFERROR((Table9[[#This Row],[Calls Off]]-D281)/D281,0)</f>
        <v>0.18696883852691218</v>
      </c>
      <c r="G288" s="98">
        <f>IFERROR((Table9[[#This Row],[Calls Ans]]-E281)/E281,0)</f>
        <v>0.29807692307692307</v>
      </c>
      <c r="H288" s="1">
        <f>Table9[[#This Row],[Calls Off]]+H287</f>
        <v>3454</v>
      </c>
      <c r="I288" s="1">
        <f>Table9[[#This Row],[Calls Ans]]+I287</f>
        <v>3024</v>
      </c>
      <c r="J288" s="1">
        <f>J287+Table9[[#This Row],[Calls Off]]</f>
        <v>99101</v>
      </c>
      <c r="K288" s="1">
        <f>K287+Table9[[#This Row],[Calls Ans]]</f>
        <v>88327</v>
      </c>
      <c r="L288" s="18">
        <v>0.76</v>
      </c>
      <c r="M288" s="18">
        <v>0.03</v>
      </c>
      <c r="N288" s="18">
        <v>0.97</v>
      </c>
      <c r="O288" s="18">
        <v>0.74</v>
      </c>
      <c r="P288" s="24">
        <v>1</v>
      </c>
      <c r="Q288" s="264">
        <v>8.449074074074075E-4</v>
      </c>
      <c r="R288" s="17">
        <v>3</v>
      </c>
      <c r="S288" s="21"/>
    </row>
    <row r="289" spans="1:19" x14ac:dyDescent="0.35">
      <c r="A289" s="25">
        <v>44939</v>
      </c>
      <c r="B289" s="38" t="s">
        <v>53</v>
      </c>
      <c r="C289" s="38" t="s">
        <v>60</v>
      </c>
      <c r="D289" s="1">
        <v>415</v>
      </c>
      <c r="E289" s="1">
        <v>379</v>
      </c>
      <c r="F289" s="98">
        <f>IFERROR((Table9[[#This Row],[Calls Off]]-D282)/D282,0)</f>
        <v>0.31746031746031744</v>
      </c>
      <c r="G289" s="98">
        <f>IFERROR((Table9[[#This Row],[Calls Ans]]-E282)/E282,0)</f>
        <v>0.31597222222222221</v>
      </c>
      <c r="H289" s="1">
        <f>Table9[[#This Row],[Calls Off]]+H288</f>
        <v>3869</v>
      </c>
      <c r="I289" s="1">
        <f>Table9[[#This Row],[Calls Ans]]+I288</f>
        <v>3403</v>
      </c>
      <c r="J289" s="1">
        <f>J288+Table9[[#This Row],[Calls Off]]</f>
        <v>99516</v>
      </c>
      <c r="K289" s="1">
        <f>K288+Table9[[#This Row],[Calls Ans]]</f>
        <v>88706</v>
      </c>
      <c r="L289" s="18">
        <v>0.76</v>
      </c>
      <c r="M289" s="18">
        <v>0.09</v>
      </c>
      <c r="N289" s="18">
        <v>0.91</v>
      </c>
      <c r="O289" s="18">
        <v>0.81</v>
      </c>
      <c r="P289" s="24">
        <v>0.99</v>
      </c>
      <c r="Q289" s="264">
        <v>1.0300925925925926E-3</v>
      </c>
      <c r="R289" s="17">
        <v>3</v>
      </c>
      <c r="S289" s="21"/>
    </row>
    <row r="290" spans="1:19" x14ac:dyDescent="0.35">
      <c r="A290" s="25">
        <v>44940</v>
      </c>
      <c r="B290" s="38" t="s">
        <v>54</v>
      </c>
      <c r="C290" s="38" t="s">
        <v>60</v>
      </c>
      <c r="D290" s="1">
        <v>273</v>
      </c>
      <c r="E290" s="1">
        <v>251</v>
      </c>
      <c r="F290" s="98">
        <f>IFERROR((Table9[[#This Row],[Calls Off]]-D283)/D283,0)</f>
        <v>9.6385542168674704E-2</v>
      </c>
      <c r="G290" s="98">
        <f>IFERROR((Table9[[#This Row],[Calls Ans]]-E283)/E283,0)</f>
        <v>7.2649572649572655E-2</v>
      </c>
      <c r="H290" s="1">
        <f>Table9[[#This Row],[Calls Off]]+H289</f>
        <v>4142</v>
      </c>
      <c r="I290" s="1">
        <f>Table9[[#This Row],[Calls Ans]]+I289</f>
        <v>3654</v>
      </c>
      <c r="J290" s="1">
        <f>J289+Table9[[#This Row],[Calls Off]]</f>
        <v>99789</v>
      </c>
      <c r="K290" s="1">
        <f>K289+Table9[[#This Row],[Calls Ans]]</f>
        <v>88957</v>
      </c>
      <c r="L290" s="18">
        <v>0.78</v>
      </c>
      <c r="M290" s="18">
        <v>0.08</v>
      </c>
      <c r="N290" s="18">
        <v>0.92</v>
      </c>
      <c r="O290" s="18">
        <v>0.72</v>
      </c>
      <c r="P290" s="24">
        <v>1</v>
      </c>
      <c r="Q290" s="264">
        <v>1.2847222222222223E-3</v>
      </c>
      <c r="R290" s="17">
        <v>2</v>
      </c>
      <c r="S290" s="21"/>
    </row>
    <row r="291" spans="1:19" x14ac:dyDescent="0.35">
      <c r="A291" s="25">
        <v>44941</v>
      </c>
      <c r="B291" s="38" t="s">
        <v>48</v>
      </c>
      <c r="C291" s="38" t="s">
        <v>60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8">
        <v>0</v>
      </c>
      <c r="M291" s="18">
        <v>0</v>
      </c>
      <c r="N291" s="18">
        <v>0</v>
      </c>
      <c r="O291" s="18">
        <v>0</v>
      </c>
      <c r="P291" s="24">
        <v>0</v>
      </c>
      <c r="Q291" s="264">
        <v>0</v>
      </c>
      <c r="R291" s="17">
        <v>0</v>
      </c>
      <c r="S291" s="21"/>
    </row>
    <row r="292" spans="1:19" x14ac:dyDescent="0.35">
      <c r="A292" s="25">
        <v>44942</v>
      </c>
      <c r="B292" s="38" t="s">
        <v>49</v>
      </c>
      <c r="C292" s="38" t="s">
        <v>60</v>
      </c>
      <c r="D292" s="1">
        <v>444</v>
      </c>
      <c r="E292" s="1">
        <v>434</v>
      </c>
      <c r="F292" s="98">
        <f>IFERROR((Table9[[#This Row],[Calls Off]]-D285)/D285,0)</f>
        <v>0.10723192019950124</v>
      </c>
      <c r="G292" s="98">
        <f>IFERROR((Table9[[#This Row],[Calls Ans]]-E285)/E285,0)</f>
        <v>0.15119363395225463</v>
      </c>
      <c r="H292" s="1">
        <f>Table9[[#This Row],[Calls Off]]+H290</f>
        <v>4586</v>
      </c>
      <c r="I292" s="1">
        <f>Table9[[#This Row],[Calls Ans]]+I290</f>
        <v>4088</v>
      </c>
      <c r="J292" s="1">
        <f>J290+Table9[[#This Row],[Calls Off]]</f>
        <v>100233</v>
      </c>
      <c r="K292" s="1">
        <f>K290+Table9[[#This Row],[Calls Ans]]</f>
        <v>89391</v>
      </c>
      <c r="L292" s="18">
        <v>0.9</v>
      </c>
      <c r="M292" s="18">
        <v>0.02</v>
      </c>
      <c r="N292" s="18">
        <v>0.98</v>
      </c>
      <c r="O292" s="18">
        <v>0.66</v>
      </c>
      <c r="P292" s="24">
        <v>1</v>
      </c>
      <c r="Q292" s="264">
        <v>9.8379629629629642E-4</v>
      </c>
      <c r="R292" s="17">
        <v>4</v>
      </c>
      <c r="S292" s="21"/>
    </row>
    <row r="293" spans="1:19" x14ac:dyDescent="0.35">
      <c r="A293" s="25">
        <v>44943</v>
      </c>
      <c r="B293" s="38" t="s">
        <v>50</v>
      </c>
      <c r="C293" s="38" t="s">
        <v>60</v>
      </c>
      <c r="D293" s="1">
        <v>257</v>
      </c>
      <c r="E293" s="1">
        <v>248</v>
      </c>
      <c r="F293" s="98">
        <f>IFERROR((Table9[[#This Row],[Calls Off]]-D286)/D286,0)</f>
        <v>-0.36855036855036855</v>
      </c>
      <c r="G293" s="98">
        <f>IFERROR((Table9[[#This Row],[Calls Ans]]-E286)/E286,0)</f>
        <v>-0.33333333333333331</v>
      </c>
      <c r="H293" s="1">
        <f>Table9[[#This Row],[Calls Off]]+H292</f>
        <v>4843</v>
      </c>
      <c r="I293" s="1">
        <f>Table9[[#This Row],[Calls Ans]]+I292</f>
        <v>4336</v>
      </c>
      <c r="J293" s="1">
        <f>J292+Table9[[#This Row],[Calls Off]]</f>
        <v>100490</v>
      </c>
      <c r="K293" s="1">
        <f>K292+Table9[[#This Row],[Calls Ans]]</f>
        <v>89639</v>
      </c>
      <c r="L293" s="18">
        <v>0.9</v>
      </c>
      <c r="M293" s="18">
        <v>0.04</v>
      </c>
      <c r="N293" s="18">
        <v>0.96</v>
      </c>
      <c r="O293" s="18">
        <v>0.56000000000000005</v>
      </c>
      <c r="P293" s="24">
        <v>1</v>
      </c>
      <c r="Q293" s="264">
        <v>9.2592592592592585E-4</v>
      </c>
      <c r="R293" s="17">
        <v>3</v>
      </c>
      <c r="S293" s="21"/>
    </row>
    <row r="294" spans="1:19" x14ac:dyDescent="0.35">
      <c r="A294" s="25">
        <v>44944</v>
      </c>
      <c r="B294" s="38" t="s">
        <v>51</v>
      </c>
      <c r="C294" s="38" t="s">
        <v>60</v>
      </c>
      <c r="D294" s="1">
        <v>289</v>
      </c>
      <c r="E294" s="1">
        <v>275</v>
      </c>
      <c r="F294" s="98">
        <f>IFERROR((Table9[[#This Row],[Calls Off]]-D287)/D287,0)</f>
        <v>-0.16714697406340057</v>
      </c>
      <c r="G294" s="98">
        <f>IFERROR((Table9[[#This Row],[Calls Ans]]-E287)/E287,0)</f>
        <v>-0.17417417417417416</v>
      </c>
      <c r="H294" s="1">
        <f>Table9[[#This Row],[Calls Off]]+H293</f>
        <v>5132</v>
      </c>
      <c r="I294" s="1">
        <f>Table9[[#This Row],[Calls Ans]]+I293</f>
        <v>4611</v>
      </c>
      <c r="J294" s="1">
        <f>J293+Table9[[#This Row],[Calls Off]]</f>
        <v>100779</v>
      </c>
      <c r="K294" s="1">
        <f>K293+Table9[[#This Row],[Calls Ans]]</f>
        <v>89914</v>
      </c>
      <c r="L294" s="18">
        <v>0.88</v>
      </c>
      <c r="M294" s="18">
        <v>0.04</v>
      </c>
      <c r="N294" s="18">
        <v>0.96</v>
      </c>
      <c r="O294" s="18">
        <v>0.87</v>
      </c>
      <c r="P294" s="24">
        <v>1</v>
      </c>
      <c r="Q294" s="264">
        <v>9.4907407407407408E-4</v>
      </c>
      <c r="R294" s="17">
        <v>3</v>
      </c>
      <c r="S294" s="21"/>
    </row>
    <row r="295" spans="1:19" x14ac:dyDescent="0.35">
      <c r="A295" s="25">
        <v>44945</v>
      </c>
      <c r="B295" s="38" t="s">
        <v>52</v>
      </c>
      <c r="C295" s="38" t="s">
        <v>60</v>
      </c>
      <c r="D295" s="1">
        <v>262</v>
      </c>
      <c r="E295" s="1">
        <v>248</v>
      </c>
      <c r="F295" s="98">
        <f>IFERROR((Table9[[#This Row],[Calls Off]]-D288)/D288,0)</f>
        <v>-0.37470167064439142</v>
      </c>
      <c r="G295" s="98">
        <f>IFERROR((Table9[[#This Row],[Calls Ans]]-E288)/E288,0)</f>
        <v>-0.38765432098765434</v>
      </c>
      <c r="H295" s="1">
        <f>Table9[[#This Row],[Calls Off]]+H294</f>
        <v>5394</v>
      </c>
      <c r="I295" s="1">
        <f>Table9[[#This Row],[Calls Ans]]+I294</f>
        <v>4859</v>
      </c>
      <c r="J295" s="1">
        <f>J294+Table9[[#This Row],[Calls Off]]</f>
        <v>101041</v>
      </c>
      <c r="K295" s="1">
        <f>K294+Table9[[#This Row],[Calls Ans]]</f>
        <v>90162</v>
      </c>
      <c r="L295" s="18">
        <v>0.83</v>
      </c>
      <c r="M295" s="18">
        <v>0.06</v>
      </c>
      <c r="N295" s="18">
        <v>0.94</v>
      </c>
      <c r="O295" s="18">
        <v>0.87</v>
      </c>
      <c r="P295" s="24">
        <v>1</v>
      </c>
      <c r="Q295" s="264">
        <v>1.2847222222222223E-3</v>
      </c>
      <c r="R295" s="17">
        <v>3</v>
      </c>
      <c r="S295" s="21"/>
    </row>
    <row r="296" spans="1:19" x14ac:dyDescent="0.35">
      <c r="A296" s="25">
        <v>44946</v>
      </c>
      <c r="B296" s="38" t="s">
        <v>53</v>
      </c>
      <c r="C296" s="38" t="s">
        <v>60</v>
      </c>
      <c r="D296" s="1">
        <v>227</v>
      </c>
      <c r="E296" s="1">
        <v>218</v>
      </c>
      <c r="F296" s="98">
        <f>IFERROR((Table9[[#This Row],[Calls Off]]-D289)/D289,0)</f>
        <v>-0.45301204819277108</v>
      </c>
      <c r="G296" s="98">
        <f>IFERROR((Table9[[#This Row],[Calls Ans]]-E289)/E289,0)</f>
        <v>-0.42480211081794195</v>
      </c>
      <c r="H296" s="1">
        <f>Table9[[#This Row],[Calls Off]]+H295</f>
        <v>5621</v>
      </c>
      <c r="I296" s="1">
        <f>Table9[[#This Row],[Calls Ans]]+I295</f>
        <v>5077</v>
      </c>
      <c r="J296" s="1">
        <f>J295+Table9[[#This Row],[Calls Off]]</f>
        <v>101268</v>
      </c>
      <c r="K296" s="1">
        <f>K295+Table9[[#This Row],[Calls Ans]]</f>
        <v>90380</v>
      </c>
      <c r="L296" s="18">
        <v>0.83</v>
      </c>
      <c r="M296" s="18">
        <v>0.04</v>
      </c>
      <c r="N296" s="18">
        <v>0.96</v>
      </c>
      <c r="O296" s="18">
        <v>0.66</v>
      </c>
      <c r="P296" s="24">
        <v>1</v>
      </c>
      <c r="Q296" s="264">
        <v>1.0648148148148147E-3</v>
      </c>
      <c r="R296" s="17">
        <v>3</v>
      </c>
      <c r="S296" s="21"/>
    </row>
    <row r="297" spans="1:19" x14ac:dyDescent="0.35">
      <c r="A297" s="25">
        <v>44947</v>
      </c>
      <c r="B297" s="38" t="s">
        <v>54</v>
      </c>
      <c r="C297" s="38" t="s">
        <v>60</v>
      </c>
      <c r="D297" s="1">
        <v>154</v>
      </c>
      <c r="E297" s="1">
        <v>150</v>
      </c>
      <c r="F297" s="98">
        <f>IFERROR((Table9[[#This Row],[Calls Off]]-D290)/D290,0)</f>
        <v>-0.4358974358974359</v>
      </c>
      <c r="G297" s="98">
        <f>IFERROR((Table9[[#This Row],[Calls Ans]]-E290)/E290,0)</f>
        <v>-0.40239043824701193</v>
      </c>
      <c r="H297" s="1">
        <f>Table9[[#This Row],[Calls Off]]+H296</f>
        <v>5775</v>
      </c>
      <c r="I297" s="1">
        <f>Table9[[#This Row],[Calls Ans]]+I296</f>
        <v>5227</v>
      </c>
      <c r="J297" s="1">
        <f>J296+Table9[[#This Row],[Calls Off]]</f>
        <v>101422</v>
      </c>
      <c r="K297" s="1">
        <f>K296+Table9[[#This Row],[Calls Ans]]</f>
        <v>90530</v>
      </c>
      <c r="L297" s="18">
        <v>0.98</v>
      </c>
      <c r="M297" s="18">
        <v>0.03</v>
      </c>
      <c r="N297" s="18">
        <v>0.97</v>
      </c>
      <c r="O297" s="18">
        <v>0.39</v>
      </c>
      <c r="P297" s="24">
        <v>1</v>
      </c>
      <c r="Q297" s="264">
        <v>1.261574074074074E-3</v>
      </c>
      <c r="R297" s="17">
        <v>4</v>
      </c>
      <c r="S297" s="21"/>
    </row>
    <row r="298" spans="1:19" x14ac:dyDescent="0.35">
      <c r="A298" s="25">
        <v>44948</v>
      </c>
      <c r="B298" s="38" t="s">
        <v>48</v>
      </c>
      <c r="C298" s="38" t="s">
        <v>60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8">
        <v>0</v>
      </c>
      <c r="M298" s="18">
        <v>0</v>
      </c>
      <c r="N298" s="18">
        <v>0</v>
      </c>
      <c r="O298" s="18">
        <v>0</v>
      </c>
      <c r="P298" s="24">
        <v>0</v>
      </c>
      <c r="Q298" s="264">
        <v>0</v>
      </c>
      <c r="R298" s="17">
        <v>0</v>
      </c>
      <c r="S298" s="21"/>
    </row>
    <row r="299" spans="1:19" x14ac:dyDescent="0.35">
      <c r="A299" s="25">
        <v>44949</v>
      </c>
      <c r="B299" s="38" t="s">
        <v>49</v>
      </c>
      <c r="C299" s="38" t="s">
        <v>60</v>
      </c>
      <c r="D299" s="1">
        <v>274</v>
      </c>
      <c r="E299" s="1">
        <v>259</v>
      </c>
      <c r="F299" s="98">
        <f>IFERROR((Table9[[#This Row],[Calls Off]]-D292)/D292,0)</f>
        <v>-0.38288288288288286</v>
      </c>
      <c r="G299" s="98">
        <f>IFERROR((Table9[[#This Row],[Calls Ans]]-E292)/E292,0)</f>
        <v>-0.40322580645161288</v>
      </c>
      <c r="H299" s="1">
        <f>Table9[[#This Row],[Calls Off]]+H297</f>
        <v>6049</v>
      </c>
      <c r="I299" s="1">
        <f>Table9[[#This Row],[Calls Ans]]+I297</f>
        <v>5486</v>
      </c>
      <c r="J299" s="1">
        <f>J297+Table9[[#This Row],[Calls Off]]</f>
        <v>101696</v>
      </c>
      <c r="K299" s="1">
        <f>K297+Table9[[#This Row],[Calls Ans]]</f>
        <v>90789</v>
      </c>
      <c r="L299" s="18">
        <v>0.84</v>
      </c>
      <c r="M299" s="18">
        <v>0.06</v>
      </c>
      <c r="N299" s="18">
        <v>0.94</v>
      </c>
      <c r="O299" s="18">
        <v>0.87</v>
      </c>
      <c r="P299" s="24">
        <v>1</v>
      </c>
      <c r="Q299" s="264">
        <v>9.2592592592592585E-4</v>
      </c>
      <c r="R299" s="17">
        <v>3</v>
      </c>
      <c r="S299" s="21"/>
    </row>
    <row r="300" spans="1:19" x14ac:dyDescent="0.35">
      <c r="A300" s="25">
        <v>44950</v>
      </c>
      <c r="B300" s="38" t="s">
        <v>50</v>
      </c>
      <c r="C300" s="38" t="s">
        <v>60</v>
      </c>
      <c r="D300" s="1">
        <v>288</v>
      </c>
      <c r="E300" s="1">
        <v>277</v>
      </c>
      <c r="F300" s="98">
        <f>IFERROR((Table9[[#This Row],[Calls Off]]-D293)/D293,0)</f>
        <v>0.12062256809338522</v>
      </c>
      <c r="G300" s="98">
        <f>IFERROR((Table9[[#This Row],[Calls Ans]]-E293)/E293,0)</f>
        <v>0.11693548387096774</v>
      </c>
      <c r="H300" s="1">
        <f>Table9[[#This Row],[Calls Off]]+H299</f>
        <v>6337</v>
      </c>
      <c r="I300" s="1">
        <f>Table9[[#This Row],[Calls Ans]]+I299</f>
        <v>5763</v>
      </c>
      <c r="J300" s="1">
        <f>J299+Table9[[#This Row],[Calls Off]]</f>
        <v>101984</v>
      </c>
      <c r="K300" s="1">
        <f>K299+Table9[[#This Row],[Calls Ans]]</f>
        <v>91066</v>
      </c>
      <c r="L300" s="18">
        <v>0.84</v>
      </c>
      <c r="M300" s="18">
        <v>0.04</v>
      </c>
      <c r="N300" s="18">
        <v>0.96</v>
      </c>
      <c r="O300" s="18">
        <v>0.66</v>
      </c>
      <c r="P300" s="24">
        <v>1</v>
      </c>
      <c r="Q300" s="264">
        <v>6.7129629629629635E-4</v>
      </c>
      <c r="R300" s="17">
        <v>4</v>
      </c>
      <c r="S300" s="21"/>
    </row>
    <row r="301" spans="1:19" x14ac:dyDescent="0.35">
      <c r="A301" s="25">
        <v>44951</v>
      </c>
      <c r="B301" s="38" t="s">
        <v>51</v>
      </c>
      <c r="C301" s="38" t="s">
        <v>60</v>
      </c>
      <c r="D301" s="1">
        <v>246</v>
      </c>
      <c r="E301" s="1">
        <v>230</v>
      </c>
      <c r="F301" s="98">
        <f>IFERROR((Table9[[#This Row],[Calls Off]]-D294)/D294,0)</f>
        <v>-0.14878892733564014</v>
      </c>
      <c r="G301" s="98">
        <f>IFERROR((Table9[[#This Row],[Calls Ans]]-E294)/E294,0)</f>
        <v>-0.16363636363636364</v>
      </c>
      <c r="H301" s="1">
        <f>Table9[[#This Row],[Calls Off]]+H300</f>
        <v>6583</v>
      </c>
      <c r="I301" s="1">
        <f>Table9[[#This Row],[Calls Ans]]+I300</f>
        <v>5993</v>
      </c>
      <c r="J301" s="1">
        <f>J300+Table9[[#This Row],[Calls Off]]</f>
        <v>102230</v>
      </c>
      <c r="K301" s="1">
        <f>K300+Table9[[#This Row],[Calls Ans]]</f>
        <v>91296</v>
      </c>
      <c r="L301" s="18">
        <v>0.81</v>
      </c>
      <c r="M301" s="18">
        <v>7.0000000000000007E-2</v>
      </c>
      <c r="N301" s="18">
        <v>0.93</v>
      </c>
      <c r="O301" s="18">
        <v>0.59</v>
      </c>
      <c r="P301" s="24">
        <v>1</v>
      </c>
      <c r="Q301" s="264">
        <v>1.4583333333333334E-3</v>
      </c>
      <c r="R301" s="17">
        <v>3</v>
      </c>
      <c r="S301" s="21"/>
    </row>
    <row r="302" spans="1:19" x14ac:dyDescent="0.35">
      <c r="A302" s="25">
        <v>44952</v>
      </c>
      <c r="B302" s="38" t="s">
        <v>52</v>
      </c>
      <c r="C302" s="38" t="s">
        <v>60</v>
      </c>
      <c r="D302" s="1">
        <v>250</v>
      </c>
      <c r="E302" s="1">
        <v>244</v>
      </c>
      <c r="F302" s="98">
        <f>IFERROR((Table9[[#This Row],[Calls Off]]-D295)/D295,0)</f>
        <v>-4.5801526717557252E-2</v>
      </c>
      <c r="G302" s="98">
        <f>IFERROR((Table9[[#This Row],[Calls Ans]]-E295)/E295,0)</f>
        <v>-1.6129032258064516E-2</v>
      </c>
      <c r="H302" s="1">
        <f>Table9[[#This Row],[Calls Off]]+H301</f>
        <v>6833</v>
      </c>
      <c r="I302" s="1">
        <f>Table9[[#This Row],[Calls Ans]]+I301</f>
        <v>6237</v>
      </c>
      <c r="J302" s="1">
        <f>J301+Table9[[#This Row],[Calls Off]]</f>
        <v>102480</v>
      </c>
      <c r="K302" s="1">
        <f>K301+Table9[[#This Row],[Calls Ans]]</f>
        <v>91540</v>
      </c>
      <c r="L302" s="18">
        <v>0.97</v>
      </c>
      <c r="M302" s="18">
        <v>0.02</v>
      </c>
      <c r="N302" s="18">
        <v>0.98</v>
      </c>
      <c r="O302" s="18">
        <v>0.77</v>
      </c>
      <c r="P302" s="24">
        <v>1</v>
      </c>
      <c r="Q302" s="264">
        <v>8.5648148148148161E-4</v>
      </c>
      <c r="R302" s="17">
        <v>4</v>
      </c>
      <c r="S302" s="21"/>
    </row>
    <row r="303" spans="1:19" x14ac:dyDescent="0.35">
      <c r="A303" s="25">
        <v>44953</v>
      </c>
      <c r="B303" s="38" t="s">
        <v>53</v>
      </c>
      <c r="C303" s="38" t="s">
        <v>60</v>
      </c>
      <c r="D303" s="1">
        <v>213</v>
      </c>
      <c r="E303" s="1">
        <v>201</v>
      </c>
      <c r="F303" s="98">
        <f>IFERROR((Table9[[#This Row],[Calls Off]]-D296)/D296,0)</f>
        <v>-6.1674008810572688E-2</v>
      </c>
      <c r="G303" s="98">
        <f>IFERROR((Table9[[#This Row],[Calls Ans]]-E296)/E296,0)</f>
        <v>-7.7981651376146793E-2</v>
      </c>
      <c r="H303" s="1">
        <f>Table9[[#This Row],[Calls Off]]+H302</f>
        <v>7046</v>
      </c>
      <c r="I303" s="1">
        <f>Table9[[#This Row],[Calls Ans]]+I302</f>
        <v>6438</v>
      </c>
      <c r="J303" s="1">
        <f>J302+Table9[[#This Row],[Calls Off]]</f>
        <v>102693</v>
      </c>
      <c r="K303" s="1">
        <f>K302+Table9[[#This Row],[Calls Ans]]</f>
        <v>91741</v>
      </c>
      <c r="L303" s="18">
        <v>0.82</v>
      </c>
      <c r="M303" s="18">
        <v>0.06</v>
      </c>
      <c r="N303" s="18">
        <v>0.94</v>
      </c>
      <c r="O303" s="18">
        <v>0.53</v>
      </c>
      <c r="P303" s="24">
        <v>1</v>
      </c>
      <c r="Q303" s="264">
        <v>1.1805555555555556E-3</v>
      </c>
      <c r="R303" s="17">
        <v>3</v>
      </c>
      <c r="S303" s="21"/>
    </row>
    <row r="304" spans="1:19" x14ac:dyDescent="0.35">
      <c r="A304" s="25">
        <v>44954</v>
      </c>
      <c r="B304" s="38" t="s">
        <v>54</v>
      </c>
      <c r="C304" s="38" t="s">
        <v>60</v>
      </c>
      <c r="D304" s="1">
        <v>127</v>
      </c>
      <c r="E304" s="1">
        <v>122</v>
      </c>
      <c r="F304" s="98">
        <f>IFERROR((Table9[[#This Row],[Calls Off]]-D297)/D297,0)</f>
        <v>-0.17532467532467533</v>
      </c>
      <c r="G304" s="98">
        <f>IFERROR((Table9[[#This Row],[Calls Ans]]-E297)/E297,0)</f>
        <v>-0.18666666666666668</v>
      </c>
      <c r="H304" s="1">
        <f>Table9[[#This Row],[Calls Off]]+H303</f>
        <v>7173</v>
      </c>
      <c r="I304" s="1">
        <f>Table9[[#This Row],[Calls Ans]]+I303</f>
        <v>6560</v>
      </c>
      <c r="J304" s="1">
        <f>J303+Table9[[#This Row],[Calls Off]]</f>
        <v>102820</v>
      </c>
      <c r="K304" s="1">
        <f>K303+Table9[[#This Row],[Calls Ans]]</f>
        <v>91863</v>
      </c>
      <c r="L304" s="18">
        <v>0.92</v>
      </c>
      <c r="M304" s="18">
        <v>0.04</v>
      </c>
      <c r="N304" s="18">
        <v>0.96</v>
      </c>
      <c r="O304" s="18">
        <v>0.6</v>
      </c>
      <c r="P304" s="24">
        <v>1</v>
      </c>
      <c r="Q304" s="264">
        <v>1.0185185185185186E-3</v>
      </c>
      <c r="R304" s="17">
        <v>3</v>
      </c>
      <c r="S304" s="21"/>
    </row>
    <row r="305" spans="1:22" x14ac:dyDescent="0.35">
      <c r="A305" s="25">
        <v>44955</v>
      </c>
      <c r="B305" s="38" t="s">
        <v>48</v>
      </c>
      <c r="C305" s="38" t="s">
        <v>60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8">
        <v>0</v>
      </c>
      <c r="M305" s="18">
        <v>0</v>
      </c>
      <c r="N305" s="18">
        <v>0</v>
      </c>
      <c r="O305" s="18">
        <v>0</v>
      </c>
      <c r="P305" s="24">
        <v>0</v>
      </c>
      <c r="Q305" s="264">
        <v>0</v>
      </c>
      <c r="R305" s="17">
        <v>0</v>
      </c>
      <c r="S305" s="21"/>
    </row>
    <row r="306" spans="1:22" x14ac:dyDescent="0.35">
      <c r="A306" s="25">
        <v>44956</v>
      </c>
      <c r="B306" s="38" t="s">
        <v>49</v>
      </c>
      <c r="C306" s="38" t="s">
        <v>60</v>
      </c>
      <c r="D306" s="1">
        <v>242</v>
      </c>
      <c r="E306" s="1">
        <v>238</v>
      </c>
      <c r="F306" s="98">
        <f>IFERROR((Table9[[#This Row],[Calls Off]]-D299)/D299,0)</f>
        <v>-0.11678832116788321</v>
      </c>
      <c r="G306" s="98">
        <f>IFERROR((Table9[[#This Row],[Calls Ans]]-E299)/E299,0)</f>
        <v>-8.1081081081081086E-2</v>
      </c>
      <c r="H306" s="1">
        <f>Table9[[#This Row],[Calls Off]]+H304</f>
        <v>7415</v>
      </c>
      <c r="I306" s="1">
        <f>Table9[[#This Row],[Calls Ans]]+I304</f>
        <v>6798</v>
      </c>
      <c r="J306" s="1">
        <f>J304+Table9[[#This Row],[Calls Off]]</f>
        <v>103062</v>
      </c>
      <c r="K306" s="1">
        <f>K304+Table9[[#This Row],[Calls Ans]]</f>
        <v>92101</v>
      </c>
      <c r="L306" s="18">
        <v>0.97</v>
      </c>
      <c r="M306" s="18">
        <v>0.02</v>
      </c>
      <c r="N306" s="18">
        <v>0.98</v>
      </c>
      <c r="O306" s="18">
        <v>0.8</v>
      </c>
      <c r="P306" s="24">
        <v>1</v>
      </c>
      <c r="Q306" s="264">
        <v>1.0532407407407407E-3</v>
      </c>
      <c r="R306" s="17">
        <v>5</v>
      </c>
      <c r="S306" s="21"/>
    </row>
    <row r="307" spans="1:22" s="54" customFormat="1" x14ac:dyDescent="0.35">
      <c r="A307" s="120">
        <v>44957</v>
      </c>
      <c r="B307" s="55" t="s">
        <v>50</v>
      </c>
      <c r="C307" s="55" t="s">
        <v>60</v>
      </c>
      <c r="D307" s="56">
        <v>248</v>
      </c>
      <c r="E307" s="56">
        <v>244</v>
      </c>
      <c r="F307" s="184">
        <f>IFERROR((Table9[[#This Row],[Calls Off]]-D300)/D300,0)</f>
        <v>-0.1388888888888889</v>
      </c>
      <c r="G307" s="184">
        <f>IFERROR((Table9[[#This Row],[Calls Ans]]-E300)/E300,0)</f>
        <v>-0.11913357400722022</v>
      </c>
      <c r="H307" s="56">
        <f>Table9[[#This Row],[Calls Off]]+H306</f>
        <v>7663</v>
      </c>
      <c r="I307" s="56">
        <f>Table9[[#This Row],[Calls Ans]]+I306</f>
        <v>7042</v>
      </c>
      <c r="J307" s="56">
        <f>J306+Table9[[#This Row],[Calls Off]]</f>
        <v>103310</v>
      </c>
      <c r="K307" s="56">
        <f>K306+Table9[[#This Row],[Calls Ans]]</f>
        <v>92345</v>
      </c>
      <c r="L307" s="57">
        <v>0.91</v>
      </c>
      <c r="M307" s="57">
        <v>0.02</v>
      </c>
      <c r="N307" s="57">
        <v>0.98</v>
      </c>
      <c r="O307" s="57">
        <v>0.69</v>
      </c>
      <c r="P307" s="121">
        <v>1</v>
      </c>
      <c r="Q307" s="265">
        <v>1.3425925925925927E-3</v>
      </c>
      <c r="R307" s="172">
        <v>5</v>
      </c>
      <c r="S307" s="207"/>
      <c r="T307"/>
      <c r="U307"/>
      <c r="V307"/>
    </row>
    <row r="308" spans="1:22" x14ac:dyDescent="0.35">
      <c r="A308" s="25">
        <v>44958</v>
      </c>
      <c r="B308" s="38" t="s">
        <v>51</v>
      </c>
      <c r="C308" s="38" t="s">
        <v>60</v>
      </c>
      <c r="D308" s="1">
        <v>199</v>
      </c>
      <c r="E308" s="1">
        <v>190</v>
      </c>
      <c r="F308" s="98">
        <f>IFERROR((Table9[[#This Row],[Calls Off]]-D301)/D301,0)</f>
        <v>-0.1910569105691057</v>
      </c>
      <c r="G308" s="98">
        <f>IFERROR((Table9[[#This Row],[Calls Ans]]-E301)/E301,0)</f>
        <v>-0.17391304347826086</v>
      </c>
      <c r="H308" s="1">
        <f>Table9[[#This Row],[Calls Off]]</f>
        <v>199</v>
      </c>
      <c r="I308" s="1">
        <f>Table9[[#This Row],[Calls Ans]]</f>
        <v>190</v>
      </c>
      <c r="J308" s="1">
        <f>J307+Table9[[#This Row],[Calls Off]]</f>
        <v>103509</v>
      </c>
      <c r="K308" s="1">
        <f>K307+Table9[[#This Row],[Calls Ans]]</f>
        <v>92535</v>
      </c>
      <c r="L308" s="18">
        <v>0.85</v>
      </c>
      <c r="M308" s="18">
        <v>0.05</v>
      </c>
      <c r="N308" s="18">
        <v>0.95</v>
      </c>
      <c r="O308" s="18">
        <v>0.81</v>
      </c>
      <c r="P308" s="24">
        <v>1</v>
      </c>
      <c r="Q308" s="264">
        <v>1.0532407407407407E-3</v>
      </c>
      <c r="R308" s="17">
        <v>3</v>
      </c>
      <c r="S308" s="21"/>
    </row>
    <row r="309" spans="1:22" x14ac:dyDescent="0.35">
      <c r="A309" s="25">
        <v>44959</v>
      </c>
      <c r="B309" s="38" t="s">
        <v>52</v>
      </c>
      <c r="C309" s="38" t="s">
        <v>60</v>
      </c>
      <c r="D309" s="1">
        <v>200</v>
      </c>
      <c r="E309" s="1">
        <v>197</v>
      </c>
      <c r="F309" s="98">
        <f>IFERROR((Table9[[#This Row],[Calls Off]]-D302)/D302,0)</f>
        <v>-0.2</v>
      </c>
      <c r="G309" s="98">
        <f>IFERROR((Table9[[#This Row],[Calls Ans]]-E302)/E302,0)</f>
        <v>-0.19262295081967212</v>
      </c>
      <c r="H309" s="1">
        <f>Table9[[#This Row],[Calls Off]]+H308</f>
        <v>399</v>
      </c>
      <c r="I309" s="1">
        <f>Table9[[#This Row],[Calls Ans]]+I308</f>
        <v>387</v>
      </c>
      <c r="J309" s="1">
        <f>J308+Table9[[#This Row],[Calls Off]]</f>
        <v>103709</v>
      </c>
      <c r="K309" s="1">
        <f>K308+Table9[[#This Row],[Calls Ans]]</f>
        <v>92732</v>
      </c>
      <c r="L309" s="18">
        <v>0.94</v>
      </c>
      <c r="M309" s="18">
        <v>0.02</v>
      </c>
      <c r="N309" s="18">
        <v>0.98</v>
      </c>
      <c r="O309" s="18">
        <v>0.67</v>
      </c>
      <c r="P309" s="24">
        <v>1</v>
      </c>
      <c r="Q309" s="264">
        <v>1.238425925925926E-3</v>
      </c>
      <c r="R309" s="17">
        <v>3</v>
      </c>
      <c r="S309" s="21"/>
    </row>
    <row r="310" spans="1:22" x14ac:dyDescent="0.35">
      <c r="A310" s="25">
        <v>44960</v>
      </c>
      <c r="B310" s="38" t="s">
        <v>53</v>
      </c>
      <c r="C310" s="38" t="s">
        <v>60</v>
      </c>
      <c r="D310" s="1">
        <v>182</v>
      </c>
      <c r="E310" s="1">
        <v>176</v>
      </c>
      <c r="F310" s="98">
        <f>IFERROR((Table9[[#This Row],[Calls Off]]-D303)/D303,0)</f>
        <v>-0.14553990610328638</v>
      </c>
      <c r="G310" s="98">
        <f>IFERROR((Table9[[#This Row],[Calls Ans]]-E303)/E303,0)</f>
        <v>-0.12437810945273632</v>
      </c>
      <c r="H310" s="1">
        <f>Table9[[#This Row],[Calls Off]]+H309</f>
        <v>581</v>
      </c>
      <c r="I310" s="1">
        <f>Table9[[#This Row],[Calls Ans]]+I309</f>
        <v>563</v>
      </c>
      <c r="J310" s="1">
        <f>J309+Table9[[#This Row],[Calls Off]]</f>
        <v>103891</v>
      </c>
      <c r="K310" s="1">
        <f>K309+Table9[[#This Row],[Calls Ans]]</f>
        <v>92908</v>
      </c>
      <c r="L310" s="18">
        <v>0.92</v>
      </c>
      <c r="M310" s="18">
        <v>0.03</v>
      </c>
      <c r="N310" s="18">
        <v>0.97</v>
      </c>
      <c r="O310" s="18">
        <v>0.77</v>
      </c>
      <c r="P310" s="24">
        <v>1</v>
      </c>
      <c r="Q310" s="264">
        <v>1.1805555555555556E-3</v>
      </c>
      <c r="R310" s="17">
        <v>3</v>
      </c>
      <c r="S310" s="21"/>
    </row>
    <row r="311" spans="1:22" x14ac:dyDescent="0.35">
      <c r="A311" s="25">
        <v>44961</v>
      </c>
      <c r="B311" s="38" t="s">
        <v>54</v>
      </c>
      <c r="C311" s="38" t="s">
        <v>60</v>
      </c>
      <c r="D311" s="1">
        <v>155</v>
      </c>
      <c r="E311" s="1">
        <v>152</v>
      </c>
      <c r="F311" s="98">
        <f>IFERROR((Table9[[#This Row],[Calls Off]]-D304)/D304,0)</f>
        <v>0.22047244094488189</v>
      </c>
      <c r="G311" s="98">
        <f>IFERROR((Table9[[#This Row],[Calls Ans]]-E304)/E304,0)</f>
        <v>0.24590163934426229</v>
      </c>
      <c r="H311" s="1">
        <f>Table9[[#This Row],[Calls Off]]+H310</f>
        <v>736</v>
      </c>
      <c r="I311" s="1">
        <f>Table9[[#This Row],[Calls Ans]]+I310</f>
        <v>715</v>
      </c>
      <c r="J311" s="1">
        <f>J310+Table9[[#This Row],[Calls Off]]</f>
        <v>104046</v>
      </c>
      <c r="K311" s="1">
        <f>K310+Table9[[#This Row],[Calls Ans]]</f>
        <v>93060</v>
      </c>
      <c r="L311" s="18">
        <v>0.88</v>
      </c>
      <c r="M311" s="18">
        <v>0.02</v>
      </c>
      <c r="N311" s="18">
        <v>0.98</v>
      </c>
      <c r="O311" s="18">
        <v>0.52</v>
      </c>
      <c r="P311" s="24">
        <v>1</v>
      </c>
      <c r="Q311" s="264">
        <v>6.7129629629629635E-4</v>
      </c>
      <c r="R311" s="17">
        <v>2</v>
      </c>
    </row>
    <row r="312" spans="1:22" x14ac:dyDescent="0.35">
      <c r="A312" s="25">
        <v>44962</v>
      </c>
      <c r="B312" s="38" t="s">
        <v>48</v>
      </c>
      <c r="C312" s="38" t="s">
        <v>60</v>
      </c>
      <c r="D312" s="1">
        <v>0</v>
      </c>
      <c r="E312" s="1">
        <v>0</v>
      </c>
      <c r="F312" s="98">
        <v>0</v>
      </c>
      <c r="G312" s="98">
        <v>0</v>
      </c>
      <c r="H312" s="1">
        <v>0</v>
      </c>
      <c r="I312" s="1">
        <v>0</v>
      </c>
      <c r="J312" s="1">
        <v>0</v>
      </c>
      <c r="K312" s="1">
        <v>0</v>
      </c>
      <c r="L312" s="18">
        <v>0</v>
      </c>
      <c r="M312" s="18">
        <v>0</v>
      </c>
      <c r="N312" s="18">
        <v>0</v>
      </c>
      <c r="O312" s="18">
        <v>0</v>
      </c>
      <c r="P312" s="24">
        <v>0</v>
      </c>
      <c r="Q312" s="264">
        <v>0</v>
      </c>
      <c r="R312" s="17">
        <v>0</v>
      </c>
    </row>
    <row r="313" spans="1:22" x14ac:dyDescent="0.35">
      <c r="A313" s="25">
        <v>44963</v>
      </c>
      <c r="B313" s="38" t="s">
        <v>49</v>
      </c>
      <c r="C313" s="38" t="s">
        <v>60</v>
      </c>
      <c r="D313" s="1">
        <v>246</v>
      </c>
      <c r="E313" s="1">
        <v>236</v>
      </c>
      <c r="F313" s="98">
        <f>IFERROR((Table9[[#This Row],[Calls Off]]-D306)/D306,0)</f>
        <v>1.6528925619834711E-2</v>
      </c>
      <c r="G313" s="98">
        <f>IFERROR((Table9[[#This Row],[Calls Ans]]-E306)/E306,0)</f>
        <v>-8.4033613445378148E-3</v>
      </c>
      <c r="H313" s="1">
        <f>Table9[[#This Row],[Calls Off]]+H311</f>
        <v>982</v>
      </c>
      <c r="I313" s="1">
        <f>Table9[[#This Row],[Calls Ans]]+I311</f>
        <v>951</v>
      </c>
      <c r="J313" s="1">
        <f>J311+Table9[[#This Row],[Calls Off]]</f>
        <v>104292</v>
      </c>
      <c r="K313" s="1">
        <f>K311+Table9[[#This Row],[Calls Ans]]</f>
        <v>93296</v>
      </c>
      <c r="L313" s="18">
        <v>0.87</v>
      </c>
      <c r="M313" s="18">
        <v>0.04</v>
      </c>
      <c r="N313" s="18">
        <v>0.96</v>
      </c>
      <c r="O313" s="18">
        <v>0.59</v>
      </c>
      <c r="P313" s="24">
        <v>1</v>
      </c>
      <c r="Q313" s="264">
        <v>1.0648148148148147E-3</v>
      </c>
      <c r="R313" s="17">
        <v>3</v>
      </c>
    </row>
    <row r="314" spans="1:22" x14ac:dyDescent="0.35">
      <c r="A314" s="25">
        <v>44964</v>
      </c>
      <c r="B314" s="38" t="s">
        <v>50</v>
      </c>
      <c r="C314" s="38" t="s">
        <v>60</v>
      </c>
      <c r="D314" s="1">
        <v>164</v>
      </c>
      <c r="E314" s="1">
        <v>163</v>
      </c>
      <c r="F314" s="98">
        <f>IFERROR((Table9[[#This Row],[Calls Off]]-D307)/D307,0)</f>
        <v>-0.33870967741935482</v>
      </c>
      <c r="G314" s="98">
        <f>IFERROR((Table9[[#This Row],[Calls Ans]]-E307)/E307,0)</f>
        <v>-0.33196721311475408</v>
      </c>
      <c r="H314" s="1">
        <f>Table9[[#This Row],[Calls Off]]+H313</f>
        <v>1146</v>
      </c>
      <c r="I314" s="1">
        <f>Table9[[#This Row],[Calls Ans]]+I313</f>
        <v>1114</v>
      </c>
      <c r="J314" s="1">
        <f>J313+Table9[[#This Row],[Calls Off]]</f>
        <v>104456</v>
      </c>
      <c r="K314" s="1">
        <f>K313+Table9[[#This Row],[Calls Ans]]</f>
        <v>93459</v>
      </c>
      <c r="L314" s="18">
        <v>0.92</v>
      </c>
      <c r="M314" s="18">
        <v>0.01</v>
      </c>
      <c r="N314" s="18">
        <v>0.99</v>
      </c>
      <c r="O314" s="18">
        <v>0.72</v>
      </c>
      <c r="P314" s="24">
        <v>1</v>
      </c>
      <c r="Q314" s="264">
        <v>1.1805555555555556E-3</v>
      </c>
      <c r="R314" s="17">
        <v>3</v>
      </c>
      <c r="T314" s="54"/>
      <c r="U314" s="54"/>
      <c r="V314" s="54"/>
    </row>
    <row r="315" spans="1:22" x14ac:dyDescent="0.35">
      <c r="A315" s="25">
        <v>44965</v>
      </c>
      <c r="B315" s="38" t="s">
        <v>51</v>
      </c>
      <c r="C315" s="38" t="s">
        <v>60</v>
      </c>
      <c r="D315" s="1">
        <v>197</v>
      </c>
      <c r="E315" s="1">
        <v>189</v>
      </c>
      <c r="F315" s="98">
        <f>IFERROR((Table9[[#This Row],[Calls Off]]-D308)/D308,0)</f>
        <v>-1.0050251256281407E-2</v>
      </c>
      <c r="G315" s="98">
        <f>IFERROR((Table9[[#This Row],[Calls Ans]]-E308)/E308,0)</f>
        <v>-5.263157894736842E-3</v>
      </c>
      <c r="H315" s="1">
        <f>Table9[[#This Row],[Calls Off]]+H314</f>
        <v>1343</v>
      </c>
      <c r="I315" s="1">
        <f>Table9[[#This Row],[Calls Ans]]+I314</f>
        <v>1303</v>
      </c>
      <c r="J315" s="1">
        <f>J314+Table9[[#This Row],[Calls Off]]</f>
        <v>104653</v>
      </c>
      <c r="K315" s="1">
        <f>K314+Table9[[#This Row],[Calls Ans]]</f>
        <v>93648</v>
      </c>
      <c r="L315" s="18">
        <v>0.93</v>
      </c>
      <c r="M315" s="18">
        <v>0.04</v>
      </c>
      <c r="N315" s="18">
        <v>0.96</v>
      </c>
      <c r="O315" s="18">
        <v>0.82</v>
      </c>
      <c r="P315" s="24">
        <v>1</v>
      </c>
      <c r="Q315" s="264">
        <v>1.1342592592592591E-3</v>
      </c>
      <c r="R315" s="17">
        <v>2</v>
      </c>
    </row>
    <row r="316" spans="1:22" x14ac:dyDescent="0.35">
      <c r="A316" s="25">
        <v>44966</v>
      </c>
      <c r="B316" s="38" t="s">
        <v>52</v>
      </c>
      <c r="C316" s="38" t="s">
        <v>60</v>
      </c>
      <c r="D316" s="1">
        <v>202</v>
      </c>
      <c r="E316" s="1">
        <v>198</v>
      </c>
      <c r="F316" s="98">
        <f>IFERROR((Table9[[#This Row],[Calls Off]]-D309)/D309,0)</f>
        <v>0.01</v>
      </c>
      <c r="G316" s="98">
        <f>IFERROR((Table9[[#This Row],[Calls Ans]]-E309)/E309,0)</f>
        <v>5.076142131979695E-3</v>
      </c>
      <c r="H316" s="1">
        <f>Table9[[#This Row],[Calls Off]]+H315</f>
        <v>1545</v>
      </c>
      <c r="I316" s="1">
        <f>Table9[[#This Row],[Calls Ans]]+I315</f>
        <v>1501</v>
      </c>
      <c r="J316" s="1">
        <f>J315+Table9[[#This Row],[Calls Off]]</f>
        <v>104855</v>
      </c>
      <c r="K316" s="1">
        <f>K315+Table9[[#This Row],[Calls Ans]]</f>
        <v>93846</v>
      </c>
      <c r="L316" s="18">
        <v>0.95</v>
      </c>
      <c r="M316" s="18">
        <v>0.02</v>
      </c>
      <c r="N316" s="18">
        <v>0.98</v>
      </c>
      <c r="O316" s="18">
        <v>0.65</v>
      </c>
      <c r="P316" s="24">
        <v>1</v>
      </c>
      <c r="Q316" s="264">
        <v>1.1111111111111111E-3</v>
      </c>
      <c r="R316" s="17">
        <v>4</v>
      </c>
    </row>
    <row r="317" spans="1:22" x14ac:dyDescent="0.35">
      <c r="A317" s="25">
        <v>44967</v>
      </c>
      <c r="B317" s="38" t="s">
        <v>53</v>
      </c>
      <c r="C317" s="38" t="s">
        <v>60</v>
      </c>
      <c r="D317" s="1">
        <v>182</v>
      </c>
      <c r="E317" s="1">
        <v>173</v>
      </c>
      <c r="F317" s="98">
        <f>IFERROR((Table9[[#This Row],[Calls Off]]-D310)/D310,0)</f>
        <v>0</v>
      </c>
      <c r="G317" s="98">
        <f>IFERROR((Table9[[#This Row],[Calls Ans]]-E310)/E310,0)</f>
        <v>-1.7045454545454544E-2</v>
      </c>
      <c r="H317" s="1">
        <f>Table9[[#This Row],[Calls Off]]+H316</f>
        <v>1727</v>
      </c>
      <c r="I317" s="1">
        <f>Table9[[#This Row],[Calls Ans]]+I316</f>
        <v>1674</v>
      </c>
      <c r="J317" s="1">
        <f>J316+Table9[[#This Row],[Calls Off]]</f>
        <v>105037</v>
      </c>
      <c r="K317" s="1">
        <f>K316+Table9[[#This Row],[Calls Ans]]</f>
        <v>94019</v>
      </c>
      <c r="L317" s="18">
        <v>0.89</v>
      </c>
      <c r="M317" s="18">
        <v>0.05</v>
      </c>
      <c r="N317" s="18">
        <v>0.95</v>
      </c>
      <c r="O317" s="18">
        <v>0.7</v>
      </c>
      <c r="P317" s="24">
        <v>1</v>
      </c>
      <c r="Q317" s="264">
        <v>7.6388888888888893E-4</v>
      </c>
      <c r="R317" s="17">
        <v>3</v>
      </c>
    </row>
    <row r="318" spans="1:22" x14ac:dyDescent="0.35">
      <c r="A318" s="25">
        <v>44968</v>
      </c>
      <c r="B318" s="38" t="s">
        <v>54</v>
      </c>
      <c r="C318" s="38" t="s">
        <v>60</v>
      </c>
      <c r="D318" s="1">
        <v>102</v>
      </c>
      <c r="E318" s="1">
        <v>99</v>
      </c>
      <c r="F318" s="98">
        <f>IFERROR((Table9[[#This Row],[Calls Off]]-D311)/D311,0)</f>
        <v>-0.34193548387096773</v>
      </c>
      <c r="G318" s="98">
        <f>IFERROR((Table9[[#This Row],[Calls Ans]]-E311)/E311,0)</f>
        <v>-0.34868421052631576</v>
      </c>
      <c r="H318" s="1">
        <f>Table9[[#This Row],[Calls Off]]+H317</f>
        <v>1829</v>
      </c>
      <c r="I318" s="1">
        <f>Table9[[#This Row],[Calls Ans]]+I317</f>
        <v>1773</v>
      </c>
      <c r="J318" s="1">
        <f>J317+Table9[[#This Row],[Calls Off]]</f>
        <v>105139</v>
      </c>
      <c r="K318" s="1">
        <f>K317+Table9[[#This Row],[Calls Ans]]</f>
        <v>94118</v>
      </c>
      <c r="L318" s="18">
        <v>0.91</v>
      </c>
      <c r="M318" s="18">
        <v>0.03</v>
      </c>
      <c r="N318" s="18">
        <v>0.97</v>
      </c>
      <c r="O318" s="18">
        <v>0.62</v>
      </c>
      <c r="P318" s="24">
        <v>0.99</v>
      </c>
      <c r="Q318" s="264">
        <v>1.3888888888888887E-3</v>
      </c>
      <c r="R318" s="17">
        <v>3</v>
      </c>
    </row>
    <row r="319" spans="1:22" x14ac:dyDescent="0.35">
      <c r="A319" s="25">
        <v>44969</v>
      </c>
      <c r="B319" s="38" t="s">
        <v>48</v>
      </c>
      <c r="C319" s="38" t="s">
        <v>60</v>
      </c>
      <c r="D319" s="1">
        <v>0</v>
      </c>
      <c r="E319" s="1">
        <v>0</v>
      </c>
      <c r="F319" s="98">
        <v>0</v>
      </c>
      <c r="G319" s="98">
        <v>0</v>
      </c>
      <c r="H319" s="1">
        <v>0</v>
      </c>
      <c r="I319" s="1">
        <v>0</v>
      </c>
      <c r="J319" s="1">
        <v>0</v>
      </c>
      <c r="K319" s="1">
        <v>0</v>
      </c>
      <c r="L319" s="18">
        <v>0</v>
      </c>
      <c r="M319" s="18">
        <v>0</v>
      </c>
      <c r="N319" s="18">
        <v>0</v>
      </c>
      <c r="O319" s="18">
        <v>0</v>
      </c>
      <c r="P319" s="24">
        <v>0</v>
      </c>
      <c r="Q319" s="264">
        <v>0</v>
      </c>
      <c r="R319" s="17">
        <v>0</v>
      </c>
    </row>
    <row r="320" spans="1:22" x14ac:dyDescent="0.35">
      <c r="A320" s="25">
        <v>44970</v>
      </c>
      <c r="B320" s="38" t="s">
        <v>49</v>
      </c>
      <c r="C320" s="38" t="s">
        <v>60</v>
      </c>
      <c r="D320" s="1">
        <v>213</v>
      </c>
      <c r="E320" s="1">
        <v>203</v>
      </c>
      <c r="F320" s="98">
        <f>IFERROR((Table9[[#This Row],[Calls Off]]-D313)/D313,0)</f>
        <v>-0.13414634146341464</v>
      </c>
      <c r="G320" s="98">
        <f>IFERROR((Table9[[#This Row],[Calls Ans]]-E313)/E313,0)</f>
        <v>-0.13983050847457626</v>
      </c>
      <c r="H320" s="1">
        <f>Table9[[#This Row],[Calls Off]]+H318</f>
        <v>2042</v>
      </c>
      <c r="I320" s="1">
        <f>Table9[[#This Row],[Calls Ans]]+I318</f>
        <v>1976</v>
      </c>
      <c r="J320" s="1">
        <f>J318+Table9[[#This Row],[Calls Off]]</f>
        <v>105352</v>
      </c>
      <c r="K320" s="1">
        <f>K318+Table9[[#This Row],[Calls Ans]]</f>
        <v>94321</v>
      </c>
      <c r="L320" s="18">
        <v>0.9</v>
      </c>
      <c r="M320" s="18">
        <v>0.05</v>
      </c>
      <c r="N320" s="18">
        <v>0.95</v>
      </c>
      <c r="O320" s="18">
        <v>0.65</v>
      </c>
      <c r="P320" s="24">
        <v>1</v>
      </c>
      <c r="Q320" s="264">
        <v>1.3078703703703703E-3</v>
      </c>
      <c r="R320" s="17">
        <v>3</v>
      </c>
    </row>
    <row r="321" spans="1:22" x14ac:dyDescent="0.35">
      <c r="A321" s="25">
        <v>44971</v>
      </c>
      <c r="B321" s="38" t="s">
        <v>50</v>
      </c>
      <c r="C321" s="38" t="s">
        <v>60</v>
      </c>
      <c r="D321" s="1">
        <v>179</v>
      </c>
      <c r="E321" s="1">
        <v>174</v>
      </c>
      <c r="F321" s="98">
        <f>IFERROR((Table9[[#This Row],[Calls Off]]-D314)/D314,0)</f>
        <v>9.1463414634146339E-2</v>
      </c>
      <c r="G321" s="98">
        <f>IFERROR((Table9[[#This Row],[Calls Ans]]-E314)/E314,0)</f>
        <v>6.7484662576687116E-2</v>
      </c>
      <c r="H321" s="1">
        <f>Table9[[#This Row],[Calls Off]]+H320</f>
        <v>2221</v>
      </c>
      <c r="I321" s="1">
        <f>Table9[[#This Row],[Calls Ans]]+I320</f>
        <v>2150</v>
      </c>
      <c r="J321" s="1">
        <f>J320+Table9[[#This Row],[Calls Off]]</f>
        <v>105531</v>
      </c>
      <c r="K321" s="1">
        <f>K320+Table9[[#This Row],[Calls Ans]]</f>
        <v>94495</v>
      </c>
      <c r="L321" s="18">
        <v>0.95</v>
      </c>
      <c r="M321" s="18">
        <v>0.03</v>
      </c>
      <c r="N321" s="18">
        <v>0.97</v>
      </c>
      <c r="O321" s="18">
        <v>0.66</v>
      </c>
      <c r="P321" s="24">
        <v>1</v>
      </c>
      <c r="Q321" s="264">
        <v>1.2847222222222223E-3</v>
      </c>
      <c r="R321" s="17">
        <v>3</v>
      </c>
    </row>
    <row r="322" spans="1:22" x14ac:dyDescent="0.35">
      <c r="A322" s="25">
        <v>44972</v>
      </c>
      <c r="B322" s="38" t="s">
        <v>51</v>
      </c>
      <c r="C322" s="38" t="s">
        <v>60</v>
      </c>
      <c r="D322" s="1">
        <v>174</v>
      </c>
      <c r="E322" s="1">
        <v>170</v>
      </c>
      <c r="F322" s="98">
        <f>IFERROR((Table9[[#This Row],[Calls Off]]-D315)/D315,0)</f>
        <v>-0.116751269035533</v>
      </c>
      <c r="G322" s="98">
        <f>IFERROR((Table9[[#This Row],[Calls Ans]]-E315)/E315,0)</f>
        <v>-0.10052910052910052</v>
      </c>
      <c r="H322" s="1">
        <f>Table9[[#This Row],[Calls Off]]+H321</f>
        <v>2395</v>
      </c>
      <c r="I322" s="1">
        <f>Table9[[#This Row],[Calls Ans]]+I321</f>
        <v>2320</v>
      </c>
      <c r="J322" s="1">
        <f>J321+Table9[[#This Row],[Calls Off]]</f>
        <v>105705</v>
      </c>
      <c r="K322" s="1">
        <f>K321+Table9[[#This Row],[Calls Ans]]</f>
        <v>94665</v>
      </c>
      <c r="L322" s="18">
        <v>0.94</v>
      </c>
      <c r="M322" s="18">
        <v>0.02</v>
      </c>
      <c r="N322" s="18">
        <v>0.98</v>
      </c>
      <c r="O322" s="18">
        <v>0.89</v>
      </c>
      <c r="P322" s="24">
        <v>1</v>
      </c>
      <c r="Q322" s="264">
        <v>1.0763888888888891E-3</v>
      </c>
      <c r="R322" s="17">
        <v>3</v>
      </c>
    </row>
    <row r="323" spans="1:22" x14ac:dyDescent="0.35">
      <c r="A323" s="25">
        <v>44973</v>
      </c>
      <c r="B323" s="38" t="s">
        <v>52</v>
      </c>
      <c r="C323" s="38" t="s">
        <v>60</v>
      </c>
      <c r="D323" s="1">
        <v>171</v>
      </c>
      <c r="E323" s="1">
        <v>163</v>
      </c>
      <c r="F323" s="98">
        <f>IFERROR((Table9[[#This Row],[Calls Off]]-D316)/D316,0)</f>
        <v>-0.15346534653465346</v>
      </c>
      <c r="G323" s="98">
        <f>IFERROR((Table9[[#This Row],[Calls Ans]]-E316)/E316,0)</f>
        <v>-0.17676767676767677</v>
      </c>
      <c r="H323" s="1">
        <f>Table9[[#This Row],[Calls Off]]+H322</f>
        <v>2566</v>
      </c>
      <c r="I323" s="1">
        <f>Table9[[#This Row],[Calls Ans]]+I322</f>
        <v>2483</v>
      </c>
      <c r="J323" s="1">
        <f>J322+Table9[[#This Row],[Calls Off]]</f>
        <v>105876</v>
      </c>
      <c r="K323" s="1">
        <f>K322+Table9[[#This Row],[Calls Ans]]</f>
        <v>94828</v>
      </c>
      <c r="L323" s="18">
        <v>0.95</v>
      </c>
      <c r="M323" s="18">
        <v>0.05</v>
      </c>
      <c r="N323" s="18">
        <v>0.95</v>
      </c>
      <c r="O323" s="18">
        <v>0.77</v>
      </c>
      <c r="P323" s="24">
        <v>1</v>
      </c>
      <c r="Q323" s="264">
        <v>1.0648148148148147E-3</v>
      </c>
      <c r="R323" s="17">
        <v>3</v>
      </c>
    </row>
    <row r="324" spans="1:22" x14ac:dyDescent="0.35">
      <c r="A324" s="25">
        <v>44974</v>
      </c>
      <c r="B324" s="38" t="s">
        <v>53</v>
      </c>
      <c r="C324" s="38" t="s">
        <v>60</v>
      </c>
      <c r="D324" s="1">
        <v>159</v>
      </c>
      <c r="E324" s="1">
        <v>151</v>
      </c>
      <c r="F324" s="98">
        <f>IFERROR((Table9[[#This Row],[Calls Off]]-D317)/D317,0)</f>
        <v>-0.12637362637362637</v>
      </c>
      <c r="G324" s="98">
        <f>IFERROR((Table9[[#This Row],[Calls Ans]]-E317)/E317,0)</f>
        <v>-0.12716763005780346</v>
      </c>
      <c r="H324" s="1">
        <f>Table9[[#This Row],[Calls Off]]+H323</f>
        <v>2725</v>
      </c>
      <c r="I324" s="1">
        <f>Table9[[#This Row],[Calls Ans]]+I323</f>
        <v>2634</v>
      </c>
      <c r="J324" s="1">
        <f>J323+Table9[[#This Row],[Calls Off]]</f>
        <v>106035</v>
      </c>
      <c r="K324" s="1">
        <f>K323+Table9[[#This Row],[Calls Ans]]</f>
        <v>94979</v>
      </c>
      <c r="L324" s="18">
        <v>0.89</v>
      </c>
      <c r="M324" s="18">
        <v>0.05</v>
      </c>
      <c r="N324" s="18">
        <v>0.95</v>
      </c>
      <c r="O324" s="18">
        <v>0.71</v>
      </c>
      <c r="P324" s="24">
        <v>1</v>
      </c>
      <c r="Q324" s="264">
        <v>1.0532407407407407E-3</v>
      </c>
      <c r="R324" s="17">
        <v>3</v>
      </c>
    </row>
    <row r="325" spans="1:22" x14ac:dyDescent="0.35">
      <c r="A325" s="25">
        <v>44975</v>
      </c>
      <c r="B325" s="38" t="s">
        <v>54</v>
      </c>
      <c r="C325" s="38" t="s">
        <v>60</v>
      </c>
      <c r="D325" s="1">
        <v>135</v>
      </c>
      <c r="E325" s="1">
        <v>127</v>
      </c>
      <c r="F325" s="98">
        <f>IFERROR((Table9[[#This Row],[Calls Off]]-D318)/D318,0)</f>
        <v>0.3235294117647059</v>
      </c>
      <c r="G325" s="98">
        <f>IFERROR((Table9[[#This Row],[Calls Ans]]-E318)/E318,0)</f>
        <v>0.28282828282828282</v>
      </c>
      <c r="H325" s="1">
        <f>Table9[[#This Row],[Calls Off]]+H324</f>
        <v>2860</v>
      </c>
      <c r="I325" s="1">
        <f>Table9[[#This Row],[Calls Ans]]+I324</f>
        <v>2761</v>
      </c>
      <c r="J325" s="1">
        <f>J324+Table9[[#This Row],[Calls Off]]</f>
        <v>106170</v>
      </c>
      <c r="K325" s="1">
        <f>K324+Table9[[#This Row],[Calls Ans]]</f>
        <v>95106</v>
      </c>
      <c r="L325" s="18">
        <v>0.88</v>
      </c>
      <c r="M325" s="18">
        <v>0.06</v>
      </c>
      <c r="N325" s="18">
        <v>0.94</v>
      </c>
      <c r="O325" s="18">
        <v>0.76</v>
      </c>
      <c r="P325" s="24">
        <v>1</v>
      </c>
      <c r="Q325" s="264">
        <v>8.2175925925925927E-4</v>
      </c>
      <c r="R325" s="17">
        <v>2</v>
      </c>
    </row>
    <row r="326" spans="1:22" x14ac:dyDescent="0.35">
      <c r="A326" s="25">
        <v>44976</v>
      </c>
      <c r="B326" s="38" t="s">
        <v>48</v>
      </c>
      <c r="C326" s="38" t="s">
        <v>60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8">
        <v>0</v>
      </c>
      <c r="M326" s="18">
        <v>0</v>
      </c>
      <c r="N326" s="18">
        <v>0</v>
      </c>
      <c r="O326" s="18">
        <v>0</v>
      </c>
      <c r="P326" s="24">
        <v>0</v>
      </c>
      <c r="Q326" s="264">
        <v>0</v>
      </c>
      <c r="R326" s="17">
        <v>0</v>
      </c>
    </row>
    <row r="327" spans="1:22" x14ac:dyDescent="0.35">
      <c r="A327" s="25">
        <v>44977</v>
      </c>
      <c r="B327" s="38" t="s">
        <v>49</v>
      </c>
      <c r="C327" s="38" t="s">
        <v>60</v>
      </c>
      <c r="D327" s="1">
        <v>263</v>
      </c>
      <c r="E327" s="1">
        <v>241</v>
      </c>
      <c r="F327" s="98">
        <f>IFERROR((Table9[[#This Row],[Calls Off]]-D320)/D320,0)</f>
        <v>0.23474178403755869</v>
      </c>
      <c r="G327" s="98">
        <f>IFERROR((Table9[[#This Row],[Calls Ans]]-E320)/E320,0)</f>
        <v>0.18719211822660098</v>
      </c>
      <c r="H327" s="1">
        <f>Table9[[#This Row],[Calls Off]]+H325</f>
        <v>3123</v>
      </c>
      <c r="I327" s="1">
        <f>Table9[[#This Row],[Calls Ans]]+I325</f>
        <v>3002</v>
      </c>
      <c r="J327" s="1">
        <f>J325+Table9[[#This Row],[Calls Off]]</f>
        <v>106433</v>
      </c>
      <c r="K327" s="1">
        <f>K325+Table9[[#This Row],[Calls Ans]]</f>
        <v>95347</v>
      </c>
      <c r="L327" s="18">
        <v>0.56000000000000005</v>
      </c>
      <c r="M327" s="18">
        <v>0.08</v>
      </c>
      <c r="N327" s="18">
        <v>0.92</v>
      </c>
      <c r="O327" s="18">
        <v>0.65</v>
      </c>
      <c r="P327" s="24">
        <v>1</v>
      </c>
      <c r="Q327" s="264">
        <v>8.3333333333333328E-4</v>
      </c>
      <c r="R327" s="17">
        <v>3</v>
      </c>
    </row>
    <row r="328" spans="1:22" x14ac:dyDescent="0.35">
      <c r="A328" s="25">
        <v>44978</v>
      </c>
      <c r="B328" s="38" t="s">
        <v>50</v>
      </c>
      <c r="C328" s="38" t="s">
        <v>60</v>
      </c>
      <c r="D328" s="1">
        <v>202</v>
      </c>
      <c r="E328" s="1">
        <v>192</v>
      </c>
      <c r="F328" s="98">
        <f>IFERROR((Table9[[#This Row],[Calls Off]]-D321)/D321,0)</f>
        <v>0.12849162011173185</v>
      </c>
      <c r="G328" s="98">
        <f>IFERROR((Table9[[#This Row],[Calls Ans]]-E321)/E321,0)</f>
        <v>0.10344827586206896</v>
      </c>
      <c r="H328" s="1">
        <f>Table9[[#This Row],[Calls Off]]+H327</f>
        <v>3325</v>
      </c>
      <c r="I328" s="1">
        <f>Table9[[#This Row],[Calls Ans]]+I327</f>
        <v>3194</v>
      </c>
      <c r="J328" s="1">
        <f>J327+Table9[[#This Row],[Calls Off]]</f>
        <v>106635</v>
      </c>
      <c r="K328" s="1">
        <f>K327+Table9[[#This Row],[Calls Ans]]</f>
        <v>95539</v>
      </c>
      <c r="L328" s="18">
        <v>0.76</v>
      </c>
      <c r="M328" s="18">
        <v>0.05</v>
      </c>
      <c r="N328" s="18">
        <v>0.95</v>
      </c>
      <c r="O328" s="18">
        <v>0.81</v>
      </c>
      <c r="P328" s="24">
        <v>1</v>
      </c>
      <c r="Q328" s="264">
        <v>1.1458333333333331E-3</v>
      </c>
      <c r="R328" s="17">
        <v>2</v>
      </c>
    </row>
    <row r="329" spans="1:22" x14ac:dyDescent="0.35">
      <c r="A329" s="25">
        <v>44979</v>
      </c>
      <c r="B329" s="38" t="s">
        <v>51</v>
      </c>
      <c r="C329" s="38" t="s">
        <v>60</v>
      </c>
      <c r="D329" s="1">
        <v>293</v>
      </c>
      <c r="E329" s="1">
        <v>269</v>
      </c>
      <c r="F329" s="98">
        <f>IFERROR((Table9[[#This Row],[Calls Off]]-D322)/D322,0)</f>
        <v>0.68390804597701149</v>
      </c>
      <c r="G329" s="98">
        <f>IFERROR((Table9[[#This Row],[Calls Ans]]-E322)/E322,0)</f>
        <v>0.58235294117647063</v>
      </c>
      <c r="H329" s="1">
        <f>Table9[[#This Row],[Calls Off]]+H328</f>
        <v>3618</v>
      </c>
      <c r="I329" s="1">
        <f>Table9[[#This Row],[Calls Ans]]+I328</f>
        <v>3463</v>
      </c>
      <c r="J329" s="1">
        <f>J328+Table9[[#This Row],[Calls Off]]</f>
        <v>106928</v>
      </c>
      <c r="K329" s="1">
        <f>K328+Table9[[#This Row],[Calls Ans]]</f>
        <v>95808</v>
      </c>
      <c r="L329" s="18">
        <v>0.53</v>
      </c>
      <c r="M329" s="18">
        <v>0.08</v>
      </c>
      <c r="N329" s="18">
        <v>0.92</v>
      </c>
      <c r="O329" s="18">
        <v>0.9</v>
      </c>
      <c r="P329" s="24">
        <v>1</v>
      </c>
      <c r="Q329" s="264">
        <v>6.7129629629629635E-4</v>
      </c>
      <c r="R329" s="17">
        <v>2</v>
      </c>
    </row>
    <row r="330" spans="1:22" x14ac:dyDescent="0.35">
      <c r="A330" s="25">
        <v>44980</v>
      </c>
      <c r="B330" s="38" t="s">
        <v>52</v>
      </c>
      <c r="C330" s="38" t="s">
        <v>60</v>
      </c>
      <c r="D330" s="1">
        <v>0</v>
      </c>
      <c r="E330" s="1">
        <v>0</v>
      </c>
      <c r="F330" s="98">
        <v>0</v>
      </c>
      <c r="G330" s="98">
        <v>0</v>
      </c>
      <c r="H330" s="1">
        <v>0</v>
      </c>
      <c r="I330" s="1">
        <v>0</v>
      </c>
      <c r="J330" s="1">
        <v>0</v>
      </c>
      <c r="K330" s="1">
        <v>0</v>
      </c>
      <c r="L330" s="18">
        <v>0</v>
      </c>
      <c r="M330" s="18">
        <v>0</v>
      </c>
      <c r="N330" s="18">
        <v>0</v>
      </c>
      <c r="O330" s="18">
        <v>0</v>
      </c>
      <c r="P330" s="24">
        <v>0</v>
      </c>
      <c r="Q330" s="264">
        <v>0</v>
      </c>
      <c r="R330" s="17">
        <v>0</v>
      </c>
    </row>
    <row r="331" spans="1:22" x14ac:dyDescent="0.35">
      <c r="A331" s="25">
        <v>44981</v>
      </c>
      <c r="B331" s="38" t="s">
        <v>53</v>
      </c>
      <c r="C331" s="38" t="s">
        <v>60</v>
      </c>
      <c r="D331" s="1">
        <v>237</v>
      </c>
      <c r="E331" s="1">
        <v>226</v>
      </c>
      <c r="F331" s="98">
        <f>IFERROR((Table9[[#This Row],[Calls Off]]-D324)/D324,0)</f>
        <v>0.49056603773584906</v>
      </c>
      <c r="G331" s="98">
        <f>IFERROR((Table9[[#This Row],[Calls Ans]]-E324)/E324,0)</f>
        <v>0.49668874172185429</v>
      </c>
      <c r="H331" s="1">
        <f>Table9[[#This Row],[Calls Off]]+H329</f>
        <v>3855</v>
      </c>
      <c r="I331" s="1">
        <f>Table9[[#This Row],[Calls Ans]]+I329</f>
        <v>3689</v>
      </c>
      <c r="J331" s="1">
        <f>J329+Table9[[#This Row],[Calls Off]]</f>
        <v>107165</v>
      </c>
      <c r="K331" s="1">
        <f>K329+Table9[[#This Row],[Calls Ans]]</f>
        <v>96034</v>
      </c>
      <c r="L331" s="18">
        <v>0.86</v>
      </c>
      <c r="M331" s="18">
        <v>0.05</v>
      </c>
      <c r="N331" s="18">
        <v>0.95</v>
      </c>
      <c r="O331" s="18">
        <v>0.83</v>
      </c>
      <c r="P331" s="24">
        <v>1</v>
      </c>
      <c r="Q331" s="264">
        <v>9.2592592592592585E-4</v>
      </c>
      <c r="R331" s="17">
        <v>3</v>
      </c>
    </row>
    <row r="332" spans="1:22" x14ac:dyDescent="0.35">
      <c r="A332" s="25">
        <v>44982</v>
      </c>
      <c r="B332" s="38" t="s">
        <v>54</v>
      </c>
      <c r="C332" s="38" t="s">
        <v>60</v>
      </c>
      <c r="D332" s="1">
        <v>152</v>
      </c>
      <c r="E332" s="1">
        <v>138</v>
      </c>
      <c r="F332" s="98">
        <f>IFERROR((Table9[[#This Row],[Calls Off]]-D325)/D325,0)</f>
        <v>0.12592592592592591</v>
      </c>
      <c r="G332" s="98">
        <f>IFERROR((Table9[[#This Row],[Calls Ans]]-E325)/E325,0)</f>
        <v>8.6614173228346455E-2</v>
      </c>
      <c r="H332" s="1">
        <f>Table9[[#This Row],[Calls Off]]+H331</f>
        <v>4007</v>
      </c>
      <c r="I332" s="1">
        <f>Table9[[#This Row],[Calls Ans]]+I331</f>
        <v>3827</v>
      </c>
      <c r="J332" s="1">
        <f>J331+Table9[[#This Row],[Calls Off]]</f>
        <v>107317</v>
      </c>
      <c r="K332" s="1">
        <f>K331+Table9[[#This Row],[Calls Ans]]</f>
        <v>96172</v>
      </c>
      <c r="L332" s="18">
        <v>0.8</v>
      </c>
      <c r="M332" s="18">
        <v>0.09</v>
      </c>
      <c r="N332" s="18">
        <v>0.91</v>
      </c>
      <c r="O332" s="18">
        <v>0.81</v>
      </c>
      <c r="P332" s="24">
        <v>1</v>
      </c>
      <c r="Q332" s="264">
        <v>1.0300925925925926E-3</v>
      </c>
      <c r="R332" s="17">
        <v>2</v>
      </c>
    </row>
    <row r="333" spans="1:22" x14ac:dyDescent="0.35">
      <c r="A333" s="25">
        <v>44983</v>
      </c>
      <c r="B333" s="38" t="s">
        <v>48</v>
      </c>
      <c r="C333" s="38" t="s">
        <v>60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8">
        <v>0</v>
      </c>
      <c r="M333" s="18">
        <v>0</v>
      </c>
      <c r="N333" s="18">
        <v>0</v>
      </c>
      <c r="O333" s="18">
        <v>0</v>
      </c>
      <c r="P333" s="24">
        <v>0</v>
      </c>
      <c r="Q333" s="264">
        <v>0</v>
      </c>
      <c r="R333" s="17">
        <v>0</v>
      </c>
    </row>
    <row r="334" spans="1:22" x14ac:dyDescent="0.35">
      <c r="A334" s="25">
        <v>44984</v>
      </c>
      <c r="B334" s="38" t="s">
        <v>49</v>
      </c>
      <c r="C334" s="38" t="s">
        <v>60</v>
      </c>
      <c r="D334" s="1">
        <v>292</v>
      </c>
      <c r="E334" s="1">
        <v>284</v>
      </c>
      <c r="F334" s="98">
        <f>IFERROR((Table9[[#This Row],[Calls Off]]-D327)/D327,0)</f>
        <v>0.11026615969581749</v>
      </c>
      <c r="G334" s="98">
        <f>IFERROR((Table9[[#This Row],[Calls Ans]]-E327)/E327,0)</f>
        <v>0.17842323651452283</v>
      </c>
      <c r="H334" s="1">
        <f>Table9[[#This Row],[Calls Off]]+H332</f>
        <v>4299</v>
      </c>
      <c r="I334" s="1">
        <f>Table9[[#This Row],[Calls Ans]]+I332</f>
        <v>4111</v>
      </c>
      <c r="J334" s="1">
        <f>J332+Table9[[#This Row],[Calls Off]]</f>
        <v>107609</v>
      </c>
      <c r="K334" s="1">
        <f>K332+Table9[[#This Row],[Calls Ans]]</f>
        <v>96456</v>
      </c>
      <c r="L334" s="18">
        <v>0.84</v>
      </c>
      <c r="M334" s="18">
        <v>0.03</v>
      </c>
      <c r="N334" s="18">
        <v>0.97</v>
      </c>
      <c r="O334" s="18">
        <v>0.75</v>
      </c>
      <c r="P334" s="24">
        <v>1</v>
      </c>
      <c r="Q334" s="264">
        <v>8.5648148148148161E-4</v>
      </c>
      <c r="R334" s="17">
        <v>3</v>
      </c>
    </row>
    <row r="335" spans="1:22" s="54" customFormat="1" x14ac:dyDescent="0.35">
      <c r="A335" s="120">
        <v>44985</v>
      </c>
      <c r="B335" s="55" t="s">
        <v>50</v>
      </c>
      <c r="C335" s="55" t="s">
        <v>60</v>
      </c>
      <c r="D335" s="56">
        <v>261</v>
      </c>
      <c r="E335" s="56">
        <v>251</v>
      </c>
      <c r="F335" s="184">
        <f>IFERROR((Table9[[#This Row],[Calls Off]]-D328)/D328,0)</f>
        <v>0.29207920792079206</v>
      </c>
      <c r="G335" s="184">
        <f>IFERROR((Table9[[#This Row],[Calls Ans]]-E328)/E328,0)</f>
        <v>0.30729166666666669</v>
      </c>
      <c r="H335" s="56">
        <f>Table9[[#This Row],[Calls Off]]+H334</f>
        <v>4560</v>
      </c>
      <c r="I335" s="56">
        <f>Table9[[#This Row],[Calls Ans]]+I334</f>
        <v>4362</v>
      </c>
      <c r="J335" s="56">
        <f>J334+Table9[[#This Row],[Calls Off]]</f>
        <v>107870</v>
      </c>
      <c r="K335" s="56">
        <f>K334+Table9[[#This Row],[Calls Ans]]</f>
        <v>96707</v>
      </c>
      <c r="L335" s="57">
        <v>0.84</v>
      </c>
      <c r="M335" s="57">
        <v>0.04</v>
      </c>
      <c r="N335" s="57">
        <v>0.96</v>
      </c>
      <c r="O335" s="57">
        <v>0.69</v>
      </c>
      <c r="P335" s="121">
        <v>1</v>
      </c>
      <c r="Q335" s="265">
        <v>1.3425925925925927E-3</v>
      </c>
      <c r="R335" s="172">
        <v>3</v>
      </c>
      <c r="S335" s="220"/>
      <c r="T335"/>
      <c r="U335"/>
      <c r="V335"/>
    </row>
    <row r="336" spans="1:22" x14ac:dyDescent="0.35">
      <c r="A336" s="25">
        <v>44986</v>
      </c>
      <c r="B336" s="38" t="s">
        <v>51</v>
      </c>
      <c r="C336" s="38" t="s">
        <v>60</v>
      </c>
      <c r="D336" s="1">
        <v>213</v>
      </c>
      <c r="E336" s="1">
        <v>210</v>
      </c>
      <c r="F336" s="98">
        <f>IFERROR((Table9[[#This Row],[Calls Off]]-D329)/D329,0)</f>
        <v>-0.27303754266211605</v>
      </c>
      <c r="G336" s="98">
        <f>IFERROR((Table9[[#This Row],[Calls Ans]]-E329)/E329,0)</f>
        <v>-0.21933085501858737</v>
      </c>
      <c r="H336" s="1">
        <f>Table9[[#This Row],[Calls Off]]</f>
        <v>213</v>
      </c>
      <c r="I336" s="1">
        <f>Table9[[#This Row],[Calls Ans]]</f>
        <v>210</v>
      </c>
      <c r="J336" s="1">
        <f>J335+Table9[[#This Row],[Calls Off]]</f>
        <v>108083</v>
      </c>
      <c r="K336" s="1">
        <f>K335+Table9[[#This Row],[Calls Ans]]</f>
        <v>96917</v>
      </c>
      <c r="L336" s="18">
        <v>0.96</v>
      </c>
      <c r="M336" s="18">
        <v>0.01</v>
      </c>
      <c r="N336" s="18">
        <v>0.99</v>
      </c>
      <c r="O336" s="18">
        <v>0.66</v>
      </c>
      <c r="P336" s="24">
        <v>1</v>
      </c>
      <c r="Q336" s="264">
        <v>1.0416666666666667E-3</v>
      </c>
      <c r="R336" s="17">
        <v>4</v>
      </c>
    </row>
    <row r="337" spans="1:22" x14ac:dyDescent="0.35">
      <c r="A337" s="25">
        <v>44987</v>
      </c>
      <c r="B337" s="38" t="s">
        <v>52</v>
      </c>
      <c r="C337" s="38" t="s">
        <v>60</v>
      </c>
      <c r="D337" s="1">
        <v>232</v>
      </c>
      <c r="E337" s="1">
        <v>221</v>
      </c>
      <c r="F337" s="98">
        <f>IFERROR((Table9[[#This Row],[Calls Off]]-D330)/D330,0)</f>
        <v>0</v>
      </c>
      <c r="G337" s="98">
        <f>IFERROR((Table9[[#This Row],[Calls Ans]]-E330)/E330,0)</f>
        <v>0</v>
      </c>
      <c r="H337" s="1">
        <f>Table9[[#This Row],[Calls Off]]+H336</f>
        <v>445</v>
      </c>
      <c r="I337" s="1">
        <f>Table9[[#This Row],[Calls Ans]]+I336</f>
        <v>431</v>
      </c>
      <c r="J337" s="1">
        <f>J336+Table9[[#This Row],[Calls Off]]</f>
        <v>108315</v>
      </c>
      <c r="K337" s="1">
        <f>K336+Table9[[#This Row],[Calls Ans]]</f>
        <v>97138</v>
      </c>
      <c r="L337" s="18">
        <v>0.86</v>
      </c>
      <c r="M337" s="18">
        <v>0.05</v>
      </c>
      <c r="N337" s="18">
        <v>0.95</v>
      </c>
      <c r="O337" s="18">
        <v>0.7</v>
      </c>
      <c r="P337" s="24">
        <v>1</v>
      </c>
      <c r="Q337" s="264">
        <v>1.0879629629629631E-3</v>
      </c>
      <c r="R337" s="17">
        <v>3</v>
      </c>
    </row>
    <row r="338" spans="1:22" x14ac:dyDescent="0.35">
      <c r="A338" s="25">
        <v>44988</v>
      </c>
      <c r="B338" s="38" t="s">
        <v>53</v>
      </c>
      <c r="C338" s="38" t="s">
        <v>60</v>
      </c>
      <c r="D338" s="1">
        <v>208</v>
      </c>
      <c r="E338" s="1">
        <v>204</v>
      </c>
      <c r="F338" s="98">
        <f>IFERROR((Table9[[#This Row],[Calls Off]]-D331)/D331,0)</f>
        <v>-0.12236286919831224</v>
      </c>
      <c r="G338" s="98">
        <f>IFERROR((Table9[[#This Row],[Calls Ans]]-E331)/E331,0)</f>
        <v>-9.7345132743362831E-2</v>
      </c>
      <c r="H338" s="1">
        <f>Table9[[#This Row],[Calls Off]]+H337</f>
        <v>653</v>
      </c>
      <c r="I338" s="1">
        <f>Table9[[#This Row],[Calls Ans]]+I337</f>
        <v>635</v>
      </c>
      <c r="J338" s="1">
        <f>J337+Table9[[#This Row],[Calls Off]]</f>
        <v>108523</v>
      </c>
      <c r="K338" s="1">
        <f>K337+Table9[[#This Row],[Calls Ans]]</f>
        <v>97342</v>
      </c>
      <c r="L338" s="18">
        <v>0.95</v>
      </c>
      <c r="M338" s="18">
        <v>0.02</v>
      </c>
      <c r="N338" s="18">
        <v>0.98</v>
      </c>
      <c r="O338" s="18">
        <v>0.68</v>
      </c>
      <c r="P338" s="24">
        <v>1</v>
      </c>
      <c r="Q338" s="264">
        <v>1.0185185185185186E-3</v>
      </c>
      <c r="R338" s="17">
        <v>4</v>
      </c>
    </row>
    <row r="339" spans="1:22" x14ac:dyDescent="0.35">
      <c r="A339" s="25">
        <v>44989</v>
      </c>
      <c r="B339" s="38" t="s">
        <v>54</v>
      </c>
      <c r="C339" s="38" t="s">
        <v>60</v>
      </c>
      <c r="D339" s="1">
        <v>140</v>
      </c>
      <c r="E339" s="1">
        <v>133</v>
      </c>
      <c r="F339" s="98">
        <f>IFERROR((Table9[[#This Row],[Calls Off]]-D332)/D332,0)</f>
        <v>-7.8947368421052627E-2</v>
      </c>
      <c r="G339" s="98">
        <f>IFERROR((Table9[[#This Row],[Calls Ans]]-E332)/E332,0)</f>
        <v>-3.6231884057971016E-2</v>
      </c>
      <c r="H339" s="1">
        <f>Table9[[#This Row],[Calls Off]]+H338</f>
        <v>793</v>
      </c>
      <c r="I339" s="1">
        <f>Table9[[#This Row],[Calls Ans]]+I338</f>
        <v>768</v>
      </c>
      <c r="J339" s="1">
        <f>J338+Table9[[#This Row],[Calls Off]]</f>
        <v>108663</v>
      </c>
      <c r="K339" s="1">
        <f>K338+Table9[[#This Row],[Calls Ans]]</f>
        <v>97475</v>
      </c>
      <c r="L339" s="18">
        <v>0.83</v>
      </c>
      <c r="M339" s="18">
        <v>0.05</v>
      </c>
      <c r="N339" s="18">
        <v>0.95</v>
      </c>
      <c r="O339" s="18">
        <v>0.62</v>
      </c>
      <c r="P339" s="24">
        <v>1</v>
      </c>
      <c r="Q339" s="264">
        <v>9.2592592592592585E-4</v>
      </c>
      <c r="R339" s="17">
        <v>2</v>
      </c>
      <c r="T339" s="54"/>
      <c r="U339" s="54"/>
      <c r="V339" s="54"/>
    </row>
    <row r="340" spans="1:22" x14ac:dyDescent="0.35">
      <c r="A340" s="25">
        <v>44990</v>
      </c>
      <c r="B340" s="38" t="s">
        <v>48</v>
      </c>
      <c r="C340" s="38" t="s">
        <v>60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8">
        <v>0</v>
      </c>
      <c r="M340" s="18">
        <v>0</v>
      </c>
      <c r="N340" s="18">
        <v>0</v>
      </c>
      <c r="O340" s="18">
        <v>0</v>
      </c>
      <c r="P340" s="24">
        <v>0</v>
      </c>
      <c r="Q340" s="264">
        <v>0</v>
      </c>
      <c r="R340" s="17">
        <v>0</v>
      </c>
    </row>
    <row r="341" spans="1:22" x14ac:dyDescent="0.35">
      <c r="A341" s="25">
        <v>44991</v>
      </c>
      <c r="B341" s="38" t="s">
        <v>49</v>
      </c>
      <c r="C341" s="38" t="s">
        <v>60</v>
      </c>
      <c r="D341" s="1">
        <v>249</v>
      </c>
      <c r="E341" s="1">
        <v>243</v>
      </c>
      <c r="F341" s="98">
        <f>IFERROR((Table9[[#This Row],[Calls Off]]-D334)/D334,0)</f>
        <v>-0.14726027397260275</v>
      </c>
      <c r="G341" s="98">
        <f>IFERROR((Table9[[#This Row],[Calls Ans]]-E334)/E334,0)</f>
        <v>-0.14436619718309859</v>
      </c>
      <c r="H341" s="1">
        <f>Table9[[#This Row],[Calls Off]]+H339</f>
        <v>1042</v>
      </c>
      <c r="I341" s="1">
        <f>Table9[[#This Row],[Calls Ans]]+I339</f>
        <v>1011</v>
      </c>
      <c r="J341" s="1">
        <f>J339+Table9[[#This Row],[Calls Off]]</f>
        <v>108912</v>
      </c>
      <c r="K341" s="1">
        <f>K339+Table9[[#This Row],[Calls Ans]]</f>
        <v>97718</v>
      </c>
      <c r="L341" s="18">
        <v>0.92</v>
      </c>
      <c r="M341" s="18">
        <v>0.02</v>
      </c>
      <c r="N341" s="18">
        <v>0.98</v>
      </c>
      <c r="O341" s="18">
        <v>0.75</v>
      </c>
      <c r="P341" s="24">
        <v>1</v>
      </c>
      <c r="Q341" s="264">
        <v>1.1458333333333331E-3</v>
      </c>
      <c r="R341" s="17">
        <v>4</v>
      </c>
    </row>
    <row r="342" spans="1:22" x14ac:dyDescent="0.35">
      <c r="A342" s="25">
        <v>44992</v>
      </c>
      <c r="B342" s="38" t="s">
        <v>50</v>
      </c>
      <c r="C342" s="38" t="s">
        <v>60</v>
      </c>
      <c r="D342" s="1">
        <v>0</v>
      </c>
      <c r="E342" s="1">
        <v>0</v>
      </c>
      <c r="F342" s="98">
        <f>IFERROR((Table9[[#This Row],[Calls Off]]-D335)/D335,0)</f>
        <v>-1</v>
      </c>
      <c r="G342" s="98">
        <f>IFERROR((Table9[[#This Row],[Calls Ans]]-E335)/E335,0)</f>
        <v>-1</v>
      </c>
      <c r="H342" s="1">
        <v>0</v>
      </c>
      <c r="I342" s="1">
        <v>0</v>
      </c>
      <c r="J342" s="1">
        <v>0</v>
      </c>
      <c r="K342" s="1">
        <v>0</v>
      </c>
      <c r="L342" s="18">
        <v>0</v>
      </c>
      <c r="M342" s="18">
        <v>0</v>
      </c>
      <c r="N342" s="18">
        <v>0</v>
      </c>
      <c r="O342" s="18">
        <v>0</v>
      </c>
      <c r="P342" s="24">
        <v>0</v>
      </c>
      <c r="Q342" s="264">
        <v>0</v>
      </c>
      <c r="R342" s="17">
        <v>0</v>
      </c>
    </row>
    <row r="343" spans="1:22" x14ac:dyDescent="0.35">
      <c r="A343" s="25">
        <v>44993</v>
      </c>
      <c r="B343" s="38" t="s">
        <v>51</v>
      </c>
      <c r="C343" s="38" t="s">
        <v>60</v>
      </c>
      <c r="D343" s="1">
        <v>241</v>
      </c>
      <c r="E343" s="1">
        <v>229</v>
      </c>
      <c r="F343" s="98">
        <f>IFERROR((Table9[[#This Row],[Calls Off]]-D336)/D336,0)</f>
        <v>0.13145539906103287</v>
      </c>
      <c r="G343" s="98">
        <f>IFERROR((Table9[[#This Row],[Calls Ans]]-E336)/E336,0)</f>
        <v>9.0476190476190474E-2</v>
      </c>
      <c r="H343" s="1">
        <f>Table9[[#This Row],[Calls Off]]+H341</f>
        <v>1283</v>
      </c>
      <c r="I343" s="1">
        <f>Table9[[#This Row],[Calls Ans]]+I341</f>
        <v>1240</v>
      </c>
      <c r="J343" s="1">
        <f>J341+Table9[[#This Row],[Calls Off]]</f>
        <v>109153</v>
      </c>
      <c r="K343" s="1">
        <f>K341+Table9[[#This Row],[Calls Ans]]</f>
        <v>97947</v>
      </c>
      <c r="L343" s="18">
        <v>0.88</v>
      </c>
      <c r="M343" s="18">
        <v>0.05</v>
      </c>
      <c r="N343" s="18">
        <v>0.95</v>
      </c>
      <c r="O343" s="18">
        <v>0.67</v>
      </c>
      <c r="P343" s="24">
        <v>1</v>
      </c>
      <c r="Q343" s="264">
        <v>8.6805555555555562E-4</v>
      </c>
      <c r="R343" s="17">
        <v>3</v>
      </c>
    </row>
    <row r="344" spans="1:22" x14ac:dyDescent="0.35">
      <c r="A344" s="25">
        <v>44994</v>
      </c>
      <c r="B344" s="38" t="s">
        <v>52</v>
      </c>
      <c r="C344" s="38" t="s">
        <v>60</v>
      </c>
      <c r="D344" s="1">
        <v>255</v>
      </c>
      <c r="E344" s="1">
        <v>251</v>
      </c>
      <c r="F344" s="98">
        <f>IFERROR((Table9[[#This Row],[Calls Off]]-D337)/D337,0)</f>
        <v>9.9137931034482762E-2</v>
      </c>
      <c r="G344" s="98">
        <f>IFERROR((Table9[[#This Row],[Calls Ans]]-E337)/E337,0)</f>
        <v>0.13574660633484162</v>
      </c>
      <c r="H344" s="1">
        <f>Table9[[#This Row],[Calls Off]]+H343</f>
        <v>1538</v>
      </c>
      <c r="I344" s="1">
        <f>Table9[[#This Row],[Calls Ans]]+I343</f>
        <v>1491</v>
      </c>
      <c r="J344" s="1">
        <f>J343+Table9[[#This Row],[Calls Off]]</f>
        <v>109408</v>
      </c>
      <c r="K344" s="1">
        <f>K343+Table9[[#This Row],[Calls Ans]]</f>
        <v>98198</v>
      </c>
      <c r="L344" s="18">
        <v>0.88</v>
      </c>
      <c r="M344" s="18">
        <v>0.02</v>
      </c>
      <c r="N344" s="18">
        <v>0.98</v>
      </c>
      <c r="O344" s="18">
        <v>0.67</v>
      </c>
      <c r="P344" s="24">
        <v>0.99</v>
      </c>
      <c r="Q344" s="264">
        <v>9.7222222222222209E-4</v>
      </c>
      <c r="R344" s="17">
        <v>3</v>
      </c>
    </row>
    <row r="345" spans="1:22" x14ac:dyDescent="0.35">
      <c r="A345" s="25">
        <v>44995</v>
      </c>
      <c r="B345" s="38" t="s">
        <v>53</v>
      </c>
      <c r="C345" s="38" t="s">
        <v>60</v>
      </c>
      <c r="D345" s="1">
        <v>189</v>
      </c>
      <c r="E345" s="1">
        <v>181</v>
      </c>
      <c r="F345" s="98">
        <f>IFERROR((Table9[[#This Row],[Calls Off]]-D338)/D338,0)</f>
        <v>-9.1346153846153841E-2</v>
      </c>
      <c r="G345" s="98">
        <f>IFERROR((Table9[[#This Row],[Calls Ans]]-E338)/E338,0)</f>
        <v>-0.11274509803921569</v>
      </c>
      <c r="H345" s="1">
        <f>Table9[[#This Row],[Calls Off]]+H344</f>
        <v>1727</v>
      </c>
      <c r="I345" s="1">
        <f>Table9[[#This Row],[Calls Ans]]+I344</f>
        <v>1672</v>
      </c>
      <c r="J345" s="1">
        <f>J344+Table9[[#This Row],[Calls Off]]</f>
        <v>109597</v>
      </c>
      <c r="K345" s="1">
        <f>K344+Table9[[#This Row],[Calls Ans]]</f>
        <v>98379</v>
      </c>
      <c r="L345" s="18">
        <v>0.9</v>
      </c>
      <c r="M345" s="18">
        <v>0.04</v>
      </c>
      <c r="N345" s="18">
        <v>0.96</v>
      </c>
      <c r="O345" s="18">
        <v>0.75</v>
      </c>
      <c r="P345" s="24">
        <v>1</v>
      </c>
      <c r="Q345" s="264">
        <v>1.3078703703703703E-3</v>
      </c>
      <c r="R345" s="17">
        <v>3</v>
      </c>
    </row>
    <row r="346" spans="1:22" x14ac:dyDescent="0.35">
      <c r="A346" s="25">
        <v>44996</v>
      </c>
      <c r="B346" s="38" t="s">
        <v>54</v>
      </c>
      <c r="C346" s="38" t="s">
        <v>60</v>
      </c>
      <c r="D346" s="1">
        <v>193</v>
      </c>
      <c r="E346" s="1">
        <v>192</v>
      </c>
      <c r="F346" s="98">
        <f>IFERROR((Table9[[#This Row],[Calls Off]]-D339)/D339,0)</f>
        <v>0.37857142857142856</v>
      </c>
      <c r="G346" s="98">
        <f>IFERROR((Table9[[#This Row],[Calls Ans]]-E339)/E339,0)</f>
        <v>0.44360902255639095</v>
      </c>
      <c r="H346" s="1">
        <f>Table9[[#This Row],[Calls Off]]+H345</f>
        <v>1920</v>
      </c>
      <c r="I346" s="1">
        <f>Table9[[#This Row],[Calls Ans]]+I345</f>
        <v>1864</v>
      </c>
      <c r="J346" s="1">
        <f>J345+Table9[[#This Row],[Calls Off]]</f>
        <v>109790</v>
      </c>
      <c r="K346" s="1">
        <f>K345+Table9[[#This Row],[Calls Ans]]</f>
        <v>98571</v>
      </c>
      <c r="L346" s="18">
        <v>0.95</v>
      </c>
      <c r="M346" s="18">
        <v>0.01</v>
      </c>
      <c r="N346" s="18">
        <v>0.99</v>
      </c>
      <c r="O346" s="18">
        <v>0.68</v>
      </c>
      <c r="P346" s="24">
        <v>1</v>
      </c>
      <c r="Q346" s="264">
        <v>1.0532407407407407E-3</v>
      </c>
      <c r="R346" s="17">
        <v>3</v>
      </c>
    </row>
    <row r="347" spans="1:22" x14ac:dyDescent="0.35">
      <c r="A347" s="25">
        <v>44997</v>
      </c>
      <c r="B347" s="38" t="s">
        <v>48</v>
      </c>
      <c r="C347" s="38" t="s">
        <v>60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8">
        <v>0</v>
      </c>
      <c r="M347" s="18">
        <v>0</v>
      </c>
      <c r="N347" s="18">
        <v>0</v>
      </c>
      <c r="O347" s="18">
        <v>0</v>
      </c>
      <c r="P347" s="24">
        <v>0</v>
      </c>
      <c r="Q347" s="264">
        <v>0</v>
      </c>
      <c r="R347" s="17">
        <v>0</v>
      </c>
    </row>
    <row r="348" spans="1:22" x14ac:dyDescent="0.35">
      <c r="A348" s="25">
        <v>44998</v>
      </c>
      <c r="B348" s="38" t="s">
        <v>49</v>
      </c>
      <c r="C348" s="38" t="s">
        <v>60</v>
      </c>
      <c r="D348" s="1">
        <v>304</v>
      </c>
      <c r="E348" s="1">
        <v>289</v>
      </c>
      <c r="F348" s="98">
        <f>IFERROR((Table9[[#This Row],[Calls Off]]-D341)/D341,0)</f>
        <v>0.22088353413654618</v>
      </c>
      <c r="G348" s="98">
        <f>IFERROR((Table9[[#This Row],[Calls Ans]]-E341)/E341,0)</f>
        <v>0.18930041152263374</v>
      </c>
      <c r="H348" s="1">
        <f>Table9[[#This Row],[Calls Off]]+H346</f>
        <v>2224</v>
      </c>
      <c r="I348" s="1">
        <f>Table9[[#This Row],[Calls Ans]]+I346</f>
        <v>2153</v>
      </c>
      <c r="J348" s="1">
        <f>J346+Table9[[#This Row],[Calls Off]]</f>
        <v>110094</v>
      </c>
      <c r="K348" s="1">
        <f>K346+Table9[[#This Row],[Calls Ans]]</f>
        <v>98860</v>
      </c>
      <c r="L348" s="18">
        <v>0.86</v>
      </c>
      <c r="M348" s="18">
        <v>0.05</v>
      </c>
      <c r="N348" s="18">
        <v>0.95</v>
      </c>
      <c r="O348" s="18">
        <v>0.79</v>
      </c>
      <c r="P348" s="24">
        <v>1</v>
      </c>
      <c r="Q348" s="264">
        <v>1.1689814814814816E-3</v>
      </c>
      <c r="R348" s="17">
        <v>3</v>
      </c>
    </row>
    <row r="349" spans="1:22" x14ac:dyDescent="0.35">
      <c r="A349" s="29">
        <v>44999</v>
      </c>
      <c r="B349" s="38" t="s">
        <v>50</v>
      </c>
      <c r="C349" s="38" t="s">
        <v>60</v>
      </c>
      <c r="D349" s="1">
        <v>200</v>
      </c>
      <c r="E349" s="1">
        <v>195</v>
      </c>
      <c r="F349" s="98">
        <f>IFERROR((Table9[[#This Row],[Calls Off]]-D342)/D342,0)</f>
        <v>0</v>
      </c>
      <c r="G349" s="98">
        <f>IFERROR((Table9[[#This Row],[Calls Ans]]-E342)/E342,0)</f>
        <v>0</v>
      </c>
      <c r="H349" s="1">
        <f>Table9[[#This Row],[Calls Off]]+H348</f>
        <v>2424</v>
      </c>
      <c r="I349" s="1">
        <f>Table9[[#This Row],[Calls Ans]]+I348</f>
        <v>2348</v>
      </c>
      <c r="J349" s="1">
        <f>J348+Table9[[#This Row],[Calls Off]]</f>
        <v>110294</v>
      </c>
      <c r="K349" s="1">
        <f>K348+Table9[[#This Row],[Calls Ans]]</f>
        <v>99055</v>
      </c>
      <c r="L349" s="18">
        <v>0.9</v>
      </c>
      <c r="M349" s="18">
        <v>0.03</v>
      </c>
      <c r="N349" s="18">
        <v>0.97</v>
      </c>
      <c r="O349" s="18">
        <v>0.67</v>
      </c>
      <c r="P349" s="24">
        <v>1</v>
      </c>
      <c r="Q349" s="264">
        <v>1.1574074074074071E-3</v>
      </c>
      <c r="R349" s="17">
        <v>3</v>
      </c>
    </row>
    <row r="350" spans="1:22" x14ac:dyDescent="0.35">
      <c r="A350" s="29">
        <v>45000</v>
      </c>
      <c r="B350" s="38" t="s">
        <v>51</v>
      </c>
      <c r="C350" s="38" t="s">
        <v>60</v>
      </c>
      <c r="D350" s="1">
        <v>206</v>
      </c>
      <c r="E350" s="1">
        <v>191</v>
      </c>
      <c r="F350" s="98">
        <f>IFERROR((Table9[[#This Row],[Calls Off]]-D343)/D343,0)</f>
        <v>-0.14522821576763487</v>
      </c>
      <c r="G350" s="98">
        <f>IFERROR((Table9[[#This Row],[Calls Ans]]-E343)/E343,0)</f>
        <v>-0.16593886462882096</v>
      </c>
      <c r="H350" s="1">
        <f>Table9[[#This Row],[Calls Off]]+H348</f>
        <v>2430</v>
      </c>
      <c r="I350" s="1">
        <f>Table9[[#This Row],[Calls Ans]]+I348</f>
        <v>2344</v>
      </c>
      <c r="J350" s="1">
        <f>J348+Table9[[#This Row],[Calls Off]]</f>
        <v>110300</v>
      </c>
      <c r="K350" s="1">
        <f>K348+Table9[[#This Row],[Calls Ans]]</f>
        <v>99051</v>
      </c>
      <c r="L350" s="18">
        <v>0.81</v>
      </c>
      <c r="M350" s="18">
        <v>7.2800000000000004E-2</v>
      </c>
      <c r="N350" s="18">
        <v>0.93</v>
      </c>
      <c r="O350" s="18">
        <v>0.67</v>
      </c>
      <c r="P350" s="24">
        <v>1</v>
      </c>
      <c r="Q350" s="264">
        <v>1.5740740740740741E-3</v>
      </c>
      <c r="R350" s="17">
        <v>3</v>
      </c>
    </row>
    <row r="351" spans="1:22" x14ac:dyDescent="0.35">
      <c r="A351" s="29">
        <v>45001</v>
      </c>
      <c r="B351" s="38" t="s">
        <v>52</v>
      </c>
      <c r="C351" s="38" t="s">
        <v>60</v>
      </c>
      <c r="D351" s="1">
        <v>178</v>
      </c>
      <c r="E351" s="1">
        <v>169</v>
      </c>
      <c r="F351" s="98">
        <f>IFERROR((Table9[[#This Row],[Calls Off]]-D344)/D344,0)</f>
        <v>-0.30196078431372547</v>
      </c>
      <c r="G351" s="98">
        <f>IFERROR((Table9[[#This Row],[Calls Ans]]-E344)/E344,0)</f>
        <v>-0.32669322709163345</v>
      </c>
      <c r="H351" s="1">
        <f>Table9[[#This Row],[Calls Off]]+H350</f>
        <v>2608</v>
      </c>
      <c r="I351" s="1">
        <f>Table9[[#This Row],[Calls Ans]]+I350</f>
        <v>2513</v>
      </c>
      <c r="J351" s="1">
        <f>J350+Table9[[#This Row],[Calls Off]]</f>
        <v>110478</v>
      </c>
      <c r="K351" s="1">
        <f>K350+Table9[[#This Row],[Calls Ans]]</f>
        <v>99220</v>
      </c>
      <c r="L351" s="18">
        <v>0.94</v>
      </c>
      <c r="M351" s="18">
        <v>0.05</v>
      </c>
      <c r="N351" s="18">
        <v>0.95</v>
      </c>
      <c r="O351" s="18">
        <v>0.77</v>
      </c>
      <c r="P351" s="24">
        <v>1</v>
      </c>
      <c r="Q351" s="264">
        <v>9.9537037037037042E-4</v>
      </c>
      <c r="R351" s="17">
        <v>3</v>
      </c>
    </row>
    <row r="352" spans="1:22" x14ac:dyDescent="0.35">
      <c r="A352" s="29">
        <v>45002</v>
      </c>
      <c r="B352" s="38" t="s">
        <v>53</v>
      </c>
      <c r="C352" s="38" t="s">
        <v>60</v>
      </c>
      <c r="D352" s="1">
        <v>180</v>
      </c>
      <c r="E352" s="1">
        <v>175</v>
      </c>
      <c r="F352" s="98">
        <f>IFERROR((Table9[[#This Row],[Calls Off]]-D345)/D345,0)</f>
        <v>-4.7619047619047616E-2</v>
      </c>
      <c r="G352" s="98">
        <f>IFERROR((Table9[[#This Row],[Calls Ans]]-E345)/E345,0)</f>
        <v>-3.3149171270718231E-2</v>
      </c>
      <c r="H352" s="1">
        <f>Table9[[#This Row],[Calls Off]]+H350</f>
        <v>2610</v>
      </c>
      <c r="I352" s="1">
        <f>Table9[[#This Row],[Calls Ans]]+I350</f>
        <v>2519</v>
      </c>
      <c r="J352" s="1">
        <f>J350+Table9[[#This Row],[Calls Off]]</f>
        <v>110480</v>
      </c>
      <c r="K352" s="1">
        <f>K350+Table9[[#This Row],[Calls Ans]]</f>
        <v>99226</v>
      </c>
      <c r="L352" s="18">
        <v>0.89</v>
      </c>
      <c r="M352" s="18">
        <v>0.03</v>
      </c>
      <c r="N352" s="18">
        <v>0.97</v>
      </c>
      <c r="O352" s="18">
        <v>0.66</v>
      </c>
      <c r="P352" s="24">
        <v>1</v>
      </c>
      <c r="Q352" s="264">
        <v>1.8865740740740742E-3</v>
      </c>
      <c r="R352" s="17">
        <v>3</v>
      </c>
    </row>
    <row r="353" spans="1:18" x14ac:dyDescent="0.35">
      <c r="A353" s="29">
        <v>45003</v>
      </c>
      <c r="B353" s="38" t="s">
        <v>54</v>
      </c>
      <c r="C353" s="38" t="s">
        <v>60</v>
      </c>
      <c r="D353" s="1">
        <v>117</v>
      </c>
      <c r="E353" s="1">
        <v>116</v>
      </c>
      <c r="F353" s="98">
        <f>IFERROR((Table9[[#This Row],[Calls Off]]-D346)/D346,0)</f>
        <v>-0.39378238341968913</v>
      </c>
      <c r="G353" s="98">
        <f>IFERROR((Table9[[#This Row],[Calls Ans]]-E346)/E346,0)</f>
        <v>-0.39583333333333331</v>
      </c>
      <c r="H353" s="1">
        <f>Table9[[#This Row],[Calls Off]]+H352</f>
        <v>2727</v>
      </c>
      <c r="I353" s="1">
        <f>Table9[[#This Row],[Calls Ans]]+I352</f>
        <v>2635</v>
      </c>
      <c r="J353" s="1">
        <f>J352+Table9[[#This Row],[Calls Off]]</f>
        <v>110597</v>
      </c>
      <c r="K353" s="1">
        <f>K352+Table9[[#This Row],[Calls Ans]]</f>
        <v>99342</v>
      </c>
      <c r="L353" s="18">
        <v>0.99</v>
      </c>
      <c r="M353" s="18">
        <v>0.99</v>
      </c>
      <c r="N353" s="18">
        <v>0.01</v>
      </c>
      <c r="O353" s="18">
        <v>0.99</v>
      </c>
      <c r="P353" s="24">
        <v>1</v>
      </c>
      <c r="Q353" s="264">
        <v>1.25E-3</v>
      </c>
      <c r="R353" s="17">
        <v>2</v>
      </c>
    </row>
    <row r="354" spans="1:18" x14ac:dyDescent="0.35">
      <c r="A354" s="29">
        <v>45004</v>
      </c>
      <c r="B354" s="38" t="s">
        <v>48</v>
      </c>
      <c r="C354" s="38" t="s">
        <v>60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8">
        <v>0</v>
      </c>
      <c r="M354" s="18">
        <v>0</v>
      </c>
      <c r="N354" s="18">
        <v>0</v>
      </c>
      <c r="O354" s="18">
        <v>0</v>
      </c>
      <c r="P354" s="24">
        <v>0</v>
      </c>
      <c r="Q354" s="264">
        <v>0</v>
      </c>
      <c r="R354" s="17">
        <v>0</v>
      </c>
    </row>
    <row r="355" spans="1:18" x14ac:dyDescent="0.35">
      <c r="A355" s="29">
        <v>45005</v>
      </c>
      <c r="B355" s="38" t="s">
        <v>49</v>
      </c>
      <c r="C355" s="38" t="s">
        <v>60</v>
      </c>
      <c r="D355" s="1">
        <v>227</v>
      </c>
      <c r="E355" s="1">
        <v>221</v>
      </c>
      <c r="F355" s="98">
        <f>IFERROR((Table9[[#This Row],[Calls Off]]-D348)/D348,0)</f>
        <v>-0.25328947368421051</v>
      </c>
      <c r="G355" s="98">
        <f>IFERROR((Table9[[#This Row],[Calls Ans]]-E348)/E348,0)</f>
        <v>-0.23529411764705882</v>
      </c>
      <c r="H355" s="1">
        <f>Table9[[#This Row],[Calls Off]]+H353</f>
        <v>2954</v>
      </c>
      <c r="I355" s="1">
        <f>Table9[[#This Row],[Calls Ans]]+I353</f>
        <v>2856</v>
      </c>
      <c r="J355" s="1">
        <f>J353+Table9[[#This Row],[Calls Off]]</f>
        <v>110824</v>
      </c>
      <c r="K355" s="1">
        <f>K353+Table9[[#This Row],[Calls Ans]]</f>
        <v>99563</v>
      </c>
      <c r="L355" s="18">
        <v>0.9</v>
      </c>
      <c r="M355" s="18">
        <v>0.03</v>
      </c>
      <c r="N355" s="18">
        <v>0.97</v>
      </c>
      <c r="O355" s="18">
        <v>0.88</v>
      </c>
      <c r="P355" s="24">
        <v>1</v>
      </c>
      <c r="Q355" s="264">
        <v>1.4351851851851854E-3</v>
      </c>
      <c r="R355" s="17">
        <v>3</v>
      </c>
    </row>
    <row r="356" spans="1:18" x14ac:dyDescent="0.35">
      <c r="A356" s="29">
        <v>45006</v>
      </c>
      <c r="B356" s="38" t="s">
        <v>50</v>
      </c>
      <c r="C356" s="38" t="s">
        <v>60</v>
      </c>
      <c r="D356" s="1">
        <v>192</v>
      </c>
      <c r="E356" s="1">
        <v>185</v>
      </c>
      <c r="F356" s="98">
        <f>IFERROR((Table9[[#This Row],[Calls Off]]-D349)/D349,0)</f>
        <v>-0.04</v>
      </c>
      <c r="G356" s="98">
        <f>IFERROR((Table9[[#This Row],[Calls Ans]]-E349)/E349,0)</f>
        <v>-5.128205128205128E-2</v>
      </c>
      <c r="H356" s="1">
        <f>Table9[[#This Row],[Calls Off]]+H355</f>
        <v>3146</v>
      </c>
      <c r="I356" s="1">
        <f>Table9[[#This Row],[Calls Ans]]+I355</f>
        <v>3041</v>
      </c>
      <c r="J356" s="1">
        <f>J355+Table9[[#This Row],[Calls Off]]</f>
        <v>111016</v>
      </c>
      <c r="K356" s="1">
        <f>K355+Table9[[#This Row],[Calls Ans]]</f>
        <v>99748</v>
      </c>
      <c r="L356" s="18">
        <v>0.93</v>
      </c>
      <c r="M356" s="18">
        <v>0.04</v>
      </c>
      <c r="N356" s="18">
        <v>0.96</v>
      </c>
      <c r="O356" s="18">
        <v>0.64</v>
      </c>
      <c r="P356" s="24">
        <v>1</v>
      </c>
      <c r="Q356" s="264">
        <v>1.1921296296296298E-3</v>
      </c>
      <c r="R356" s="17">
        <v>3</v>
      </c>
    </row>
    <row r="357" spans="1:18" x14ac:dyDescent="0.35">
      <c r="A357" s="29">
        <v>45007</v>
      </c>
      <c r="B357" s="38" t="s">
        <v>51</v>
      </c>
      <c r="C357" s="38" t="s">
        <v>60</v>
      </c>
      <c r="D357" s="1">
        <v>180</v>
      </c>
      <c r="E357" s="1">
        <v>178</v>
      </c>
      <c r="F357" s="98">
        <f>IFERROR((Table9[[#This Row],[Calls Off]]-D350)/D350,0)</f>
        <v>-0.12621359223300971</v>
      </c>
      <c r="G357" s="98">
        <f>IFERROR((Table9[[#This Row],[Calls Ans]]-E350)/E350,0)</f>
        <v>-6.8062827225130892E-2</v>
      </c>
      <c r="H357" s="1">
        <f>Table9[[#This Row],[Calls Off]]+H355</f>
        <v>3134</v>
      </c>
      <c r="I357" s="1">
        <f>Table9[[#This Row],[Calls Ans]]+I355</f>
        <v>3034</v>
      </c>
      <c r="J357" s="1">
        <f>J355+Table9[[#This Row],[Calls Off]]</f>
        <v>111004</v>
      </c>
      <c r="K357" s="1">
        <f>K355+Table9[[#This Row],[Calls Ans]]</f>
        <v>99741</v>
      </c>
      <c r="L357" s="18">
        <v>0.89</v>
      </c>
      <c r="M357" s="18">
        <v>0.01</v>
      </c>
      <c r="N357" s="18">
        <v>0.99</v>
      </c>
      <c r="O357" s="18">
        <v>0.69</v>
      </c>
      <c r="P357" s="24">
        <v>1</v>
      </c>
      <c r="Q357" s="264">
        <v>1.0532407407407407E-3</v>
      </c>
      <c r="R357" s="17">
        <v>3</v>
      </c>
    </row>
    <row r="358" spans="1:18" x14ac:dyDescent="0.35">
      <c r="A358" s="29">
        <v>45008</v>
      </c>
      <c r="B358" s="38" t="s">
        <v>52</v>
      </c>
      <c r="C358" s="38" t="s">
        <v>60</v>
      </c>
      <c r="D358" s="1">
        <v>213</v>
      </c>
      <c r="E358" s="1">
        <v>202</v>
      </c>
      <c r="F358" s="98">
        <f>IFERROR((Table9[[#This Row],[Calls Off]]-D351)/D351,0)</f>
        <v>0.19662921348314608</v>
      </c>
      <c r="G358" s="98">
        <f>IFERROR((Table9[[#This Row],[Calls Ans]]-E351)/E351,0)</f>
        <v>0.19526627218934911</v>
      </c>
      <c r="H358" s="1">
        <f>Table9[[#This Row],[Calls Off]]+H357</f>
        <v>3347</v>
      </c>
      <c r="I358" s="1">
        <f>Table9[[#This Row],[Calls Ans]]+I357</f>
        <v>3236</v>
      </c>
      <c r="J358" s="1">
        <f>J357+Table9[[#This Row],[Calls Off]]</f>
        <v>111217</v>
      </c>
      <c r="K358" s="1">
        <f>K357+Table9[[#This Row],[Calls Ans]]</f>
        <v>99943</v>
      </c>
      <c r="L358" s="18">
        <v>0.83</v>
      </c>
      <c r="M358" s="18">
        <v>0.05</v>
      </c>
      <c r="N358" s="18">
        <v>0.95</v>
      </c>
      <c r="O358" s="18">
        <v>0.66</v>
      </c>
      <c r="P358" s="24">
        <v>1</v>
      </c>
      <c r="Q358" s="264">
        <v>1.4467592592592594E-3</v>
      </c>
      <c r="R358" s="17">
        <v>3</v>
      </c>
    </row>
    <row r="359" spans="1:18" x14ac:dyDescent="0.35">
      <c r="A359" s="29">
        <v>45009</v>
      </c>
      <c r="B359" s="38" t="s">
        <v>53</v>
      </c>
      <c r="C359" s="38" t="s">
        <v>60</v>
      </c>
      <c r="D359" s="1">
        <v>219</v>
      </c>
      <c r="E359" s="1">
        <v>208</v>
      </c>
      <c r="F359" s="98">
        <f>IFERROR((Table9[[#This Row],[Calls Off]]-D352)/D352,0)</f>
        <v>0.21666666666666667</v>
      </c>
      <c r="G359" s="98">
        <f>IFERROR((Table9[[#This Row],[Calls Ans]]-E352)/E352,0)</f>
        <v>0.18857142857142858</v>
      </c>
      <c r="H359" s="1">
        <f>Table9[[#This Row],[Calls Off]]+H357</f>
        <v>3353</v>
      </c>
      <c r="I359" s="1">
        <f>Table9[[#This Row],[Calls Ans]]+I357</f>
        <v>3242</v>
      </c>
      <c r="J359" s="1">
        <f>J357+Table9[[#This Row],[Calls Off]]</f>
        <v>111223</v>
      </c>
      <c r="K359" s="1">
        <f>K357+Table9[[#This Row],[Calls Ans]]</f>
        <v>99949</v>
      </c>
      <c r="L359" s="18">
        <v>0.81</v>
      </c>
      <c r="M359" s="18">
        <v>0.05</v>
      </c>
      <c r="N359" s="18">
        <v>0.95</v>
      </c>
      <c r="O359" s="18">
        <v>0.92</v>
      </c>
      <c r="P359" s="24">
        <v>1</v>
      </c>
      <c r="Q359" s="264">
        <v>9.3750000000000007E-4</v>
      </c>
      <c r="R359" s="17">
        <v>3</v>
      </c>
    </row>
    <row r="360" spans="1:18" x14ac:dyDescent="0.35">
      <c r="A360" s="29">
        <v>45010</v>
      </c>
      <c r="B360" s="38" t="s">
        <v>54</v>
      </c>
      <c r="C360" s="38" t="s">
        <v>60</v>
      </c>
      <c r="D360" s="1">
        <v>140</v>
      </c>
      <c r="E360" s="1">
        <v>138</v>
      </c>
      <c r="F360" s="98">
        <f>IFERROR((Table9[[#This Row],[Calls Off]]-D353)/D353,0)</f>
        <v>0.19658119658119658</v>
      </c>
      <c r="G360" s="98">
        <f>IFERROR((Table9[[#This Row],[Calls Ans]]-E353)/E353,0)</f>
        <v>0.18965517241379309</v>
      </c>
      <c r="H360" s="1">
        <f>Table9[[#This Row],[Calls Off]]+H359</f>
        <v>3493</v>
      </c>
      <c r="I360" s="1">
        <f>Table9[[#This Row],[Calls Ans]]+I359</f>
        <v>3380</v>
      </c>
      <c r="J360" s="1">
        <f>J359+Table9[[#This Row],[Calls Off]]</f>
        <v>111363</v>
      </c>
      <c r="K360" s="1">
        <f>K359+Table9[[#This Row],[Calls Ans]]</f>
        <v>100087</v>
      </c>
      <c r="L360" s="18">
        <v>0.98</v>
      </c>
      <c r="M360" s="18">
        <v>0.01</v>
      </c>
      <c r="N360" s="18">
        <v>0.99</v>
      </c>
      <c r="O360" s="18">
        <v>0.62</v>
      </c>
      <c r="P360" s="24">
        <v>0.98</v>
      </c>
      <c r="Q360" s="264">
        <v>1.0648148148148147E-3</v>
      </c>
      <c r="R360" s="17">
        <v>3</v>
      </c>
    </row>
    <row r="361" spans="1:18" x14ac:dyDescent="0.35">
      <c r="A361" s="29">
        <v>45011</v>
      </c>
      <c r="B361" s="38" t="s">
        <v>48</v>
      </c>
      <c r="C361" s="38" t="s">
        <v>60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8">
        <v>0</v>
      </c>
      <c r="M361" s="18">
        <v>0</v>
      </c>
      <c r="N361" s="18">
        <v>0</v>
      </c>
      <c r="O361" s="18">
        <v>0</v>
      </c>
      <c r="P361" s="24">
        <v>0</v>
      </c>
      <c r="Q361" s="264">
        <v>0</v>
      </c>
      <c r="R361" s="17">
        <v>0</v>
      </c>
    </row>
    <row r="362" spans="1:18" x14ac:dyDescent="0.35">
      <c r="A362" s="29">
        <v>45012</v>
      </c>
      <c r="B362" s="38" t="s">
        <v>49</v>
      </c>
      <c r="C362" s="38" t="s">
        <v>60</v>
      </c>
      <c r="D362" s="1">
        <v>261</v>
      </c>
      <c r="E362" s="1">
        <v>252</v>
      </c>
      <c r="F362" s="98">
        <f>IFERROR((Table9[[#This Row],[Calls Off]]-D355)/D355,0)</f>
        <v>0.14977973568281938</v>
      </c>
      <c r="G362" s="98">
        <f>IFERROR((Table9[[#This Row],[Calls Ans]]-E355)/E355,0)</f>
        <v>0.14027149321266968</v>
      </c>
      <c r="H362" s="1">
        <f>Table9[[#This Row],[Calls Off]]+H360</f>
        <v>3754</v>
      </c>
      <c r="I362" s="1">
        <f>Table9[[#This Row],[Calls Ans]]+I360</f>
        <v>3632</v>
      </c>
      <c r="J362" s="1">
        <f>J360+Table9[[#This Row],[Calls Off]]</f>
        <v>111624</v>
      </c>
      <c r="K362" s="1">
        <f>K360+Table9[[#This Row],[Calls Ans]]</f>
        <v>100339</v>
      </c>
      <c r="L362" s="18">
        <v>0.9</v>
      </c>
      <c r="M362" s="18">
        <v>0.03</v>
      </c>
      <c r="N362" s="18">
        <v>0.97</v>
      </c>
      <c r="O362" s="18">
        <v>0.74</v>
      </c>
      <c r="P362" s="24">
        <v>1</v>
      </c>
      <c r="Q362" s="264">
        <v>1.0879629629629631E-3</v>
      </c>
      <c r="R362" s="17">
        <v>4</v>
      </c>
    </row>
    <row r="363" spans="1:18" x14ac:dyDescent="0.35">
      <c r="A363" s="29">
        <v>45013</v>
      </c>
      <c r="B363" s="38" t="s">
        <v>50</v>
      </c>
      <c r="C363" s="38" t="s">
        <v>60</v>
      </c>
      <c r="D363" s="1">
        <v>267</v>
      </c>
      <c r="E363" s="1">
        <v>264</v>
      </c>
      <c r="F363" s="98">
        <f>IFERROR((Table9[[#This Row],[Calls Off]]-D356)/D356,0)</f>
        <v>0.390625</v>
      </c>
      <c r="G363" s="98">
        <f>IFERROR((Table9[[#This Row],[Calls Ans]]-E356)/E356,0)</f>
        <v>0.42702702702702705</v>
      </c>
      <c r="H363" s="1">
        <f>Table9[[#This Row],[Calls Off]]+H362</f>
        <v>4021</v>
      </c>
      <c r="I363" s="1">
        <f>Table9[[#This Row],[Calls Ans]]+I362</f>
        <v>3896</v>
      </c>
      <c r="J363" s="1">
        <f>J362+Table9[[#This Row],[Calls Off]]</f>
        <v>111891</v>
      </c>
      <c r="K363" s="1">
        <f>K362+Table9[[#This Row],[Calls Ans]]</f>
        <v>100603</v>
      </c>
      <c r="L363" s="18">
        <v>0.94</v>
      </c>
      <c r="M363" s="18">
        <v>0.01</v>
      </c>
      <c r="N363" s="18">
        <v>0.99</v>
      </c>
      <c r="O363" s="18">
        <v>0.76</v>
      </c>
      <c r="P363" s="24">
        <v>1</v>
      </c>
      <c r="Q363" s="264">
        <v>1.1458333333333331E-3</v>
      </c>
      <c r="R363" s="17">
        <v>4</v>
      </c>
    </row>
    <row r="364" spans="1:18" x14ac:dyDescent="0.35">
      <c r="A364" s="29">
        <v>45014</v>
      </c>
      <c r="B364" s="38" t="s">
        <v>51</v>
      </c>
      <c r="C364" s="38" t="s">
        <v>60</v>
      </c>
      <c r="D364" s="1">
        <v>211</v>
      </c>
      <c r="E364" s="1">
        <v>200</v>
      </c>
      <c r="F364" s="98">
        <f>IFERROR((Table9[[#This Row],[Calls Off]]-D357)/D357,0)</f>
        <v>0.17222222222222222</v>
      </c>
      <c r="G364" s="98">
        <f>IFERROR((Table9[[#This Row],[Calls Ans]]-E357)/E357,0)</f>
        <v>0.12359550561797752</v>
      </c>
      <c r="H364" s="1">
        <f>Table9[[#This Row],[Calls Off]]+H362</f>
        <v>3965</v>
      </c>
      <c r="I364" s="1">
        <f>Table9[[#This Row],[Calls Ans]]+I362</f>
        <v>3832</v>
      </c>
      <c r="J364" s="1">
        <f>J362+Table9[[#This Row],[Calls Off]]</f>
        <v>111835</v>
      </c>
      <c r="K364" s="1">
        <f>K362+Table9[[#This Row],[Calls Ans]]</f>
        <v>100539</v>
      </c>
      <c r="L364" s="18">
        <v>0.86</v>
      </c>
      <c r="M364" s="18">
        <v>0.05</v>
      </c>
      <c r="N364" s="18">
        <v>0.95</v>
      </c>
      <c r="O364" s="18">
        <v>0.67</v>
      </c>
      <c r="P364" s="24">
        <v>0.99</v>
      </c>
      <c r="Q364" s="264">
        <v>1.4120370370370369E-3</v>
      </c>
      <c r="R364" s="17">
        <v>2</v>
      </c>
    </row>
    <row r="365" spans="1:18" x14ac:dyDescent="0.35">
      <c r="A365" s="29">
        <v>45015</v>
      </c>
      <c r="B365" s="38" t="s">
        <v>52</v>
      </c>
      <c r="C365" s="38" t="s">
        <v>60</v>
      </c>
      <c r="D365" s="1">
        <v>230</v>
      </c>
      <c r="E365" s="1">
        <v>219</v>
      </c>
      <c r="F365" s="98">
        <f>IFERROR((Table9[[#This Row],[Calls Off]]-D358)/D358,0)</f>
        <v>7.9812206572769953E-2</v>
      </c>
      <c r="G365" s="98">
        <f>IFERROR((Table9[[#This Row],[Calls Ans]]-E358)/E358,0)</f>
        <v>8.4158415841584164E-2</v>
      </c>
      <c r="H365" s="1">
        <f>Table9[[#This Row],[Calls Off]]+H364</f>
        <v>4195</v>
      </c>
      <c r="I365" s="1">
        <f>Table9[[#This Row],[Calls Ans]]+I364</f>
        <v>4051</v>
      </c>
      <c r="J365" s="1">
        <f>J364+Table9[[#This Row],[Calls Off]]</f>
        <v>112065</v>
      </c>
      <c r="K365" s="1">
        <f>K364+Table9[[#This Row],[Calls Ans]]</f>
        <v>100758</v>
      </c>
      <c r="L365" s="18">
        <v>0.88</v>
      </c>
      <c r="M365" s="18">
        <v>0.05</v>
      </c>
      <c r="N365" s="18">
        <v>0.95</v>
      </c>
      <c r="O365" s="18">
        <v>0.71</v>
      </c>
      <c r="P365" s="24">
        <v>1</v>
      </c>
      <c r="Q365" s="264">
        <v>1.8287037037037037E-3</v>
      </c>
      <c r="R365" s="17">
        <v>3</v>
      </c>
    </row>
    <row r="366" spans="1:18" x14ac:dyDescent="0.35">
      <c r="A366" s="29">
        <v>45016</v>
      </c>
      <c r="B366" s="38" t="s">
        <v>53</v>
      </c>
      <c r="C366" s="38" t="s">
        <v>60</v>
      </c>
      <c r="D366" s="1">
        <v>229</v>
      </c>
      <c r="E366" s="1">
        <v>208</v>
      </c>
      <c r="F366" s="98">
        <f>IFERROR((Table9[[#This Row],[Calls Off]]-D359)/D359,0)</f>
        <v>4.5662100456621002E-2</v>
      </c>
      <c r="G366" s="98">
        <f>IFERROR((Table9[[#This Row],[Calls Ans]]-E359)/E359,0)</f>
        <v>0</v>
      </c>
      <c r="H366" s="1">
        <f>Table9[[#This Row],[Calls Off]]+H364</f>
        <v>4194</v>
      </c>
      <c r="I366" s="1">
        <f>Table9[[#This Row],[Calls Ans]]+I364</f>
        <v>4040</v>
      </c>
      <c r="J366" s="1">
        <f>J364+Table9[[#This Row],[Calls Off]]</f>
        <v>112064</v>
      </c>
      <c r="K366" s="1">
        <f>K364+Table9[[#This Row],[Calls Ans]]</f>
        <v>100747</v>
      </c>
      <c r="L366" s="18">
        <v>0.76</v>
      </c>
      <c r="M366" s="18">
        <v>0.09</v>
      </c>
      <c r="N366" s="18">
        <v>0.91</v>
      </c>
      <c r="O366" s="18">
        <v>0.71</v>
      </c>
      <c r="P366" s="24">
        <v>1</v>
      </c>
      <c r="Q366" s="264">
        <v>1.261574074074074E-3</v>
      </c>
      <c r="R366" s="17">
        <v>3</v>
      </c>
    </row>
  </sheetData>
  <mergeCells count="1">
    <mergeCell ref="U133:V133"/>
  </mergeCells>
  <phoneticPr fontId="8" type="noConversion"/>
  <dataValidations count="2">
    <dataValidation type="list" allowBlank="1" showInputMessage="1" showErrorMessage="1" sqref="W46:W47 U110:U111" xr:uid="{0C60AD72-4AA5-4C15-91AB-46FAC66AFAF3}">
      <formula1>period_GUY</formula1>
    </dataValidation>
    <dataValidation type="list" allowBlank="1" showInputMessage="1" showErrorMessage="1" sqref="X3:X4" xr:uid="{E1B45D47-F307-4719-92C6-37E919E75AF0}">
      <formula1>WoW_dates_GUY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E970-7FA2-43AC-8519-0FD79E19708E}">
  <sheetPr codeName="Sheet6"/>
  <dimension ref="A1:AA369"/>
  <sheetViews>
    <sheetView tabSelected="1" zoomScale="70" zoomScaleNormal="70"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V348" sqref="V348"/>
    </sheetView>
  </sheetViews>
  <sheetFormatPr defaultRowHeight="14.5" x14ac:dyDescent="0.35"/>
  <cols>
    <col min="2" max="2" width="19" bestFit="1" customWidth="1"/>
    <col min="3" max="3" width="5.08984375" customWidth="1"/>
    <col min="4" max="4" width="10" customWidth="1"/>
    <col min="5" max="5" width="10.36328125" customWidth="1"/>
    <col min="6" max="6" width="27.54296875" bestFit="1" customWidth="1"/>
    <col min="7" max="7" width="24.1796875" bestFit="1" customWidth="1"/>
    <col min="8" max="8" width="21.81640625" bestFit="1" customWidth="1"/>
    <col min="9" max="9" width="18.36328125" bestFit="1" customWidth="1"/>
    <col min="10" max="10" width="21" bestFit="1" customWidth="1"/>
    <col min="11" max="11" width="17.6328125" bestFit="1" customWidth="1"/>
    <col min="15" max="15" width="8.90625" customWidth="1"/>
    <col min="22" max="22" width="9.81640625" customWidth="1"/>
    <col min="23" max="23" width="21.81640625" bestFit="1" customWidth="1"/>
    <col min="24" max="24" width="23.1796875" bestFit="1" customWidth="1"/>
    <col min="25" max="25" width="11.26953125" bestFit="1" customWidth="1"/>
    <col min="29" max="29" width="9.6328125" bestFit="1" customWidth="1"/>
  </cols>
  <sheetData>
    <row r="1" spans="1:26" x14ac:dyDescent="0.35">
      <c r="A1" s="27" t="s">
        <v>36</v>
      </c>
      <c r="B1" s="30" t="s">
        <v>55</v>
      </c>
      <c r="C1" s="30" t="s">
        <v>59</v>
      </c>
      <c r="D1" s="30" t="s">
        <v>58</v>
      </c>
      <c r="E1" s="30" t="s">
        <v>34</v>
      </c>
      <c r="F1" s="30" t="s">
        <v>154</v>
      </c>
      <c r="G1" s="30" t="s">
        <v>61</v>
      </c>
      <c r="H1" s="30" t="s">
        <v>56</v>
      </c>
      <c r="I1" s="30" t="s">
        <v>57</v>
      </c>
      <c r="J1" s="30" t="s">
        <v>153</v>
      </c>
      <c r="K1" s="30" t="s">
        <v>152</v>
      </c>
      <c r="L1" s="30" t="s">
        <v>32</v>
      </c>
      <c r="M1" s="30" t="s">
        <v>5</v>
      </c>
      <c r="N1" s="30" t="s">
        <v>4</v>
      </c>
      <c r="O1" s="30" t="s">
        <v>33</v>
      </c>
      <c r="P1" s="31" t="s">
        <v>7</v>
      </c>
      <c r="Q1" s="27" t="s">
        <v>82</v>
      </c>
      <c r="R1" s="27" t="s">
        <v>83</v>
      </c>
      <c r="S1" s="27" t="s">
        <v>80</v>
      </c>
    </row>
    <row r="2" spans="1:26" s="54" customFormat="1" x14ac:dyDescent="0.35">
      <c r="A2" s="58">
        <v>44652</v>
      </c>
      <c r="B2" s="55" t="s">
        <v>53</v>
      </c>
      <c r="C2" s="55" t="s">
        <v>60</v>
      </c>
      <c r="D2" s="56">
        <v>976</v>
      </c>
      <c r="E2" s="56">
        <v>860</v>
      </c>
      <c r="F2" s="91">
        <v>0.21544209215442092</v>
      </c>
      <c r="G2" s="91">
        <v>0.14513981358189082</v>
      </c>
      <c r="H2" s="56">
        <v>976</v>
      </c>
      <c r="I2" s="56">
        <v>860</v>
      </c>
      <c r="J2" s="56">
        <v>976</v>
      </c>
      <c r="K2" s="56">
        <v>860</v>
      </c>
      <c r="L2" s="57">
        <v>0.57999999999999996</v>
      </c>
      <c r="M2" s="57">
        <v>0.12</v>
      </c>
      <c r="N2" s="57">
        <v>0.88</v>
      </c>
      <c r="O2" s="57">
        <v>0.59</v>
      </c>
      <c r="P2" s="57">
        <v>0.74</v>
      </c>
      <c r="Q2" s="212"/>
      <c r="R2" s="212"/>
      <c r="S2" s="136"/>
    </row>
    <row r="3" spans="1:26" x14ac:dyDescent="0.35">
      <c r="A3" s="23">
        <v>44653</v>
      </c>
      <c r="B3" s="38" t="s">
        <v>54</v>
      </c>
      <c r="C3" s="38" t="s">
        <v>60</v>
      </c>
      <c r="D3" s="1">
        <v>471</v>
      </c>
      <c r="E3" s="1">
        <v>441</v>
      </c>
      <c r="F3" s="72">
        <v>8.5653104925053538E-3</v>
      </c>
      <c r="G3" s="72">
        <v>-0.02</v>
      </c>
      <c r="H3" s="1">
        <v>1447</v>
      </c>
      <c r="I3" s="1">
        <v>1301</v>
      </c>
      <c r="J3" s="1">
        <v>1447</v>
      </c>
      <c r="K3" s="1">
        <v>1301</v>
      </c>
      <c r="L3" s="18">
        <v>0.82</v>
      </c>
      <c r="M3" s="18">
        <v>0.06</v>
      </c>
      <c r="N3" s="18">
        <v>0.94</v>
      </c>
      <c r="O3" s="18">
        <v>0.36</v>
      </c>
      <c r="P3" s="18">
        <v>0.69</v>
      </c>
      <c r="Q3" s="18"/>
      <c r="R3" s="18"/>
      <c r="S3" s="1"/>
    </row>
    <row r="4" spans="1:26" x14ac:dyDescent="0.35">
      <c r="A4" s="23">
        <v>44654</v>
      </c>
      <c r="B4" s="38" t="s">
        <v>48</v>
      </c>
      <c r="C4" s="38" t="s">
        <v>60</v>
      </c>
      <c r="D4" s="1">
        <v>0</v>
      </c>
      <c r="E4" s="1">
        <v>0</v>
      </c>
      <c r="F4" s="72">
        <v>0</v>
      </c>
      <c r="G4" s="72">
        <v>0</v>
      </c>
      <c r="H4" s="1">
        <v>0</v>
      </c>
      <c r="I4" s="1">
        <v>0</v>
      </c>
      <c r="J4" s="1">
        <v>0</v>
      </c>
      <c r="K4" s="1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/>
      <c r="R4" s="18"/>
      <c r="S4" s="1"/>
    </row>
    <row r="5" spans="1:26" x14ac:dyDescent="0.35">
      <c r="A5" s="25">
        <v>44655</v>
      </c>
      <c r="B5" s="38" t="s">
        <v>49</v>
      </c>
      <c r="C5" s="38" t="s">
        <v>60</v>
      </c>
      <c r="D5" s="42">
        <v>1090</v>
      </c>
      <c r="E5" s="42">
        <v>963</v>
      </c>
      <c r="F5" s="96">
        <v>0.14857744994731295</v>
      </c>
      <c r="G5" s="96">
        <v>0.12763466042154567</v>
      </c>
      <c r="H5" s="42">
        <v>2537</v>
      </c>
      <c r="I5" s="42">
        <v>2264</v>
      </c>
      <c r="J5" s="42">
        <v>2537</v>
      </c>
      <c r="K5" s="42">
        <v>2264</v>
      </c>
      <c r="L5" s="52">
        <v>0.65</v>
      </c>
      <c r="M5" s="52">
        <v>0.12</v>
      </c>
      <c r="N5" s="52">
        <v>0.88</v>
      </c>
      <c r="O5" s="52">
        <v>0.6</v>
      </c>
      <c r="P5" s="52">
        <v>0.69</v>
      </c>
      <c r="Q5" s="52"/>
      <c r="R5" s="52"/>
      <c r="S5" s="1"/>
    </row>
    <row r="6" spans="1:26" x14ac:dyDescent="0.35">
      <c r="A6" s="25">
        <v>44656</v>
      </c>
      <c r="B6" s="38" t="s">
        <v>50</v>
      </c>
      <c r="C6" s="38" t="s">
        <v>60</v>
      </c>
      <c r="D6" s="42">
        <v>934</v>
      </c>
      <c r="E6" s="42">
        <v>842</v>
      </c>
      <c r="F6" s="96">
        <v>3.8932146829810901E-2</v>
      </c>
      <c r="G6" s="96">
        <v>1.0804321728691477E-2</v>
      </c>
      <c r="H6" s="42">
        <v>3471</v>
      </c>
      <c r="I6" s="42">
        <v>3106</v>
      </c>
      <c r="J6" s="42">
        <v>3471</v>
      </c>
      <c r="K6" s="42">
        <v>3106</v>
      </c>
      <c r="L6" s="52">
        <v>0.7</v>
      </c>
      <c r="M6" s="52">
        <v>0.1</v>
      </c>
      <c r="N6" s="52">
        <v>0.9</v>
      </c>
      <c r="O6" s="52">
        <v>0.52</v>
      </c>
      <c r="P6" s="52">
        <v>0.69</v>
      </c>
      <c r="Q6" s="52"/>
      <c r="R6" s="52"/>
      <c r="S6" s="1"/>
      <c r="Y6" t="s">
        <v>68</v>
      </c>
      <c r="Z6" s="16">
        <v>44655</v>
      </c>
    </row>
    <row r="7" spans="1:26" x14ac:dyDescent="0.35">
      <c r="A7" s="25">
        <v>44657</v>
      </c>
      <c r="B7" s="38" t="s">
        <v>51</v>
      </c>
      <c r="C7" s="38" t="s">
        <v>60</v>
      </c>
      <c r="D7" s="42">
        <v>795</v>
      </c>
      <c r="E7" s="42">
        <v>761</v>
      </c>
      <c r="F7" s="96">
        <v>0</v>
      </c>
      <c r="G7" s="96">
        <v>0</v>
      </c>
      <c r="H7" s="42">
        <v>4266</v>
      </c>
      <c r="I7" s="42">
        <v>3867</v>
      </c>
      <c r="J7" s="42">
        <v>4266</v>
      </c>
      <c r="K7" s="42">
        <v>3867</v>
      </c>
      <c r="L7" s="52">
        <v>0.94</v>
      </c>
      <c r="M7" s="52">
        <v>0.04</v>
      </c>
      <c r="N7" s="52">
        <v>0.96</v>
      </c>
      <c r="O7" s="52">
        <v>0.35</v>
      </c>
      <c r="P7" s="52">
        <v>0.77</v>
      </c>
      <c r="Q7" s="52"/>
      <c r="R7" s="52"/>
      <c r="S7" s="1"/>
      <c r="Y7" t="s">
        <v>69</v>
      </c>
      <c r="Z7" s="16">
        <v>45012</v>
      </c>
    </row>
    <row r="8" spans="1:26" x14ac:dyDescent="0.35">
      <c r="A8" s="25">
        <v>44658</v>
      </c>
      <c r="B8" s="38" t="s">
        <v>52</v>
      </c>
      <c r="C8" s="38" t="s">
        <v>60</v>
      </c>
      <c r="D8" s="42">
        <v>845</v>
      </c>
      <c r="E8" s="42">
        <v>742</v>
      </c>
      <c r="F8" s="96">
        <v>-7.7510917030567686E-2</v>
      </c>
      <c r="G8" s="96">
        <v>-0.13418903150525088</v>
      </c>
      <c r="H8" s="42">
        <v>5111</v>
      </c>
      <c r="I8" s="42">
        <v>4609</v>
      </c>
      <c r="J8" s="42">
        <v>5111</v>
      </c>
      <c r="K8" s="42">
        <v>4609</v>
      </c>
      <c r="L8" s="52">
        <v>0.7</v>
      </c>
      <c r="M8" s="52">
        <v>0.12</v>
      </c>
      <c r="N8" s="52">
        <v>0.88</v>
      </c>
      <c r="O8" s="52">
        <v>0.47</v>
      </c>
      <c r="P8" s="52">
        <v>0.74</v>
      </c>
      <c r="Q8" s="52"/>
      <c r="R8" s="52"/>
      <c r="S8" s="1"/>
    </row>
    <row r="9" spans="1:26" x14ac:dyDescent="0.35">
      <c r="A9" s="25">
        <v>44659</v>
      </c>
      <c r="B9" s="38" t="s">
        <v>53</v>
      </c>
      <c r="C9" s="38" t="s">
        <v>60</v>
      </c>
      <c r="D9" s="42">
        <v>835</v>
      </c>
      <c r="E9" s="42">
        <v>780</v>
      </c>
      <c r="F9" s="96">
        <v>-0.14446721311475411</v>
      </c>
      <c r="G9" s="96">
        <v>-9.3023255813953487E-2</v>
      </c>
      <c r="H9" s="42">
        <v>5946</v>
      </c>
      <c r="I9" s="42">
        <v>5389</v>
      </c>
      <c r="J9" s="42">
        <v>5946</v>
      </c>
      <c r="K9" s="42">
        <v>5389</v>
      </c>
      <c r="L9" s="52">
        <v>0.83</v>
      </c>
      <c r="M9" s="52">
        <v>7.0000000000000007E-2</v>
      </c>
      <c r="N9" s="52">
        <v>0.93</v>
      </c>
      <c r="O9" s="52">
        <v>0.47</v>
      </c>
      <c r="P9" s="52">
        <v>0.76</v>
      </c>
      <c r="Q9" s="52"/>
      <c r="R9" s="52"/>
      <c r="S9" s="1"/>
    </row>
    <row r="10" spans="1:26" x14ac:dyDescent="0.35">
      <c r="A10" s="25">
        <v>44660</v>
      </c>
      <c r="B10" s="38" t="s">
        <v>54</v>
      </c>
      <c r="C10" s="38" t="s">
        <v>60</v>
      </c>
      <c r="D10" s="42">
        <v>537</v>
      </c>
      <c r="E10" s="42">
        <v>482</v>
      </c>
      <c r="F10" s="96">
        <v>0.14012738853503184</v>
      </c>
      <c r="G10" s="96">
        <v>9.297052154195011E-2</v>
      </c>
      <c r="H10" s="42">
        <v>6483</v>
      </c>
      <c r="I10" s="42">
        <v>5871</v>
      </c>
      <c r="J10" s="42">
        <v>6483</v>
      </c>
      <c r="K10" s="42">
        <v>5871</v>
      </c>
      <c r="L10" s="52">
        <v>0.8</v>
      </c>
      <c r="M10" s="52">
        <v>0.1</v>
      </c>
      <c r="N10" s="52">
        <v>0.9</v>
      </c>
      <c r="O10" s="52">
        <v>0.41</v>
      </c>
      <c r="P10" s="52">
        <v>0.75</v>
      </c>
      <c r="Q10" s="52"/>
      <c r="R10" s="52"/>
      <c r="S10" s="1"/>
    </row>
    <row r="11" spans="1:26" x14ac:dyDescent="0.35">
      <c r="A11" s="23">
        <v>44661</v>
      </c>
      <c r="B11" s="38" t="s">
        <v>48</v>
      </c>
      <c r="C11" s="38" t="s">
        <v>60</v>
      </c>
      <c r="D11" s="1">
        <v>0</v>
      </c>
      <c r="E11" s="1">
        <v>0</v>
      </c>
      <c r="F11" s="72">
        <v>0</v>
      </c>
      <c r="G11" s="72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/>
      <c r="R11" s="18"/>
      <c r="S11" s="1"/>
    </row>
    <row r="12" spans="1:26" x14ac:dyDescent="0.35">
      <c r="A12" s="25">
        <v>44662</v>
      </c>
      <c r="B12" s="38" t="s">
        <v>49</v>
      </c>
      <c r="C12" s="38" t="s">
        <v>60</v>
      </c>
      <c r="D12" s="1">
        <v>1071</v>
      </c>
      <c r="E12" s="1">
        <v>889</v>
      </c>
      <c r="F12" s="72">
        <v>-1.743119266055046E-2</v>
      </c>
      <c r="G12" s="72">
        <v>-7.6843198338525445E-2</v>
      </c>
      <c r="H12" s="1">
        <v>7554</v>
      </c>
      <c r="I12" s="1">
        <v>6760</v>
      </c>
      <c r="J12" s="42">
        <v>7554</v>
      </c>
      <c r="K12" s="42">
        <v>6760</v>
      </c>
      <c r="L12" s="18">
        <v>0.48</v>
      </c>
      <c r="M12" s="18">
        <v>0.17</v>
      </c>
      <c r="N12" s="18">
        <v>0.83</v>
      </c>
      <c r="O12" s="18">
        <v>0.61</v>
      </c>
      <c r="P12" s="18">
        <v>0.74</v>
      </c>
      <c r="Q12" s="18"/>
      <c r="R12" s="18"/>
      <c r="S12" s="1"/>
    </row>
    <row r="13" spans="1:26" x14ac:dyDescent="0.35">
      <c r="A13" s="25">
        <v>44663</v>
      </c>
      <c r="B13" s="38" t="s">
        <v>50</v>
      </c>
      <c r="C13" s="38" t="s">
        <v>60</v>
      </c>
      <c r="D13" s="1">
        <v>935</v>
      </c>
      <c r="E13" s="1">
        <v>818</v>
      </c>
      <c r="F13" s="72">
        <v>1.0706638115631692E-3</v>
      </c>
      <c r="G13" s="72">
        <v>-2.8503562945368172E-2</v>
      </c>
      <c r="H13" s="1">
        <v>8489</v>
      </c>
      <c r="I13" s="1">
        <v>7578</v>
      </c>
      <c r="J13" s="42">
        <v>8489</v>
      </c>
      <c r="K13" s="42">
        <v>7578</v>
      </c>
      <c r="L13" s="18">
        <v>0.57999999999999996</v>
      </c>
      <c r="M13" s="18">
        <v>0.13</v>
      </c>
      <c r="N13" s="18">
        <v>0.87</v>
      </c>
      <c r="O13" s="18">
        <v>0.61</v>
      </c>
      <c r="P13" s="18">
        <v>0.74</v>
      </c>
      <c r="Q13" s="18"/>
      <c r="R13" s="18"/>
      <c r="S13" s="1"/>
      <c r="V13" t="s">
        <v>65</v>
      </c>
      <c r="W13" t="s">
        <v>66</v>
      </c>
      <c r="X13" t="s">
        <v>67</v>
      </c>
    </row>
    <row r="14" spans="1:26" x14ac:dyDescent="0.35">
      <c r="A14" s="25">
        <v>44664</v>
      </c>
      <c r="B14" s="38" t="s">
        <v>51</v>
      </c>
      <c r="C14" s="38" t="s">
        <v>60</v>
      </c>
      <c r="D14" s="1">
        <v>925</v>
      </c>
      <c r="E14" s="1">
        <v>785</v>
      </c>
      <c r="F14" s="72">
        <v>0.16352201257861634</v>
      </c>
      <c r="G14" s="72">
        <v>3.1537450722733243E-2</v>
      </c>
      <c r="H14" s="1">
        <v>9414</v>
      </c>
      <c r="I14" s="1">
        <v>8363</v>
      </c>
      <c r="J14" s="42">
        <v>9414</v>
      </c>
      <c r="K14" s="42">
        <v>8363</v>
      </c>
      <c r="L14" s="18">
        <v>0.56999999999999995</v>
      </c>
      <c r="M14" s="18">
        <v>0.15</v>
      </c>
      <c r="N14" s="18">
        <v>0.85</v>
      </c>
      <c r="O14" s="18">
        <v>0.64</v>
      </c>
      <c r="P14" s="18">
        <v>0.71</v>
      </c>
      <c r="Q14" s="18"/>
      <c r="R14" s="18"/>
      <c r="S14" s="1"/>
      <c r="V14" s="23">
        <v>44655</v>
      </c>
      <c r="W14" s="1">
        <f>SUMIFS(Table7[Calls Off],Table7[Date],"&gt;="&amp;V14,Table7[Date],"&lt;"&amp;V15)</f>
        <v>5036</v>
      </c>
      <c r="X14" s="1">
        <f>SUMIFS(Table7[Calls Ans],Table7[Date],"&gt;="&amp;V14,Table7[Date],"&lt;"&amp;V15)</f>
        <v>4570</v>
      </c>
    </row>
    <row r="15" spans="1:26" x14ac:dyDescent="0.35">
      <c r="A15" s="25">
        <v>44665</v>
      </c>
      <c r="B15" s="38" t="s">
        <v>52</v>
      </c>
      <c r="C15" s="38" t="s">
        <v>60</v>
      </c>
      <c r="D15" s="1">
        <v>868</v>
      </c>
      <c r="E15" s="1">
        <v>653</v>
      </c>
      <c r="F15" s="72">
        <v>2.7218934911242602E-2</v>
      </c>
      <c r="G15" s="72">
        <v>-0.11994609164420485</v>
      </c>
      <c r="H15" s="1">
        <v>10282</v>
      </c>
      <c r="I15" s="1">
        <v>9016</v>
      </c>
      <c r="J15" s="42">
        <v>10282</v>
      </c>
      <c r="K15" s="42">
        <v>9016</v>
      </c>
      <c r="L15" s="18">
        <v>0.4</v>
      </c>
      <c r="M15" s="18">
        <v>0.25</v>
      </c>
      <c r="N15" s="18">
        <v>0.75</v>
      </c>
      <c r="O15" s="18">
        <v>0.55000000000000004</v>
      </c>
      <c r="P15" s="18">
        <v>0.67</v>
      </c>
      <c r="Q15" s="18"/>
      <c r="R15" s="18"/>
      <c r="S15" s="1"/>
      <c r="V15" s="23">
        <f>V14+7</f>
        <v>44662</v>
      </c>
      <c r="W15" s="1">
        <f>SUMIFS(Table7[Calls Off],Table7[Date],"&gt;="&amp;V15,Table7[Date],"&lt;"&amp;V16)</f>
        <v>4269</v>
      </c>
      <c r="X15" s="1">
        <f>SUMIFS(Table7[Calls Ans],Table7[Date],"&gt;="&amp;V15,Table7[Date],"&lt;"&amp;V16)</f>
        <v>3532</v>
      </c>
    </row>
    <row r="16" spans="1:26" x14ac:dyDescent="0.35">
      <c r="A16" s="25">
        <v>44666</v>
      </c>
      <c r="B16" s="38" t="s">
        <v>64</v>
      </c>
      <c r="C16" s="38" t="s">
        <v>60</v>
      </c>
      <c r="D16" s="48">
        <v>0</v>
      </c>
      <c r="E16" s="48">
        <v>0</v>
      </c>
      <c r="F16" s="97">
        <v>0</v>
      </c>
      <c r="G16" s="97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/>
      <c r="R16" s="48"/>
      <c r="S16" s="1"/>
      <c r="V16" s="23">
        <f t="shared" ref="V16:V65" si="0">V15+7</f>
        <v>44669</v>
      </c>
      <c r="W16" s="1">
        <f>SUMIFS(Table7[Calls Off],Table7[Date],"&gt;="&amp;V16,Table7[Date],"&lt;"&amp;V17)</f>
        <v>4292</v>
      </c>
      <c r="X16" s="1">
        <f>SUMIFS(Table7[Calls Ans],Table7[Date],"&gt;="&amp;V16,Table7[Date],"&lt;"&amp;V17)</f>
        <v>3683</v>
      </c>
    </row>
    <row r="17" spans="1:24" x14ac:dyDescent="0.35">
      <c r="A17" s="25">
        <v>44667</v>
      </c>
      <c r="B17" s="38" t="s">
        <v>54</v>
      </c>
      <c r="C17" s="38" t="s">
        <v>60</v>
      </c>
      <c r="D17" s="1">
        <v>470</v>
      </c>
      <c r="E17" s="1">
        <v>387</v>
      </c>
      <c r="F17" s="72">
        <v>-0.12476722532588454</v>
      </c>
      <c r="G17" s="72">
        <v>-0.1970954356846473</v>
      </c>
      <c r="H17" s="1">
        <v>10752</v>
      </c>
      <c r="I17" s="1">
        <v>9403</v>
      </c>
      <c r="J17" s="42">
        <v>10752</v>
      </c>
      <c r="K17" s="42">
        <v>9403</v>
      </c>
      <c r="L17" s="18">
        <v>0.6</v>
      </c>
      <c r="M17" s="18">
        <v>0.18</v>
      </c>
      <c r="N17" s="18">
        <v>0.82</v>
      </c>
      <c r="O17" s="18">
        <v>0.42</v>
      </c>
      <c r="P17" s="18">
        <v>0.72</v>
      </c>
      <c r="Q17" s="18"/>
      <c r="R17" s="18"/>
      <c r="S17" s="1"/>
      <c r="V17" s="23">
        <f t="shared" si="0"/>
        <v>44676</v>
      </c>
      <c r="W17" s="1">
        <f>SUMIFS(Table7[Calls Off],Table7[Date],"&gt;="&amp;V17,Table7[Date],"&lt;"&amp;V18)</f>
        <v>6024</v>
      </c>
      <c r="X17" s="1">
        <f>SUMIFS(Table7[Calls Ans],Table7[Date],"&gt;="&amp;V17,Table7[Date],"&lt;"&amp;V18)</f>
        <v>3923</v>
      </c>
    </row>
    <row r="18" spans="1:24" x14ac:dyDescent="0.35">
      <c r="A18" s="23">
        <v>44668</v>
      </c>
      <c r="B18" s="38" t="s">
        <v>48</v>
      </c>
      <c r="C18" s="38" t="s">
        <v>60</v>
      </c>
      <c r="D18" s="1">
        <v>0</v>
      </c>
      <c r="E18" s="1">
        <v>0</v>
      </c>
      <c r="F18" s="72">
        <v>0</v>
      </c>
      <c r="G18" s="72">
        <v>0</v>
      </c>
      <c r="H18" s="1">
        <v>0</v>
      </c>
      <c r="I18" s="1">
        <v>0</v>
      </c>
      <c r="J18" s="1">
        <v>0</v>
      </c>
      <c r="K18" s="1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/>
      <c r="R18" s="18"/>
      <c r="S18" s="1"/>
      <c r="V18" s="23">
        <f t="shared" si="0"/>
        <v>44683</v>
      </c>
      <c r="W18" s="1">
        <f>SUMIFS(Table7[Calls Off],Table7[Date],"&gt;="&amp;V18,Table7[Date],"&lt;"&amp;V19)</f>
        <v>5575</v>
      </c>
      <c r="X18" s="1">
        <f>SUMIFS(Table7[Calls Ans],Table7[Date],"&gt;="&amp;V18,Table7[Date],"&lt;"&amp;V19)</f>
        <v>2218</v>
      </c>
    </row>
    <row r="19" spans="1:24" x14ac:dyDescent="0.35">
      <c r="A19" s="25">
        <v>44669</v>
      </c>
      <c r="B19" s="38" t="s">
        <v>64</v>
      </c>
      <c r="C19" s="38" t="s">
        <v>60</v>
      </c>
      <c r="D19" s="48">
        <v>0</v>
      </c>
      <c r="E19" s="48">
        <v>0</v>
      </c>
      <c r="F19" s="97">
        <v>0</v>
      </c>
      <c r="G19" s="97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/>
      <c r="R19" s="48"/>
      <c r="S19" s="1"/>
      <c r="V19" s="23">
        <f t="shared" si="0"/>
        <v>44690</v>
      </c>
      <c r="W19" s="1">
        <f>SUMIFS(Table7[Calls Off],Table7[Date],"&gt;="&amp;V19,Table7[Date],"&lt;"&amp;V20)</f>
        <v>5827</v>
      </c>
      <c r="X19" s="1">
        <f>SUMIFS(Table7[Calls Ans],Table7[Date],"&gt;="&amp;V19,Table7[Date],"&lt;"&amp;V20)</f>
        <v>3805</v>
      </c>
    </row>
    <row r="20" spans="1:24" x14ac:dyDescent="0.35">
      <c r="A20" s="25">
        <v>44670</v>
      </c>
      <c r="B20" s="38" t="s">
        <v>50</v>
      </c>
      <c r="C20" s="38" t="s">
        <v>60</v>
      </c>
      <c r="D20" s="1">
        <v>1014</v>
      </c>
      <c r="E20" s="1">
        <v>867</v>
      </c>
      <c r="F20" s="72">
        <v>8.4491978609625665E-2</v>
      </c>
      <c r="G20" s="72">
        <v>5.9902200488997553E-2</v>
      </c>
      <c r="H20" s="1">
        <v>11766</v>
      </c>
      <c r="I20" s="1">
        <v>10270</v>
      </c>
      <c r="J20" s="42">
        <v>11766</v>
      </c>
      <c r="K20" s="42">
        <v>10270</v>
      </c>
      <c r="L20" s="18">
        <v>0.57999999999999996</v>
      </c>
      <c r="M20" s="18">
        <v>0.14000000000000001</v>
      </c>
      <c r="N20" s="18">
        <v>0.86</v>
      </c>
      <c r="O20" s="18">
        <v>0.65</v>
      </c>
      <c r="P20" s="18">
        <v>0.75</v>
      </c>
      <c r="Q20" s="18"/>
      <c r="R20" s="18"/>
      <c r="S20" s="1"/>
      <c r="V20" s="23">
        <f t="shared" si="0"/>
        <v>44697</v>
      </c>
      <c r="W20" s="1">
        <f>SUMIFS(Table7[Calls Off],Table7[Date],"&gt;="&amp;V20,Table7[Date],"&lt;"&amp;V21)</f>
        <v>5291</v>
      </c>
      <c r="X20" s="1">
        <f>SUMIFS(Table7[Calls Ans],Table7[Date],"&gt;="&amp;V20,Table7[Date],"&lt;"&amp;V21)</f>
        <v>3613</v>
      </c>
    </row>
    <row r="21" spans="1:24" x14ac:dyDescent="0.35">
      <c r="A21" s="25">
        <v>44671</v>
      </c>
      <c r="B21" s="38" t="s">
        <v>51</v>
      </c>
      <c r="C21" s="38" t="s">
        <v>60</v>
      </c>
      <c r="D21" s="1">
        <v>900</v>
      </c>
      <c r="E21" s="1">
        <v>831</v>
      </c>
      <c r="F21" s="72">
        <v>-2.7027027027027029E-2</v>
      </c>
      <c r="G21" s="72">
        <v>5.8598726114649682E-2</v>
      </c>
      <c r="H21" s="1">
        <v>12666</v>
      </c>
      <c r="I21" s="1">
        <v>11101</v>
      </c>
      <c r="J21" s="42">
        <v>12666</v>
      </c>
      <c r="K21" s="42">
        <v>11101</v>
      </c>
      <c r="L21" s="18">
        <v>0.72</v>
      </c>
      <c r="M21" s="18">
        <v>0.14000000000000001</v>
      </c>
      <c r="N21" s="18">
        <v>0.86</v>
      </c>
      <c r="O21" s="18">
        <v>0.49</v>
      </c>
      <c r="P21" s="18">
        <v>0.73</v>
      </c>
      <c r="Q21" s="18"/>
      <c r="R21" s="18"/>
      <c r="S21" s="1"/>
      <c r="V21" s="23">
        <f t="shared" si="0"/>
        <v>44704</v>
      </c>
      <c r="W21" s="1">
        <f>SUMIFS(Table7[Calls Off],Table7[Date],"&gt;="&amp;V21,Table7[Date],"&lt;"&amp;V22)</f>
        <v>4602</v>
      </c>
      <c r="X21" s="1">
        <f>SUMIFS(Table7[Calls Ans],Table7[Date],"&gt;="&amp;V21,Table7[Date],"&lt;"&amp;V22)</f>
        <v>4127</v>
      </c>
    </row>
    <row r="22" spans="1:24" x14ac:dyDescent="0.35">
      <c r="A22" s="25">
        <v>44672</v>
      </c>
      <c r="B22" s="38" t="s">
        <v>52</v>
      </c>
      <c r="C22" s="38" t="s">
        <v>60</v>
      </c>
      <c r="D22" s="1">
        <v>1034</v>
      </c>
      <c r="E22" s="1">
        <v>795</v>
      </c>
      <c r="F22" s="72">
        <v>0.19124423963133641</v>
      </c>
      <c r="G22" s="72">
        <v>0.21745788667687596</v>
      </c>
      <c r="H22" s="1">
        <v>13700</v>
      </c>
      <c r="I22" s="1">
        <v>11896</v>
      </c>
      <c r="J22" s="42">
        <v>13700</v>
      </c>
      <c r="K22" s="42">
        <v>11896</v>
      </c>
      <c r="L22" s="18">
        <v>0.37</v>
      </c>
      <c r="M22" s="18">
        <v>0.23</v>
      </c>
      <c r="N22" s="18">
        <v>0.77</v>
      </c>
      <c r="O22" s="18">
        <v>0.63</v>
      </c>
      <c r="P22" s="18">
        <v>0.7</v>
      </c>
      <c r="Q22" s="18"/>
      <c r="R22" s="18"/>
      <c r="S22" s="1"/>
      <c r="V22" s="23">
        <f t="shared" si="0"/>
        <v>44711</v>
      </c>
      <c r="W22" s="1">
        <f>SUMIFS(Table7[Calls Off],Table7[Date],"&gt;="&amp;V22,Table7[Date],"&lt;"&amp;V23)</f>
        <v>3903</v>
      </c>
      <c r="X22" s="1">
        <f>SUMIFS(Table7[Calls Ans],Table7[Date],"&gt;="&amp;V22,Table7[Date],"&lt;"&amp;V23)</f>
        <v>3511</v>
      </c>
    </row>
    <row r="23" spans="1:24" x14ac:dyDescent="0.35">
      <c r="A23" s="25">
        <v>44673</v>
      </c>
      <c r="B23" s="38" t="s">
        <v>53</v>
      </c>
      <c r="C23" s="38" t="s">
        <v>60</v>
      </c>
      <c r="D23" s="1">
        <v>784</v>
      </c>
      <c r="E23" s="1">
        <v>710</v>
      </c>
      <c r="F23" s="72">
        <v>0</v>
      </c>
      <c r="G23" s="72">
        <v>0</v>
      </c>
      <c r="H23" s="1">
        <v>14484</v>
      </c>
      <c r="I23" s="1">
        <v>12606</v>
      </c>
      <c r="J23" s="42">
        <v>14484</v>
      </c>
      <c r="K23" s="42">
        <v>12606</v>
      </c>
      <c r="L23" s="18">
        <v>0.75</v>
      </c>
      <c r="M23" s="18">
        <v>0.09</v>
      </c>
      <c r="N23" s="18">
        <v>0.91</v>
      </c>
      <c r="O23" s="18">
        <v>0.53</v>
      </c>
      <c r="P23" s="18">
        <v>0.69</v>
      </c>
      <c r="Q23" s="18"/>
      <c r="R23" s="18"/>
      <c r="S23" s="1"/>
      <c r="V23" s="23">
        <f t="shared" si="0"/>
        <v>44718</v>
      </c>
      <c r="W23" s="1">
        <f>SUMIFS(Table7[Calls Off],Table7[Date],"&gt;="&amp;V23,Table7[Date],"&lt;"&amp;V24)</f>
        <v>4680</v>
      </c>
      <c r="X23" s="1">
        <f>SUMIFS(Table7[Calls Ans],Table7[Date],"&gt;="&amp;V23,Table7[Date],"&lt;"&amp;V24)</f>
        <v>4092</v>
      </c>
    </row>
    <row r="24" spans="1:24" x14ac:dyDescent="0.35">
      <c r="A24" s="25">
        <v>44674</v>
      </c>
      <c r="B24" s="38" t="s">
        <v>54</v>
      </c>
      <c r="C24" s="38" t="s">
        <v>60</v>
      </c>
      <c r="D24" s="1">
        <v>560</v>
      </c>
      <c r="E24" s="1">
        <v>480</v>
      </c>
      <c r="F24" s="72">
        <v>0.19148936170212766</v>
      </c>
      <c r="G24" s="72">
        <v>0.24031007751937986</v>
      </c>
      <c r="H24" s="1">
        <v>15044</v>
      </c>
      <c r="I24" s="1">
        <v>13086</v>
      </c>
      <c r="J24" s="42">
        <v>15044</v>
      </c>
      <c r="K24" s="42">
        <v>13086</v>
      </c>
      <c r="L24" s="18">
        <v>0.54</v>
      </c>
      <c r="M24" s="18">
        <v>0.14000000000000001</v>
      </c>
      <c r="N24" s="18">
        <v>0.86</v>
      </c>
      <c r="O24" s="18">
        <v>0.57999999999999996</v>
      </c>
      <c r="P24" s="18">
        <v>0.57999999999999996</v>
      </c>
      <c r="Q24" s="18"/>
      <c r="R24" s="18"/>
      <c r="S24" s="1"/>
      <c r="V24" s="23">
        <f>V23+7</f>
        <v>44725</v>
      </c>
      <c r="W24" s="1">
        <f>SUMIFS(Table7[Calls Off],Table7[Date],"&gt;="&amp;V24,Table7[Date],"&lt;"&amp;V25)</f>
        <v>4193</v>
      </c>
      <c r="X24" s="1">
        <f>SUMIFS(Table7[Calls Ans],Table7[Date],"&gt;="&amp;V24,Table7[Date],"&lt;"&amp;V25)</f>
        <v>3339</v>
      </c>
    </row>
    <row r="25" spans="1:24" x14ac:dyDescent="0.35">
      <c r="A25" s="23">
        <v>44675</v>
      </c>
      <c r="B25" s="38" t="s">
        <v>48</v>
      </c>
      <c r="C25" s="38" t="s">
        <v>60</v>
      </c>
      <c r="D25" s="1">
        <v>0</v>
      </c>
      <c r="E25" s="1">
        <v>0</v>
      </c>
      <c r="F25" s="72">
        <v>0</v>
      </c>
      <c r="G25" s="72">
        <v>0</v>
      </c>
      <c r="H25" s="1">
        <v>0</v>
      </c>
      <c r="I25" s="1">
        <v>0</v>
      </c>
      <c r="J25" s="1">
        <v>0</v>
      </c>
      <c r="K25" s="1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/>
      <c r="R25" s="18"/>
      <c r="S25" s="1"/>
      <c r="V25" s="23">
        <f t="shared" si="0"/>
        <v>44732</v>
      </c>
      <c r="W25" s="1">
        <f>SUMIFS(Table7[Calls Off],Table7[Date],"&gt;="&amp;V25,Table7[Date],"&lt;"&amp;V26)</f>
        <v>4591</v>
      </c>
      <c r="X25" s="1">
        <f>SUMIFS(Table7[Calls Ans],Table7[Date],"&gt;="&amp;V25,Table7[Date],"&lt;"&amp;V26)</f>
        <v>3315</v>
      </c>
    </row>
    <row r="26" spans="1:24" x14ac:dyDescent="0.35">
      <c r="A26" s="25">
        <v>44676</v>
      </c>
      <c r="B26" s="38" t="s">
        <v>49</v>
      </c>
      <c r="C26" s="38" t="s">
        <v>60</v>
      </c>
      <c r="D26" s="1">
        <v>1097</v>
      </c>
      <c r="E26" s="1">
        <v>722</v>
      </c>
      <c r="F26" s="72">
        <v>0</v>
      </c>
      <c r="G26" s="72">
        <v>0</v>
      </c>
      <c r="H26" s="1">
        <v>16141</v>
      </c>
      <c r="I26" s="1">
        <v>13808</v>
      </c>
      <c r="J26" s="1">
        <v>16141</v>
      </c>
      <c r="K26" s="1">
        <v>13808</v>
      </c>
      <c r="L26" s="18">
        <v>0.22</v>
      </c>
      <c r="M26" s="18">
        <v>0.34</v>
      </c>
      <c r="N26" s="18">
        <v>0.66</v>
      </c>
      <c r="O26" s="18">
        <v>0.42</v>
      </c>
      <c r="P26" s="18">
        <v>0.47</v>
      </c>
      <c r="Q26" s="18"/>
      <c r="R26" s="18"/>
      <c r="S26" s="1"/>
      <c r="V26" s="23">
        <f t="shared" si="0"/>
        <v>44739</v>
      </c>
      <c r="W26" s="1">
        <f>SUMIFS(Table7[Calls Off],Table7[Date],"&gt;="&amp;V26,Table7[Date],"&lt;"&amp;V27)</f>
        <v>5254</v>
      </c>
      <c r="X26" s="1">
        <f>SUMIFS(Table7[Calls Ans],Table7[Date],"&gt;="&amp;V26,Table7[Date],"&lt;"&amp;V27)</f>
        <v>3321</v>
      </c>
    </row>
    <row r="27" spans="1:24" x14ac:dyDescent="0.35">
      <c r="A27" s="25">
        <v>44677</v>
      </c>
      <c r="B27" s="38" t="s">
        <v>50</v>
      </c>
      <c r="C27" s="38" t="s">
        <v>60</v>
      </c>
      <c r="D27" s="1">
        <v>958</v>
      </c>
      <c r="E27" s="1">
        <v>808</v>
      </c>
      <c r="F27" s="72">
        <v>-5.5226824457593686E-2</v>
      </c>
      <c r="G27" s="72">
        <v>-6.8050749711649372E-2</v>
      </c>
      <c r="H27" s="1">
        <v>17099</v>
      </c>
      <c r="I27" s="1">
        <v>14616</v>
      </c>
      <c r="J27" s="1">
        <v>17099</v>
      </c>
      <c r="K27" s="1">
        <v>14616</v>
      </c>
      <c r="L27" s="18">
        <v>0.47</v>
      </c>
      <c r="M27" s="18">
        <v>0.16</v>
      </c>
      <c r="N27" s="18">
        <v>0.84</v>
      </c>
      <c r="O27" s="18">
        <v>0.37</v>
      </c>
      <c r="P27" s="18">
        <v>0.44</v>
      </c>
      <c r="Q27" s="18"/>
      <c r="R27" s="18"/>
      <c r="S27" s="1"/>
      <c r="V27" s="23">
        <f>V26+7</f>
        <v>44746</v>
      </c>
      <c r="W27" s="1">
        <f>SUMIFS(Table7[Calls Off],Table7[Date],"&gt;="&amp;V27,Table7[Date],"&lt;"&amp;V28)</f>
        <v>5465</v>
      </c>
      <c r="X27" s="1">
        <f>SUMIFS(Table7[Calls Ans],Table7[Date],"&gt;="&amp;V27,Table7[Date],"&lt;"&amp;V28)</f>
        <v>3427</v>
      </c>
    </row>
    <row r="28" spans="1:24" x14ac:dyDescent="0.35">
      <c r="A28" s="25">
        <v>44678</v>
      </c>
      <c r="B28" s="38" t="s">
        <v>51</v>
      </c>
      <c r="C28" s="38" t="s">
        <v>60</v>
      </c>
      <c r="D28" s="1">
        <v>1049</v>
      </c>
      <c r="E28" s="1">
        <v>718</v>
      </c>
      <c r="F28" s="72">
        <v>0.16555555555555557</v>
      </c>
      <c r="G28" s="72">
        <v>-0.13598074608904934</v>
      </c>
      <c r="H28" s="1">
        <v>18148</v>
      </c>
      <c r="I28" s="1">
        <v>15334</v>
      </c>
      <c r="J28" s="1">
        <v>18148</v>
      </c>
      <c r="K28" s="1">
        <v>15334</v>
      </c>
      <c r="L28" s="18">
        <v>0.19</v>
      </c>
      <c r="M28" s="18">
        <v>0.32</v>
      </c>
      <c r="N28" s="18">
        <v>0.68</v>
      </c>
      <c r="O28" s="18">
        <v>0.39</v>
      </c>
      <c r="P28" s="18">
        <v>0.43</v>
      </c>
      <c r="Q28" s="18"/>
      <c r="R28" s="18"/>
      <c r="S28" s="1"/>
      <c r="V28" s="23">
        <f t="shared" si="0"/>
        <v>44753</v>
      </c>
      <c r="W28" s="1">
        <f>SUMIFS(Table7[Calls Off],Table7[Date],"&gt;="&amp;V28,Table7[Date],"&lt;"&amp;V29)</f>
        <v>5693</v>
      </c>
      <c r="X28" s="1">
        <f>SUMIFS(Table7[Calls Ans],Table7[Date],"&gt;="&amp;V28,Table7[Date],"&lt;"&amp;V29)</f>
        <v>3642</v>
      </c>
    </row>
    <row r="29" spans="1:24" x14ac:dyDescent="0.35">
      <c r="A29" s="25">
        <v>44679</v>
      </c>
      <c r="B29" s="38" t="s">
        <v>52</v>
      </c>
      <c r="C29" s="38" t="s">
        <v>60</v>
      </c>
      <c r="D29" s="1">
        <v>1126</v>
      </c>
      <c r="E29" s="1">
        <v>736</v>
      </c>
      <c r="F29" s="72">
        <v>8.8974854932301742E-2</v>
      </c>
      <c r="G29" s="72">
        <v>-7.4213836477987419E-2</v>
      </c>
      <c r="H29" s="1">
        <v>19274</v>
      </c>
      <c r="I29" s="1">
        <v>16070</v>
      </c>
      <c r="J29" s="1">
        <v>19274</v>
      </c>
      <c r="K29" s="1">
        <v>16070</v>
      </c>
      <c r="L29" s="18">
        <v>0.22</v>
      </c>
      <c r="M29" s="18">
        <v>0.35</v>
      </c>
      <c r="N29" s="18">
        <v>0.65</v>
      </c>
      <c r="O29" s="18">
        <v>0.47</v>
      </c>
      <c r="P29" s="18">
        <v>0.52</v>
      </c>
      <c r="Q29" s="18"/>
      <c r="R29" s="18"/>
      <c r="S29" s="1"/>
      <c r="V29" s="23">
        <f t="shared" si="0"/>
        <v>44760</v>
      </c>
      <c r="W29" s="1">
        <f>SUMIFS(Table7[Calls Off],Table7[Date],"&gt;="&amp;V29,Table7[Date],"&lt;"&amp;V30)</f>
        <v>5608</v>
      </c>
      <c r="X29" s="1">
        <f>SUMIFS(Table7[Calls Ans],Table7[Date],"&gt;="&amp;V29,Table7[Date],"&lt;"&amp;V30)</f>
        <v>3857</v>
      </c>
    </row>
    <row r="30" spans="1:24" x14ac:dyDescent="0.35">
      <c r="A30" s="25">
        <v>44680</v>
      </c>
      <c r="B30" s="38" t="s">
        <v>53</v>
      </c>
      <c r="C30" s="38" t="s">
        <v>60</v>
      </c>
      <c r="D30" s="1">
        <v>1164</v>
      </c>
      <c r="E30" s="1">
        <v>517</v>
      </c>
      <c r="F30" s="72">
        <v>0.48469387755102039</v>
      </c>
      <c r="G30" s="72">
        <v>-0.27183098591549298</v>
      </c>
      <c r="H30" s="1">
        <v>20438</v>
      </c>
      <c r="I30" s="1">
        <v>16587</v>
      </c>
      <c r="J30" s="1">
        <v>20438</v>
      </c>
      <c r="K30" s="1">
        <v>16587</v>
      </c>
      <c r="L30" s="18">
        <v>0.16</v>
      </c>
      <c r="M30" s="18">
        <v>0.56000000000000005</v>
      </c>
      <c r="N30" s="18">
        <v>0.44</v>
      </c>
      <c r="O30" s="18">
        <v>0.41</v>
      </c>
      <c r="P30" s="18">
        <v>0.63</v>
      </c>
      <c r="Q30" s="18"/>
      <c r="R30" s="18"/>
      <c r="S30" s="1"/>
      <c r="V30" s="23">
        <f t="shared" si="0"/>
        <v>44767</v>
      </c>
      <c r="W30" s="1">
        <f>SUMIFS(Table7[Calls Off],Table7[Date],"&gt;="&amp;V30,Table7[Date],"&lt;"&amp;V31)</f>
        <v>5460</v>
      </c>
      <c r="X30" s="1">
        <f>SUMIFS(Table7[Calls Ans],Table7[Date],"&gt;="&amp;V30,Table7[Date],"&lt;"&amp;V31)</f>
        <v>3243</v>
      </c>
    </row>
    <row r="31" spans="1:24" x14ac:dyDescent="0.35">
      <c r="A31" s="25">
        <v>44681</v>
      </c>
      <c r="B31" s="38" t="s">
        <v>54</v>
      </c>
      <c r="C31" s="38" t="s">
        <v>60</v>
      </c>
      <c r="D31" s="1">
        <v>630</v>
      </c>
      <c r="E31" s="1">
        <v>422</v>
      </c>
      <c r="F31" s="72">
        <v>0.125</v>
      </c>
      <c r="G31" s="72">
        <v>-0.12083333333333333</v>
      </c>
      <c r="H31" s="1">
        <v>21068</v>
      </c>
      <c r="I31" s="1">
        <v>17009</v>
      </c>
      <c r="J31" s="1">
        <v>21068</v>
      </c>
      <c r="K31" s="1">
        <v>17009</v>
      </c>
      <c r="L31" s="18">
        <v>0.28000000000000003</v>
      </c>
      <c r="M31" s="18">
        <v>0.33</v>
      </c>
      <c r="N31" s="18">
        <v>0.67</v>
      </c>
      <c r="O31" s="18">
        <v>0.48</v>
      </c>
      <c r="P31" s="18">
        <v>0.56999999999999995</v>
      </c>
      <c r="Q31" s="18"/>
      <c r="R31" s="18"/>
      <c r="S31" s="1"/>
      <c r="V31" s="23">
        <f t="shared" si="0"/>
        <v>44774</v>
      </c>
      <c r="W31" s="1">
        <f>SUMIFS(Table7[Calls Off],Table7[Date],"&gt;="&amp;V31,Table7[Date],"&lt;"&amp;V32)</f>
        <v>4913</v>
      </c>
      <c r="X31" s="1">
        <f>SUMIFS(Table7[Calls Ans],Table7[Date],"&gt;="&amp;V31,Table7[Date],"&lt;"&amp;V32)</f>
        <v>2497</v>
      </c>
    </row>
    <row r="32" spans="1:24" x14ac:dyDescent="0.35">
      <c r="A32" s="23">
        <v>44682</v>
      </c>
      <c r="B32" s="38" t="s">
        <v>48</v>
      </c>
      <c r="C32" s="38" t="s">
        <v>60</v>
      </c>
      <c r="D32" s="1">
        <v>0</v>
      </c>
      <c r="E32" s="1">
        <v>0</v>
      </c>
      <c r="F32" s="72">
        <v>0</v>
      </c>
      <c r="G32" s="72">
        <v>0</v>
      </c>
      <c r="H32" s="1">
        <v>0</v>
      </c>
      <c r="I32" s="1">
        <v>0</v>
      </c>
      <c r="J32" s="1">
        <v>0</v>
      </c>
      <c r="K32" s="1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/>
      <c r="R32" s="18"/>
      <c r="S32" s="1"/>
      <c r="V32" s="23">
        <f t="shared" si="0"/>
        <v>44781</v>
      </c>
      <c r="W32" s="1">
        <f>SUMIFS(Table7[Calls Off],Table7[Date],"&gt;="&amp;V32,Table7[Date],"&lt;"&amp;V33)</f>
        <v>5022</v>
      </c>
      <c r="X32" s="1">
        <f>SUMIFS(Table7[Calls Ans],Table7[Date],"&gt;="&amp;V32,Table7[Date],"&lt;"&amp;V33)</f>
        <v>3168</v>
      </c>
    </row>
    <row r="33" spans="1:27" x14ac:dyDescent="0.35">
      <c r="A33" s="25">
        <v>44683</v>
      </c>
      <c r="B33" s="38" t="s">
        <v>64</v>
      </c>
      <c r="C33" s="38" t="s">
        <v>60</v>
      </c>
      <c r="D33" s="48">
        <v>0</v>
      </c>
      <c r="E33" s="48">
        <v>0</v>
      </c>
      <c r="F33" s="97">
        <v>0</v>
      </c>
      <c r="G33" s="97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/>
      <c r="R33" s="48"/>
      <c r="S33" s="1"/>
      <c r="V33" s="23">
        <f t="shared" si="0"/>
        <v>44788</v>
      </c>
      <c r="W33" s="1">
        <f>SUMIFS(Table7[Calls Off],Table7[Date],"&gt;="&amp;V33,Table7[Date],"&lt;"&amp;V34)</f>
        <v>4587</v>
      </c>
      <c r="X33" s="1">
        <f>SUMIFS(Table7[Calls Ans],Table7[Date],"&gt;="&amp;V33,Table7[Date],"&lt;"&amp;V34)</f>
        <v>3428</v>
      </c>
    </row>
    <row r="34" spans="1:27" x14ac:dyDescent="0.35">
      <c r="A34" s="25">
        <v>44684</v>
      </c>
      <c r="B34" s="38" t="s">
        <v>50</v>
      </c>
      <c r="C34" s="38" t="s">
        <v>60</v>
      </c>
      <c r="D34" s="1">
        <v>1284</v>
      </c>
      <c r="E34" s="1">
        <v>523</v>
      </c>
      <c r="F34" s="72">
        <v>0.34029227557411273</v>
      </c>
      <c r="G34" s="72">
        <v>-0.3527227722772277</v>
      </c>
      <c r="H34" s="1">
        <v>1284</v>
      </c>
      <c r="I34" s="1">
        <v>523</v>
      </c>
      <c r="J34" s="1">
        <v>21439</v>
      </c>
      <c r="K34" s="1">
        <v>17364</v>
      </c>
      <c r="L34" s="18">
        <v>0.14000000000000001</v>
      </c>
      <c r="M34" s="18">
        <v>0.59</v>
      </c>
      <c r="N34" s="18">
        <v>0.41</v>
      </c>
      <c r="O34" s="18">
        <v>0.54</v>
      </c>
      <c r="P34" s="18">
        <v>0.53</v>
      </c>
      <c r="Q34" s="18"/>
      <c r="R34" s="18"/>
      <c r="S34" s="1"/>
      <c r="V34" s="23">
        <f t="shared" si="0"/>
        <v>44795</v>
      </c>
      <c r="W34" s="1">
        <f>SUMIFS(Table7[Calls Off],Table7[Date],"&gt;="&amp;V34,Table7[Date],"&lt;"&amp;V35)</f>
        <v>4713</v>
      </c>
      <c r="X34" s="1">
        <f>SUMIFS(Table7[Calls Ans],Table7[Date],"&gt;="&amp;V34,Table7[Date],"&lt;"&amp;V35)</f>
        <v>3871</v>
      </c>
    </row>
    <row r="35" spans="1:27" x14ac:dyDescent="0.35">
      <c r="A35" s="25">
        <v>44685</v>
      </c>
      <c r="B35" s="38" t="s">
        <v>51</v>
      </c>
      <c r="C35" s="38" t="s">
        <v>60</v>
      </c>
      <c r="D35" s="1">
        <v>1240</v>
      </c>
      <c r="E35" s="1">
        <v>179</v>
      </c>
      <c r="F35" s="72">
        <v>0.18207816968541468</v>
      </c>
      <c r="G35" s="72">
        <v>-0.75069637883008355</v>
      </c>
      <c r="H35" s="1">
        <v>2524</v>
      </c>
      <c r="I35" s="1">
        <v>702</v>
      </c>
      <c r="J35" s="1">
        <v>22679</v>
      </c>
      <c r="K35" s="1">
        <v>17543</v>
      </c>
      <c r="L35" s="18">
        <v>0.19</v>
      </c>
      <c r="M35" s="18">
        <v>0.86</v>
      </c>
      <c r="N35" s="18">
        <v>0.14000000000000001</v>
      </c>
      <c r="O35" s="18">
        <v>0.56000000000000005</v>
      </c>
      <c r="P35" s="18">
        <v>0.6</v>
      </c>
      <c r="Q35" s="18"/>
      <c r="R35" s="18"/>
      <c r="S35" s="1"/>
      <c r="V35" s="23">
        <f t="shared" si="0"/>
        <v>44802</v>
      </c>
      <c r="W35" s="1">
        <f>SUMIFS(Table7[Calls Off],Table7[Date],"&gt;="&amp;V35,Table7[Date],"&lt;"&amp;V36)</f>
        <v>5271</v>
      </c>
      <c r="X35" s="1">
        <f>SUMIFS(Table7[Calls Ans],Table7[Date],"&gt;="&amp;V35,Table7[Date],"&lt;"&amp;V36)</f>
        <v>2195</v>
      </c>
    </row>
    <row r="36" spans="1:27" x14ac:dyDescent="0.35">
      <c r="A36" s="25">
        <v>44686</v>
      </c>
      <c r="B36" s="38" t="s">
        <v>52</v>
      </c>
      <c r="C36" s="38" t="s">
        <v>60</v>
      </c>
      <c r="D36" s="1">
        <v>1204</v>
      </c>
      <c r="E36" s="1">
        <v>432</v>
      </c>
      <c r="F36" s="72">
        <v>6.9271758436944941E-2</v>
      </c>
      <c r="G36" s="72">
        <v>-0.41304347826086957</v>
      </c>
      <c r="H36" s="1">
        <v>3728</v>
      </c>
      <c r="I36" s="1">
        <v>1134</v>
      </c>
      <c r="J36" s="1">
        <v>22679</v>
      </c>
      <c r="K36" s="1">
        <v>17543</v>
      </c>
      <c r="L36" s="18">
        <v>0.14000000000000001</v>
      </c>
      <c r="M36" s="18">
        <v>0.64</v>
      </c>
      <c r="N36" s="18">
        <v>0.36</v>
      </c>
      <c r="O36" s="18">
        <v>0.8</v>
      </c>
      <c r="P36" s="18">
        <v>0.69</v>
      </c>
      <c r="Q36" s="18"/>
      <c r="R36" s="18"/>
      <c r="S36" s="1"/>
      <c r="V36" s="23">
        <f t="shared" si="0"/>
        <v>44809</v>
      </c>
      <c r="W36" s="1">
        <f>SUMIFS(Table7[Calls Off],Table7[Date],"&gt;="&amp;V36,Table7[Date],"&lt;"&amp;V37)</f>
        <v>5544</v>
      </c>
      <c r="X36" s="1">
        <f>SUMIFS(Table7[Calls Ans],Table7[Date],"&gt;="&amp;V36,Table7[Date],"&lt;"&amp;V37)</f>
        <v>2993</v>
      </c>
    </row>
    <row r="37" spans="1:27" x14ac:dyDescent="0.35">
      <c r="A37" s="25">
        <v>44687</v>
      </c>
      <c r="B37" s="38" t="s">
        <v>53</v>
      </c>
      <c r="C37" s="38" t="s">
        <v>60</v>
      </c>
      <c r="D37" s="1">
        <v>1199</v>
      </c>
      <c r="E37" s="1">
        <v>581</v>
      </c>
      <c r="F37" s="72">
        <v>3.006872852233677E-2</v>
      </c>
      <c r="G37" s="72">
        <v>0.12379110251450677</v>
      </c>
      <c r="H37" s="1">
        <v>4927</v>
      </c>
      <c r="I37" s="1">
        <v>1715</v>
      </c>
      <c r="J37" s="1">
        <v>23018</v>
      </c>
      <c r="K37" s="1">
        <v>17873</v>
      </c>
      <c r="L37" s="18">
        <v>0.14000000000000001</v>
      </c>
      <c r="M37" s="18">
        <v>0.52</v>
      </c>
      <c r="N37" s="18">
        <v>0.48</v>
      </c>
      <c r="O37" s="18">
        <v>0.54</v>
      </c>
      <c r="P37" s="18">
        <v>0.56000000000000005</v>
      </c>
      <c r="Q37" s="18"/>
      <c r="R37" s="18"/>
      <c r="S37" s="1"/>
      <c r="V37" s="23">
        <f t="shared" si="0"/>
        <v>44816</v>
      </c>
      <c r="W37" s="1">
        <f>SUMIFS(Table7[Calls Off],Table7[Date],"&gt;="&amp;V37,Table7[Date],"&lt;"&amp;V38)</f>
        <v>5111</v>
      </c>
      <c r="X37" s="1">
        <f>SUMIFS(Table7[Calls Ans],Table7[Date],"&gt;="&amp;V37,Table7[Date],"&lt;"&amp;V38)</f>
        <v>3087</v>
      </c>
    </row>
    <row r="38" spans="1:27" x14ac:dyDescent="0.35">
      <c r="A38" s="25">
        <v>44688</v>
      </c>
      <c r="B38" s="38" t="s">
        <v>54</v>
      </c>
      <c r="C38" s="38" t="s">
        <v>60</v>
      </c>
      <c r="D38" s="1">
        <v>648</v>
      </c>
      <c r="E38" s="1">
        <v>503</v>
      </c>
      <c r="F38" s="72">
        <v>2.8571428571428571E-2</v>
      </c>
      <c r="G38" s="72">
        <v>0.19194312796208532</v>
      </c>
      <c r="H38" s="1">
        <v>5575</v>
      </c>
      <c r="I38" s="1">
        <v>2218</v>
      </c>
      <c r="J38" s="1">
        <v>23666</v>
      </c>
      <c r="K38" s="1">
        <v>18376</v>
      </c>
      <c r="L38" s="18">
        <v>0.48</v>
      </c>
      <c r="M38" s="18">
        <v>0.22</v>
      </c>
      <c r="N38" s="18">
        <v>0.78</v>
      </c>
      <c r="O38" s="18">
        <v>0.55000000000000004</v>
      </c>
      <c r="P38" s="18">
        <v>0.62</v>
      </c>
      <c r="Q38" s="18"/>
      <c r="R38" s="18"/>
      <c r="S38" s="1"/>
      <c r="V38" s="23">
        <f t="shared" si="0"/>
        <v>44823</v>
      </c>
      <c r="W38" s="1">
        <f>SUMIFS(Table7[Calls Off],Table7[Date],"&gt;="&amp;V38,Table7[Date],"&lt;"&amp;V39)</f>
        <v>4647</v>
      </c>
      <c r="X38" s="1">
        <f>SUMIFS(Table7[Calls Ans],Table7[Date],"&gt;="&amp;V38,Table7[Date],"&lt;"&amp;V39)</f>
        <v>3146</v>
      </c>
    </row>
    <row r="39" spans="1:27" x14ac:dyDescent="0.35">
      <c r="A39" s="23">
        <v>44689</v>
      </c>
      <c r="B39" s="36" t="s">
        <v>48</v>
      </c>
      <c r="C39" s="38" t="s">
        <v>60</v>
      </c>
      <c r="D39" s="1">
        <v>0</v>
      </c>
      <c r="E39" s="1">
        <v>0</v>
      </c>
      <c r="F39" s="72">
        <v>0</v>
      </c>
      <c r="G39" s="72">
        <v>0</v>
      </c>
      <c r="H39" s="1">
        <v>0</v>
      </c>
      <c r="I39" s="1">
        <v>0</v>
      </c>
      <c r="J39" s="1">
        <v>0</v>
      </c>
      <c r="K39" s="1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/>
      <c r="R39" s="18"/>
      <c r="S39" s="1"/>
      <c r="V39" s="23">
        <f t="shared" si="0"/>
        <v>44830</v>
      </c>
      <c r="W39" s="1">
        <f>SUMIFS(Table7[Calls Off],Table7[Date],"&gt;="&amp;V39,Table7[Date],"&lt;"&amp;V40)</f>
        <v>6325</v>
      </c>
      <c r="X39" s="1">
        <f>SUMIFS(Table7[Calls Ans],Table7[Date],"&gt;="&amp;V39,Table7[Date],"&lt;"&amp;V40)</f>
        <v>3116</v>
      </c>
    </row>
    <row r="40" spans="1:27" x14ac:dyDescent="0.35">
      <c r="A40" s="25">
        <v>44690</v>
      </c>
      <c r="B40" s="38" t="s">
        <v>49</v>
      </c>
      <c r="C40" s="38" t="s">
        <v>60</v>
      </c>
      <c r="D40" s="1">
        <v>1086</v>
      </c>
      <c r="E40" s="1">
        <v>583</v>
      </c>
      <c r="F40" s="72">
        <v>0</v>
      </c>
      <c r="G40" s="72">
        <v>0</v>
      </c>
      <c r="H40" s="1">
        <v>6661</v>
      </c>
      <c r="I40" s="1">
        <v>2801</v>
      </c>
      <c r="J40" s="1">
        <v>24752</v>
      </c>
      <c r="K40" s="1">
        <v>18959</v>
      </c>
      <c r="L40" s="18">
        <v>0.2</v>
      </c>
      <c r="M40" s="18">
        <v>0.46</v>
      </c>
      <c r="N40" s="18">
        <v>0.54</v>
      </c>
      <c r="O40" s="18">
        <v>0.66</v>
      </c>
      <c r="P40" s="18">
        <v>0.72</v>
      </c>
      <c r="Q40" s="18"/>
      <c r="R40" s="18"/>
      <c r="S40" s="1"/>
      <c r="V40" s="23">
        <f>V39+7</f>
        <v>44837</v>
      </c>
      <c r="W40" s="1">
        <f>SUMIFS(Table7[Calls Off],Table7[Date],"&gt;="&amp;V40,Table7[Date],"&lt;"&amp;V41)</f>
        <v>5972</v>
      </c>
      <c r="X40" s="1">
        <f>SUMIFS(Table7[Calls Ans],Table7[Date],"&gt;="&amp;V40,Table7[Date],"&lt;"&amp;V41)</f>
        <v>2372</v>
      </c>
    </row>
    <row r="41" spans="1:27" x14ac:dyDescent="0.35">
      <c r="A41" s="25">
        <v>44691</v>
      </c>
      <c r="B41" s="38" t="s">
        <v>50</v>
      </c>
      <c r="C41" s="38" t="s">
        <v>60</v>
      </c>
      <c r="D41" s="1">
        <v>1080</v>
      </c>
      <c r="E41" s="1">
        <v>560</v>
      </c>
      <c r="F41" s="72">
        <v>-0.15887850467289719</v>
      </c>
      <c r="G41" s="72">
        <v>7.0745697896749518E-2</v>
      </c>
      <c r="H41" s="1">
        <v>7741</v>
      </c>
      <c r="I41" s="1">
        <v>3361</v>
      </c>
      <c r="J41" s="1">
        <v>25832</v>
      </c>
      <c r="K41" s="1">
        <v>19519</v>
      </c>
      <c r="L41" s="18">
        <v>0.11</v>
      </c>
      <c r="M41" s="18">
        <v>0.48</v>
      </c>
      <c r="N41" s="18">
        <v>0.52</v>
      </c>
      <c r="O41" s="18">
        <v>0.7</v>
      </c>
      <c r="P41" s="18">
        <v>0.57999999999999996</v>
      </c>
      <c r="Q41" s="18"/>
      <c r="R41" s="18"/>
      <c r="S41" s="1"/>
      <c r="V41" s="23">
        <f t="shared" si="0"/>
        <v>44844</v>
      </c>
      <c r="W41" s="1">
        <f>SUMIFS(Table7[Calls Off],Table7[Date],"&gt;="&amp;V41,Table7[Date],"&lt;"&amp;V42)</f>
        <v>5039</v>
      </c>
      <c r="X41" s="1">
        <f>SUMIFS(Table7[Calls Ans],Table7[Date],"&gt;="&amp;V41,Table7[Date],"&lt;"&amp;V42)</f>
        <v>3973</v>
      </c>
    </row>
    <row r="42" spans="1:27" x14ac:dyDescent="0.35">
      <c r="A42" s="25">
        <v>44692</v>
      </c>
      <c r="B42" s="38" t="s">
        <v>51</v>
      </c>
      <c r="C42" s="38" t="s">
        <v>60</v>
      </c>
      <c r="D42" s="1">
        <v>1032</v>
      </c>
      <c r="E42" s="1">
        <v>721</v>
      </c>
      <c r="F42" s="72">
        <v>-0.16774193548387098</v>
      </c>
      <c r="G42" s="72">
        <v>3.0279329608938546</v>
      </c>
      <c r="H42" s="1">
        <v>8773</v>
      </c>
      <c r="I42" s="1">
        <v>4082</v>
      </c>
      <c r="J42" s="1">
        <v>26864</v>
      </c>
      <c r="K42" s="1">
        <v>20240</v>
      </c>
      <c r="L42" s="18">
        <v>0.28000000000000003</v>
      </c>
      <c r="M42" s="18">
        <v>0.3</v>
      </c>
      <c r="N42" s="18">
        <v>0.7</v>
      </c>
      <c r="O42" s="18">
        <v>0.61</v>
      </c>
      <c r="P42" s="18">
        <v>0.66</v>
      </c>
      <c r="Q42" s="18"/>
      <c r="R42" s="18"/>
      <c r="S42" s="1"/>
      <c r="V42" s="23">
        <f t="shared" si="0"/>
        <v>44851</v>
      </c>
      <c r="W42" s="1">
        <f>SUMIFS(Table7[Calls Off],Table7[Date],"&gt;="&amp;V42,Table7[Date],"&lt;"&amp;V43)</f>
        <v>5135</v>
      </c>
      <c r="X42" s="1">
        <f>SUMIFS(Table7[Calls Ans],Table7[Date],"&gt;="&amp;V42,Table7[Date],"&lt;"&amp;V43)</f>
        <v>4042</v>
      </c>
    </row>
    <row r="43" spans="1:27" x14ac:dyDescent="0.35">
      <c r="A43" s="25">
        <v>44693</v>
      </c>
      <c r="B43" s="38" t="s">
        <v>52</v>
      </c>
      <c r="C43" s="38" t="s">
        <v>60</v>
      </c>
      <c r="D43" s="1">
        <v>995</v>
      </c>
      <c r="E43" s="1">
        <v>771</v>
      </c>
      <c r="F43" s="72">
        <v>-0.17358803986710963</v>
      </c>
      <c r="G43" s="72">
        <v>0.78472222222222221</v>
      </c>
      <c r="H43" s="1">
        <v>9768</v>
      </c>
      <c r="I43" s="1">
        <v>4853</v>
      </c>
      <c r="J43" s="1">
        <v>27859</v>
      </c>
      <c r="K43" s="1">
        <v>21011</v>
      </c>
      <c r="L43" s="18">
        <v>0.42</v>
      </c>
      <c r="M43" s="18">
        <v>0.23</v>
      </c>
      <c r="N43" s="18">
        <v>0.77</v>
      </c>
      <c r="O43" s="18">
        <v>0.54</v>
      </c>
      <c r="P43" s="18">
        <v>0.66</v>
      </c>
      <c r="Q43" s="18"/>
      <c r="R43" s="18"/>
      <c r="S43" s="1"/>
      <c r="V43" s="23">
        <f t="shared" si="0"/>
        <v>44858</v>
      </c>
      <c r="W43" s="1">
        <f>SUMIFS(Table7[Calls Off],Table7[Date],"&gt;="&amp;V43,Table7[Date],"&lt;"&amp;V44)</f>
        <v>5713</v>
      </c>
      <c r="X43" s="1">
        <f>SUMIFS(Table7[Calls Ans],Table7[Date],"&gt;="&amp;V43,Table7[Date],"&lt;"&amp;V44)</f>
        <v>1913</v>
      </c>
    </row>
    <row r="44" spans="1:27" x14ac:dyDescent="0.35">
      <c r="A44" s="25">
        <v>44694</v>
      </c>
      <c r="B44" s="38" t="s">
        <v>53</v>
      </c>
      <c r="C44" s="38" t="s">
        <v>60</v>
      </c>
      <c r="D44" s="1">
        <v>1017</v>
      </c>
      <c r="E44" s="1">
        <v>772</v>
      </c>
      <c r="F44" s="72">
        <v>-0.15179316096747289</v>
      </c>
      <c r="G44" s="72">
        <v>0.32874354561101549</v>
      </c>
      <c r="H44" s="1">
        <v>10785</v>
      </c>
      <c r="I44" s="1">
        <v>5625</v>
      </c>
      <c r="J44" s="1">
        <v>28876</v>
      </c>
      <c r="K44" s="1">
        <v>21783</v>
      </c>
      <c r="L44" s="18">
        <v>0.37</v>
      </c>
      <c r="M44" s="18">
        <v>0.24</v>
      </c>
      <c r="N44" s="18">
        <v>0.76</v>
      </c>
      <c r="O44" s="18">
        <v>0.62</v>
      </c>
      <c r="P44" s="18">
        <v>0.66</v>
      </c>
      <c r="Q44" s="18"/>
      <c r="R44" s="18"/>
      <c r="S44" s="1"/>
      <c r="V44" s="23">
        <f t="shared" si="0"/>
        <v>44865</v>
      </c>
      <c r="W44" s="1">
        <f>SUMIFS(Table7[Calls Off],Table7[Date],"&gt;="&amp;V44,Table7[Date],"&lt;"&amp;V45)</f>
        <v>5727</v>
      </c>
      <c r="X44" s="1">
        <f>SUMIFS(Table7[Calls Ans],Table7[Date],"&gt;="&amp;V44,Table7[Date],"&lt;"&amp;V45)</f>
        <v>3696</v>
      </c>
    </row>
    <row r="45" spans="1:27" x14ac:dyDescent="0.35">
      <c r="A45" s="25">
        <v>44695</v>
      </c>
      <c r="B45" s="38" t="s">
        <v>54</v>
      </c>
      <c r="C45" s="38" t="s">
        <v>60</v>
      </c>
      <c r="D45" s="1">
        <v>617</v>
      </c>
      <c r="E45" s="1">
        <v>398</v>
      </c>
      <c r="F45" s="72">
        <v>-4.7839506172839504E-2</v>
      </c>
      <c r="G45" s="72">
        <v>-0.20874751491053678</v>
      </c>
      <c r="H45" s="1">
        <v>11402</v>
      </c>
      <c r="I45" s="1">
        <v>6023</v>
      </c>
      <c r="J45" s="1">
        <v>29493</v>
      </c>
      <c r="K45" s="1">
        <v>22181</v>
      </c>
      <c r="L45" s="18">
        <v>0.3</v>
      </c>
      <c r="M45" s="18">
        <v>0.35</v>
      </c>
      <c r="N45" s="18">
        <v>0.65</v>
      </c>
      <c r="O45" s="18">
        <v>0.67</v>
      </c>
      <c r="P45" s="18">
        <v>0.81</v>
      </c>
      <c r="Q45" s="18"/>
      <c r="R45" s="18"/>
      <c r="S45" s="1"/>
      <c r="V45" s="23">
        <f t="shared" si="0"/>
        <v>44872</v>
      </c>
      <c r="W45" s="1">
        <f>SUMIFS(Table7[Calls Off],Table7[Date],"&gt;="&amp;V45,Table7[Date],"&lt;"&amp;V46)</f>
        <v>5593</v>
      </c>
      <c r="X45" s="1">
        <f>SUMIFS(Table7[Calls Ans],Table7[Date],"&gt;="&amp;V45,Table7[Date],"&lt;"&amp;V46)</f>
        <v>3572</v>
      </c>
      <c r="Z45">
        <f>(Table4[[#This Row],[Sum of Calls - Offered]]-W44)/W44</f>
        <v>-2.3397939584424654E-2</v>
      </c>
      <c r="AA45">
        <f>(Table4[[#This Row],[Sum of Calls - Answered]]-X44)/X44</f>
        <v>-3.3549783549783552E-2</v>
      </c>
    </row>
    <row r="46" spans="1:27" x14ac:dyDescent="0.35">
      <c r="A46" s="23">
        <v>44696</v>
      </c>
      <c r="B46" s="38" t="s">
        <v>48</v>
      </c>
      <c r="C46" s="38" t="s">
        <v>60</v>
      </c>
      <c r="D46" s="1">
        <v>0</v>
      </c>
      <c r="E46" s="1">
        <v>0</v>
      </c>
      <c r="F46" s="72">
        <v>0</v>
      </c>
      <c r="G46" s="72">
        <v>0</v>
      </c>
      <c r="H46" s="1">
        <v>0</v>
      </c>
      <c r="I46" s="1">
        <v>0</v>
      </c>
      <c r="J46" s="1">
        <v>0</v>
      </c>
      <c r="K46" s="1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/>
      <c r="R46" s="18"/>
      <c r="S46" s="1"/>
      <c r="V46" s="23">
        <f t="shared" si="0"/>
        <v>44879</v>
      </c>
      <c r="W46" s="1">
        <f>SUMIFS(Table7[Calls Off],Table7[Date],"&gt;="&amp;V46,Table7[Date],"&lt;"&amp;V47)</f>
        <v>5775</v>
      </c>
      <c r="X46" s="1">
        <f>SUMIFS(Table7[Calls Ans],Table7[Date],"&gt;="&amp;V46,Table7[Date],"&lt;"&amp;V47)</f>
        <v>4203</v>
      </c>
    </row>
    <row r="47" spans="1:27" x14ac:dyDescent="0.35">
      <c r="A47" s="25">
        <v>44697</v>
      </c>
      <c r="B47" s="38" t="s">
        <v>49</v>
      </c>
      <c r="C47" s="38" t="s">
        <v>60</v>
      </c>
      <c r="D47" s="1">
        <v>1027</v>
      </c>
      <c r="E47" s="1">
        <v>578</v>
      </c>
      <c r="F47" s="72">
        <v>-5.432780847145488E-2</v>
      </c>
      <c r="G47" s="72">
        <v>-8.5763293310463125E-3</v>
      </c>
      <c r="H47" s="1">
        <v>12429</v>
      </c>
      <c r="I47" s="1">
        <v>6601</v>
      </c>
      <c r="J47" s="1">
        <v>30520</v>
      </c>
      <c r="K47" s="1">
        <v>22759</v>
      </c>
      <c r="L47" s="18">
        <v>0.27</v>
      </c>
      <c r="M47" s="18">
        <v>0.44</v>
      </c>
      <c r="N47" s="18">
        <v>0.56000000000000005</v>
      </c>
      <c r="O47" s="18">
        <v>0.68</v>
      </c>
      <c r="P47" s="18">
        <v>0.69</v>
      </c>
      <c r="Q47" s="18"/>
      <c r="R47" s="18"/>
      <c r="S47" s="1"/>
      <c r="V47" s="23">
        <f t="shared" si="0"/>
        <v>44886</v>
      </c>
      <c r="W47" s="1">
        <f>SUMIFS(Table7[Calls Off],Table7[Date],"&gt;="&amp;V47,Table7[Date],"&lt;"&amp;V48)</f>
        <v>7355</v>
      </c>
      <c r="X47" s="1">
        <f>SUMIFS(Table7[Calls Ans],Table7[Date],"&gt;="&amp;V47,Table7[Date],"&lt;"&amp;V48)</f>
        <v>4620</v>
      </c>
    </row>
    <row r="48" spans="1:27" x14ac:dyDescent="0.35">
      <c r="A48" s="25">
        <v>44698</v>
      </c>
      <c r="B48" s="38" t="s">
        <v>50</v>
      </c>
      <c r="C48" s="38" t="s">
        <v>60</v>
      </c>
      <c r="D48" s="1">
        <v>1048</v>
      </c>
      <c r="E48" s="1">
        <v>696</v>
      </c>
      <c r="F48" s="72">
        <v>-2.9629629629629631E-2</v>
      </c>
      <c r="G48" s="72">
        <v>0.24285714285714285</v>
      </c>
      <c r="H48" s="1">
        <v>13477</v>
      </c>
      <c r="I48" s="1">
        <v>7297</v>
      </c>
      <c r="J48" s="1">
        <v>31568</v>
      </c>
      <c r="K48" s="1">
        <v>23455</v>
      </c>
      <c r="L48" s="18">
        <v>0.23</v>
      </c>
      <c r="M48" s="18">
        <v>0.34</v>
      </c>
      <c r="N48" s="18">
        <v>0.66</v>
      </c>
      <c r="O48" s="18">
        <v>0.72</v>
      </c>
      <c r="P48" s="18">
        <v>0.69</v>
      </c>
      <c r="Q48" s="18"/>
      <c r="R48" s="18"/>
      <c r="S48" s="1"/>
      <c r="V48" s="23">
        <f t="shared" si="0"/>
        <v>44893</v>
      </c>
      <c r="W48" s="1">
        <f>SUMIFS(Table7[Calls Off],Table7[Date],"&gt;="&amp;V48,Table7[Date],"&lt;"&amp;V49)</f>
        <v>8516</v>
      </c>
      <c r="X48" s="1">
        <f>SUMIFS(Table7[Calls Ans],Table7[Date],"&gt;="&amp;V48,Table7[Date],"&lt;"&amp;V49)</f>
        <v>4607</v>
      </c>
    </row>
    <row r="49" spans="1:24" x14ac:dyDescent="0.35">
      <c r="A49" s="25">
        <v>44699</v>
      </c>
      <c r="B49" s="38" t="s">
        <v>51</v>
      </c>
      <c r="C49" s="38" t="s">
        <v>60</v>
      </c>
      <c r="D49" s="1">
        <v>860</v>
      </c>
      <c r="E49" s="1">
        <v>603</v>
      </c>
      <c r="F49" s="72">
        <v>-0.16666666666666666</v>
      </c>
      <c r="G49" s="72">
        <v>-0.1636615811373093</v>
      </c>
      <c r="H49" s="1">
        <v>14337</v>
      </c>
      <c r="I49" s="1">
        <v>7900</v>
      </c>
      <c r="J49" s="1">
        <v>32428</v>
      </c>
      <c r="K49" s="1">
        <v>24058</v>
      </c>
      <c r="L49" s="18">
        <v>0.28000000000000003</v>
      </c>
      <c r="M49" s="18">
        <v>0.3</v>
      </c>
      <c r="N49" s="18">
        <v>0.7</v>
      </c>
      <c r="O49" s="18">
        <v>0.62</v>
      </c>
      <c r="P49" s="18">
        <v>0.72</v>
      </c>
      <c r="Q49" s="18"/>
      <c r="R49" s="18"/>
      <c r="S49" s="1"/>
      <c r="V49" s="23">
        <f t="shared" si="0"/>
        <v>44900</v>
      </c>
      <c r="W49" s="1">
        <f>SUMIFS(Table7[Calls Off],Table7[Date],"&gt;="&amp;V49,Table7[Date],"&lt;"&amp;V50)</f>
        <v>7466</v>
      </c>
      <c r="X49" s="1">
        <f>SUMIFS(Table7[Calls Ans],Table7[Date],"&gt;="&amp;V49,Table7[Date],"&lt;"&amp;V50)</f>
        <v>5023</v>
      </c>
    </row>
    <row r="50" spans="1:24" x14ac:dyDescent="0.35">
      <c r="A50" s="25">
        <v>44700</v>
      </c>
      <c r="B50" s="38" t="s">
        <v>52</v>
      </c>
      <c r="C50" s="38" t="s">
        <v>60</v>
      </c>
      <c r="D50" s="1">
        <v>953</v>
      </c>
      <c r="E50" s="1">
        <v>662</v>
      </c>
      <c r="F50" s="72">
        <v>-4.2211055276381908E-2</v>
      </c>
      <c r="G50" s="72">
        <v>-0.14137483787289234</v>
      </c>
      <c r="H50" s="1">
        <v>15290</v>
      </c>
      <c r="I50" s="1">
        <v>8562</v>
      </c>
      <c r="J50" s="1">
        <v>33381</v>
      </c>
      <c r="K50" s="1">
        <v>24720</v>
      </c>
      <c r="L50" s="18">
        <v>0.37</v>
      </c>
      <c r="M50" s="18">
        <v>0.3</v>
      </c>
      <c r="N50" s="18">
        <v>0.7</v>
      </c>
      <c r="O50" s="18">
        <v>0.53</v>
      </c>
      <c r="P50" s="18">
        <v>0.75</v>
      </c>
      <c r="Q50" s="18"/>
      <c r="R50" s="18"/>
      <c r="S50" s="1"/>
      <c r="V50" s="23">
        <f t="shared" si="0"/>
        <v>44907</v>
      </c>
      <c r="W50" s="1">
        <f>SUMIFS(Table7[Calls Off],Table7[Date],"&gt;="&amp;V50,Table7[Date],"&lt;"&amp;V51)</f>
        <v>7492</v>
      </c>
      <c r="X50" s="1">
        <f>SUMIFS(Table7[Calls Ans],Table7[Date],"&gt;="&amp;V50,Table7[Date],"&lt;"&amp;V51)</f>
        <v>5333</v>
      </c>
    </row>
    <row r="51" spans="1:24" x14ac:dyDescent="0.35">
      <c r="A51" s="25">
        <v>44701</v>
      </c>
      <c r="B51" s="38" t="s">
        <v>53</v>
      </c>
      <c r="C51" s="38" t="s">
        <v>60</v>
      </c>
      <c r="D51" s="1">
        <v>959</v>
      </c>
      <c r="E51" s="1">
        <v>681</v>
      </c>
      <c r="F51" s="72">
        <v>-5.7030481809242868E-2</v>
      </c>
      <c r="G51" s="72">
        <v>-0.11787564766839378</v>
      </c>
      <c r="H51" s="1">
        <v>16249</v>
      </c>
      <c r="I51" s="1">
        <v>9243</v>
      </c>
      <c r="J51" s="1">
        <v>34340</v>
      </c>
      <c r="K51" s="1">
        <v>25401</v>
      </c>
      <c r="L51" s="18">
        <v>0.38</v>
      </c>
      <c r="M51" s="18">
        <v>0.28999999999999998</v>
      </c>
      <c r="N51" s="18">
        <v>0.71</v>
      </c>
      <c r="O51" s="18">
        <v>0.52</v>
      </c>
      <c r="P51" s="18">
        <v>0.74</v>
      </c>
      <c r="Q51" s="18"/>
      <c r="R51" s="18"/>
      <c r="S51" s="1"/>
      <c r="V51" s="23">
        <f t="shared" si="0"/>
        <v>44914</v>
      </c>
      <c r="W51" s="1">
        <f>SUMIFS(Table7[Calls Off],Table7[Date],"&gt;="&amp;V51,Table7[Date],"&lt;"&amp;V52)</f>
        <v>7764</v>
      </c>
      <c r="X51" s="1">
        <f>SUMIFS(Table7[Calls Ans],Table7[Date],"&gt;="&amp;V51,Table7[Date],"&lt;"&amp;V52)</f>
        <v>4576</v>
      </c>
    </row>
    <row r="52" spans="1:24" x14ac:dyDescent="0.35">
      <c r="A52" s="25">
        <v>44702</v>
      </c>
      <c r="B52" s="38" t="s">
        <v>54</v>
      </c>
      <c r="C52" s="38" t="s">
        <v>60</v>
      </c>
      <c r="D52" s="1">
        <v>444</v>
      </c>
      <c r="E52" s="1">
        <v>393</v>
      </c>
      <c r="F52" s="72">
        <v>-0.28038897893030795</v>
      </c>
      <c r="G52" s="72">
        <v>-1.2562814070351759E-2</v>
      </c>
      <c r="H52" s="1">
        <v>16693</v>
      </c>
      <c r="I52" s="1">
        <v>9636</v>
      </c>
      <c r="J52" s="1">
        <v>34784</v>
      </c>
      <c r="K52" s="1">
        <v>25794</v>
      </c>
      <c r="L52" s="18">
        <v>0.74</v>
      </c>
      <c r="M52" s="18">
        <v>0.11</v>
      </c>
      <c r="N52" s="18">
        <v>0.89</v>
      </c>
      <c r="O52" s="18">
        <v>0.37</v>
      </c>
      <c r="P52" s="18">
        <v>0.79</v>
      </c>
      <c r="Q52" s="18"/>
      <c r="R52" s="18"/>
      <c r="S52" s="1"/>
      <c r="V52" s="23">
        <f t="shared" si="0"/>
        <v>44921</v>
      </c>
      <c r="W52" s="1">
        <f>SUMIFS(Table7[Calls Off],Table7[Date],"&gt;="&amp;V52,Table7[Date],"&lt;"&amp;V53)</f>
        <v>3538</v>
      </c>
      <c r="X52" s="1">
        <f>SUMIFS(Table7[Calls Ans],Table7[Date],"&gt;="&amp;V52,Table7[Date],"&lt;"&amp;V53)</f>
        <v>2719</v>
      </c>
    </row>
    <row r="53" spans="1:24" x14ac:dyDescent="0.35">
      <c r="A53" s="23">
        <v>44703</v>
      </c>
      <c r="B53" s="36" t="s">
        <v>48</v>
      </c>
      <c r="C53" s="38" t="s">
        <v>60</v>
      </c>
      <c r="D53" s="1">
        <v>0</v>
      </c>
      <c r="E53" s="1">
        <v>0</v>
      </c>
      <c r="F53" s="72">
        <v>0</v>
      </c>
      <c r="G53" s="72">
        <v>0</v>
      </c>
      <c r="H53" s="1">
        <v>0</v>
      </c>
      <c r="I53" s="1">
        <v>0</v>
      </c>
      <c r="J53" s="1">
        <v>0</v>
      </c>
      <c r="K53" s="1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/>
      <c r="R53" s="18"/>
      <c r="S53" s="1"/>
      <c r="V53" s="23">
        <f t="shared" si="0"/>
        <v>44928</v>
      </c>
      <c r="W53" s="1">
        <f>SUMIFS(Table7[Calls Off],Table7[Date],"&gt;="&amp;V53,Table7[Date],"&lt;"&amp;V54)</f>
        <v>3868</v>
      </c>
      <c r="X53" s="1">
        <f>SUMIFS(Table7[Calls Ans],Table7[Date],"&gt;="&amp;V53,Table7[Date],"&lt;"&amp;V54)</f>
        <v>3273</v>
      </c>
    </row>
    <row r="54" spans="1:24" x14ac:dyDescent="0.35">
      <c r="A54" s="25">
        <v>44704</v>
      </c>
      <c r="B54" s="38" t="s">
        <v>49</v>
      </c>
      <c r="C54" s="38" t="s">
        <v>60</v>
      </c>
      <c r="D54" s="1">
        <v>927</v>
      </c>
      <c r="E54" s="1">
        <v>809</v>
      </c>
      <c r="F54" s="72">
        <v>-9.7370983446932818E-2</v>
      </c>
      <c r="G54" s="72">
        <v>0.39965397923875434</v>
      </c>
      <c r="H54" s="1">
        <v>17620</v>
      </c>
      <c r="I54" s="1">
        <v>10445</v>
      </c>
      <c r="J54" s="1">
        <v>35711</v>
      </c>
      <c r="K54" s="1">
        <v>26603</v>
      </c>
      <c r="L54" s="18">
        <v>0.65</v>
      </c>
      <c r="M54" s="18">
        <v>0.13</v>
      </c>
      <c r="N54" s="18">
        <v>0.87</v>
      </c>
      <c r="O54" s="18">
        <v>0.44</v>
      </c>
      <c r="P54" s="18">
        <v>0.71</v>
      </c>
      <c r="Q54" s="18"/>
      <c r="R54" s="18"/>
      <c r="S54" s="1"/>
      <c r="V54" s="23">
        <f t="shared" si="0"/>
        <v>44935</v>
      </c>
      <c r="W54" s="1">
        <f>SUMIFS(Table7[Calls Off],Table7[Date],"&gt;="&amp;V54,Table7[Date],"&lt;"&amp;V55)</f>
        <v>4375</v>
      </c>
      <c r="X54" s="1">
        <f>SUMIFS(Table7[Calls Ans],Table7[Date],"&gt;="&amp;V54,Table7[Date],"&lt;"&amp;V55)</f>
        <v>3856</v>
      </c>
    </row>
    <row r="55" spans="1:24" x14ac:dyDescent="0.35">
      <c r="A55" s="25">
        <v>44705</v>
      </c>
      <c r="B55" s="38" t="s">
        <v>50</v>
      </c>
      <c r="C55" s="38" t="s">
        <v>60</v>
      </c>
      <c r="D55" s="1">
        <v>842</v>
      </c>
      <c r="E55" s="1">
        <v>760</v>
      </c>
      <c r="F55" s="72">
        <v>-0.1965648854961832</v>
      </c>
      <c r="G55" s="72">
        <v>9.1954022988505746E-2</v>
      </c>
      <c r="H55" s="1">
        <v>18462</v>
      </c>
      <c r="I55" s="1">
        <v>11205</v>
      </c>
      <c r="J55" s="1">
        <v>36553</v>
      </c>
      <c r="K55" s="1">
        <v>27363</v>
      </c>
      <c r="L55" s="18">
        <v>0.7</v>
      </c>
      <c r="M55" s="18">
        <v>0.1</v>
      </c>
      <c r="N55" s="18">
        <v>0.9</v>
      </c>
      <c r="O55" s="18">
        <v>0.43</v>
      </c>
      <c r="P55" s="18">
        <v>0.71</v>
      </c>
      <c r="Q55" s="18"/>
      <c r="R55" s="18"/>
      <c r="S55" s="1"/>
      <c r="V55" s="23">
        <f t="shared" si="0"/>
        <v>44942</v>
      </c>
      <c r="W55" s="1">
        <f>SUMIFS(Table7[Calls Off],Table7[Date],"&gt;="&amp;V55,Table7[Date],"&lt;"&amp;V56)</f>
        <v>4157</v>
      </c>
      <c r="X55" s="1">
        <f>SUMIFS(Table7[Calls Ans],Table7[Date],"&gt;="&amp;V55,Table7[Date],"&lt;"&amp;V56)</f>
        <v>3932</v>
      </c>
    </row>
    <row r="56" spans="1:24" x14ac:dyDescent="0.35">
      <c r="A56" s="25">
        <v>44706</v>
      </c>
      <c r="B56" s="38" t="s">
        <v>51</v>
      </c>
      <c r="C56" s="38" t="s">
        <v>60</v>
      </c>
      <c r="D56" s="1">
        <v>866</v>
      </c>
      <c r="E56" s="1">
        <v>803</v>
      </c>
      <c r="F56" s="72">
        <v>6.9767441860465115E-3</v>
      </c>
      <c r="G56" s="72">
        <v>0.33167495854063017</v>
      </c>
      <c r="H56" s="1">
        <v>19328</v>
      </c>
      <c r="I56" s="1">
        <v>12008</v>
      </c>
      <c r="J56" s="1">
        <v>37419</v>
      </c>
      <c r="K56" s="1">
        <v>28166</v>
      </c>
      <c r="L56" s="18">
        <v>0.83</v>
      </c>
      <c r="M56" s="18">
        <v>7.0000000000000007E-2</v>
      </c>
      <c r="N56" s="18">
        <v>0.93</v>
      </c>
      <c r="O56" s="18">
        <v>0.4</v>
      </c>
      <c r="P56" s="18">
        <v>0.74</v>
      </c>
      <c r="Q56" s="18"/>
      <c r="R56" s="18"/>
      <c r="S56" s="1"/>
      <c r="V56" s="23">
        <f t="shared" si="0"/>
        <v>44949</v>
      </c>
      <c r="W56" s="1">
        <f>SUMIFS(Table7[Calls Off],Table7[Date],"&gt;="&amp;V56,Table7[Date],"&lt;"&amp;V57)</f>
        <v>4157</v>
      </c>
      <c r="X56" s="1">
        <f>SUMIFS(Table7[Calls Ans],Table7[Date],"&gt;="&amp;V56,Table7[Date],"&lt;"&amp;V57)</f>
        <v>3914</v>
      </c>
    </row>
    <row r="57" spans="1:24" x14ac:dyDescent="0.35">
      <c r="A57" s="25">
        <v>44707</v>
      </c>
      <c r="B57" s="36" t="s">
        <v>52</v>
      </c>
      <c r="C57" s="38" t="s">
        <v>60</v>
      </c>
      <c r="D57" s="1">
        <v>729</v>
      </c>
      <c r="E57" s="1">
        <v>691</v>
      </c>
      <c r="F57" s="72">
        <v>-0.23504721930745015</v>
      </c>
      <c r="G57" s="72">
        <v>4.3806646525679761E-2</v>
      </c>
      <c r="H57" s="1">
        <v>20057</v>
      </c>
      <c r="I57" s="1">
        <v>12699</v>
      </c>
      <c r="J57" s="1">
        <v>38148</v>
      </c>
      <c r="K57" s="1">
        <v>28857</v>
      </c>
      <c r="L57" s="18">
        <v>0.84</v>
      </c>
      <c r="M57" s="18">
        <v>0.05</v>
      </c>
      <c r="N57" s="18">
        <v>0.95</v>
      </c>
      <c r="O57" s="18">
        <v>0.47</v>
      </c>
      <c r="P57" s="18">
        <v>0.72</v>
      </c>
      <c r="Q57" s="18"/>
      <c r="R57" s="18"/>
      <c r="S57" s="1"/>
      <c r="V57" s="23">
        <f t="shared" si="0"/>
        <v>44956</v>
      </c>
      <c r="W57" s="1">
        <f>SUMIFS(Table7[Calls Off],Table7[Date],"&gt;="&amp;V57,Table7[Date],"&lt;"&amp;V58)</f>
        <v>4126</v>
      </c>
      <c r="X57" s="1">
        <f>SUMIFS(Table7[Calls Ans],Table7[Date],"&gt;="&amp;V57,Table7[Date],"&lt;"&amp;V58)</f>
        <v>4022</v>
      </c>
    </row>
    <row r="58" spans="1:24" x14ac:dyDescent="0.35">
      <c r="A58" s="25">
        <v>44708</v>
      </c>
      <c r="B58" s="38" t="s">
        <v>53</v>
      </c>
      <c r="C58" s="38" t="s">
        <v>60</v>
      </c>
      <c r="D58" s="1">
        <v>747</v>
      </c>
      <c r="E58" s="1">
        <v>634</v>
      </c>
      <c r="F58" s="72">
        <v>-0.2210636079249218</v>
      </c>
      <c r="G58" s="72">
        <v>-6.901615271659324E-2</v>
      </c>
      <c r="H58" s="1">
        <v>20804</v>
      </c>
      <c r="I58" s="1">
        <v>13333</v>
      </c>
      <c r="J58" s="1">
        <v>38895</v>
      </c>
      <c r="K58" s="1">
        <v>29491</v>
      </c>
      <c r="L58" s="18">
        <v>0.59</v>
      </c>
      <c r="M58" s="18">
        <v>0.15</v>
      </c>
      <c r="N58" s="18">
        <v>0.85</v>
      </c>
      <c r="O58" s="18">
        <v>0.48</v>
      </c>
      <c r="P58" s="18">
        <v>0.68</v>
      </c>
      <c r="Q58" s="18"/>
      <c r="R58" s="18"/>
      <c r="S58" s="1"/>
      <c r="V58" s="23">
        <f t="shared" si="0"/>
        <v>44963</v>
      </c>
      <c r="W58" s="1">
        <f>SUMIFS(Table7[Calls Off],Table7[Date],"&gt;="&amp;V58,Table7[Date],"&lt;"&amp;V59)</f>
        <v>4133</v>
      </c>
      <c r="X58" s="1">
        <f>SUMIFS(Table7[Calls Ans],Table7[Date],"&gt;="&amp;V58,Table7[Date],"&lt;"&amp;V59)</f>
        <v>4015</v>
      </c>
    </row>
    <row r="59" spans="1:24" x14ac:dyDescent="0.35">
      <c r="A59" s="25">
        <v>44709</v>
      </c>
      <c r="B59" s="36" t="s">
        <v>54</v>
      </c>
      <c r="C59" s="38" t="s">
        <v>60</v>
      </c>
      <c r="D59" s="1">
        <v>491</v>
      </c>
      <c r="E59" s="1">
        <v>430</v>
      </c>
      <c r="F59" s="72">
        <v>0.10585585585585586</v>
      </c>
      <c r="G59" s="72">
        <v>9.4147582697201013E-2</v>
      </c>
      <c r="H59" s="1">
        <v>21295</v>
      </c>
      <c r="I59" s="1">
        <v>13763</v>
      </c>
      <c r="J59" s="1">
        <v>39386</v>
      </c>
      <c r="K59" s="1">
        <v>29921</v>
      </c>
      <c r="L59" s="18">
        <v>0.74</v>
      </c>
      <c r="M59" s="18">
        <v>0.12</v>
      </c>
      <c r="N59" s="18">
        <v>0.88</v>
      </c>
      <c r="O59" s="18">
        <v>0.28000000000000003</v>
      </c>
      <c r="P59" s="18">
        <v>0.7</v>
      </c>
      <c r="Q59" s="18"/>
      <c r="R59" s="18"/>
      <c r="S59" s="1"/>
      <c r="V59" s="23">
        <f t="shared" si="0"/>
        <v>44970</v>
      </c>
      <c r="W59" s="1">
        <f>SUMIFS(Table7[Calls Off],Table7[Date],"&gt;="&amp;V59,Table7[Date],"&lt;"&amp;V60)</f>
        <v>3568</v>
      </c>
      <c r="X59" s="1">
        <f>SUMIFS(Table7[Calls Ans],Table7[Date],"&gt;="&amp;V59,Table7[Date],"&lt;"&amp;V60)</f>
        <v>3350</v>
      </c>
    </row>
    <row r="60" spans="1:24" x14ac:dyDescent="0.35">
      <c r="A60" s="23">
        <v>44710</v>
      </c>
      <c r="B60" s="38" t="s">
        <v>48</v>
      </c>
      <c r="C60" s="38" t="s">
        <v>60</v>
      </c>
      <c r="D60" s="1">
        <v>0</v>
      </c>
      <c r="E60" s="1">
        <v>0</v>
      </c>
      <c r="F60" s="72">
        <v>0</v>
      </c>
      <c r="G60" s="72">
        <v>0</v>
      </c>
      <c r="H60" s="1">
        <v>0</v>
      </c>
      <c r="I60" s="1">
        <v>0</v>
      </c>
      <c r="J60" s="1">
        <v>0</v>
      </c>
      <c r="K60" s="1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/>
      <c r="R60" s="18"/>
      <c r="S60" s="1"/>
      <c r="V60" s="23">
        <f t="shared" si="0"/>
        <v>44977</v>
      </c>
      <c r="W60" s="1">
        <f>SUMIFS(Table7[Calls Off],Table7[Date],"&gt;="&amp;V60,Table7[Date],"&lt;"&amp;V61)</f>
        <v>2783</v>
      </c>
      <c r="X60" s="1">
        <f>SUMIFS(Table7[Calls Ans],Table7[Date],"&gt;="&amp;V60,Table7[Date],"&lt;"&amp;V61)</f>
        <v>2571</v>
      </c>
    </row>
    <row r="61" spans="1:24" x14ac:dyDescent="0.35">
      <c r="A61" s="25">
        <v>44711</v>
      </c>
      <c r="B61" s="36" t="s">
        <v>64</v>
      </c>
      <c r="C61" s="38" t="s">
        <v>60</v>
      </c>
      <c r="D61" s="48">
        <v>0</v>
      </c>
      <c r="E61" s="48">
        <v>0</v>
      </c>
      <c r="F61" s="97">
        <v>0</v>
      </c>
      <c r="G61" s="97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/>
      <c r="R61" s="48"/>
      <c r="S61" s="1"/>
      <c r="V61" s="23">
        <f t="shared" si="0"/>
        <v>44984</v>
      </c>
      <c r="W61" s="1">
        <f>SUMIFS(Table7[Calls Off],Table7[Date],"&gt;="&amp;V61,Table7[Date],"&lt;"&amp;V62)</f>
        <v>4531</v>
      </c>
      <c r="X61" s="1">
        <f>SUMIFS(Table7[Calls Ans],Table7[Date],"&gt;="&amp;V61,Table7[Date],"&lt;"&amp;V62)</f>
        <v>4151</v>
      </c>
    </row>
    <row r="62" spans="1:24" x14ac:dyDescent="0.35">
      <c r="A62" s="87">
        <v>44712</v>
      </c>
      <c r="B62" s="99" t="s">
        <v>50</v>
      </c>
      <c r="C62" s="88" t="s">
        <v>60</v>
      </c>
      <c r="D62" s="74">
        <v>909</v>
      </c>
      <c r="E62" s="74">
        <v>806</v>
      </c>
      <c r="F62" s="95">
        <v>7.9572446555819479E-2</v>
      </c>
      <c r="G62" s="95">
        <v>6.0526315789473685E-2</v>
      </c>
      <c r="H62" s="74">
        <v>22204</v>
      </c>
      <c r="I62" s="74">
        <v>14569</v>
      </c>
      <c r="J62" s="74">
        <v>40295</v>
      </c>
      <c r="K62" s="74">
        <v>30727</v>
      </c>
      <c r="L62" s="2">
        <v>0.62</v>
      </c>
      <c r="M62" s="2">
        <v>0.11</v>
      </c>
      <c r="N62" s="2">
        <v>0.89</v>
      </c>
      <c r="O62" s="2">
        <v>0.5</v>
      </c>
      <c r="P62" s="2">
        <v>0.64</v>
      </c>
      <c r="Q62" s="2"/>
      <c r="R62" s="2"/>
      <c r="S62" s="74"/>
      <c r="T62" s="53"/>
      <c r="U62" s="53"/>
      <c r="V62" s="23">
        <f t="shared" si="0"/>
        <v>44991</v>
      </c>
      <c r="W62" s="1">
        <f>SUMIFS(Table7[Calls Off],Table7[Date],"&gt;="&amp;V62,Table7[Date],"&lt;"&amp;V63)</f>
        <v>3698</v>
      </c>
      <c r="X62" s="1">
        <f>SUMIFS(Table7[Calls Ans],Table7[Date],"&gt;="&amp;V62,Table7[Date],"&lt;"&amp;V63)</f>
        <v>3528</v>
      </c>
    </row>
    <row r="63" spans="1:24" x14ac:dyDescent="0.35">
      <c r="A63" s="25">
        <v>44713</v>
      </c>
      <c r="B63" s="36" t="s">
        <v>51</v>
      </c>
      <c r="C63" s="38" t="s">
        <v>60</v>
      </c>
      <c r="D63" s="1">
        <v>836</v>
      </c>
      <c r="E63" s="1">
        <v>802</v>
      </c>
      <c r="F63" s="72">
        <v>-3.4642032332563508E-2</v>
      </c>
      <c r="G63" s="72">
        <v>-1.2453300124533001E-3</v>
      </c>
      <c r="H63" s="1">
        <v>836</v>
      </c>
      <c r="I63" s="1">
        <v>802</v>
      </c>
      <c r="J63" s="1">
        <v>41131</v>
      </c>
      <c r="K63" s="1">
        <v>31529</v>
      </c>
      <c r="L63" s="18">
        <v>0.86</v>
      </c>
      <c r="M63" s="18">
        <v>0.04</v>
      </c>
      <c r="N63" s="18">
        <v>0.96</v>
      </c>
      <c r="O63" s="18">
        <v>0.46</v>
      </c>
      <c r="P63" s="18">
        <v>0.7</v>
      </c>
      <c r="Q63" s="18"/>
      <c r="R63" s="18"/>
      <c r="S63" s="1"/>
      <c r="V63" s="23">
        <f t="shared" si="0"/>
        <v>44998</v>
      </c>
      <c r="W63" s="1">
        <f>SUMIFS(Table7[Calls Off],Table7[Date],"&gt;="&amp;V63,Table7[Date],"&lt;"&amp;V64)</f>
        <v>3491</v>
      </c>
      <c r="X63" s="1">
        <f>SUMIFS(Table7[Calls Ans],Table7[Date],"&gt;="&amp;V63,Table7[Date],"&lt;"&amp;V64)</f>
        <v>3382</v>
      </c>
    </row>
    <row r="64" spans="1:24" x14ac:dyDescent="0.35">
      <c r="A64" s="25">
        <v>44714</v>
      </c>
      <c r="B64" s="38" t="s">
        <v>52</v>
      </c>
      <c r="C64" s="38" t="s">
        <v>60</v>
      </c>
      <c r="D64" s="1">
        <v>787</v>
      </c>
      <c r="E64" s="1">
        <v>732</v>
      </c>
      <c r="F64" s="72">
        <v>7.956104252400549E-2</v>
      </c>
      <c r="G64" s="72">
        <v>5.9334298118668596E-2</v>
      </c>
      <c r="H64" s="1">
        <v>1623</v>
      </c>
      <c r="I64" s="1">
        <v>1534</v>
      </c>
      <c r="J64" s="1">
        <v>41918</v>
      </c>
      <c r="K64" s="1">
        <v>32261</v>
      </c>
      <c r="L64" s="18">
        <v>0.81</v>
      </c>
      <c r="M64" s="18">
        <v>7.0000000000000007E-2</v>
      </c>
      <c r="N64" s="18">
        <v>0.93</v>
      </c>
      <c r="O64" s="18">
        <v>0.4</v>
      </c>
      <c r="P64" s="18">
        <v>0.64</v>
      </c>
      <c r="Q64" s="18"/>
      <c r="R64" s="18"/>
      <c r="S64" s="1"/>
      <c r="V64" s="23">
        <f t="shared" si="0"/>
        <v>45005</v>
      </c>
      <c r="W64" s="1">
        <f>SUMIFS(Table7[Calls Off],Table7[Date],"&gt;="&amp;V64,Table7[Date],"&lt;"&amp;V65)</f>
        <v>3554</v>
      </c>
      <c r="X64" s="1">
        <f>SUMIFS(Table7[Calls Ans],Table7[Date],"&gt;="&amp;V64,Table7[Date],"&lt;"&amp;V65)</f>
        <v>3282</v>
      </c>
    </row>
    <row r="65" spans="1:24" x14ac:dyDescent="0.35">
      <c r="A65" s="25">
        <v>44715</v>
      </c>
      <c r="B65" s="36" t="s">
        <v>53</v>
      </c>
      <c r="C65" s="38" t="s">
        <v>60</v>
      </c>
      <c r="D65" s="1">
        <v>878</v>
      </c>
      <c r="E65" s="1">
        <v>743</v>
      </c>
      <c r="F65" s="72">
        <v>0.1753681392235609</v>
      </c>
      <c r="G65" s="72">
        <v>0.1719242902208202</v>
      </c>
      <c r="H65" s="1">
        <v>2501</v>
      </c>
      <c r="I65" s="1">
        <v>2277</v>
      </c>
      <c r="J65" s="1">
        <v>42796</v>
      </c>
      <c r="K65" s="1">
        <v>33004</v>
      </c>
      <c r="L65" s="18">
        <v>0.54</v>
      </c>
      <c r="M65" s="18">
        <v>0.15</v>
      </c>
      <c r="N65" s="18">
        <v>0.85</v>
      </c>
      <c r="O65" s="18">
        <v>0.43</v>
      </c>
      <c r="P65" s="18">
        <v>0.62</v>
      </c>
      <c r="Q65" s="18"/>
      <c r="R65" s="18"/>
      <c r="S65" s="1"/>
      <c r="V65" s="23">
        <f t="shared" si="0"/>
        <v>45012</v>
      </c>
      <c r="W65" s="1">
        <f>SUMIFS(Table7[Calls Off],Table7[Date],"&gt;="&amp;V65,Table7[Date],"&lt;"&amp;V66)</f>
        <v>2868</v>
      </c>
      <c r="X65" s="1">
        <f>SUMIFS(Table7[Calls Ans],Table7[Date],"&gt;="&amp;V65,Table7[Date],"&lt;"&amp;V66)</f>
        <v>2647</v>
      </c>
    </row>
    <row r="66" spans="1:24" x14ac:dyDescent="0.35">
      <c r="A66" s="25">
        <v>44716</v>
      </c>
      <c r="B66" s="38" t="s">
        <v>54</v>
      </c>
      <c r="C66" s="38" t="s">
        <v>60</v>
      </c>
      <c r="D66" s="1">
        <v>493</v>
      </c>
      <c r="E66" s="1">
        <v>428</v>
      </c>
      <c r="F66" s="72">
        <v>4.0733197556008143E-3</v>
      </c>
      <c r="G66" s="72">
        <v>-4.6511627906976744E-3</v>
      </c>
      <c r="H66" s="1">
        <v>2994</v>
      </c>
      <c r="I66" s="1">
        <v>2705</v>
      </c>
      <c r="J66" s="1">
        <v>43289</v>
      </c>
      <c r="K66" s="1">
        <v>33432</v>
      </c>
      <c r="L66" s="18">
        <v>0.69</v>
      </c>
      <c r="M66" s="18">
        <v>0.13</v>
      </c>
      <c r="N66" s="18">
        <v>0.87</v>
      </c>
      <c r="O66" s="18">
        <v>0.31</v>
      </c>
      <c r="P66" s="18">
        <v>0.6</v>
      </c>
      <c r="Q66" s="18"/>
      <c r="R66" s="18"/>
      <c r="S66" s="1"/>
      <c r="V66" s="25">
        <v>45017</v>
      </c>
      <c r="W66" s="42">
        <f>SUMIFS(Table7[Calls Off],Table7[Date],"&gt;="&amp;V66,Table7[Date],"&lt;"&amp;V67)</f>
        <v>0</v>
      </c>
      <c r="X66" s="42">
        <f>SUMIFS(Table7[Calls Ans],Table7[Date],"&gt;="&amp;V66,Table7[Date],"&lt;"&amp;V67)</f>
        <v>0</v>
      </c>
    </row>
    <row r="67" spans="1:24" x14ac:dyDescent="0.35">
      <c r="A67" s="23">
        <v>44717</v>
      </c>
      <c r="B67" s="36" t="s">
        <v>48</v>
      </c>
      <c r="C67" s="38" t="s">
        <v>60</v>
      </c>
      <c r="D67" s="1">
        <v>0</v>
      </c>
      <c r="E67" s="1">
        <v>0</v>
      </c>
      <c r="F67" s="72">
        <v>0</v>
      </c>
      <c r="G67" s="72">
        <v>0</v>
      </c>
      <c r="H67" s="1">
        <v>0</v>
      </c>
      <c r="I67" s="1">
        <v>0</v>
      </c>
      <c r="J67" s="1">
        <v>0</v>
      </c>
      <c r="K67" s="1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/>
      <c r="R67" s="18"/>
      <c r="S67" s="1"/>
    </row>
    <row r="68" spans="1:24" x14ac:dyDescent="0.35">
      <c r="A68" s="25">
        <v>44718</v>
      </c>
      <c r="B68" s="38" t="s">
        <v>49</v>
      </c>
      <c r="C68" s="38" t="s">
        <v>60</v>
      </c>
      <c r="D68" s="1">
        <v>881</v>
      </c>
      <c r="E68" s="1">
        <v>786</v>
      </c>
      <c r="F68" s="72">
        <v>0</v>
      </c>
      <c r="G68" s="72">
        <v>0</v>
      </c>
      <c r="H68" s="1">
        <v>3875</v>
      </c>
      <c r="I68" s="1">
        <v>3491</v>
      </c>
      <c r="J68" s="1">
        <v>44170</v>
      </c>
      <c r="K68" s="1">
        <v>34218</v>
      </c>
      <c r="L68" s="18">
        <v>0.68</v>
      </c>
      <c r="M68" s="18">
        <v>0.11</v>
      </c>
      <c r="N68" s="18">
        <v>0.89</v>
      </c>
      <c r="O68" s="18">
        <v>0.47</v>
      </c>
      <c r="P68" s="18">
        <v>0.72</v>
      </c>
      <c r="Q68" s="18"/>
      <c r="R68" s="18"/>
      <c r="S68" s="1"/>
    </row>
    <row r="69" spans="1:24" x14ac:dyDescent="0.35">
      <c r="A69" s="25">
        <v>44719</v>
      </c>
      <c r="B69" s="36" t="s">
        <v>50</v>
      </c>
      <c r="C69" s="38" t="s">
        <v>60</v>
      </c>
      <c r="D69" s="1">
        <v>890</v>
      </c>
      <c r="E69" s="1">
        <v>792</v>
      </c>
      <c r="F69" s="72">
        <v>-2.0902090209020903E-2</v>
      </c>
      <c r="G69" s="72">
        <v>-1.7369727047146403E-2</v>
      </c>
      <c r="H69" s="1">
        <v>4765</v>
      </c>
      <c r="I69" s="1">
        <v>4283</v>
      </c>
      <c r="J69" s="1">
        <v>45060</v>
      </c>
      <c r="K69" s="1">
        <v>35010</v>
      </c>
      <c r="L69" s="18">
        <v>0.65</v>
      </c>
      <c r="M69" s="18">
        <v>0.11</v>
      </c>
      <c r="N69" s="18">
        <v>0.89</v>
      </c>
      <c r="O69" s="18">
        <v>0.54</v>
      </c>
      <c r="P69" s="18">
        <v>0.72</v>
      </c>
      <c r="Q69" s="18"/>
      <c r="R69" s="18"/>
      <c r="S69" s="1"/>
    </row>
    <row r="70" spans="1:24" x14ac:dyDescent="0.35">
      <c r="A70" s="25">
        <v>44720</v>
      </c>
      <c r="B70" s="38" t="s">
        <v>51</v>
      </c>
      <c r="C70" s="38" t="s">
        <v>60</v>
      </c>
      <c r="D70" s="1">
        <v>777</v>
      </c>
      <c r="E70" s="1">
        <v>644</v>
      </c>
      <c r="F70" s="72">
        <v>-7.0574162679425831E-2</v>
      </c>
      <c r="G70" s="72">
        <v>-0.1970074812967581</v>
      </c>
      <c r="H70" s="1">
        <v>5542</v>
      </c>
      <c r="I70" s="1">
        <v>4927</v>
      </c>
      <c r="J70" s="1">
        <v>45837</v>
      </c>
      <c r="K70" s="1">
        <v>35654</v>
      </c>
      <c r="L70" s="18">
        <v>0.59</v>
      </c>
      <c r="M70" s="18">
        <v>0.17</v>
      </c>
      <c r="N70" s="18">
        <v>0.83</v>
      </c>
      <c r="O70" s="18">
        <v>0.55000000000000004</v>
      </c>
      <c r="P70" s="18">
        <v>0.71</v>
      </c>
      <c r="Q70" s="18"/>
      <c r="R70" s="18"/>
      <c r="S70" s="1"/>
    </row>
    <row r="71" spans="1:24" x14ac:dyDescent="0.35">
      <c r="A71" s="25">
        <v>44721</v>
      </c>
      <c r="B71" s="36" t="s">
        <v>52</v>
      </c>
      <c r="C71" s="38" t="s">
        <v>60</v>
      </c>
      <c r="D71" s="1">
        <v>842</v>
      </c>
      <c r="E71" s="1">
        <v>673</v>
      </c>
      <c r="F71" s="72">
        <v>6.9885641677255403E-2</v>
      </c>
      <c r="G71" s="72">
        <v>-8.060109289617487E-2</v>
      </c>
      <c r="H71" s="1">
        <v>6384</v>
      </c>
      <c r="I71" s="1">
        <v>5600</v>
      </c>
      <c r="J71" s="1">
        <v>46679</v>
      </c>
      <c r="K71" s="1">
        <v>36327</v>
      </c>
      <c r="L71" s="18">
        <v>0.42</v>
      </c>
      <c r="M71" s="18">
        <v>0.2</v>
      </c>
      <c r="N71" s="18">
        <v>0.8</v>
      </c>
      <c r="O71" s="18">
        <v>0.61</v>
      </c>
      <c r="P71" s="18">
        <v>0.69</v>
      </c>
      <c r="Q71" s="18"/>
      <c r="R71" s="18"/>
      <c r="S71" s="1"/>
    </row>
    <row r="72" spans="1:24" x14ac:dyDescent="0.35">
      <c r="A72" s="25">
        <v>44722</v>
      </c>
      <c r="B72" s="38" t="s">
        <v>53</v>
      </c>
      <c r="C72" s="38" t="s">
        <v>60</v>
      </c>
      <c r="D72" s="1">
        <v>835</v>
      </c>
      <c r="E72" s="1">
        <v>792</v>
      </c>
      <c r="F72" s="72">
        <v>-4.8974943052391799E-2</v>
      </c>
      <c r="G72" s="72">
        <v>6.5948855989232835E-2</v>
      </c>
      <c r="H72" s="1">
        <v>7219</v>
      </c>
      <c r="I72" s="1">
        <v>6392</v>
      </c>
      <c r="J72" s="1">
        <v>47514</v>
      </c>
      <c r="K72" s="1">
        <v>37119</v>
      </c>
      <c r="L72" s="18">
        <v>0.8</v>
      </c>
      <c r="M72" s="18">
        <v>0.05</v>
      </c>
      <c r="N72" s="18">
        <v>0.95</v>
      </c>
      <c r="O72" s="18">
        <v>0.45</v>
      </c>
      <c r="P72" s="18">
        <v>0.74</v>
      </c>
      <c r="Q72" s="18"/>
      <c r="R72" s="18"/>
      <c r="S72" s="1"/>
    </row>
    <row r="73" spans="1:24" x14ac:dyDescent="0.35">
      <c r="A73" s="23">
        <v>44723</v>
      </c>
      <c r="B73" s="36" t="s">
        <v>54</v>
      </c>
      <c r="C73" s="38" t="s">
        <v>60</v>
      </c>
      <c r="D73" s="1">
        <v>455</v>
      </c>
      <c r="E73" s="1">
        <v>405</v>
      </c>
      <c r="F73" s="72">
        <v>-7.7079107505070993E-2</v>
      </c>
      <c r="G73" s="72">
        <v>-5.3738317757009345E-2</v>
      </c>
      <c r="H73" s="1">
        <v>7674</v>
      </c>
      <c r="I73" s="1">
        <v>6797</v>
      </c>
      <c r="J73" s="1">
        <v>47969</v>
      </c>
      <c r="K73" s="1">
        <v>37524</v>
      </c>
      <c r="L73" s="18">
        <v>0.75</v>
      </c>
      <c r="M73" s="18">
        <v>0.11</v>
      </c>
      <c r="N73" s="18">
        <v>0.89</v>
      </c>
      <c r="O73" s="18">
        <v>0.37</v>
      </c>
      <c r="P73" s="18">
        <v>0.67</v>
      </c>
      <c r="Q73" s="18"/>
      <c r="R73" s="18"/>
      <c r="S73" s="1"/>
    </row>
    <row r="74" spans="1:24" x14ac:dyDescent="0.35">
      <c r="A74" s="23">
        <v>44724</v>
      </c>
      <c r="B74" s="38" t="s">
        <v>48</v>
      </c>
      <c r="C74" s="38" t="s">
        <v>60</v>
      </c>
      <c r="D74" s="1">
        <v>0</v>
      </c>
      <c r="E74" s="1">
        <v>0</v>
      </c>
      <c r="F74" s="72">
        <v>0</v>
      </c>
      <c r="G74" s="72">
        <v>0</v>
      </c>
      <c r="H74" s="1">
        <v>0</v>
      </c>
      <c r="I74" s="1">
        <v>0</v>
      </c>
      <c r="J74" s="1">
        <v>0</v>
      </c>
      <c r="K74" s="1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/>
      <c r="R74" s="18"/>
      <c r="S74" s="1"/>
    </row>
    <row r="75" spans="1:24" x14ac:dyDescent="0.35">
      <c r="A75" s="23">
        <v>44725</v>
      </c>
      <c r="B75" s="36" t="s">
        <v>49</v>
      </c>
      <c r="C75" s="38" t="s">
        <v>60</v>
      </c>
      <c r="D75" s="1">
        <v>880</v>
      </c>
      <c r="E75" s="1">
        <v>675</v>
      </c>
      <c r="F75" s="72">
        <v>-1.1350737797956867E-3</v>
      </c>
      <c r="G75" s="72">
        <v>-0.14122137404580154</v>
      </c>
      <c r="H75" s="1">
        <v>8554</v>
      </c>
      <c r="I75" s="1">
        <v>7472</v>
      </c>
      <c r="J75" s="1">
        <v>48849</v>
      </c>
      <c r="K75" s="1">
        <v>38199</v>
      </c>
      <c r="L75" s="18">
        <v>0.35</v>
      </c>
      <c r="M75" s="18">
        <v>0.23</v>
      </c>
      <c r="N75" s="18">
        <v>0.77</v>
      </c>
      <c r="O75" s="18">
        <v>0.66</v>
      </c>
      <c r="P75" s="18">
        <v>0.68</v>
      </c>
      <c r="Q75" s="18"/>
      <c r="R75" s="18"/>
      <c r="S75" s="1"/>
    </row>
    <row r="76" spans="1:24" x14ac:dyDescent="0.35">
      <c r="A76" s="23">
        <v>44726</v>
      </c>
      <c r="B76" s="38" t="s">
        <v>50</v>
      </c>
      <c r="C76" s="38" t="s">
        <v>60</v>
      </c>
      <c r="D76" s="1">
        <v>880</v>
      </c>
      <c r="E76" s="1">
        <v>683</v>
      </c>
      <c r="F76" s="72">
        <v>-1.1235955056179775E-2</v>
      </c>
      <c r="G76" s="72">
        <v>-0.13762626262626262</v>
      </c>
      <c r="H76" s="1">
        <v>9434</v>
      </c>
      <c r="I76" s="1">
        <v>8155</v>
      </c>
      <c r="J76" s="1">
        <v>49729</v>
      </c>
      <c r="K76" s="1">
        <v>38882</v>
      </c>
      <c r="L76" s="18">
        <v>0.46</v>
      </c>
      <c r="M76" s="18">
        <v>0.22</v>
      </c>
      <c r="N76" s="18">
        <v>0.78</v>
      </c>
      <c r="O76" s="18">
        <v>0.64</v>
      </c>
      <c r="P76" s="18">
        <v>0.67</v>
      </c>
      <c r="Q76" s="18"/>
      <c r="R76" s="18"/>
      <c r="S76" s="1"/>
    </row>
    <row r="77" spans="1:24" x14ac:dyDescent="0.35">
      <c r="A77" s="23">
        <v>44727</v>
      </c>
      <c r="B77" s="36" t="s">
        <v>51</v>
      </c>
      <c r="C77" s="38" t="s">
        <v>60</v>
      </c>
      <c r="D77" s="1">
        <v>882</v>
      </c>
      <c r="E77" s="1">
        <v>789</v>
      </c>
      <c r="F77" s="72">
        <v>0.13513513513513514</v>
      </c>
      <c r="G77" s="72">
        <v>0.2251552795031056</v>
      </c>
      <c r="H77" s="1">
        <v>10316</v>
      </c>
      <c r="I77" s="1">
        <v>8944</v>
      </c>
      <c r="J77" s="1">
        <v>50611</v>
      </c>
      <c r="K77" s="1">
        <v>39671</v>
      </c>
      <c r="L77" s="18">
        <v>0.69</v>
      </c>
      <c r="M77" s="18">
        <v>0.11</v>
      </c>
      <c r="N77" s="18">
        <v>0.89</v>
      </c>
      <c r="O77" s="18">
        <v>0.49</v>
      </c>
      <c r="P77" s="18">
        <v>0.68</v>
      </c>
      <c r="Q77" s="18"/>
      <c r="R77" s="18"/>
      <c r="S77" s="1"/>
    </row>
    <row r="78" spans="1:24" x14ac:dyDescent="0.35">
      <c r="A78" s="23">
        <v>44728</v>
      </c>
      <c r="B78" s="38" t="s">
        <v>64</v>
      </c>
      <c r="C78" s="38" t="s">
        <v>60</v>
      </c>
      <c r="D78" s="48">
        <v>0</v>
      </c>
      <c r="E78" s="48">
        <v>0</v>
      </c>
      <c r="F78" s="97">
        <v>0</v>
      </c>
      <c r="G78" s="97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1">
        <v>0</v>
      </c>
    </row>
    <row r="79" spans="1:24" x14ac:dyDescent="0.35">
      <c r="A79" s="23">
        <v>44729</v>
      </c>
      <c r="B79" s="36" t="s">
        <v>53</v>
      </c>
      <c r="C79" s="38" t="s">
        <v>60</v>
      </c>
      <c r="D79" s="1">
        <v>987</v>
      </c>
      <c r="E79" s="1">
        <v>741</v>
      </c>
      <c r="F79" s="72">
        <v>0.18203592814371258</v>
      </c>
      <c r="G79" s="72">
        <v>-6.4393939393939392E-2</v>
      </c>
      <c r="H79" s="1">
        <v>11303</v>
      </c>
      <c r="I79" s="1">
        <v>9685</v>
      </c>
      <c r="J79" s="1">
        <v>51598</v>
      </c>
      <c r="K79" s="1">
        <v>40412</v>
      </c>
      <c r="L79" s="18">
        <v>0.4</v>
      </c>
      <c r="M79" s="18">
        <v>0.25</v>
      </c>
      <c r="N79" s="18">
        <v>0.75</v>
      </c>
      <c r="O79" s="18">
        <v>0.61</v>
      </c>
      <c r="P79" s="18">
        <v>0.66</v>
      </c>
      <c r="Q79" s="18"/>
      <c r="R79" s="18"/>
      <c r="S79" s="1"/>
    </row>
    <row r="80" spans="1:24" x14ac:dyDescent="0.35">
      <c r="A80" s="23">
        <v>44730</v>
      </c>
      <c r="B80" s="38" t="s">
        <v>54</v>
      </c>
      <c r="C80" s="38" t="s">
        <v>60</v>
      </c>
      <c r="D80" s="1">
        <v>564</v>
      </c>
      <c r="E80" s="1">
        <v>451</v>
      </c>
      <c r="F80" s="72">
        <v>0.23956043956043957</v>
      </c>
      <c r="G80" s="72">
        <v>0.11358024691358025</v>
      </c>
      <c r="H80" s="1">
        <v>11867</v>
      </c>
      <c r="I80" s="1">
        <v>10136</v>
      </c>
      <c r="J80" s="1">
        <v>52162</v>
      </c>
      <c r="K80" s="1">
        <v>40863</v>
      </c>
      <c r="L80" s="18">
        <v>0.51</v>
      </c>
      <c r="M80" s="18">
        <v>0.2</v>
      </c>
      <c r="N80" s="18">
        <v>0.8</v>
      </c>
      <c r="O80" s="18">
        <v>0.48</v>
      </c>
      <c r="P80" s="18">
        <v>0.65</v>
      </c>
      <c r="Q80" s="18"/>
      <c r="R80" s="18"/>
      <c r="S80" s="1"/>
    </row>
    <row r="81" spans="1:24" x14ac:dyDescent="0.35">
      <c r="A81" s="23">
        <v>44731</v>
      </c>
      <c r="B81" s="36" t="s">
        <v>48</v>
      </c>
      <c r="C81" s="38" t="s">
        <v>60</v>
      </c>
      <c r="D81" s="1">
        <v>0</v>
      </c>
      <c r="E81" s="1">
        <v>0</v>
      </c>
      <c r="F81" s="72">
        <v>0</v>
      </c>
      <c r="G81" s="72">
        <v>0</v>
      </c>
      <c r="H81" s="1">
        <v>0</v>
      </c>
      <c r="I81" s="1">
        <v>0</v>
      </c>
      <c r="J81" s="1">
        <v>0</v>
      </c>
      <c r="K81" s="1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/>
      <c r="R81" s="18"/>
      <c r="S81" s="1"/>
    </row>
    <row r="82" spans="1:24" x14ac:dyDescent="0.35">
      <c r="A82" s="23">
        <v>44732</v>
      </c>
      <c r="B82" s="38" t="s">
        <v>64</v>
      </c>
      <c r="C82" s="38" t="s">
        <v>60</v>
      </c>
      <c r="D82" s="48">
        <v>0</v>
      </c>
      <c r="E82" s="48">
        <v>0</v>
      </c>
      <c r="F82" s="97">
        <v>0</v>
      </c>
      <c r="G82" s="97">
        <v>0</v>
      </c>
      <c r="H82" s="48">
        <v>0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1">
        <v>0</v>
      </c>
    </row>
    <row r="83" spans="1:24" x14ac:dyDescent="0.35">
      <c r="A83" s="23">
        <v>44733</v>
      </c>
      <c r="B83" s="36" t="s">
        <v>50</v>
      </c>
      <c r="C83" s="38" t="s">
        <v>60</v>
      </c>
      <c r="D83" s="1">
        <v>1238</v>
      </c>
      <c r="E83" s="1">
        <v>540</v>
      </c>
      <c r="F83" s="72">
        <v>0.4068181818181818</v>
      </c>
      <c r="G83" s="72">
        <v>-0.20937042459736457</v>
      </c>
      <c r="H83" s="1">
        <v>13105</v>
      </c>
      <c r="I83" s="1">
        <v>10676</v>
      </c>
      <c r="J83" s="1">
        <v>53400</v>
      </c>
      <c r="K83" s="1">
        <v>41403</v>
      </c>
      <c r="L83" s="18">
        <v>0.14000000000000001</v>
      </c>
      <c r="M83" s="18">
        <v>0.56000000000000005</v>
      </c>
      <c r="N83" s="18">
        <v>0.44</v>
      </c>
      <c r="O83" s="18">
        <v>0.51</v>
      </c>
      <c r="P83" s="18">
        <v>0.66</v>
      </c>
      <c r="Q83" s="18"/>
      <c r="R83" s="18"/>
      <c r="S83" s="1"/>
    </row>
    <row r="84" spans="1:24" x14ac:dyDescent="0.35">
      <c r="A84" s="23">
        <v>44734</v>
      </c>
      <c r="B84" s="38" t="s">
        <v>51</v>
      </c>
      <c r="C84" s="38" t="s">
        <v>60</v>
      </c>
      <c r="D84" s="1">
        <v>1091</v>
      </c>
      <c r="E84" s="1">
        <v>864</v>
      </c>
      <c r="F84" s="72">
        <v>0.23696145124716553</v>
      </c>
      <c r="G84" s="72">
        <v>9.5057034220532313E-2</v>
      </c>
      <c r="H84" s="1">
        <v>14196</v>
      </c>
      <c r="I84" s="1">
        <v>11540</v>
      </c>
      <c r="J84" s="1">
        <v>54491</v>
      </c>
      <c r="K84" s="1">
        <v>42267</v>
      </c>
      <c r="L84" s="18">
        <v>0.42</v>
      </c>
      <c r="M84" s="18">
        <v>0.21</v>
      </c>
      <c r="N84" s="18">
        <v>0.79</v>
      </c>
      <c r="O84" s="18">
        <v>0.64</v>
      </c>
      <c r="P84" s="18">
        <v>0.64</v>
      </c>
      <c r="Q84" s="18"/>
      <c r="R84" s="18"/>
      <c r="S84" s="1"/>
    </row>
    <row r="85" spans="1:24" x14ac:dyDescent="0.35">
      <c r="A85" s="23">
        <v>44735</v>
      </c>
      <c r="B85" s="36" t="s">
        <v>52</v>
      </c>
      <c r="C85" s="38" t="s">
        <v>60</v>
      </c>
      <c r="D85" s="1">
        <v>840</v>
      </c>
      <c r="E85" s="1">
        <v>777</v>
      </c>
      <c r="F85" s="72">
        <v>0</v>
      </c>
      <c r="G85" s="72">
        <v>0</v>
      </c>
      <c r="H85" s="1">
        <v>15036</v>
      </c>
      <c r="I85" s="1">
        <v>12317</v>
      </c>
      <c r="J85" s="1">
        <v>55331</v>
      </c>
      <c r="K85" s="1">
        <v>43044</v>
      </c>
      <c r="L85" s="18">
        <v>0.76</v>
      </c>
      <c r="M85" s="18">
        <v>7.0000000000000007E-2</v>
      </c>
      <c r="N85" s="18">
        <v>0.93</v>
      </c>
      <c r="O85" s="18">
        <v>0.54</v>
      </c>
      <c r="P85" s="18">
        <v>0.68</v>
      </c>
      <c r="Q85" s="18"/>
      <c r="R85" s="18"/>
      <c r="S85" s="1"/>
    </row>
    <row r="86" spans="1:24" x14ac:dyDescent="0.35">
      <c r="A86" s="23">
        <v>44736</v>
      </c>
      <c r="B86" s="38" t="s">
        <v>53</v>
      </c>
      <c r="C86" s="38" t="s">
        <v>60</v>
      </c>
      <c r="D86" s="1">
        <v>892</v>
      </c>
      <c r="E86" s="1">
        <v>725</v>
      </c>
      <c r="F86" s="72">
        <v>-9.6251266464032426E-2</v>
      </c>
      <c r="G86" s="72">
        <v>-2.1592442645074223E-2</v>
      </c>
      <c r="H86" s="1">
        <v>15928</v>
      </c>
      <c r="I86" s="1">
        <v>13042</v>
      </c>
      <c r="J86" s="1">
        <v>56223</v>
      </c>
      <c r="K86" s="1">
        <v>43769</v>
      </c>
      <c r="L86" s="18">
        <v>0.53</v>
      </c>
      <c r="M86" s="18">
        <v>0.19</v>
      </c>
      <c r="N86" s="18">
        <v>0.81</v>
      </c>
      <c r="O86" s="18">
        <v>0.56999999999999995</v>
      </c>
      <c r="P86" s="18">
        <v>0.62</v>
      </c>
      <c r="Q86" s="18"/>
      <c r="R86" s="18"/>
      <c r="S86" s="1"/>
    </row>
    <row r="87" spans="1:24" x14ac:dyDescent="0.35">
      <c r="A87" s="23">
        <v>44737</v>
      </c>
      <c r="B87" s="36" t="s">
        <v>54</v>
      </c>
      <c r="C87" s="38" t="s">
        <v>60</v>
      </c>
      <c r="D87" s="1">
        <v>530</v>
      </c>
      <c r="E87" s="1">
        <v>409</v>
      </c>
      <c r="F87" s="72">
        <v>-6.0283687943262408E-2</v>
      </c>
      <c r="G87" s="72">
        <v>-9.3126385809312637E-2</v>
      </c>
      <c r="H87" s="1">
        <v>16458</v>
      </c>
      <c r="I87" s="1">
        <v>13451</v>
      </c>
      <c r="J87" s="1">
        <v>56753</v>
      </c>
      <c r="K87" s="1">
        <v>44178</v>
      </c>
      <c r="L87" s="18">
        <v>0.56999999999999995</v>
      </c>
      <c r="M87" s="18">
        <v>0.23</v>
      </c>
      <c r="N87" s="18">
        <v>0.77</v>
      </c>
      <c r="O87" s="18">
        <v>0.47</v>
      </c>
      <c r="P87" s="18">
        <v>0.72</v>
      </c>
      <c r="Q87" s="18"/>
      <c r="R87" s="18"/>
      <c r="S87" s="1"/>
    </row>
    <row r="88" spans="1:24" x14ac:dyDescent="0.35">
      <c r="A88" s="23">
        <v>44738</v>
      </c>
      <c r="B88" s="38" t="s">
        <v>48</v>
      </c>
      <c r="C88" s="38" t="s">
        <v>60</v>
      </c>
      <c r="D88" s="1">
        <v>0</v>
      </c>
      <c r="E88" s="1">
        <v>0</v>
      </c>
      <c r="F88" s="72">
        <v>0</v>
      </c>
      <c r="G88" s="72">
        <v>0</v>
      </c>
      <c r="H88" s="1">
        <v>0</v>
      </c>
      <c r="I88" s="1">
        <v>0</v>
      </c>
      <c r="J88" s="1">
        <v>0</v>
      </c>
      <c r="K88" s="1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/>
      <c r="R88" s="18"/>
      <c r="S88" s="1"/>
    </row>
    <row r="89" spans="1:24" x14ac:dyDescent="0.35">
      <c r="A89" s="23">
        <v>44739</v>
      </c>
      <c r="B89" s="36" t="s">
        <v>49</v>
      </c>
      <c r="C89" s="38" t="s">
        <v>60</v>
      </c>
      <c r="D89" s="1">
        <v>1125</v>
      </c>
      <c r="E89" s="1">
        <v>396</v>
      </c>
      <c r="F89" s="97">
        <v>0</v>
      </c>
      <c r="G89" s="97">
        <v>0</v>
      </c>
      <c r="H89" s="1">
        <v>17583</v>
      </c>
      <c r="I89" s="1">
        <v>13847</v>
      </c>
      <c r="J89" s="1">
        <v>57878</v>
      </c>
      <c r="K89" s="1">
        <v>44574</v>
      </c>
      <c r="L89" s="18">
        <v>0.15</v>
      </c>
      <c r="M89" s="18">
        <v>0.65</v>
      </c>
      <c r="N89" s="18">
        <v>0.35</v>
      </c>
      <c r="O89" s="18">
        <v>0.59</v>
      </c>
      <c r="P89" s="18">
        <v>0.66</v>
      </c>
      <c r="Q89" s="18"/>
      <c r="R89" s="18"/>
      <c r="S89" s="1"/>
    </row>
    <row r="90" spans="1:24" x14ac:dyDescent="0.35">
      <c r="A90" s="23">
        <v>44740</v>
      </c>
      <c r="B90" s="38" t="s">
        <v>50</v>
      </c>
      <c r="C90" s="38" t="s">
        <v>60</v>
      </c>
      <c r="D90" s="1">
        <v>656</v>
      </c>
      <c r="E90" s="1">
        <v>505</v>
      </c>
      <c r="F90" s="72">
        <v>-0.47011308562197091</v>
      </c>
      <c r="G90" s="72">
        <v>-6.4814814814814811E-2</v>
      </c>
      <c r="H90" s="1">
        <v>18239</v>
      </c>
      <c r="I90" s="1">
        <v>14352</v>
      </c>
      <c r="J90" s="1">
        <v>58534</v>
      </c>
      <c r="K90" s="1">
        <v>45079</v>
      </c>
      <c r="L90" s="18">
        <v>0.4</v>
      </c>
      <c r="M90" s="18">
        <v>0.23</v>
      </c>
      <c r="N90" s="18">
        <v>0.77</v>
      </c>
      <c r="O90" s="18">
        <v>0.48</v>
      </c>
      <c r="P90" s="18">
        <v>0.62</v>
      </c>
      <c r="Q90" s="18"/>
      <c r="R90" s="18"/>
      <c r="S90" s="1"/>
    </row>
    <row r="91" spans="1:24" x14ac:dyDescent="0.35">
      <c r="A91" s="23">
        <v>44741</v>
      </c>
      <c r="B91" s="36" t="s">
        <v>51</v>
      </c>
      <c r="C91" s="38" t="s">
        <v>60</v>
      </c>
      <c r="D91" s="1">
        <v>1047</v>
      </c>
      <c r="E91" s="1">
        <v>677</v>
      </c>
      <c r="F91" s="72">
        <v>-4.0329972502291478E-2</v>
      </c>
      <c r="G91" s="72">
        <v>-0.21643518518518517</v>
      </c>
      <c r="H91" s="1">
        <v>19286</v>
      </c>
      <c r="I91" s="1">
        <v>15029</v>
      </c>
      <c r="J91" s="1">
        <v>59581</v>
      </c>
      <c r="K91" s="1">
        <v>45756</v>
      </c>
      <c r="L91" s="18">
        <v>0.27</v>
      </c>
      <c r="M91" s="18">
        <v>0.35</v>
      </c>
      <c r="N91" s="18">
        <v>0.65</v>
      </c>
      <c r="O91" s="18">
        <v>0.62</v>
      </c>
      <c r="P91" s="18">
        <v>0.67</v>
      </c>
      <c r="Q91" s="18"/>
      <c r="R91" s="18"/>
      <c r="S91" s="1"/>
    </row>
    <row r="92" spans="1:24" s="54" customFormat="1" x14ac:dyDescent="0.35">
      <c r="A92" s="58">
        <v>44742</v>
      </c>
      <c r="B92" s="55" t="s">
        <v>52</v>
      </c>
      <c r="C92" s="55" t="s">
        <v>60</v>
      </c>
      <c r="D92" s="56">
        <v>907</v>
      </c>
      <c r="E92" s="56">
        <v>759</v>
      </c>
      <c r="F92" s="91">
        <v>7.9761904761904756E-2</v>
      </c>
      <c r="G92" s="91">
        <v>-2.3166023166023165E-2</v>
      </c>
      <c r="H92" s="56">
        <v>20193</v>
      </c>
      <c r="I92" s="56">
        <v>15788</v>
      </c>
      <c r="J92" s="56">
        <v>60488</v>
      </c>
      <c r="K92" s="56">
        <v>46515</v>
      </c>
      <c r="L92" s="57">
        <v>0.54</v>
      </c>
      <c r="M92" s="57">
        <v>0.16</v>
      </c>
      <c r="N92" s="57">
        <v>0.84</v>
      </c>
      <c r="O92" s="57">
        <v>0.57999999999999996</v>
      </c>
      <c r="P92" s="57">
        <v>0.69</v>
      </c>
      <c r="Q92" s="57"/>
      <c r="R92" s="57"/>
      <c r="S92" s="56"/>
      <c r="V92"/>
      <c r="W92"/>
      <c r="X92"/>
    </row>
    <row r="93" spans="1:24" x14ac:dyDescent="0.35">
      <c r="A93" s="23">
        <v>44743</v>
      </c>
      <c r="B93" s="36" t="s">
        <v>53</v>
      </c>
      <c r="C93" s="38" t="s">
        <v>60</v>
      </c>
      <c r="D93" s="1">
        <v>931</v>
      </c>
      <c r="E93" s="1">
        <v>630</v>
      </c>
      <c r="F93" s="72">
        <v>4.3721973094170405E-2</v>
      </c>
      <c r="G93" s="72">
        <v>-0.1310344827586207</v>
      </c>
      <c r="H93" s="1">
        <v>931</v>
      </c>
      <c r="I93" s="1">
        <v>630</v>
      </c>
      <c r="J93" s="1">
        <v>61419</v>
      </c>
      <c r="K93" s="1">
        <v>47145</v>
      </c>
      <c r="L93" s="18">
        <v>0.28000000000000003</v>
      </c>
      <c r="M93" s="18">
        <v>0.32</v>
      </c>
      <c r="N93" s="18">
        <v>0.68</v>
      </c>
      <c r="O93" s="18">
        <v>0.55000000000000004</v>
      </c>
      <c r="P93" s="18">
        <v>0.63</v>
      </c>
      <c r="Q93" s="18"/>
      <c r="R93" s="18"/>
      <c r="S93" s="1"/>
    </row>
    <row r="94" spans="1:24" x14ac:dyDescent="0.35">
      <c r="A94" s="23">
        <v>44744</v>
      </c>
      <c r="B94" s="38" t="s">
        <v>54</v>
      </c>
      <c r="C94" s="38" t="s">
        <v>60</v>
      </c>
      <c r="D94" s="1">
        <v>588</v>
      </c>
      <c r="E94" s="1">
        <v>354</v>
      </c>
      <c r="F94" s="72">
        <v>0.10943396226415095</v>
      </c>
      <c r="G94" s="72">
        <v>-0.13447432762836187</v>
      </c>
      <c r="H94" s="1">
        <v>1519</v>
      </c>
      <c r="I94" s="1">
        <v>984</v>
      </c>
      <c r="J94" s="1">
        <v>62007</v>
      </c>
      <c r="K94" s="1">
        <v>47499</v>
      </c>
      <c r="L94" s="18">
        <v>0.28000000000000003</v>
      </c>
      <c r="M94" s="18">
        <v>0.4</v>
      </c>
      <c r="N94" s="18">
        <v>0.6</v>
      </c>
      <c r="O94" s="18">
        <v>0.56999999999999995</v>
      </c>
      <c r="P94" s="18">
        <v>0.67</v>
      </c>
      <c r="Q94" s="18"/>
      <c r="R94" s="18"/>
      <c r="S94" s="1"/>
    </row>
    <row r="95" spans="1:24" x14ac:dyDescent="0.35">
      <c r="A95" s="23">
        <v>44745</v>
      </c>
      <c r="B95" s="36" t="s">
        <v>48</v>
      </c>
      <c r="C95" s="38" t="s">
        <v>60</v>
      </c>
      <c r="D95" s="1">
        <v>0</v>
      </c>
      <c r="E95" s="1">
        <v>0</v>
      </c>
      <c r="F95" s="72">
        <v>0</v>
      </c>
      <c r="G95" s="72">
        <v>0</v>
      </c>
      <c r="H95" s="1">
        <v>0</v>
      </c>
      <c r="I95" s="1">
        <v>0</v>
      </c>
      <c r="J95" s="1">
        <v>0</v>
      </c>
      <c r="K95" s="1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/>
      <c r="R95" s="18"/>
      <c r="S95" s="1"/>
    </row>
    <row r="96" spans="1:24" x14ac:dyDescent="0.35">
      <c r="A96" s="23">
        <v>44746</v>
      </c>
      <c r="B96" s="38" t="s">
        <v>49</v>
      </c>
      <c r="C96" s="38" t="s">
        <v>60</v>
      </c>
      <c r="D96" s="1">
        <v>1130</v>
      </c>
      <c r="E96" s="1">
        <v>645</v>
      </c>
      <c r="F96" s="72">
        <v>4.4444444444444444E-3</v>
      </c>
      <c r="G96" s="72">
        <v>0.62878787878787878</v>
      </c>
      <c r="H96" s="1">
        <v>2649</v>
      </c>
      <c r="I96" s="1">
        <v>1629</v>
      </c>
      <c r="J96" s="1">
        <v>63137</v>
      </c>
      <c r="K96" s="1">
        <v>48144</v>
      </c>
      <c r="L96" s="18">
        <v>0.16</v>
      </c>
      <c r="M96" s="18">
        <v>0.43</v>
      </c>
      <c r="N96" s="18">
        <v>0.56999999999999995</v>
      </c>
      <c r="O96" s="18">
        <v>0.57999999999999996</v>
      </c>
      <c r="P96" s="18">
        <v>0.6</v>
      </c>
      <c r="Q96" s="18"/>
      <c r="R96" s="18"/>
      <c r="S96" s="1"/>
    </row>
    <row r="97" spans="1:19" x14ac:dyDescent="0.35">
      <c r="A97" s="23">
        <v>44747</v>
      </c>
      <c r="B97" s="38" t="s">
        <v>50</v>
      </c>
      <c r="C97" s="38" t="s">
        <v>60</v>
      </c>
      <c r="D97" s="1">
        <v>1064</v>
      </c>
      <c r="E97" s="1">
        <v>509</v>
      </c>
      <c r="F97" s="72">
        <v>0.62195121951219512</v>
      </c>
      <c r="G97" s="72">
        <v>7.9207920792079209E-3</v>
      </c>
      <c r="H97" s="1">
        <v>3713</v>
      </c>
      <c r="I97" s="1">
        <v>2138</v>
      </c>
      <c r="J97" s="1">
        <v>64201</v>
      </c>
      <c r="K97" s="1">
        <v>48653</v>
      </c>
      <c r="L97" s="18">
        <v>0.13</v>
      </c>
      <c r="M97" s="18">
        <v>0.51</v>
      </c>
      <c r="N97" s="18">
        <v>0.49</v>
      </c>
      <c r="O97" s="18">
        <v>0.6</v>
      </c>
      <c r="P97" s="18">
        <v>0.64</v>
      </c>
      <c r="Q97" s="18"/>
      <c r="R97" s="18"/>
      <c r="S97" s="1"/>
    </row>
    <row r="98" spans="1:19" x14ac:dyDescent="0.35">
      <c r="A98" s="23">
        <v>44748</v>
      </c>
      <c r="B98" s="38" t="s">
        <v>51</v>
      </c>
      <c r="C98" s="38" t="s">
        <v>60</v>
      </c>
      <c r="D98" s="1">
        <v>864</v>
      </c>
      <c r="E98" s="1">
        <v>719</v>
      </c>
      <c r="F98" s="72">
        <v>-0.17478510028653296</v>
      </c>
      <c r="G98" s="72">
        <v>6.2038404726735601E-2</v>
      </c>
      <c r="H98" s="1">
        <v>4577</v>
      </c>
      <c r="I98" s="1">
        <v>2857</v>
      </c>
      <c r="J98" s="1">
        <v>65065</v>
      </c>
      <c r="K98" s="1">
        <v>49372</v>
      </c>
      <c r="L98" s="18">
        <v>0.49</v>
      </c>
      <c r="M98" s="18">
        <v>0.17</v>
      </c>
      <c r="N98" s="18">
        <v>0.83</v>
      </c>
      <c r="O98" s="18">
        <v>0.62</v>
      </c>
      <c r="P98" s="18">
        <v>0.69</v>
      </c>
      <c r="Q98" s="18"/>
      <c r="R98" s="18"/>
      <c r="S98" s="1"/>
    </row>
    <row r="99" spans="1:19" x14ac:dyDescent="0.35">
      <c r="A99" s="23">
        <v>44749</v>
      </c>
      <c r="B99" s="38" t="s">
        <v>52</v>
      </c>
      <c r="C99" s="38" t="s">
        <v>60</v>
      </c>
      <c r="D99" s="1">
        <v>992</v>
      </c>
      <c r="E99" s="1">
        <v>627</v>
      </c>
      <c r="F99" s="72">
        <v>9.3715545755237051E-2</v>
      </c>
      <c r="G99" s="72">
        <v>-0.17391304347826086</v>
      </c>
      <c r="H99" s="1">
        <v>5569</v>
      </c>
      <c r="I99" s="1">
        <v>3484</v>
      </c>
      <c r="J99" s="1">
        <v>66057</v>
      </c>
      <c r="K99" s="1">
        <v>49999</v>
      </c>
      <c r="L99" s="18">
        <v>0.26</v>
      </c>
      <c r="M99" s="18">
        <v>0.37</v>
      </c>
      <c r="N99" s="18">
        <v>0.63</v>
      </c>
      <c r="O99" s="18">
        <v>0.63</v>
      </c>
      <c r="P99" s="18">
        <v>0.67</v>
      </c>
      <c r="Q99" s="18"/>
      <c r="R99" s="18"/>
      <c r="S99" s="1"/>
    </row>
    <row r="100" spans="1:19" x14ac:dyDescent="0.35">
      <c r="A100" s="23">
        <v>44750</v>
      </c>
      <c r="B100" s="38" t="s">
        <v>53</v>
      </c>
      <c r="C100" s="38" t="s">
        <v>60</v>
      </c>
      <c r="D100" s="1">
        <v>913</v>
      </c>
      <c r="E100" s="1">
        <v>566</v>
      </c>
      <c r="F100" s="72">
        <v>-1.9334049409237379E-2</v>
      </c>
      <c r="G100" s="72">
        <v>-0.10158730158730159</v>
      </c>
      <c r="H100" s="1">
        <v>6482</v>
      </c>
      <c r="I100" s="1">
        <v>4050</v>
      </c>
      <c r="J100" s="1">
        <v>66970</v>
      </c>
      <c r="K100" s="1">
        <v>50565</v>
      </c>
      <c r="L100" s="18">
        <v>0.24</v>
      </c>
      <c r="M100" s="18">
        <v>0.38</v>
      </c>
      <c r="N100" s="18">
        <v>0.62</v>
      </c>
      <c r="O100" s="18">
        <v>0.56999999999999995</v>
      </c>
      <c r="P100" s="18">
        <v>0.69</v>
      </c>
      <c r="Q100" s="18"/>
      <c r="R100" s="18"/>
      <c r="S100" s="1"/>
    </row>
    <row r="101" spans="1:19" x14ac:dyDescent="0.35">
      <c r="A101" s="23">
        <v>44751</v>
      </c>
      <c r="B101" s="38" t="s">
        <v>54</v>
      </c>
      <c r="C101" s="38" t="s">
        <v>60</v>
      </c>
      <c r="D101" s="1">
        <v>502</v>
      </c>
      <c r="E101" s="1">
        <v>361</v>
      </c>
      <c r="F101" s="72">
        <v>-0.14625850340136054</v>
      </c>
      <c r="G101" s="72">
        <v>1.977401129943503E-2</v>
      </c>
      <c r="H101" s="1">
        <v>6984</v>
      </c>
      <c r="I101" s="1">
        <v>4411</v>
      </c>
      <c r="J101" s="1">
        <v>67472</v>
      </c>
      <c r="K101" s="1">
        <v>50926</v>
      </c>
      <c r="L101" s="18">
        <v>0.36</v>
      </c>
      <c r="M101" s="18">
        <v>0.28000000000000003</v>
      </c>
      <c r="N101" s="18">
        <v>0.72</v>
      </c>
      <c r="O101" s="18">
        <v>0.54</v>
      </c>
      <c r="P101" s="18">
        <v>0.67</v>
      </c>
      <c r="Q101" s="18"/>
      <c r="R101" s="18"/>
      <c r="S101" s="1"/>
    </row>
    <row r="102" spans="1:19" x14ac:dyDescent="0.35">
      <c r="A102" s="23">
        <v>44752</v>
      </c>
      <c r="B102" s="38" t="s">
        <v>48</v>
      </c>
      <c r="C102" s="38" t="s">
        <v>60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/>
      <c r="R102" s="1"/>
      <c r="S102" s="1"/>
    </row>
    <row r="103" spans="1:19" x14ac:dyDescent="0.35">
      <c r="A103" s="23">
        <v>44753</v>
      </c>
      <c r="B103" s="38" t="s">
        <v>49</v>
      </c>
      <c r="C103" s="38" t="s">
        <v>60</v>
      </c>
      <c r="D103" s="1">
        <v>1139</v>
      </c>
      <c r="E103" s="1">
        <v>529</v>
      </c>
      <c r="F103" s="72">
        <v>7.9646017699115043E-3</v>
      </c>
      <c r="G103" s="72">
        <v>-0.17984496124031008</v>
      </c>
      <c r="H103" s="1">
        <v>8123</v>
      </c>
      <c r="I103" s="1">
        <v>4940</v>
      </c>
      <c r="J103" s="1">
        <v>68611</v>
      </c>
      <c r="K103" s="1">
        <v>51455</v>
      </c>
      <c r="L103" s="18">
        <v>0.12</v>
      </c>
      <c r="M103" s="18">
        <v>0.54</v>
      </c>
      <c r="N103" s="18">
        <v>0.46</v>
      </c>
      <c r="O103" s="18">
        <v>0.63</v>
      </c>
      <c r="P103" s="18">
        <v>0.6</v>
      </c>
      <c r="Q103" s="18"/>
      <c r="R103" s="18"/>
      <c r="S103" s="1"/>
    </row>
    <row r="104" spans="1:19" x14ac:dyDescent="0.35">
      <c r="A104" s="23">
        <v>44754</v>
      </c>
      <c r="B104" s="38" t="s">
        <v>50</v>
      </c>
      <c r="C104" s="38" t="s">
        <v>60</v>
      </c>
      <c r="D104" s="1">
        <v>1128</v>
      </c>
      <c r="E104" s="1">
        <v>812</v>
      </c>
      <c r="F104" s="72">
        <v>6.0150375939849621E-2</v>
      </c>
      <c r="G104" s="72">
        <v>0.5952848722986247</v>
      </c>
      <c r="H104" s="1">
        <v>9251</v>
      </c>
      <c r="I104" s="1">
        <v>5752</v>
      </c>
      <c r="J104" s="1">
        <v>69739</v>
      </c>
      <c r="K104" s="1">
        <v>52267</v>
      </c>
      <c r="L104" s="18">
        <v>0.27</v>
      </c>
      <c r="M104" s="18">
        <v>0.28000000000000003</v>
      </c>
      <c r="N104" s="18">
        <v>0.72</v>
      </c>
      <c r="O104" s="18">
        <v>0.66</v>
      </c>
      <c r="P104" s="18">
        <v>0.67</v>
      </c>
      <c r="Q104" s="18"/>
      <c r="R104" s="18"/>
      <c r="S104" s="1"/>
    </row>
    <row r="105" spans="1:19" x14ac:dyDescent="0.35">
      <c r="A105" s="23">
        <v>44755</v>
      </c>
      <c r="B105" s="38" t="s">
        <v>51</v>
      </c>
      <c r="C105" s="38" t="s">
        <v>60</v>
      </c>
      <c r="D105" s="1">
        <v>1044</v>
      </c>
      <c r="E105" s="1">
        <v>753</v>
      </c>
      <c r="F105" s="72">
        <v>0.20833333333333334</v>
      </c>
      <c r="G105" s="72">
        <v>4.7287899860917942E-2</v>
      </c>
      <c r="H105" s="1">
        <v>10295</v>
      </c>
      <c r="I105" s="1">
        <v>6505</v>
      </c>
      <c r="J105" s="1">
        <v>70783</v>
      </c>
      <c r="K105" s="1">
        <v>53020</v>
      </c>
      <c r="L105" s="18">
        <v>0.28000000000000003</v>
      </c>
      <c r="M105" s="18">
        <v>0.28000000000000003</v>
      </c>
      <c r="N105" s="18">
        <v>0.72</v>
      </c>
      <c r="O105" s="18">
        <v>0.66</v>
      </c>
      <c r="P105" s="18">
        <v>0.66</v>
      </c>
      <c r="Q105" s="18"/>
      <c r="R105" s="18"/>
      <c r="S105" s="1"/>
    </row>
    <row r="106" spans="1:19" x14ac:dyDescent="0.35">
      <c r="A106" s="23">
        <v>44756</v>
      </c>
      <c r="B106" s="38" t="s">
        <v>52</v>
      </c>
      <c r="C106" s="38" t="s">
        <v>60</v>
      </c>
      <c r="D106" s="1">
        <v>974</v>
      </c>
      <c r="E106" s="1">
        <v>598</v>
      </c>
      <c r="F106" s="72">
        <v>-1.8145161290322582E-2</v>
      </c>
      <c r="G106" s="72">
        <v>-4.6251993620414676E-2</v>
      </c>
      <c r="H106" s="1">
        <v>11269</v>
      </c>
      <c r="I106" s="1">
        <v>7103</v>
      </c>
      <c r="J106" s="1">
        <v>71757</v>
      </c>
      <c r="K106" s="1">
        <v>53618</v>
      </c>
      <c r="L106" s="18">
        <v>0.19</v>
      </c>
      <c r="M106" s="18">
        <v>0.39</v>
      </c>
      <c r="N106" s="18">
        <v>0.61</v>
      </c>
      <c r="O106" s="18">
        <v>0.54</v>
      </c>
      <c r="P106" s="18">
        <v>0.66</v>
      </c>
      <c r="Q106" s="18"/>
      <c r="R106" s="18"/>
      <c r="S106" s="1"/>
    </row>
    <row r="107" spans="1:19" x14ac:dyDescent="0.35">
      <c r="A107" s="23">
        <v>44757</v>
      </c>
      <c r="B107" s="38" t="s">
        <v>53</v>
      </c>
      <c r="C107" s="38" t="s">
        <v>60</v>
      </c>
      <c r="D107" s="1">
        <v>872</v>
      </c>
      <c r="E107" s="1">
        <v>551</v>
      </c>
      <c r="F107" s="72">
        <v>-4.4906900328587074E-2</v>
      </c>
      <c r="G107" s="72">
        <v>-2.6501766784452298E-2</v>
      </c>
      <c r="H107" s="1">
        <v>12141</v>
      </c>
      <c r="I107" s="1">
        <v>7654</v>
      </c>
      <c r="J107" s="1">
        <v>72629</v>
      </c>
      <c r="K107" s="1">
        <v>54169</v>
      </c>
      <c r="L107" s="18">
        <v>0.19</v>
      </c>
      <c r="M107" s="18">
        <v>0.37</v>
      </c>
      <c r="N107" s="18">
        <v>0.63</v>
      </c>
      <c r="O107" s="18">
        <v>0.48</v>
      </c>
      <c r="P107" s="18">
        <v>0.55000000000000004</v>
      </c>
      <c r="Q107" s="18"/>
      <c r="R107" s="18"/>
      <c r="S107" s="1"/>
    </row>
    <row r="108" spans="1:19" x14ac:dyDescent="0.35">
      <c r="A108" s="23">
        <v>44758</v>
      </c>
      <c r="B108" s="38" t="s">
        <v>54</v>
      </c>
      <c r="C108" s="38" t="s">
        <v>60</v>
      </c>
      <c r="D108" s="1">
        <v>536</v>
      </c>
      <c r="E108" s="1">
        <v>399</v>
      </c>
      <c r="F108" s="72">
        <v>6.7729083665338641E-2</v>
      </c>
      <c r="G108" s="72">
        <v>0.10526315789473684</v>
      </c>
      <c r="H108" s="1">
        <v>12677</v>
      </c>
      <c r="I108" s="1">
        <v>8053</v>
      </c>
      <c r="J108" s="1">
        <v>73165</v>
      </c>
      <c r="K108" s="1">
        <v>54568</v>
      </c>
      <c r="L108" s="18">
        <v>0.49</v>
      </c>
      <c r="M108" s="18">
        <v>0.26</v>
      </c>
      <c r="N108" s="18">
        <v>0.74</v>
      </c>
      <c r="O108" s="18">
        <v>0.42</v>
      </c>
      <c r="P108" s="18">
        <v>0.61</v>
      </c>
      <c r="Q108" s="18"/>
      <c r="R108" s="18"/>
      <c r="S108" s="1"/>
    </row>
    <row r="109" spans="1:19" x14ac:dyDescent="0.35">
      <c r="A109" s="23">
        <v>44759</v>
      </c>
      <c r="B109" s="38" t="s">
        <v>48</v>
      </c>
      <c r="C109" s="38" t="s">
        <v>60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/>
      <c r="R109" s="1"/>
      <c r="S109" s="1"/>
    </row>
    <row r="110" spans="1:19" x14ac:dyDescent="0.35">
      <c r="A110" s="23">
        <v>44760</v>
      </c>
      <c r="B110" s="38" t="s">
        <v>49</v>
      </c>
      <c r="C110" s="38" t="s">
        <v>60</v>
      </c>
      <c r="D110" s="1">
        <v>1154</v>
      </c>
      <c r="E110" s="1">
        <v>754</v>
      </c>
      <c r="F110" s="72">
        <v>1.3169446883230905E-2</v>
      </c>
      <c r="G110" s="72">
        <v>0.42533081285444235</v>
      </c>
      <c r="H110" s="1">
        <v>13831</v>
      </c>
      <c r="I110" s="1">
        <v>8807</v>
      </c>
      <c r="J110" s="1">
        <v>74319</v>
      </c>
      <c r="K110" s="1">
        <v>55322</v>
      </c>
      <c r="L110" s="18">
        <v>0.14000000000000001</v>
      </c>
      <c r="M110" s="18">
        <v>0.35</v>
      </c>
      <c r="N110" s="18">
        <v>0.65</v>
      </c>
      <c r="O110" s="18">
        <v>0.77</v>
      </c>
      <c r="P110" s="18">
        <v>0.72</v>
      </c>
      <c r="Q110" s="18"/>
      <c r="R110" s="18"/>
      <c r="S110" s="1"/>
    </row>
    <row r="111" spans="1:19" x14ac:dyDescent="0.35">
      <c r="A111" s="23">
        <v>44761</v>
      </c>
      <c r="B111" s="38" t="s">
        <v>50</v>
      </c>
      <c r="C111" s="38" t="s">
        <v>60</v>
      </c>
      <c r="D111" s="1">
        <v>936</v>
      </c>
      <c r="E111" s="1">
        <v>831</v>
      </c>
      <c r="F111" s="72">
        <v>-0.1702127659574468</v>
      </c>
      <c r="G111" s="72">
        <v>2.3399014778325122E-2</v>
      </c>
      <c r="H111" s="1">
        <v>14767</v>
      </c>
      <c r="I111" s="1">
        <v>9638</v>
      </c>
      <c r="J111" s="1">
        <v>75255</v>
      </c>
      <c r="K111" s="1">
        <v>56153</v>
      </c>
      <c r="L111" s="18">
        <v>0.63</v>
      </c>
      <c r="M111" s="18">
        <v>0.11</v>
      </c>
      <c r="N111" s="18">
        <v>0.89</v>
      </c>
      <c r="O111" s="18">
        <v>0.59</v>
      </c>
      <c r="P111" s="18">
        <v>0.71</v>
      </c>
      <c r="Q111" s="18"/>
      <c r="R111" s="18"/>
      <c r="S111" s="1"/>
    </row>
    <row r="112" spans="1:19" x14ac:dyDescent="0.35">
      <c r="A112" s="23">
        <v>44762</v>
      </c>
      <c r="B112" s="38" t="s">
        <v>51</v>
      </c>
      <c r="C112" s="38" t="s">
        <v>60</v>
      </c>
      <c r="D112" s="1">
        <v>1018</v>
      </c>
      <c r="E112" s="1">
        <v>678</v>
      </c>
      <c r="F112" s="72">
        <v>-2.4904214559386972E-2</v>
      </c>
      <c r="G112" s="72">
        <v>-9.9601593625498003E-2</v>
      </c>
      <c r="H112" s="1">
        <v>15785</v>
      </c>
      <c r="I112" s="1">
        <v>10316</v>
      </c>
      <c r="J112" s="1">
        <v>76273</v>
      </c>
      <c r="K112" s="1">
        <v>56831</v>
      </c>
      <c r="L112" s="18">
        <v>0.31</v>
      </c>
      <c r="M112" s="18">
        <v>0.33</v>
      </c>
      <c r="N112" s="18">
        <v>0.67</v>
      </c>
      <c r="O112" s="18">
        <v>0.51</v>
      </c>
      <c r="P112" s="18">
        <v>0.75</v>
      </c>
      <c r="Q112" s="18"/>
      <c r="R112" s="18"/>
      <c r="S112" s="1"/>
    </row>
    <row r="113" spans="1:24" x14ac:dyDescent="0.35">
      <c r="A113" s="23">
        <v>44763</v>
      </c>
      <c r="B113" s="38" t="s">
        <v>52</v>
      </c>
      <c r="C113" s="38" t="s">
        <v>60</v>
      </c>
      <c r="D113" s="1">
        <v>1019</v>
      </c>
      <c r="E113" s="1">
        <v>580</v>
      </c>
      <c r="F113" s="72">
        <v>4.6201232032854207E-2</v>
      </c>
      <c r="G113" s="72">
        <v>-3.0100334448160536E-2</v>
      </c>
      <c r="H113" s="1">
        <v>16804</v>
      </c>
      <c r="I113" s="1">
        <v>10896</v>
      </c>
      <c r="J113" s="1">
        <v>77292</v>
      </c>
      <c r="K113" s="1">
        <v>57411</v>
      </c>
      <c r="L113" s="18">
        <v>0.23</v>
      </c>
      <c r="M113" s="18">
        <v>0.43</v>
      </c>
      <c r="N113" s="18">
        <v>0.56999999999999995</v>
      </c>
      <c r="O113" s="18">
        <v>0.64</v>
      </c>
      <c r="P113" s="18">
        <v>0.68</v>
      </c>
      <c r="Q113" s="18"/>
      <c r="R113" s="18"/>
      <c r="S113" s="1"/>
    </row>
    <row r="114" spans="1:24" x14ac:dyDescent="0.35">
      <c r="A114" s="23">
        <v>44764</v>
      </c>
      <c r="B114" s="38" t="s">
        <v>53</v>
      </c>
      <c r="C114" s="38" t="s">
        <v>60</v>
      </c>
      <c r="D114" s="1">
        <v>952</v>
      </c>
      <c r="E114" s="1">
        <v>536</v>
      </c>
      <c r="F114" s="72">
        <v>9.1743119266055051E-2</v>
      </c>
      <c r="G114" s="72">
        <v>-2.7223230490018149E-2</v>
      </c>
      <c r="H114" s="1">
        <v>17756</v>
      </c>
      <c r="I114" s="1">
        <v>11432</v>
      </c>
      <c r="J114" s="1">
        <v>78244</v>
      </c>
      <c r="K114" s="1">
        <v>57947</v>
      </c>
      <c r="L114" s="18">
        <v>0.18</v>
      </c>
      <c r="M114" s="18">
        <v>0.44</v>
      </c>
      <c r="N114" s="18">
        <v>0.56000000000000005</v>
      </c>
      <c r="O114" s="18">
        <v>0.51</v>
      </c>
      <c r="P114" s="18">
        <v>0.62</v>
      </c>
      <c r="Q114" s="18"/>
      <c r="R114" s="18"/>
      <c r="S114" s="1"/>
    </row>
    <row r="115" spans="1:24" x14ac:dyDescent="0.35">
      <c r="A115" s="23">
        <v>44765</v>
      </c>
      <c r="B115" s="38" t="s">
        <v>54</v>
      </c>
      <c r="C115" s="38" t="s">
        <v>60</v>
      </c>
      <c r="D115" s="1">
        <v>529</v>
      </c>
      <c r="E115" s="1">
        <v>478</v>
      </c>
      <c r="F115" s="72">
        <v>-1.3059701492537313E-2</v>
      </c>
      <c r="G115" s="72">
        <v>0.19799498746867167</v>
      </c>
      <c r="H115" s="1">
        <v>18285</v>
      </c>
      <c r="I115" s="1">
        <v>11910</v>
      </c>
      <c r="J115" s="1">
        <v>78773</v>
      </c>
      <c r="K115" s="1">
        <v>58425</v>
      </c>
      <c r="L115" s="18">
        <v>0.66</v>
      </c>
      <c r="M115" s="18">
        <v>0.1</v>
      </c>
      <c r="N115" s="18">
        <v>0.9</v>
      </c>
      <c r="O115" s="18">
        <v>0.59</v>
      </c>
      <c r="P115" s="18">
        <v>0.75</v>
      </c>
      <c r="Q115" s="18"/>
      <c r="R115" s="18"/>
      <c r="S115" s="1"/>
    </row>
    <row r="116" spans="1:24" x14ac:dyDescent="0.35">
      <c r="A116" s="23">
        <v>44766</v>
      </c>
      <c r="B116" s="38" t="s">
        <v>48</v>
      </c>
      <c r="C116" s="38" t="s">
        <v>60</v>
      </c>
      <c r="D116" s="1">
        <v>0</v>
      </c>
      <c r="E116" s="1">
        <v>0</v>
      </c>
      <c r="F116" s="72">
        <v>0</v>
      </c>
      <c r="G116" s="72">
        <v>0</v>
      </c>
      <c r="H116" s="1">
        <v>0</v>
      </c>
      <c r="I116" s="1">
        <v>0</v>
      </c>
      <c r="J116" s="1">
        <v>0</v>
      </c>
      <c r="K116" s="1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/>
      <c r="R116" s="18"/>
      <c r="S116" s="1"/>
    </row>
    <row r="117" spans="1:24" x14ac:dyDescent="0.35">
      <c r="A117" s="23">
        <v>44767</v>
      </c>
      <c r="B117" s="38" t="s">
        <v>49</v>
      </c>
      <c r="C117" s="38" t="s">
        <v>60</v>
      </c>
      <c r="D117" s="1">
        <v>1202</v>
      </c>
      <c r="E117" s="1">
        <v>599</v>
      </c>
      <c r="F117" s="72">
        <v>4.1594454072790298E-2</v>
      </c>
      <c r="G117" s="72">
        <v>-0.20557029177718833</v>
      </c>
      <c r="H117" s="1">
        <v>19487</v>
      </c>
      <c r="I117" s="1">
        <v>12509</v>
      </c>
      <c r="J117" s="1">
        <v>79975</v>
      </c>
      <c r="K117" s="1">
        <v>59024</v>
      </c>
      <c r="L117" s="18">
        <v>0.23</v>
      </c>
      <c r="M117" s="76">
        <v>0.5</v>
      </c>
      <c r="N117" s="18">
        <v>0.5</v>
      </c>
      <c r="O117" s="18">
        <v>0.69</v>
      </c>
      <c r="P117" s="18">
        <v>0.71</v>
      </c>
      <c r="Q117" s="18"/>
      <c r="R117" s="18"/>
      <c r="S117" s="1"/>
    </row>
    <row r="118" spans="1:24" x14ac:dyDescent="0.35">
      <c r="A118" s="23">
        <v>44768</v>
      </c>
      <c r="B118" s="38" t="s">
        <v>50</v>
      </c>
      <c r="C118" s="38" t="s">
        <v>60</v>
      </c>
      <c r="D118" s="1">
        <v>943</v>
      </c>
      <c r="E118" s="1">
        <v>598</v>
      </c>
      <c r="F118" s="72">
        <v>7.478632478632479E-3</v>
      </c>
      <c r="G118" s="72">
        <v>-0.28038507821901326</v>
      </c>
      <c r="H118" s="1">
        <v>20430</v>
      </c>
      <c r="I118" s="1">
        <v>13107</v>
      </c>
      <c r="J118" s="1">
        <v>80918</v>
      </c>
      <c r="K118" s="1">
        <v>59622</v>
      </c>
      <c r="L118" s="18">
        <v>0.25</v>
      </c>
      <c r="M118" s="18">
        <v>0.37</v>
      </c>
      <c r="N118" s="18">
        <v>0.63</v>
      </c>
      <c r="O118" s="18">
        <v>0.66</v>
      </c>
      <c r="P118" s="18">
        <v>0.65</v>
      </c>
      <c r="Q118" s="18"/>
      <c r="R118" s="18"/>
      <c r="S118" s="1"/>
    </row>
    <row r="119" spans="1:24" x14ac:dyDescent="0.35">
      <c r="A119" s="23">
        <v>44769</v>
      </c>
      <c r="B119" s="38" t="s">
        <v>51</v>
      </c>
      <c r="C119" s="38" t="s">
        <v>60</v>
      </c>
      <c r="D119" s="1">
        <v>966</v>
      </c>
      <c r="E119" s="1">
        <v>660</v>
      </c>
      <c r="F119" s="72">
        <v>-5.1080550098231828E-2</v>
      </c>
      <c r="G119" s="72">
        <v>-2.6548672566371681E-2</v>
      </c>
      <c r="H119" s="1">
        <v>21396</v>
      </c>
      <c r="I119" s="1">
        <v>13767</v>
      </c>
      <c r="J119" s="1">
        <v>81884</v>
      </c>
      <c r="K119" s="1">
        <v>60282</v>
      </c>
      <c r="L119" s="18">
        <v>0.24</v>
      </c>
      <c r="M119" s="18">
        <v>0.32</v>
      </c>
      <c r="N119" s="18">
        <v>0.68</v>
      </c>
      <c r="O119" s="18">
        <v>0.72</v>
      </c>
      <c r="P119" s="18">
        <v>0.66</v>
      </c>
      <c r="Q119" s="18"/>
      <c r="R119" s="18"/>
      <c r="S119" s="1"/>
    </row>
    <row r="120" spans="1:24" x14ac:dyDescent="0.35">
      <c r="A120" s="23">
        <v>44770</v>
      </c>
      <c r="B120" s="38" t="s">
        <v>52</v>
      </c>
      <c r="C120" s="38" t="s">
        <v>60</v>
      </c>
      <c r="D120" s="1">
        <v>854</v>
      </c>
      <c r="E120" s="1">
        <v>563</v>
      </c>
      <c r="F120" s="72">
        <v>-0.16192345436702649</v>
      </c>
      <c r="G120" s="72">
        <v>-2.9310344827586206E-2</v>
      </c>
      <c r="H120" s="1">
        <v>22250</v>
      </c>
      <c r="I120" s="1">
        <v>14330</v>
      </c>
      <c r="J120" s="1">
        <v>82738</v>
      </c>
      <c r="K120" s="1">
        <v>60845</v>
      </c>
      <c r="L120" s="18">
        <v>0.24</v>
      </c>
      <c r="M120" s="18">
        <v>0.34</v>
      </c>
      <c r="N120" s="18">
        <v>0.66</v>
      </c>
      <c r="O120" s="18">
        <v>0.67</v>
      </c>
      <c r="P120" s="18">
        <v>0.71</v>
      </c>
      <c r="Q120" s="18"/>
      <c r="R120" s="18"/>
      <c r="S120" s="1"/>
      <c r="V120" t="s">
        <v>62</v>
      </c>
      <c r="W120" s="16">
        <v>44986</v>
      </c>
    </row>
    <row r="121" spans="1:24" x14ac:dyDescent="0.35">
      <c r="A121" s="23">
        <v>44771</v>
      </c>
      <c r="B121" s="38" t="s">
        <v>53</v>
      </c>
      <c r="C121" s="38" t="s">
        <v>60</v>
      </c>
      <c r="D121" s="1">
        <v>964</v>
      </c>
      <c r="E121" s="1">
        <v>525</v>
      </c>
      <c r="F121" s="72">
        <v>1.2605042016806723E-2</v>
      </c>
      <c r="G121" s="72">
        <v>-2.0522388059701493E-2</v>
      </c>
      <c r="H121" s="1">
        <v>23214</v>
      </c>
      <c r="I121" s="1">
        <v>14855</v>
      </c>
      <c r="J121" s="1">
        <v>83702</v>
      </c>
      <c r="K121" s="1">
        <v>61370</v>
      </c>
      <c r="L121" s="18">
        <v>0.18</v>
      </c>
      <c r="M121" s="18">
        <v>0.46</v>
      </c>
      <c r="N121" s="18">
        <v>0.54</v>
      </c>
      <c r="O121" s="18">
        <v>0.59</v>
      </c>
      <c r="P121" s="18">
        <v>0.67</v>
      </c>
      <c r="Q121" s="18"/>
      <c r="R121" s="18"/>
      <c r="S121" s="1"/>
      <c r="V121" t="s">
        <v>63</v>
      </c>
      <c r="W121" s="16">
        <v>45016</v>
      </c>
    </row>
    <row r="122" spans="1:24" x14ac:dyDescent="0.35">
      <c r="A122" s="23">
        <v>44772</v>
      </c>
      <c r="B122" s="38" t="s">
        <v>54</v>
      </c>
      <c r="C122" s="38" t="s">
        <v>60</v>
      </c>
      <c r="D122" s="1">
        <v>531</v>
      </c>
      <c r="E122" s="1">
        <v>298</v>
      </c>
      <c r="F122" s="72">
        <v>3.780718336483932E-3</v>
      </c>
      <c r="G122" s="72">
        <v>-0.37656903765690375</v>
      </c>
      <c r="H122" s="1">
        <v>23745</v>
      </c>
      <c r="I122" s="1">
        <v>15153</v>
      </c>
      <c r="J122" s="1">
        <v>84233</v>
      </c>
      <c r="K122" s="1">
        <v>61668</v>
      </c>
      <c r="L122" s="18">
        <v>0.28999999999999998</v>
      </c>
      <c r="M122" s="18">
        <v>0.44</v>
      </c>
      <c r="N122" s="18">
        <v>0.56000000000000005</v>
      </c>
      <c r="O122" s="18">
        <v>0.65</v>
      </c>
      <c r="P122" s="18">
        <v>0.68</v>
      </c>
      <c r="Q122" s="18"/>
      <c r="R122" s="18"/>
      <c r="S122" s="1"/>
    </row>
    <row r="123" spans="1:24" x14ac:dyDescent="0.35">
      <c r="A123" s="23">
        <v>44773</v>
      </c>
      <c r="B123" s="38" t="s">
        <v>48</v>
      </c>
      <c r="C123" s="38" t="s">
        <v>60</v>
      </c>
      <c r="D123" s="1">
        <v>0</v>
      </c>
      <c r="E123" s="1">
        <v>0</v>
      </c>
      <c r="F123" s="72">
        <v>0</v>
      </c>
      <c r="G123" s="72">
        <v>0</v>
      </c>
      <c r="H123" s="1">
        <v>0</v>
      </c>
      <c r="I123" s="1">
        <v>0</v>
      </c>
      <c r="J123" s="1">
        <v>0</v>
      </c>
      <c r="K123" s="1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/>
      <c r="R123" s="18"/>
      <c r="S123" s="1"/>
    </row>
    <row r="124" spans="1:24" x14ac:dyDescent="0.35">
      <c r="A124" s="58">
        <v>44774</v>
      </c>
      <c r="B124" s="119" t="s">
        <v>49</v>
      </c>
      <c r="C124" s="55" t="s">
        <v>60</v>
      </c>
      <c r="D124" s="56">
        <v>0</v>
      </c>
      <c r="E124" s="56">
        <v>0</v>
      </c>
      <c r="F124" s="91">
        <v>0</v>
      </c>
      <c r="G124" s="91">
        <v>0</v>
      </c>
      <c r="H124" s="56">
        <v>0</v>
      </c>
      <c r="I124" s="56">
        <v>0</v>
      </c>
      <c r="J124" s="56">
        <v>0</v>
      </c>
      <c r="K124" s="56">
        <v>0</v>
      </c>
      <c r="L124" s="57">
        <v>0</v>
      </c>
      <c r="M124" s="57">
        <v>0</v>
      </c>
      <c r="N124" s="57">
        <v>0</v>
      </c>
      <c r="O124" s="57">
        <v>0</v>
      </c>
      <c r="P124" s="57">
        <v>0</v>
      </c>
      <c r="Q124" s="57"/>
      <c r="R124" s="57"/>
      <c r="S124" s="1"/>
    </row>
    <row r="125" spans="1:24" x14ac:dyDescent="0.35">
      <c r="A125" s="23">
        <v>44775</v>
      </c>
      <c r="B125" s="38" t="s">
        <v>50</v>
      </c>
      <c r="C125" s="38" t="s">
        <v>60</v>
      </c>
      <c r="D125" s="1">
        <v>1355</v>
      </c>
      <c r="E125" s="1">
        <v>443</v>
      </c>
      <c r="F125" s="72">
        <v>0.4369034994697773</v>
      </c>
      <c r="G125" s="72">
        <v>-0.25919732441471571</v>
      </c>
      <c r="H125" s="1">
        <v>1355</v>
      </c>
      <c r="I125" s="1">
        <v>443</v>
      </c>
      <c r="J125" s="1">
        <v>85588</v>
      </c>
      <c r="K125" s="1">
        <v>62111</v>
      </c>
      <c r="L125" s="18">
        <v>0.14000000000000001</v>
      </c>
      <c r="M125" s="18">
        <v>0.67</v>
      </c>
      <c r="N125" s="18">
        <v>0.33</v>
      </c>
      <c r="O125" s="18">
        <v>0.81</v>
      </c>
      <c r="P125" s="18">
        <v>0.78</v>
      </c>
      <c r="Q125" s="18"/>
      <c r="R125" s="18"/>
      <c r="S125" s="1"/>
    </row>
    <row r="126" spans="1:24" x14ac:dyDescent="0.35">
      <c r="A126" s="23">
        <v>44776</v>
      </c>
      <c r="B126" s="38" t="s">
        <v>51</v>
      </c>
      <c r="C126" s="38" t="s">
        <v>60</v>
      </c>
      <c r="D126" s="1">
        <v>988</v>
      </c>
      <c r="E126" s="1">
        <v>455</v>
      </c>
      <c r="F126" s="72">
        <v>2.2774327122153208E-2</v>
      </c>
      <c r="G126" s="72">
        <v>-0.31060606060606061</v>
      </c>
      <c r="H126" s="1">
        <v>2343</v>
      </c>
      <c r="I126" s="1">
        <v>898</v>
      </c>
      <c r="J126" s="1">
        <v>86576</v>
      </c>
      <c r="K126" s="1">
        <v>62566</v>
      </c>
      <c r="L126" s="18">
        <v>0.14000000000000001</v>
      </c>
      <c r="M126" s="18">
        <v>0.54</v>
      </c>
      <c r="N126" s="18">
        <v>0.46</v>
      </c>
      <c r="O126" s="18">
        <v>0.56000000000000005</v>
      </c>
      <c r="P126" s="18">
        <v>0.79</v>
      </c>
      <c r="Q126" s="18"/>
      <c r="R126" s="18"/>
      <c r="S126" s="1"/>
    </row>
    <row r="127" spans="1:24" x14ac:dyDescent="0.35">
      <c r="A127" s="23">
        <v>44777</v>
      </c>
      <c r="B127" s="38" t="s">
        <v>52</v>
      </c>
      <c r="C127" s="38" t="s">
        <v>60</v>
      </c>
      <c r="D127" s="1">
        <v>1019</v>
      </c>
      <c r="E127" s="1">
        <v>567</v>
      </c>
      <c r="F127" s="72">
        <v>0.19320843091334894</v>
      </c>
      <c r="G127" s="72">
        <v>7.104795737122558E-3</v>
      </c>
      <c r="H127" s="1">
        <v>3362</v>
      </c>
      <c r="I127" s="1">
        <v>1465</v>
      </c>
      <c r="J127" s="1">
        <v>87595</v>
      </c>
      <c r="K127" s="1">
        <v>63133</v>
      </c>
      <c r="L127" s="18">
        <v>0.2</v>
      </c>
      <c r="M127" s="18">
        <v>0.44</v>
      </c>
      <c r="N127" s="18">
        <v>0.56000000000000005</v>
      </c>
      <c r="O127" s="18">
        <v>0.64</v>
      </c>
      <c r="P127" s="18">
        <v>0.77</v>
      </c>
      <c r="Q127" s="18"/>
      <c r="R127" s="18"/>
      <c r="S127" s="1"/>
    </row>
    <row r="128" spans="1:24" x14ac:dyDescent="0.35">
      <c r="A128" s="23">
        <v>44778</v>
      </c>
      <c r="B128" s="38" t="s">
        <v>53</v>
      </c>
      <c r="C128" s="38" t="s">
        <v>60</v>
      </c>
      <c r="D128" s="1">
        <v>978</v>
      </c>
      <c r="E128" s="1">
        <v>573</v>
      </c>
      <c r="F128" s="72">
        <v>1.4522821576763486E-2</v>
      </c>
      <c r="G128" s="72">
        <v>9.1428571428571428E-2</v>
      </c>
      <c r="H128" s="1">
        <v>4340</v>
      </c>
      <c r="I128" s="1">
        <v>2038</v>
      </c>
      <c r="J128" s="1">
        <v>88573</v>
      </c>
      <c r="K128" s="1">
        <v>63706</v>
      </c>
      <c r="L128" s="18">
        <v>0.23</v>
      </c>
      <c r="M128" s="18">
        <v>0.41</v>
      </c>
      <c r="N128" s="18">
        <v>0.59</v>
      </c>
      <c r="O128" s="18">
        <v>0.79</v>
      </c>
      <c r="P128" s="18">
        <v>0.75</v>
      </c>
      <c r="Q128" s="18"/>
      <c r="R128" s="18"/>
      <c r="S128" s="1"/>
      <c r="V128" s="54"/>
      <c r="W128" s="54"/>
      <c r="X128" s="54"/>
    </row>
    <row r="129" spans="1:24" x14ac:dyDescent="0.35">
      <c r="A129" s="23">
        <v>44779</v>
      </c>
      <c r="B129" s="38" t="s">
        <v>54</v>
      </c>
      <c r="C129" s="38" t="s">
        <v>60</v>
      </c>
      <c r="D129" s="1">
        <v>573</v>
      </c>
      <c r="E129" s="1">
        <v>459</v>
      </c>
      <c r="F129" s="72">
        <v>7.909604519774012E-2</v>
      </c>
      <c r="G129" s="72">
        <v>0.54026845637583898</v>
      </c>
      <c r="H129" s="1">
        <v>4913</v>
      </c>
      <c r="I129" s="1">
        <v>2497</v>
      </c>
      <c r="J129" s="1">
        <v>89146</v>
      </c>
      <c r="K129" s="1">
        <v>64165</v>
      </c>
      <c r="L129" s="18">
        <v>0.48</v>
      </c>
      <c r="M129" s="18">
        <v>0.2</v>
      </c>
      <c r="N129" s="18">
        <v>0.8</v>
      </c>
      <c r="O129" s="18">
        <v>0.64</v>
      </c>
      <c r="P129" s="18">
        <v>0.7</v>
      </c>
      <c r="Q129" s="18"/>
      <c r="R129" s="18"/>
      <c r="S129" s="1"/>
    </row>
    <row r="130" spans="1:24" x14ac:dyDescent="0.35">
      <c r="A130" s="23">
        <v>44780</v>
      </c>
      <c r="B130" s="38" t="s">
        <v>48</v>
      </c>
      <c r="C130" s="38" t="s">
        <v>60</v>
      </c>
      <c r="D130" s="1">
        <v>0</v>
      </c>
      <c r="E130" s="1">
        <v>0</v>
      </c>
      <c r="F130" s="72">
        <v>0</v>
      </c>
      <c r="G130" s="72">
        <v>0</v>
      </c>
      <c r="H130" s="1">
        <v>0</v>
      </c>
      <c r="I130" s="1">
        <v>0</v>
      </c>
      <c r="J130" s="1">
        <v>0</v>
      </c>
      <c r="K130" s="1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/>
      <c r="R130" s="18"/>
      <c r="S130" s="1"/>
    </row>
    <row r="131" spans="1:24" x14ac:dyDescent="0.35">
      <c r="A131" s="23">
        <v>44781</v>
      </c>
      <c r="B131" s="38" t="s">
        <v>49</v>
      </c>
      <c r="C131" s="38" t="s">
        <v>60</v>
      </c>
      <c r="D131" s="1">
        <v>1060</v>
      </c>
      <c r="E131" s="1">
        <v>574</v>
      </c>
      <c r="F131" s="72">
        <v>0</v>
      </c>
      <c r="G131" s="72">
        <v>0</v>
      </c>
      <c r="H131" s="1">
        <v>5973</v>
      </c>
      <c r="I131" s="1">
        <v>3071</v>
      </c>
      <c r="J131" s="1">
        <v>90206</v>
      </c>
      <c r="K131" s="1">
        <v>64739</v>
      </c>
      <c r="L131" s="18">
        <v>0.16</v>
      </c>
      <c r="M131" s="18">
        <v>0.46</v>
      </c>
      <c r="N131" s="18">
        <v>0.54</v>
      </c>
      <c r="O131" s="18">
        <v>0.85</v>
      </c>
      <c r="P131" s="18">
        <v>0.71</v>
      </c>
      <c r="Q131" s="18"/>
      <c r="R131" s="18"/>
      <c r="S131" s="1"/>
    </row>
    <row r="132" spans="1:24" x14ac:dyDescent="0.35">
      <c r="A132" s="23">
        <v>44782</v>
      </c>
      <c r="B132" s="36" t="s">
        <v>50</v>
      </c>
      <c r="C132" s="38" t="s">
        <v>60</v>
      </c>
      <c r="D132" s="1">
        <v>887</v>
      </c>
      <c r="E132" s="1">
        <v>634</v>
      </c>
      <c r="F132" s="72">
        <v>-0.34538745387453873</v>
      </c>
      <c r="G132" s="72">
        <v>0.43115124153498874</v>
      </c>
      <c r="H132" s="1">
        <v>6860</v>
      </c>
      <c r="I132" s="1">
        <v>3705</v>
      </c>
      <c r="J132" s="1">
        <v>91093</v>
      </c>
      <c r="K132" s="1">
        <v>65373</v>
      </c>
      <c r="L132" s="18">
        <v>0.28000000000000003</v>
      </c>
      <c r="M132" s="18">
        <v>0.28999999999999998</v>
      </c>
      <c r="N132" s="18">
        <v>0.71</v>
      </c>
      <c r="O132" s="18">
        <v>0.71</v>
      </c>
      <c r="P132" s="18">
        <v>0.77</v>
      </c>
      <c r="Q132" s="18"/>
      <c r="R132" s="18"/>
      <c r="S132" s="1"/>
    </row>
    <row r="133" spans="1:24" x14ac:dyDescent="0.35">
      <c r="A133" s="23">
        <v>44783</v>
      </c>
      <c r="B133" s="38" t="s">
        <v>51</v>
      </c>
      <c r="C133" s="38" t="s">
        <v>60</v>
      </c>
      <c r="D133" s="1">
        <v>801</v>
      </c>
      <c r="E133" s="1">
        <v>573</v>
      </c>
      <c r="F133" s="72">
        <v>-0.18927125506072875</v>
      </c>
      <c r="G133" s="72">
        <v>0.25934065934065936</v>
      </c>
      <c r="H133" s="1">
        <v>7661</v>
      </c>
      <c r="I133" s="1">
        <v>4278</v>
      </c>
      <c r="J133" s="1">
        <v>91894</v>
      </c>
      <c r="K133" s="1">
        <v>65946</v>
      </c>
      <c r="L133" s="18">
        <v>0.42</v>
      </c>
      <c r="M133" s="18">
        <v>0.28000000000000003</v>
      </c>
      <c r="N133" s="18">
        <v>0.72</v>
      </c>
      <c r="O133" s="18">
        <v>0.62</v>
      </c>
      <c r="P133" s="18">
        <v>0.69</v>
      </c>
      <c r="Q133" s="18"/>
      <c r="R133" s="18"/>
      <c r="S133" s="1"/>
    </row>
    <row r="134" spans="1:24" x14ac:dyDescent="0.35">
      <c r="A134" s="23">
        <v>44784</v>
      </c>
      <c r="B134" s="38" t="s">
        <v>52</v>
      </c>
      <c r="C134" s="38" t="s">
        <v>60</v>
      </c>
      <c r="D134" s="1">
        <v>945</v>
      </c>
      <c r="E134" s="1">
        <v>470</v>
      </c>
      <c r="F134" s="72">
        <v>-7.2620215897939155E-2</v>
      </c>
      <c r="G134" s="72">
        <v>-0.1710758377425044</v>
      </c>
      <c r="H134" s="1">
        <v>8606</v>
      </c>
      <c r="I134" s="1">
        <v>4748</v>
      </c>
      <c r="J134" s="1">
        <v>92839</v>
      </c>
      <c r="K134" s="1">
        <v>66416</v>
      </c>
      <c r="L134" s="18">
        <v>0.2</v>
      </c>
      <c r="M134" s="18">
        <v>0.5</v>
      </c>
      <c r="N134" s="18">
        <v>0.5</v>
      </c>
      <c r="O134" s="18">
        <v>0.72</v>
      </c>
      <c r="P134" s="18">
        <v>0.72</v>
      </c>
      <c r="Q134" s="18"/>
      <c r="R134" s="18"/>
      <c r="S134" s="1"/>
    </row>
    <row r="135" spans="1:24" x14ac:dyDescent="0.35">
      <c r="A135" s="23">
        <v>44785</v>
      </c>
      <c r="B135" s="38" t="s">
        <v>53</v>
      </c>
      <c r="C135" s="38" t="s">
        <v>60</v>
      </c>
      <c r="D135" s="1">
        <v>856</v>
      </c>
      <c r="E135" s="1">
        <v>561</v>
      </c>
      <c r="F135" s="72">
        <v>-0.12474437627811862</v>
      </c>
      <c r="G135" s="72">
        <v>-2.0942408376963352E-2</v>
      </c>
      <c r="H135" s="1">
        <v>9462</v>
      </c>
      <c r="I135" s="1">
        <v>5309</v>
      </c>
      <c r="J135" s="1">
        <v>93695</v>
      </c>
      <c r="K135" s="1">
        <v>66977</v>
      </c>
      <c r="L135" s="18">
        <v>0.24</v>
      </c>
      <c r="M135" s="18">
        <v>0.34</v>
      </c>
      <c r="N135" s="18">
        <v>0.66</v>
      </c>
      <c r="O135" s="18">
        <v>0.84</v>
      </c>
      <c r="P135" s="18">
        <v>0.68</v>
      </c>
      <c r="Q135" s="18"/>
      <c r="R135" s="18"/>
      <c r="S135" s="1"/>
    </row>
    <row r="136" spans="1:24" x14ac:dyDescent="0.35">
      <c r="A136" s="23">
        <v>44786</v>
      </c>
      <c r="B136" s="38" t="s">
        <v>54</v>
      </c>
      <c r="C136" s="38" t="s">
        <v>60</v>
      </c>
      <c r="D136" s="1">
        <v>473</v>
      </c>
      <c r="E136" s="1">
        <v>356</v>
      </c>
      <c r="F136" s="72">
        <v>-0.17452006980802792</v>
      </c>
      <c r="G136" s="72">
        <v>-0.22440087145969498</v>
      </c>
      <c r="H136" s="1">
        <v>9935</v>
      </c>
      <c r="I136" s="1">
        <v>5665</v>
      </c>
      <c r="J136" s="1">
        <v>94168</v>
      </c>
      <c r="K136" s="1">
        <v>67333</v>
      </c>
      <c r="L136" s="18">
        <v>0.4</v>
      </c>
      <c r="M136" s="18">
        <v>0.25</v>
      </c>
      <c r="N136" s="18">
        <v>0.75</v>
      </c>
      <c r="O136" s="18">
        <v>0.65</v>
      </c>
      <c r="P136" s="18">
        <v>0.78</v>
      </c>
      <c r="Q136" s="18"/>
      <c r="R136" s="18"/>
      <c r="S136" s="1"/>
    </row>
    <row r="137" spans="1:24" x14ac:dyDescent="0.35">
      <c r="A137" s="23">
        <v>44787</v>
      </c>
      <c r="B137" s="38" t="s">
        <v>48</v>
      </c>
      <c r="C137" s="38" t="s">
        <v>60</v>
      </c>
      <c r="D137" s="1">
        <v>0</v>
      </c>
      <c r="E137" s="1">
        <v>0</v>
      </c>
      <c r="F137" s="72">
        <v>0</v>
      </c>
      <c r="G137" s="72">
        <v>0</v>
      </c>
      <c r="H137" s="1">
        <v>0</v>
      </c>
      <c r="I137" s="1">
        <v>0</v>
      </c>
      <c r="J137" s="1">
        <v>0</v>
      </c>
      <c r="K137" s="1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/>
      <c r="R137" s="18"/>
      <c r="S137" s="1"/>
    </row>
    <row r="138" spans="1:24" x14ac:dyDescent="0.35">
      <c r="A138" s="23">
        <v>44788</v>
      </c>
      <c r="B138" s="38" t="s">
        <v>49</v>
      </c>
      <c r="C138" s="38" t="s">
        <v>60</v>
      </c>
      <c r="D138" s="1">
        <v>1026</v>
      </c>
      <c r="E138" s="1">
        <v>609</v>
      </c>
      <c r="F138" s="72">
        <v>-3.2075471698113207E-2</v>
      </c>
      <c r="G138" s="72">
        <v>6.097560975609756E-2</v>
      </c>
      <c r="H138" s="1">
        <v>10961</v>
      </c>
      <c r="I138" s="1">
        <v>6274</v>
      </c>
      <c r="J138" s="1">
        <v>95194</v>
      </c>
      <c r="K138" s="1">
        <v>67942</v>
      </c>
      <c r="L138" s="18">
        <v>0.21</v>
      </c>
      <c r="M138" s="18">
        <v>0.41</v>
      </c>
      <c r="N138" s="18">
        <v>0.59</v>
      </c>
      <c r="O138" s="18">
        <v>0.82</v>
      </c>
      <c r="P138" s="18">
        <v>0.72</v>
      </c>
      <c r="Q138" s="18"/>
      <c r="R138" s="18"/>
      <c r="S138" s="1">
        <v>8</v>
      </c>
    </row>
    <row r="139" spans="1:24" x14ac:dyDescent="0.35">
      <c r="A139" s="23">
        <v>44789</v>
      </c>
      <c r="B139" s="38" t="s">
        <v>50</v>
      </c>
      <c r="C139" s="38" t="s">
        <v>60</v>
      </c>
      <c r="D139" s="1">
        <v>912</v>
      </c>
      <c r="E139" s="1">
        <v>635</v>
      </c>
      <c r="F139" s="72">
        <v>2.8184892897406989E-2</v>
      </c>
      <c r="G139" s="72">
        <v>1.5772870662460567E-3</v>
      </c>
      <c r="H139" s="1">
        <v>11873</v>
      </c>
      <c r="I139" s="1">
        <v>6909</v>
      </c>
      <c r="J139" s="1">
        <v>96106</v>
      </c>
      <c r="K139" s="1">
        <v>68577</v>
      </c>
      <c r="L139" s="18">
        <v>0.28000000000000003</v>
      </c>
      <c r="M139" s="18">
        <v>0.3</v>
      </c>
      <c r="N139" s="18">
        <v>0.7</v>
      </c>
      <c r="O139" s="18">
        <v>0.66</v>
      </c>
      <c r="P139" s="18">
        <v>0.76</v>
      </c>
      <c r="Q139" s="18"/>
      <c r="R139" s="18"/>
      <c r="S139" s="1">
        <v>9</v>
      </c>
    </row>
    <row r="140" spans="1:24" x14ac:dyDescent="0.35">
      <c r="A140" s="23">
        <v>44790</v>
      </c>
      <c r="B140" s="38" t="s">
        <v>51</v>
      </c>
      <c r="C140" s="38" t="s">
        <v>60</v>
      </c>
      <c r="D140" s="1">
        <v>795</v>
      </c>
      <c r="E140" s="1">
        <v>653</v>
      </c>
      <c r="F140" s="72">
        <v>-7.4906367041198503E-3</v>
      </c>
      <c r="G140" s="72">
        <v>0.13961605584642234</v>
      </c>
      <c r="H140" s="1">
        <v>12668</v>
      </c>
      <c r="I140" s="1">
        <v>7562</v>
      </c>
      <c r="J140" s="1">
        <v>96901</v>
      </c>
      <c r="K140" s="1">
        <v>69230</v>
      </c>
      <c r="L140" s="18">
        <v>0.42</v>
      </c>
      <c r="M140" s="18">
        <v>0.18</v>
      </c>
      <c r="N140" s="18">
        <v>0.82</v>
      </c>
      <c r="O140" s="18">
        <v>0.62</v>
      </c>
      <c r="P140" s="18">
        <v>0.76</v>
      </c>
      <c r="Q140" s="18"/>
      <c r="R140" s="18"/>
      <c r="S140" s="1">
        <v>10</v>
      </c>
    </row>
    <row r="141" spans="1:24" x14ac:dyDescent="0.35">
      <c r="A141" s="23">
        <v>44791</v>
      </c>
      <c r="B141" s="38" t="s">
        <v>52</v>
      </c>
      <c r="C141" s="38" t="s">
        <v>60</v>
      </c>
      <c r="D141" s="1">
        <v>741</v>
      </c>
      <c r="E141" s="1">
        <v>614</v>
      </c>
      <c r="F141" s="72">
        <v>-0.21587301587301588</v>
      </c>
      <c r="G141" s="72">
        <v>0.30638297872340425</v>
      </c>
      <c r="H141" s="1">
        <v>13409</v>
      </c>
      <c r="I141" s="1">
        <v>8176</v>
      </c>
      <c r="J141" s="1">
        <v>97642</v>
      </c>
      <c r="K141" s="1">
        <v>69844</v>
      </c>
      <c r="L141" s="18">
        <v>0.56000000000000005</v>
      </c>
      <c r="M141" s="18">
        <v>0.17</v>
      </c>
      <c r="N141" s="18">
        <v>0.83</v>
      </c>
      <c r="O141" s="18">
        <v>0.59</v>
      </c>
      <c r="P141" s="18">
        <v>0.78</v>
      </c>
      <c r="Q141" s="18"/>
      <c r="R141" s="18"/>
      <c r="S141" s="1">
        <v>9</v>
      </c>
      <c r="W141" s="276" t="s">
        <v>96</v>
      </c>
      <c r="X141" s="276"/>
    </row>
    <row r="142" spans="1:24" x14ac:dyDescent="0.35">
      <c r="A142" s="23">
        <v>44792</v>
      </c>
      <c r="B142" s="38" t="s">
        <v>53</v>
      </c>
      <c r="C142" s="38" t="s">
        <v>60</v>
      </c>
      <c r="D142" s="1">
        <v>688</v>
      </c>
      <c r="E142" s="1">
        <v>568</v>
      </c>
      <c r="F142" s="72">
        <v>-0.19626168224299065</v>
      </c>
      <c r="G142" s="72">
        <v>1.2477718360071301E-2</v>
      </c>
      <c r="H142" s="1">
        <v>14097</v>
      </c>
      <c r="I142" s="1">
        <v>8744</v>
      </c>
      <c r="J142" s="1">
        <v>98330</v>
      </c>
      <c r="K142" s="1">
        <v>70412</v>
      </c>
      <c r="L142" s="18">
        <v>0.54</v>
      </c>
      <c r="M142" s="18">
        <v>0.17</v>
      </c>
      <c r="N142" s="18">
        <v>0.83</v>
      </c>
      <c r="O142" s="18">
        <v>0.56999999999999995</v>
      </c>
      <c r="P142" s="18">
        <v>0.78</v>
      </c>
      <c r="Q142" s="18"/>
      <c r="R142" s="18"/>
      <c r="S142" s="1">
        <v>9</v>
      </c>
      <c r="W142" t="s">
        <v>97</v>
      </c>
      <c r="X142" t="s">
        <v>98</v>
      </c>
    </row>
    <row r="143" spans="1:24" x14ac:dyDescent="0.35">
      <c r="A143" s="23">
        <v>44793</v>
      </c>
      <c r="B143" s="38" t="s">
        <v>54</v>
      </c>
      <c r="C143" s="38" t="s">
        <v>60</v>
      </c>
      <c r="D143" s="1">
        <v>425</v>
      </c>
      <c r="E143" s="1">
        <v>349</v>
      </c>
      <c r="F143" s="72">
        <v>-0.1014799154334038</v>
      </c>
      <c r="G143" s="72">
        <v>-1.9662921348314606E-2</v>
      </c>
      <c r="H143" s="1">
        <v>14522</v>
      </c>
      <c r="I143" s="1">
        <v>9093</v>
      </c>
      <c r="J143" s="1">
        <v>98755</v>
      </c>
      <c r="K143" s="1">
        <v>70761</v>
      </c>
      <c r="L143" s="18">
        <v>0.55000000000000004</v>
      </c>
      <c r="M143" s="18">
        <v>0.18</v>
      </c>
      <c r="N143" s="18">
        <v>0.82</v>
      </c>
      <c r="O143" s="18">
        <v>0.51</v>
      </c>
      <c r="P143" s="18">
        <v>0.82</v>
      </c>
      <c r="Q143" s="18"/>
      <c r="R143" s="18"/>
      <c r="S143" s="1">
        <v>8</v>
      </c>
      <c r="W143" t="s">
        <v>99</v>
      </c>
      <c r="X143" s="219">
        <v>0</v>
      </c>
    </row>
    <row r="144" spans="1:24" x14ac:dyDescent="0.35">
      <c r="A144" s="23">
        <v>44794</v>
      </c>
      <c r="B144" s="38" t="s">
        <v>48</v>
      </c>
      <c r="C144" s="38" t="s">
        <v>60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/>
      <c r="R144" s="1"/>
      <c r="S144" s="86">
        <v>0</v>
      </c>
      <c r="W144" t="s">
        <v>100</v>
      </c>
      <c r="X144" s="219">
        <v>0.10416666666666667</v>
      </c>
    </row>
    <row r="145" spans="1:24" x14ac:dyDescent="0.35">
      <c r="A145" s="23">
        <v>44795</v>
      </c>
      <c r="B145" s="38" t="s">
        <v>49</v>
      </c>
      <c r="C145" s="38" t="s">
        <v>60</v>
      </c>
      <c r="D145" s="1">
        <v>756</v>
      </c>
      <c r="E145" s="1">
        <v>901</v>
      </c>
      <c r="F145" s="72">
        <v>-0.26315789473684209</v>
      </c>
      <c r="G145" s="72">
        <v>0.47947454844006571</v>
      </c>
      <c r="H145" s="1">
        <v>15278</v>
      </c>
      <c r="I145" s="1">
        <v>9994</v>
      </c>
      <c r="J145" s="1">
        <v>99511</v>
      </c>
      <c r="K145" s="1">
        <v>71662</v>
      </c>
      <c r="L145" s="18">
        <v>0.53</v>
      </c>
      <c r="M145" s="18">
        <v>0.16</v>
      </c>
      <c r="N145" s="18">
        <v>0.84</v>
      </c>
      <c r="O145" s="18">
        <v>0.65</v>
      </c>
      <c r="P145" s="18">
        <v>0.78</v>
      </c>
      <c r="Q145" s="18"/>
      <c r="R145" s="18"/>
      <c r="S145" s="1">
        <v>11</v>
      </c>
      <c r="W145" t="s">
        <v>101</v>
      </c>
      <c r="X145" s="219">
        <v>0.10416666666666667</v>
      </c>
    </row>
    <row r="146" spans="1:24" x14ac:dyDescent="0.35">
      <c r="A146" s="23">
        <v>44796</v>
      </c>
      <c r="B146" s="38" t="s">
        <v>50</v>
      </c>
      <c r="C146" s="38" t="s">
        <v>60</v>
      </c>
      <c r="D146" s="1">
        <v>787</v>
      </c>
      <c r="E146" s="1">
        <v>692</v>
      </c>
      <c r="F146" s="72">
        <v>-0.13706140350877194</v>
      </c>
      <c r="G146" s="72">
        <v>8.9763779527559054E-2</v>
      </c>
      <c r="H146" s="1">
        <v>16065</v>
      </c>
      <c r="I146" s="1">
        <v>10686</v>
      </c>
      <c r="J146" s="1">
        <v>100298</v>
      </c>
      <c r="K146" s="1">
        <v>72354</v>
      </c>
      <c r="L146" s="18">
        <v>0.67</v>
      </c>
      <c r="M146" s="18">
        <v>0.12</v>
      </c>
      <c r="N146" s="18">
        <v>0.88</v>
      </c>
      <c r="O146" s="18">
        <v>0.54</v>
      </c>
      <c r="P146" s="18">
        <v>0.75</v>
      </c>
      <c r="Q146" s="18"/>
      <c r="R146" s="18"/>
      <c r="S146" s="1">
        <v>11</v>
      </c>
      <c r="W146" t="s">
        <v>102</v>
      </c>
      <c r="X146" s="219">
        <v>0.20833333333333334</v>
      </c>
    </row>
    <row r="147" spans="1:24" x14ac:dyDescent="0.35">
      <c r="A147" s="23">
        <v>44797</v>
      </c>
      <c r="B147" s="38" t="s">
        <v>51</v>
      </c>
      <c r="C147" s="38" t="s">
        <v>60</v>
      </c>
      <c r="D147" s="1">
        <v>989</v>
      </c>
      <c r="E147" s="1">
        <v>652</v>
      </c>
      <c r="F147" s="72">
        <v>0.2440251572327044</v>
      </c>
      <c r="G147" s="72">
        <v>-1.5313935681470138E-3</v>
      </c>
      <c r="H147" s="1">
        <v>17054</v>
      </c>
      <c r="I147" s="1">
        <v>11338</v>
      </c>
      <c r="J147" s="1">
        <v>101287</v>
      </c>
      <c r="K147" s="1">
        <v>73006</v>
      </c>
      <c r="L147" s="18">
        <v>0.28000000000000003</v>
      </c>
      <c r="M147" s="18">
        <v>0.34</v>
      </c>
      <c r="N147" s="18">
        <v>0.66</v>
      </c>
      <c r="O147" s="18">
        <v>0.78</v>
      </c>
      <c r="P147" s="18">
        <v>0.74</v>
      </c>
      <c r="Q147" s="18"/>
      <c r="R147" s="18"/>
      <c r="S147" s="1">
        <v>9</v>
      </c>
      <c r="W147" t="s">
        <v>98</v>
      </c>
      <c r="X147" s="219" cm="1">
        <f t="array" ref="X147">AVERAGEIF(chart_ATT_TT, "&lt;&gt;0")</f>
        <v>2.0815527065527065E-3</v>
      </c>
    </row>
    <row r="148" spans="1:24" x14ac:dyDescent="0.35">
      <c r="A148" s="23">
        <v>44798</v>
      </c>
      <c r="B148" s="38" t="s">
        <v>52</v>
      </c>
      <c r="C148" s="38" t="s">
        <v>60</v>
      </c>
      <c r="D148" s="1">
        <v>858</v>
      </c>
      <c r="E148" s="1">
        <v>617</v>
      </c>
      <c r="F148" s="72">
        <v>0.15789473684210525</v>
      </c>
      <c r="G148" s="72">
        <v>4.8859934853420191E-3</v>
      </c>
      <c r="H148" s="1">
        <v>17912</v>
      </c>
      <c r="I148" s="1">
        <v>11955</v>
      </c>
      <c r="J148" s="1">
        <v>102145</v>
      </c>
      <c r="K148" s="1">
        <v>73623</v>
      </c>
      <c r="L148" s="18">
        <v>0.35</v>
      </c>
      <c r="M148" s="18">
        <v>0.28000000000000003</v>
      </c>
      <c r="N148" s="18">
        <v>0.72</v>
      </c>
      <c r="O148" s="18">
        <v>0.65</v>
      </c>
      <c r="P148" s="18">
        <v>0.77</v>
      </c>
      <c r="Q148" s="18"/>
      <c r="R148" s="18"/>
      <c r="S148" s="1">
        <v>9</v>
      </c>
    </row>
    <row r="149" spans="1:24" x14ac:dyDescent="0.35">
      <c r="A149" s="23">
        <v>44799</v>
      </c>
      <c r="B149" s="38" t="s">
        <v>53</v>
      </c>
      <c r="C149" s="38" t="s">
        <v>60</v>
      </c>
      <c r="D149" s="1">
        <v>818</v>
      </c>
      <c r="E149" s="1">
        <v>593</v>
      </c>
      <c r="F149" s="72">
        <v>0.18895348837209303</v>
      </c>
      <c r="G149" s="72">
        <v>4.401408450704225E-2</v>
      </c>
      <c r="H149" s="1">
        <v>18730</v>
      </c>
      <c r="I149" s="1">
        <v>12548</v>
      </c>
      <c r="J149" s="1">
        <v>102963</v>
      </c>
      <c r="K149" s="1">
        <v>74216</v>
      </c>
      <c r="L149" s="18">
        <v>0.32</v>
      </c>
      <c r="M149" s="18">
        <v>0.28000000000000003</v>
      </c>
      <c r="N149" s="18">
        <v>0.72</v>
      </c>
      <c r="O149" s="18">
        <v>0.71</v>
      </c>
      <c r="P149" s="18">
        <v>0.75</v>
      </c>
      <c r="Q149" s="18"/>
      <c r="R149" s="18"/>
      <c r="S149" s="1">
        <v>8</v>
      </c>
    </row>
    <row r="150" spans="1:24" x14ac:dyDescent="0.35">
      <c r="A150" s="23">
        <v>44800</v>
      </c>
      <c r="B150" s="38" t="s">
        <v>54</v>
      </c>
      <c r="C150" s="38" t="s">
        <v>60</v>
      </c>
      <c r="D150" s="1">
        <v>505</v>
      </c>
      <c r="E150" s="1">
        <v>416</v>
      </c>
      <c r="F150" s="72">
        <v>0.18823529411764706</v>
      </c>
      <c r="G150" s="72">
        <v>0.19197707736389685</v>
      </c>
      <c r="H150" s="1">
        <v>19235</v>
      </c>
      <c r="I150" s="1">
        <v>12964</v>
      </c>
      <c r="J150" s="1">
        <v>103468</v>
      </c>
      <c r="K150" s="1">
        <v>74632</v>
      </c>
      <c r="L150" s="18">
        <v>0.54</v>
      </c>
      <c r="M150" s="18">
        <v>0.18</v>
      </c>
      <c r="N150" s="18">
        <v>0.82</v>
      </c>
      <c r="O150" s="18">
        <v>0.4</v>
      </c>
      <c r="P150" s="18">
        <v>0.83</v>
      </c>
      <c r="Q150" s="18"/>
      <c r="R150" s="18"/>
      <c r="S150" s="1">
        <v>8</v>
      </c>
      <c r="U150">
        <f>AVERAGEIF(S138:S341,"&lt;&gt;0")</f>
        <v>10.251497005988025</v>
      </c>
    </row>
    <row r="151" spans="1:24" x14ac:dyDescent="0.35">
      <c r="A151" s="23">
        <v>44801</v>
      </c>
      <c r="B151" s="38" t="s">
        <v>48</v>
      </c>
      <c r="C151" s="38" t="s">
        <v>60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/>
      <c r="R151" s="1"/>
      <c r="S151" s="86">
        <v>0</v>
      </c>
    </row>
    <row r="152" spans="1:24" x14ac:dyDescent="0.35">
      <c r="A152" s="23">
        <v>44802</v>
      </c>
      <c r="B152" s="38" t="s">
        <v>49</v>
      </c>
      <c r="C152" s="38" t="s">
        <v>60</v>
      </c>
      <c r="D152" s="1">
        <v>1042</v>
      </c>
      <c r="E152" s="1">
        <v>523</v>
      </c>
      <c r="F152" s="72">
        <v>0.37830687830687831</v>
      </c>
      <c r="G152" s="72">
        <v>-0.41953385127635962</v>
      </c>
      <c r="H152" s="1">
        <v>20277</v>
      </c>
      <c r="I152" s="1">
        <v>13487</v>
      </c>
      <c r="J152" s="1">
        <v>104510</v>
      </c>
      <c r="K152" s="1">
        <v>75155</v>
      </c>
      <c r="L152" s="18">
        <v>0.17</v>
      </c>
      <c r="M152" s="18">
        <v>0.5</v>
      </c>
      <c r="N152" s="18">
        <v>0.5</v>
      </c>
      <c r="O152" s="18">
        <v>0.8</v>
      </c>
      <c r="P152" s="18">
        <v>0.76</v>
      </c>
      <c r="Q152" s="18"/>
      <c r="R152" s="18"/>
      <c r="S152" s="1">
        <v>7</v>
      </c>
    </row>
    <row r="153" spans="1:24" x14ac:dyDescent="0.35">
      <c r="A153" s="23">
        <v>44803</v>
      </c>
      <c r="B153" s="38" t="s">
        <v>50</v>
      </c>
      <c r="C153" s="38" t="s">
        <v>60</v>
      </c>
      <c r="D153" s="1">
        <v>1239</v>
      </c>
      <c r="E153" s="1">
        <v>387</v>
      </c>
      <c r="F153" s="72">
        <v>0.57433290978398988</v>
      </c>
      <c r="G153" s="72">
        <v>-0.44075144508670522</v>
      </c>
      <c r="H153" s="1">
        <v>21516</v>
      </c>
      <c r="I153" s="1">
        <v>13874</v>
      </c>
      <c r="J153" s="1">
        <v>105749</v>
      </c>
      <c r="K153" s="1">
        <v>75542</v>
      </c>
      <c r="L153" s="18">
        <v>0.15</v>
      </c>
      <c r="M153" s="18">
        <v>0.69</v>
      </c>
      <c r="N153" s="18">
        <v>0.31</v>
      </c>
      <c r="O153" s="18">
        <v>0.65</v>
      </c>
      <c r="P153" s="18">
        <v>0.76</v>
      </c>
      <c r="Q153" s="18"/>
      <c r="R153" s="18"/>
      <c r="S153" s="1">
        <v>7</v>
      </c>
    </row>
    <row r="154" spans="1:24" x14ac:dyDescent="0.35">
      <c r="A154" s="23">
        <v>44804</v>
      </c>
      <c r="B154" s="38" t="s">
        <v>51</v>
      </c>
      <c r="C154" s="38" t="s">
        <v>60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/>
      <c r="R154" s="1"/>
      <c r="S154" s="1">
        <v>0</v>
      </c>
      <c r="U154" t="s">
        <v>64</v>
      </c>
    </row>
    <row r="155" spans="1:24" x14ac:dyDescent="0.35">
      <c r="A155" s="23">
        <v>44805</v>
      </c>
      <c r="B155" s="38" t="s">
        <v>52</v>
      </c>
      <c r="C155" s="38" t="s">
        <v>60</v>
      </c>
      <c r="D155" s="1">
        <v>1231</v>
      </c>
      <c r="E155" s="1">
        <v>656</v>
      </c>
      <c r="F155" s="72">
        <v>0.43473193473193472</v>
      </c>
      <c r="G155" s="72">
        <v>6.3209076175040513E-2</v>
      </c>
      <c r="H155" s="1">
        <v>1231</v>
      </c>
      <c r="I155" s="1">
        <v>656</v>
      </c>
      <c r="J155" s="1">
        <v>106980</v>
      </c>
      <c r="K155" s="1">
        <v>76198</v>
      </c>
      <c r="L155" s="18">
        <v>0.17</v>
      </c>
      <c r="M155" s="18">
        <v>0.47</v>
      </c>
      <c r="N155" s="18">
        <v>0.53</v>
      </c>
      <c r="O155" s="18">
        <v>0.8</v>
      </c>
      <c r="P155" s="18">
        <v>0.72</v>
      </c>
      <c r="Q155" s="18"/>
      <c r="R155" s="18"/>
      <c r="S155" s="1">
        <v>9</v>
      </c>
    </row>
    <row r="156" spans="1:24" x14ac:dyDescent="0.35">
      <c r="A156" s="23">
        <v>44806</v>
      </c>
      <c r="B156" s="38" t="s">
        <v>53</v>
      </c>
      <c r="C156" s="38" t="s">
        <v>60</v>
      </c>
      <c r="D156" s="1">
        <v>1096</v>
      </c>
      <c r="E156" s="1">
        <v>454</v>
      </c>
      <c r="F156" s="72">
        <v>0.33985330073349634</v>
      </c>
      <c r="G156" s="72">
        <v>-0.23440134907251264</v>
      </c>
      <c r="H156" s="1">
        <v>2327</v>
      </c>
      <c r="I156" s="1">
        <v>1110</v>
      </c>
      <c r="J156" s="1">
        <v>108076</v>
      </c>
      <c r="K156" s="1">
        <v>76652</v>
      </c>
      <c r="L156" s="18">
        <v>0.17</v>
      </c>
      <c r="M156" s="18">
        <v>0.59</v>
      </c>
      <c r="N156" s="18">
        <v>0.41</v>
      </c>
      <c r="O156" s="18">
        <v>0.6</v>
      </c>
      <c r="P156" s="18">
        <v>0.72</v>
      </c>
      <c r="Q156" s="18"/>
      <c r="R156" s="18"/>
      <c r="S156" s="1">
        <v>8</v>
      </c>
    </row>
    <row r="157" spans="1:24" x14ac:dyDescent="0.35">
      <c r="A157" s="23">
        <v>44807</v>
      </c>
      <c r="B157" s="38" t="s">
        <v>54</v>
      </c>
      <c r="C157" s="38" t="s">
        <v>60</v>
      </c>
      <c r="D157" s="1">
        <v>663</v>
      </c>
      <c r="E157" s="1">
        <v>175</v>
      </c>
      <c r="F157" s="72">
        <v>0.31287128712871287</v>
      </c>
      <c r="G157" s="72">
        <v>-0.57932692307692313</v>
      </c>
      <c r="H157" s="1">
        <v>2990</v>
      </c>
      <c r="I157" s="1">
        <v>1285</v>
      </c>
      <c r="J157" s="1">
        <v>108739</v>
      </c>
      <c r="K157" s="1">
        <v>76827</v>
      </c>
      <c r="L157" s="18">
        <v>0.16</v>
      </c>
      <c r="M157" s="18">
        <v>0.74</v>
      </c>
      <c r="N157" s="18">
        <v>0.26</v>
      </c>
      <c r="O157" s="18">
        <v>0.55000000000000004</v>
      </c>
      <c r="P157" s="18">
        <v>0.86</v>
      </c>
      <c r="Q157" s="18"/>
      <c r="R157" s="18"/>
      <c r="S157" s="1">
        <v>4</v>
      </c>
    </row>
    <row r="158" spans="1:24" x14ac:dyDescent="0.35">
      <c r="A158" s="23">
        <v>44808</v>
      </c>
      <c r="B158" s="38" t="s">
        <v>48</v>
      </c>
      <c r="C158" s="38" t="s">
        <v>60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/>
      <c r="R158" s="1"/>
      <c r="S158" s="1">
        <v>0</v>
      </c>
    </row>
    <row r="159" spans="1:24" x14ac:dyDescent="0.35">
      <c r="A159" s="23">
        <v>44809</v>
      </c>
      <c r="B159" s="38" t="s">
        <v>49</v>
      </c>
      <c r="C159" s="38" t="s">
        <v>60</v>
      </c>
      <c r="D159" s="1">
        <v>1128</v>
      </c>
      <c r="E159" s="1">
        <v>470</v>
      </c>
      <c r="F159" s="72">
        <v>8.253358925143954E-2</v>
      </c>
      <c r="G159" s="72">
        <v>-0.10133843212237094</v>
      </c>
      <c r="H159" s="1">
        <v>4118</v>
      </c>
      <c r="I159" s="1">
        <v>1755</v>
      </c>
      <c r="J159" s="1">
        <v>109867</v>
      </c>
      <c r="K159" s="1">
        <v>77297</v>
      </c>
      <c r="L159" s="18">
        <v>0.18</v>
      </c>
      <c r="M159" s="18">
        <v>0.57999999999999996</v>
      </c>
      <c r="N159" s="18">
        <v>0.42</v>
      </c>
      <c r="O159" s="18">
        <v>0.67</v>
      </c>
      <c r="P159" s="18">
        <v>0.78</v>
      </c>
      <c r="Q159" s="18"/>
      <c r="R159" s="18"/>
      <c r="S159" s="1">
        <v>8</v>
      </c>
    </row>
    <row r="160" spans="1:24" x14ac:dyDescent="0.35">
      <c r="A160" s="23">
        <v>44810</v>
      </c>
      <c r="B160" s="38" t="s">
        <v>50</v>
      </c>
      <c r="C160" s="38" t="s">
        <v>60</v>
      </c>
      <c r="D160" s="1">
        <v>1140</v>
      </c>
      <c r="E160" s="1">
        <v>459</v>
      </c>
      <c r="F160" s="72">
        <v>-7.990314769975787E-2</v>
      </c>
      <c r="G160" s="72">
        <v>0.18604651162790697</v>
      </c>
      <c r="H160" s="1">
        <v>5258</v>
      </c>
      <c r="I160" s="1">
        <v>2214</v>
      </c>
      <c r="J160" s="1">
        <v>111007</v>
      </c>
      <c r="K160" s="1">
        <v>77756</v>
      </c>
      <c r="L160" s="18">
        <v>0.12</v>
      </c>
      <c r="M160" s="18">
        <v>0.6</v>
      </c>
      <c r="N160" s="18">
        <v>0.4</v>
      </c>
      <c r="O160" s="18">
        <v>0.65</v>
      </c>
      <c r="P160" s="18">
        <v>0.77</v>
      </c>
      <c r="Q160" s="18"/>
      <c r="R160" s="18"/>
      <c r="S160" s="1">
        <v>8</v>
      </c>
    </row>
    <row r="161" spans="1:22" x14ac:dyDescent="0.35">
      <c r="A161" s="23">
        <v>44811</v>
      </c>
      <c r="B161" s="38" t="s">
        <v>51</v>
      </c>
      <c r="C161" s="38" t="s">
        <v>60</v>
      </c>
      <c r="D161" s="1">
        <v>967</v>
      </c>
      <c r="E161" s="1">
        <v>548</v>
      </c>
      <c r="F161" s="72">
        <v>0</v>
      </c>
      <c r="G161" s="72">
        <v>0</v>
      </c>
      <c r="H161" s="1">
        <v>6225</v>
      </c>
      <c r="I161" s="1">
        <v>2762</v>
      </c>
      <c r="J161" s="1">
        <v>111974</v>
      </c>
      <c r="K161" s="1">
        <v>78304</v>
      </c>
      <c r="L161" s="18">
        <v>0.18</v>
      </c>
      <c r="M161" s="18">
        <v>0.43</v>
      </c>
      <c r="N161" s="18">
        <v>0.56999999999999995</v>
      </c>
      <c r="O161" s="18">
        <v>0.67</v>
      </c>
      <c r="P161" s="18">
        <v>0.76</v>
      </c>
      <c r="Q161" s="18"/>
      <c r="R161" s="18"/>
      <c r="S161" s="1">
        <v>9</v>
      </c>
      <c r="U161">
        <f>AVERAGEIF(Table7[Calls Off],"&lt;&gt;0")</f>
        <v>888.00336700336698</v>
      </c>
    </row>
    <row r="162" spans="1:22" x14ac:dyDescent="0.35">
      <c r="A162" s="23">
        <v>44812</v>
      </c>
      <c r="B162" s="38" t="s">
        <v>52</v>
      </c>
      <c r="C162" s="38" t="s">
        <v>60</v>
      </c>
      <c r="D162" s="1">
        <v>925</v>
      </c>
      <c r="E162" s="1">
        <v>531</v>
      </c>
      <c r="F162" s="72">
        <v>-0.24857839155158407</v>
      </c>
      <c r="G162" s="72">
        <v>-0.19054878048780488</v>
      </c>
      <c r="H162" s="1">
        <v>7150</v>
      </c>
      <c r="I162" s="1">
        <v>3293</v>
      </c>
      <c r="J162" s="1">
        <v>112899</v>
      </c>
      <c r="K162" s="1">
        <v>78835</v>
      </c>
      <c r="L162" s="18">
        <v>0.16</v>
      </c>
      <c r="M162" s="18">
        <v>0.43</v>
      </c>
      <c r="N162" s="18">
        <v>0.56999999999999995</v>
      </c>
      <c r="O162" s="18">
        <v>0.84</v>
      </c>
      <c r="P162" s="18">
        <v>0.79</v>
      </c>
      <c r="Q162" s="18"/>
      <c r="R162" s="18"/>
      <c r="S162" s="1">
        <v>7</v>
      </c>
    </row>
    <row r="163" spans="1:22" x14ac:dyDescent="0.35">
      <c r="A163" s="23">
        <v>44813</v>
      </c>
      <c r="B163" s="38" t="s">
        <v>53</v>
      </c>
      <c r="C163" s="38" t="s">
        <v>60</v>
      </c>
      <c r="D163" s="1">
        <v>909</v>
      </c>
      <c r="E163" s="1">
        <v>610</v>
      </c>
      <c r="F163" s="72">
        <v>-0.17062043795620438</v>
      </c>
      <c r="G163" s="72">
        <v>0.34361233480176212</v>
      </c>
      <c r="H163" s="1">
        <v>8059</v>
      </c>
      <c r="I163" s="1">
        <v>3903</v>
      </c>
      <c r="J163" s="1">
        <v>113808</v>
      </c>
      <c r="K163" s="1">
        <v>79445</v>
      </c>
      <c r="L163" s="18">
        <v>0.24</v>
      </c>
      <c r="M163" s="18">
        <v>0.33</v>
      </c>
      <c r="N163" s="18">
        <v>0.67</v>
      </c>
      <c r="O163" s="18">
        <v>0.73</v>
      </c>
      <c r="P163" s="18">
        <v>0.83</v>
      </c>
      <c r="Q163" s="18"/>
      <c r="R163" s="18"/>
      <c r="S163" s="1">
        <v>8</v>
      </c>
    </row>
    <row r="164" spans="1:22" x14ac:dyDescent="0.35">
      <c r="A164" s="23">
        <v>44814</v>
      </c>
      <c r="B164" s="38" t="s">
        <v>54</v>
      </c>
      <c r="C164" s="38" t="s">
        <v>60</v>
      </c>
      <c r="D164" s="1">
        <v>475</v>
      </c>
      <c r="E164" s="1">
        <v>375</v>
      </c>
      <c r="F164" s="72">
        <v>-0.28355957767722473</v>
      </c>
      <c r="G164" s="72">
        <v>1.1428571428571428</v>
      </c>
      <c r="H164" s="1">
        <v>8534</v>
      </c>
      <c r="I164" s="1">
        <v>4278</v>
      </c>
      <c r="J164" s="1">
        <v>114283</v>
      </c>
      <c r="K164" s="1">
        <v>79820</v>
      </c>
      <c r="L164" s="18">
        <v>0.46</v>
      </c>
      <c r="M164" s="18">
        <v>0.33</v>
      </c>
      <c r="N164" s="18">
        <v>0.67</v>
      </c>
      <c r="O164" s="18">
        <v>0.68</v>
      </c>
      <c r="P164" s="18">
        <v>0.89</v>
      </c>
      <c r="Q164" s="18"/>
      <c r="R164" s="18"/>
      <c r="S164" s="1">
        <v>7</v>
      </c>
    </row>
    <row r="165" spans="1:22" x14ac:dyDescent="0.35">
      <c r="A165" s="23">
        <v>44815</v>
      </c>
      <c r="B165" s="38" t="s">
        <v>48</v>
      </c>
      <c r="C165" s="38" t="s">
        <v>60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/>
      <c r="R165" s="1"/>
      <c r="S165" s="1">
        <v>0</v>
      </c>
    </row>
    <row r="166" spans="1:22" x14ac:dyDescent="0.35">
      <c r="A166" s="23">
        <v>44816</v>
      </c>
      <c r="B166" s="38" t="s">
        <v>49</v>
      </c>
      <c r="C166" s="38" t="s">
        <v>60</v>
      </c>
      <c r="D166" s="1">
        <v>1135</v>
      </c>
      <c r="E166" s="1">
        <v>620</v>
      </c>
      <c r="F166" s="72">
        <v>6.2056737588652485E-3</v>
      </c>
      <c r="G166" s="72">
        <v>0.31914893617021278</v>
      </c>
      <c r="H166" s="1">
        <v>9669</v>
      </c>
      <c r="I166" s="1">
        <v>4898</v>
      </c>
      <c r="J166" s="1">
        <v>115418</v>
      </c>
      <c r="K166" s="1">
        <v>80440</v>
      </c>
      <c r="L166" s="18">
        <v>0.15</v>
      </c>
      <c r="M166" s="18">
        <v>0.45</v>
      </c>
      <c r="N166" s="18">
        <v>0.55000000000000004</v>
      </c>
      <c r="O166" s="18">
        <v>0.8</v>
      </c>
      <c r="P166" s="18">
        <v>0.79</v>
      </c>
      <c r="Q166" s="18"/>
      <c r="R166" s="18"/>
      <c r="S166" s="1">
        <v>7</v>
      </c>
    </row>
    <row r="167" spans="1:22" x14ac:dyDescent="0.35">
      <c r="A167" s="23">
        <v>44817</v>
      </c>
      <c r="B167" s="38" t="s">
        <v>50</v>
      </c>
      <c r="C167" s="38" t="s">
        <v>60</v>
      </c>
      <c r="D167" s="1">
        <v>1022</v>
      </c>
      <c r="E167" s="1">
        <v>493</v>
      </c>
      <c r="F167" s="72">
        <v>-0.10350877192982456</v>
      </c>
      <c r="G167" s="72">
        <v>7.407407407407407E-2</v>
      </c>
      <c r="H167" s="1">
        <v>10691</v>
      </c>
      <c r="I167" s="1">
        <v>5391</v>
      </c>
      <c r="J167" s="1">
        <v>116440</v>
      </c>
      <c r="K167" s="1">
        <v>80933</v>
      </c>
      <c r="L167" s="18">
        <v>0.15</v>
      </c>
      <c r="M167" s="18">
        <v>0.52</v>
      </c>
      <c r="N167" s="18">
        <v>0.48</v>
      </c>
      <c r="O167" s="18">
        <v>0.81</v>
      </c>
      <c r="P167" s="18">
        <v>0.79</v>
      </c>
      <c r="Q167" s="18"/>
      <c r="R167" s="18"/>
      <c r="S167" s="1">
        <v>7</v>
      </c>
      <c r="V167">
        <f>AVERAGEIF(L349:L355,"&lt;&gt;0")</f>
        <v>0.89999999999999991</v>
      </c>
    </row>
    <row r="168" spans="1:22" x14ac:dyDescent="0.35">
      <c r="A168" s="23">
        <v>44818</v>
      </c>
      <c r="B168" s="38" t="s">
        <v>51</v>
      </c>
      <c r="C168" s="38" t="s">
        <v>60</v>
      </c>
      <c r="D168" s="1">
        <v>572</v>
      </c>
      <c r="E168" s="1">
        <v>273</v>
      </c>
      <c r="F168" s="72">
        <v>-0.40847983453981385</v>
      </c>
      <c r="G168" s="72">
        <v>-0.50182481751824815</v>
      </c>
      <c r="H168" s="1">
        <v>11263</v>
      </c>
      <c r="I168" s="1">
        <v>5664</v>
      </c>
      <c r="J168" s="1">
        <v>117012</v>
      </c>
      <c r="K168" s="1">
        <v>81206</v>
      </c>
      <c r="L168" s="18">
        <v>0.23</v>
      </c>
      <c r="M168" s="18">
        <v>0.52</v>
      </c>
      <c r="N168" s="18">
        <v>0.48</v>
      </c>
      <c r="O168" s="18">
        <v>0.43</v>
      </c>
      <c r="P168" s="18">
        <v>0.79</v>
      </c>
      <c r="Q168" s="18"/>
      <c r="R168" s="18"/>
      <c r="S168" s="1">
        <v>7</v>
      </c>
    </row>
    <row r="169" spans="1:22" x14ac:dyDescent="0.35">
      <c r="A169" s="23">
        <v>44819</v>
      </c>
      <c r="B169" s="38" t="s">
        <v>52</v>
      </c>
      <c r="C169" s="38" t="s">
        <v>60</v>
      </c>
      <c r="D169" s="1">
        <v>897</v>
      </c>
      <c r="E169" s="1">
        <v>657</v>
      </c>
      <c r="F169" s="72">
        <v>-3.027027027027027E-2</v>
      </c>
      <c r="G169" s="72">
        <v>0.23728813559322035</v>
      </c>
      <c r="H169" s="1">
        <v>12160</v>
      </c>
      <c r="I169" s="1">
        <v>6321</v>
      </c>
      <c r="J169" s="1">
        <v>117909</v>
      </c>
      <c r="K169" s="1">
        <v>81863</v>
      </c>
      <c r="L169" s="18">
        <v>0.33</v>
      </c>
      <c r="M169" s="18">
        <v>0.27</v>
      </c>
      <c r="N169" s="18">
        <v>0.73</v>
      </c>
      <c r="O169" s="18">
        <v>0.67</v>
      </c>
      <c r="P169" s="18">
        <v>0.78</v>
      </c>
      <c r="Q169" s="18"/>
      <c r="R169" s="18"/>
      <c r="S169" s="1">
        <v>9</v>
      </c>
    </row>
    <row r="170" spans="1:22" x14ac:dyDescent="0.35">
      <c r="A170" s="23">
        <v>44820</v>
      </c>
      <c r="B170" s="38" t="s">
        <v>53</v>
      </c>
      <c r="C170" s="38" t="s">
        <v>60</v>
      </c>
      <c r="D170" s="1">
        <v>884</v>
      </c>
      <c r="E170" s="1">
        <v>691</v>
      </c>
      <c r="F170" s="72">
        <v>-2.7502750275027504E-2</v>
      </c>
      <c r="G170" s="72">
        <v>0.13278688524590163</v>
      </c>
      <c r="H170" s="1">
        <v>13044</v>
      </c>
      <c r="I170" s="1">
        <v>7012</v>
      </c>
      <c r="J170" s="1">
        <v>118793</v>
      </c>
      <c r="K170" s="1">
        <v>82554</v>
      </c>
      <c r="L170" s="18">
        <v>0.42</v>
      </c>
      <c r="M170" s="18">
        <v>0.21</v>
      </c>
      <c r="N170" s="18">
        <v>0.79</v>
      </c>
      <c r="O170" s="18">
        <v>0.7</v>
      </c>
      <c r="P170" s="18">
        <v>0.8</v>
      </c>
      <c r="Q170" s="18"/>
      <c r="R170" s="18"/>
      <c r="S170" s="1">
        <v>9</v>
      </c>
    </row>
    <row r="171" spans="1:22" x14ac:dyDescent="0.35">
      <c r="A171" s="23">
        <v>44821</v>
      </c>
      <c r="B171" s="38" t="s">
        <v>54</v>
      </c>
      <c r="C171" s="38" t="s">
        <v>60</v>
      </c>
      <c r="D171" s="1">
        <v>601</v>
      </c>
      <c r="E171" s="1">
        <v>353</v>
      </c>
      <c r="F171" s="72">
        <v>0.26526315789473687</v>
      </c>
      <c r="G171" s="72">
        <v>-5.8666666666666666E-2</v>
      </c>
      <c r="H171" s="1">
        <v>13645</v>
      </c>
      <c r="I171" s="1">
        <v>7365</v>
      </c>
      <c r="J171" s="1">
        <v>119394</v>
      </c>
      <c r="K171" s="1">
        <v>82907</v>
      </c>
      <c r="L171" s="18">
        <v>0.34</v>
      </c>
      <c r="M171" s="18">
        <v>0.41</v>
      </c>
      <c r="N171" s="18">
        <v>0.59000000000000008</v>
      </c>
      <c r="O171" s="18">
        <v>0.77</v>
      </c>
      <c r="P171" s="18">
        <v>0.88</v>
      </c>
      <c r="Q171" s="18"/>
      <c r="R171" s="18"/>
      <c r="S171" s="1">
        <v>7</v>
      </c>
    </row>
    <row r="172" spans="1:22" x14ac:dyDescent="0.35">
      <c r="A172" s="23">
        <v>44822</v>
      </c>
      <c r="B172" s="38" t="s">
        <v>48</v>
      </c>
      <c r="C172" s="38" t="s">
        <v>60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/>
      <c r="R172" s="18"/>
      <c r="S172" s="1">
        <v>0</v>
      </c>
    </row>
    <row r="173" spans="1:22" x14ac:dyDescent="0.35">
      <c r="A173" s="23">
        <v>44823</v>
      </c>
      <c r="B173" s="38" t="s">
        <v>49</v>
      </c>
      <c r="C173" s="38" t="s">
        <v>60</v>
      </c>
      <c r="D173" s="1">
        <v>1063</v>
      </c>
      <c r="E173" s="1">
        <v>685</v>
      </c>
      <c r="F173" s="72">
        <v>-6.3436123348017626E-2</v>
      </c>
      <c r="G173" s="72">
        <v>0.10483870967741936</v>
      </c>
      <c r="H173" s="1">
        <v>14708</v>
      </c>
      <c r="I173" s="1">
        <v>8050</v>
      </c>
      <c r="J173" s="1">
        <v>120457</v>
      </c>
      <c r="K173" s="1">
        <v>83592</v>
      </c>
      <c r="L173" s="18">
        <v>0.25</v>
      </c>
      <c r="M173" s="18">
        <v>0.36</v>
      </c>
      <c r="N173" s="18">
        <v>0.64</v>
      </c>
      <c r="O173" s="18">
        <v>0.71</v>
      </c>
      <c r="P173" s="18">
        <v>0.81</v>
      </c>
      <c r="Q173" s="18"/>
      <c r="R173" s="18"/>
      <c r="S173" s="1">
        <v>9</v>
      </c>
    </row>
    <row r="174" spans="1:22" x14ac:dyDescent="0.35">
      <c r="A174" s="23">
        <v>44824</v>
      </c>
      <c r="B174" s="38" t="s">
        <v>50</v>
      </c>
      <c r="C174" s="38" t="s">
        <v>60</v>
      </c>
      <c r="D174" s="1">
        <v>814</v>
      </c>
      <c r="E174" s="1">
        <v>683</v>
      </c>
      <c r="F174" s="72">
        <v>-0.20352250489236789</v>
      </c>
      <c r="G174" s="72">
        <v>0.38539553752535499</v>
      </c>
      <c r="H174" s="1">
        <v>15522</v>
      </c>
      <c r="I174" s="1">
        <v>8733</v>
      </c>
      <c r="J174" s="1">
        <v>121271</v>
      </c>
      <c r="K174" s="1">
        <v>84275</v>
      </c>
      <c r="L174" s="18">
        <v>0.65</v>
      </c>
      <c r="M174" s="18">
        <v>0.16</v>
      </c>
      <c r="N174" s="18">
        <v>0.84</v>
      </c>
      <c r="O174" s="18">
        <v>0.59</v>
      </c>
      <c r="P174" s="18">
        <v>0.78</v>
      </c>
      <c r="Q174" s="18"/>
      <c r="R174" s="18"/>
      <c r="S174" s="1">
        <v>10</v>
      </c>
    </row>
    <row r="175" spans="1:22" x14ac:dyDescent="0.35">
      <c r="A175" s="23">
        <v>44825</v>
      </c>
      <c r="B175" s="38" t="s">
        <v>51</v>
      </c>
      <c r="C175" s="38" t="s">
        <v>60</v>
      </c>
      <c r="D175" s="1">
        <v>804</v>
      </c>
      <c r="E175" s="1">
        <v>681</v>
      </c>
      <c r="F175" s="72">
        <v>0.40559440559440557</v>
      </c>
      <c r="G175" s="72">
        <v>1.4945054945054945</v>
      </c>
      <c r="H175" s="1">
        <v>16326</v>
      </c>
      <c r="I175" s="1">
        <v>9414</v>
      </c>
      <c r="J175" s="1">
        <v>122075</v>
      </c>
      <c r="K175" s="1">
        <v>84956</v>
      </c>
      <c r="L175" s="18">
        <v>0.5</v>
      </c>
      <c r="M175" s="18">
        <v>0.15</v>
      </c>
      <c r="N175" s="18">
        <v>0.85</v>
      </c>
      <c r="O175" s="18">
        <v>0.66</v>
      </c>
      <c r="P175" s="18">
        <v>0.8</v>
      </c>
      <c r="Q175" s="18"/>
      <c r="R175" s="18"/>
      <c r="S175" s="1">
        <v>9</v>
      </c>
    </row>
    <row r="176" spans="1:22" x14ac:dyDescent="0.35">
      <c r="A176" s="23">
        <v>44826</v>
      </c>
      <c r="B176" s="38" t="s">
        <v>52</v>
      </c>
      <c r="C176" s="38" t="s">
        <v>60</v>
      </c>
      <c r="D176" s="1">
        <v>937</v>
      </c>
      <c r="E176" s="1">
        <v>571</v>
      </c>
      <c r="F176" s="72">
        <v>4.4593088071348944E-2</v>
      </c>
      <c r="G176" s="72">
        <v>-0.13089802130898021</v>
      </c>
      <c r="H176" s="1">
        <v>17263</v>
      </c>
      <c r="I176" s="1">
        <v>9985</v>
      </c>
      <c r="J176" s="1">
        <v>123012</v>
      </c>
      <c r="K176" s="1">
        <v>85527</v>
      </c>
      <c r="L176" s="18">
        <v>0.27</v>
      </c>
      <c r="M176" s="18">
        <v>0.39</v>
      </c>
      <c r="N176" s="18">
        <v>0.61</v>
      </c>
      <c r="O176" s="18">
        <v>0.75</v>
      </c>
      <c r="P176" s="18">
        <v>0.8</v>
      </c>
      <c r="Q176" s="18"/>
      <c r="R176" s="18"/>
      <c r="S176" s="1">
        <v>7</v>
      </c>
    </row>
    <row r="177" spans="1:24" x14ac:dyDescent="0.35">
      <c r="A177" s="23">
        <v>44827</v>
      </c>
      <c r="B177" s="38" t="s">
        <v>53</v>
      </c>
      <c r="C177" s="38" t="s">
        <v>60</v>
      </c>
      <c r="D177" s="1">
        <v>1029</v>
      </c>
      <c r="E177" s="1">
        <v>526</v>
      </c>
      <c r="F177" s="72">
        <v>0.16402714932126697</v>
      </c>
      <c r="G177" s="72">
        <v>-0.23878437047756873</v>
      </c>
      <c r="H177" s="1">
        <v>18292</v>
      </c>
      <c r="I177" s="1">
        <v>10511</v>
      </c>
      <c r="J177" s="1">
        <v>124041</v>
      </c>
      <c r="K177" s="1">
        <v>86053</v>
      </c>
      <c r="L177" s="18">
        <v>0.27</v>
      </c>
      <c r="M177" s="18">
        <v>0.49</v>
      </c>
      <c r="N177" s="18">
        <v>0.51</v>
      </c>
      <c r="O177" s="18">
        <v>0.89</v>
      </c>
      <c r="P177" s="18">
        <v>0.78</v>
      </c>
      <c r="Q177" s="18"/>
      <c r="R177" s="18"/>
      <c r="S177" s="1">
        <v>7</v>
      </c>
    </row>
    <row r="178" spans="1:24" x14ac:dyDescent="0.35">
      <c r="A178" s="23">
        <v>44828</v>
      </c>
      <c r="B178" s="38" t="s">
        <v>54</v>
      </c>
      <c r="C178" s="38" t="s">
        <v>60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/>
      <c r="R178" s="18"/>
      <c r="S178" s="1">
        <v>0</v>
      </c>
      <c r="U178" t="s">
        <v>64</v>
      </c>
    </row>
    <row r="179" spans="1:24" x14ac:dyDescent="0.35">
      <c r="A179" s="23">
        <v>44829</v>
      </c>
      <c r="B179" s="38" t="s">
        <v>48</v>
      </c>
      <c r="C179" s="38" t="s">
        <v>60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/>
      <c r="R179" s="18"/>
      <c r="S179" s="1">
        <v>0</v>
      </c>
    </row>
    <row r="180" spans="1:24" x14ac:dyDescent="0.35">
      <c r="A180" s="23">
        <v>44830</v>
      </c>
      <c r="B180" s="38" t="s">
        <v>49</v>
      </c>
      <c r="C180" s="38" t="s">
        <v>60</v>
      </c>
      <c r="D180" s="1">
        <v>1457</v>
      </c>
      <c r="E180" s="1">
        <v>481</v>
      </c>
      <c r="F180" s="72">
        <v>0.37064910630291625</v>
      </c>
      <c r="G180" s="72">
        <v>-0.29781021897810217</v>
      </c>
      <c r="H180" s="1">
        <v>19749</v>
      </c>
      <c r="I180" s="1">
        <v>10992</v>
      </c>
      <c r="J180" s="1">
        <v>125498</v>
      </c>
      <c r="K180" s="1">
        <v>86534</v>
      </c>
      <c r="L180" s="18">
        <v>0.16</v>
      </c>
      <c r="M180" s="18">
        <v>0.67</v>
      </c>
      <c r="N180" s="18">
        <v>0.33</v>
      </c>
      <c r="O180" s="18">
        <v>0.78</v>
      </c>
      <c r="P180" s="18">
        <v>0.8</v>
      </c>
      <c r="Q180" s="18"/>
      <c r="R180" s="18"/>
      <c r="S180" s="1">
        <v>7</v>
      </c>
    </row>
    <row r="181" spans="1:24" x14ac:dyDescent="0.35">
      <c r="A181" s="23">
        <v>44831</v>
      </c>
      <c r="B181" s="38" t="s">
        <v>50</v>
      </c>
      <c r="C181" s="38" t="s">
        <v>60</v>
      </c>
      <c r="D181" s="1">
        <v>1138</v>
      </c>
      <c r="E181" s="1">
        <v>574</v>
      </c>
      <c r="F181" s="72">
        <v>0.39803439803439805</v>
      </c>
      <c r="G181" s="72">
        <v>-0.1595900439238653</v>
      </c>
      <c r="H181" s="1">
        <v>20887</v>
      </c>
      <c r="I181" s="1">
        <v>11566</v>
      </c>
      <c r="J181" s="1">
        <v>126636</v>
      </c>
      <c r="K181" s="1">
        <v>87108</v>
      </c>
      <c r="L181" s="18">
        <v>0.13</v>
      </c>
      <c r="M181" s="18">
        <v>0.5</v>
      </c>
      <c r="N181" s="18">
        <v>0.5</v>
      </c>
      <c r="O181" s="18">
        <v>0.71</v>
      </c>
      <c r="P181" s="18">
        <v>0.75</v>
      </c>
      <c r="Q181" s="18"/>
      <c r="R181" s="18"/>
      <c r="S181" s="1">
        <v>9</v>
      </c>
    </row>
    <row r="182" spans="1:24" x14ac:dyDescent="0.35">
      <c r="A182" s="23">
        <v>44832</v>
      </c>
      <c r="B182" s="38" t="s">
        <v>51</v>
      </c>
      <c r="C182" s="38" t="s">
        <v>60</v>
      </c>
      <c r="D182" s="1">
        <v>1161</v>
      </c>
      <c r="E182" s="1">
        <v>409</v>
      </c>
      <c r="F182" s="72">
        <v>0.44402985074626866</v>
      </c>
      <c r="G182" s="72">
        <v>-0.39941262848751835</v>
      </c>
      <c r="H182" s="1">
        <v>22048</v>
      </c>
      <c r="I182" s="1">
        <v>11975</v>
      </c>
      <c r="J182" s="1">
        <v>127797</v>
      </c>
      <c r="K182" s="1">
        <v>87517</v>
      </c>
      <c r="L182" s="18">
        <v>0.13</v>
      </c>
      <c r="M182" s="18">
        <v>0.65</v>
      </c>
      <c r="N182" s="18">
        <v>0.35</v>
      </c>
      <c r="O182" s="18">
        <v>0.64</v>
      </c>
      <c r="P182" s="18">
        <v>0.78</v>
      </c>
      <c r="Q182" s="18"/>
      <c r="R182" s="18"/>
      <c r="S182" s="1">
        <v>8</v>
      </c>
    </row>
    <row r="183" spans="1:24" x14ac:dyDescent="0.35">
      <c r="A183" s="23">
        <v>44833</v>
      </c>
      <c r="B183" s="38" t="s">
        <v>52</v>
      </c>
      <c r="C183" s="38" t="s">
        <v>60</v>
      </c>
      <c r="D183" s="1">
        <v>1057</v>
      </c>
      <c r="E183" s="1">
        <v>644</v>
      </c>
      <c r="F183" s="72">
        <v>0.12806830309498399</v>
      </c>
      <c r="G183" s="72">
        <v>0.12784588441330999</v>
      </c>
      <c r="H183" s="1">
        <v>23105</v>
      </c>
      <c r="I183" s="1">
        <v>12619</v>
      </c>
      <c r="J183" s="1">
        <v>128854</v>
      </c>
      <c r="K183" s="1">
        <v>88161</v>
      </c>
      <c r="L183" s="18">
        <v>0.23</v>
      </c>
      <c r="M183" s="18">
        <v>0.39</v>
      </c>
      <c r="N183" s="18">
        <v>0.61</v>
      </c>
      <c r="O183" s="18">
        <v>0.83</v>
      </c>
      <c r="P183" s="18">
        <v>0.77</v>
      </c>
      <c r="Q183" s="18"/>
      <c r="R183" s="18"/>
      <c r="S183" s="1">
        <v>8</v>
      </c>
    </row>
    <row r="184" spans="1:24" s="54" customFormat="1" x14ac:dyDescent="0.35">
      <c r="A184" s="58">
        <v>44834</v>
      </c>
      <c r="B184" s="55" t="s">
        <v>53</v>
      </c>
      <c r="C184" s="55" t="s">
        <v>60</v>
      </c>
      <c r="D184" s="56">
        <v>977</v>
      </c>
      <c r="E184" s="56">
        <v>620</v>
      </c>
      <c r="F184" s="91">
        <v>-5.0534499514091349E-2</v>
      </c>
      <c r="G184" s="91">
        <v>0.17870722433460076</v>
      </c>
      <c r="H184" s="56">
        <v>24082</v>
      </c>
      <c r="I184" s="56">
        <v>13239</v>
      </c>
      <c r="J184" s="56">
        <v>129831</v>
      </c>
      <c r="K184" s="56">
        <v>88781</v>
      </c>
      <c r="L184" s="57">
        <v>0.18</v>
      </c>
      <c r="M184" s="57">
        <v>0.37</v>
      </c>
      <c r="N184" s="57">
        <v>0.63</v>
      </c>
      <c r="O184" s="57">
        <v>0.86</v>
      </c>
      <c r="P184" s="57">
        <v>0.78</v>
      </c>
      <c r="Q184" s="57"/>
      <c r="R184" s="57"/>
      <c r="S184" s="56">
        <v>8</v>
      </c>
      <c r="V184"/>
      <c r="W184"/>
      <c r="X184"/>
    </row>
    <row r="185" spans="1:24" x14ac:dyDescent="0.35">
      <c r="A185" s="23">
        <v>44835</v>
      </c>
      <c r="B185" s="38" t="s">
        <v>54</v>
      </c>
      <c r="C185" s="38" t="s">
        <v>60</v>
      </c>
      <c r="D185" s="1">
        <v>535</v>
      </c>
      <c r="E185" s="1">
        <v>388</v>
      </c>
      <c r="F185" s="72">
        <v>0</v>
      </c>
      <c r="G185" s="72">
        <v>0</v>
      </c>
      <c r="H185" s="1">
        <v>535</v>
      </c>
      <c r="I185" s="1">
        <v>388</v>
      </c>
      <c r="J185" s="1">
        <v>130366</v>
      </c>
      <c r="K185" s="1">
        <v>89169</v>
      </c>
      <c r="L185" s="18">
        <v>0.33</v>
      </c>
      <c r="M185" s="18">
        <v>0.27</v>
      </c>
      <c r="N185" s="18">
        <v>0.73</v>
      </c>
      <c r="O185" s="18">
        <v>0.76</v>
      </c>
      <c r="P185" s="18">
        <v>0.86</v>
      </c>
      <c r="Q185" s="18"/>
      <c r="R185" s="18"/>
      <c r="S185" s="1">
        <v>7</v>
      </c>
    </row>
    <row r="186" spans="1:24" x14ac:dyDescent="0.35">
      <c r="A186" s="23">
        <v>44836</v>
      </c>
      <c r="B186" s="38" t="s">
        <v>48</v>
      </c>
      <c r="C186" s="38" t="s">
        <v>60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/>
      <c r="R186" s="18"/>
      <c r="S186" s="1">
        <v>0</v>
      </c>
    </row>
    <row r="187" spans="1:24" x14ac:dyDescent="0.35">
      <c r="A187" s="23">
        <v>44837</v>
      </c>
      <c r="B187" s="38" t="s">
        <v>49</v>
      </c>
      <c r="C187" s="38" t="s">
        <v>60</v>
      </c>
      <c r="D187" s="1">
        <v>1149</v>
      </c>
      <c r="E187" s="1">
        <v>417</v>
      </c>
      <c r="F187" s="72">
        <v>-0.21139327385037748</v>
      </c>
      <c r="G187" s="72">
        <v>-0.13305613305613306</v>
      </c>
      <c r="H187" s="1">
        <v>1684</v>
      </c>
      <c r="I187" s="1">
        <v>805</v>
      </c>
      <c r="J187" s="1">
        <v>131515</v>
      </c>
      <c r="K187" s="1">
        <v>89586</v>
      </c>
      <c r="L187" s="18">
        <v>0.15</v>
      </c>
      <c r="M187" s="18">
        <v>0.64</v>
      </c>
      <c r="N187" s="18">
        <v>0.36</v>
      </c>
      <c r="O187" s="18">
        <v>0.69</v>
      </c>
      <c r="P187" s="18">
        <v>0.77</v>
      </c>
      <c r="Q187" s="18"/>
      <c r="R187" s="18"/>
      <c r="S187" s="1">
        <v>8</v>
      </c>
    </row>
    <row r="188" spans="1:24" x14ac:dyDescent="0.35">
      <c r="A188" s="23">
        <v>44838</v>
      </c>
      <c r="B188" s="38" t="s">
        <v>50</v>
      </c>
      <c r="C188" s="38" t="s">
        <v>60</v>
      </c>
      <c r="D188" s="1">
        <v>1209</v>
      </c>
      <c r="E188" s="1">
        <v>436</v>
      </c>
      <c r="F188" s="72">
        <v>6.2390158172231987E-2</v>
      </c>
      <c r="G188" s="72">
        <v>-0.24041811846689895</v>
      </c>
      <c r="H188" s="1">
        <v>2893</v>
      </c>
      <c r="I188" s="1">
        <v>1241</v>
      </c>
      <c r="J188" s="1">
        <v>132724</v>
      </c>
      <c r="K188" s="1">
        <v>90022</v>
      </c>
      <c r="L188" s="18">
        <v>0.17</v>
      </c>
      <c r="M188" s="18">
        <v>0.64</v>
      </c>
      <c r="N188" s="18">
        <v>0.36</v>
      </c>
      <c r="O188" s="18">
        <v>0.74</v>
      </c>
      <c r="P188" s="18">
        <v>0.77</v>
      </c>
      <c r="Q188" s="18"/>
      <c r="R188" s="18"/>
      <c r="S188" s="1">
        <v>8</v>
      </c>
    </row>
    <row r="189" spans="1:24" x14ac:dyDescent="0.35">
      <c r="A189" s="23">
        <v>44839</v>
      </c>
      <c r="B189" s="38" t="s">
        <v>51</v>
      </c>
      <c r="C189" s="38" t="s">
        <v>60</v>
      </c>
      <c r="D189" s="1">
        <v>815</v>
      </c>
      <c r="E189" s="1">
        <v>419</v>
      </c>
      <c r="F189" s="72">
        <v>-0.29801894918173988</v>
      </c>
      <c r="G189" s="72">
        <v>2.4449877750611249E-2</v>
      </c>
      <c r="H189" s="1">
        <v>3708</v>
      </c>
      <c r="I189" s="1">
        <v>1660</v>
      </c>
      <c r="J189" s="1">
        <v>133539</v>
      </c>
      <c r="K189" s="1">
        <v>90441</v>
      </c>
      <c r="L189" s="18">
        <v>0.16</v>
      </c>
      <c r="M189" s="18">
        <v>0.49</v>
      </c>
      <c r="N189" s="18">
        <v>0.51</v>
      </c>
      <c r="O189" s="18">
        <v>0.85</v>
      </c>
      <c r="P189" s="18">
        <v>0.78</v>
      </c>
      <c r="Q189" s="18"/>
      <c r="R189" s="18"/>
      <c r="S189" s="1">
        <v>7</v>
      </c>
    </row>
    <row r="190" spans="1:24" x14ac:dyDescent="0.35">
      <c r="A190" s="23">
        <v>44840</v>
      </c>
      <c r="B190" s="38" t="s">
        <v>52</v>
      </c>
      <c r="C190" s="38" t="s">
        <v>60</v>
      </c>
      <c r="D190" s="1">
        <v>1111</v>
      </c>
      <c r="E190" s="1">
        <v>227</v>
      </c>
      <c r="F190" s="72">
        <v>5.1087984862819298E-2</v>
      </c>
      <c r="G190" s="72">
        <v>-0.64751552795031053</v>
      </c>
      <c r="H190" s="1">
        <v>4819</v>
      </c>
      <c r="I190" s="1">
        <v>1887</v>
      </c>
      <c r="J190" s="1">
        <v>134650</v>
      </c>
      <c r="K190" s="1">
        <v>90668</v>
      </c>
      <c r="L190" s="18">
        <v>0.21</v>
      </c>
      <c r="M190" s="18">
        <v>0.8</v>
      </c>
      <c r="N190" s="18">
        <v>0.2</v>
      </c>
      <c r="O190" s="18">
        <v>0.79</v>
      </c>
      <c r="P190" s="18">
        <v>0.77</v>
      </c>
      <c r="Q190" s="18"/>
      <c r="R190" s="18"/>
      <c r="S190" s="1">
        <v>4</v>
      </c>
    </row>
    <row r="191" spans="1:24" x14ac:dyDescent="0.35">
      <c r="A191" s="23">
        <v>44841</v>
      </c>
      <c r="B191" s="38" t="s">
        <v>53</v>
      </c>
      <c r="C191" s="38" t="s">
        <v>60</v>
      </c>
      <c r="D191" s="1">
        <v>1107</v>
      </c>
      <c r="E191" s="1">
        <v>559</v>
      </c>
      <c r="F191" s="72">
        <v>0.13306038894575231</v>
      </c>
      <c r="G191" s="72">
        <v>-9.838709677419355E-2</v>
      </c>
      <c r="H191" s="1">
        <v>5926</v>
      </c>
      <c r="I191" s="1">
        <v>2446</v>
      </c>
      <c r="J191" s="1">
        <v>135757</v>
      </c>
      <c r="K191" s="1">
        <v>91227</v>
      </c>
      <c r="L191" s="18">
        <v>0.2</v>
      </c>
      <c r="M191" s="18">
        <v>0.49</v>
      </c>
      <c r="N191" s="18">
        <v>0.51</v>
      </c>
      <c r="O191" s="18">
        <v>0.83</v>
      </c>
      <c r="P191" s="18">
        <v>0.8</v>
      </c>
      <c r="Q191" s="18"/>
      <c r="R191" s="18"/>
      <c r="S191" s="1">
        <v>8</v>
      </c>
    </row>
    <row r="192" spans="1:24" x14ac:dyDescent="0.35">
      <c r="A192" s="23">
        <v>44842</v>
      </c>
      <c r="B192" s="38" t="s">
        <v>54</v>
      </c>
      <c r="C192" s="38" t="s">
        <v>60</v>
      </c>
      <c r="D192" s="1">
        <v>581</v>
      </c>
      <c r="E192" s="1">
        <v>314</v>
      </c>
      <c r="F192" s="72">
        <v>8.5981308411214957E-2</v>
      </c>
      <c r="G192" s="72">
        <v>-0.19072164948453607</v>
      </c>
      <c r="H192" s="1">
        <v>6507</v>
      </c>
      <c r="I192" s="1">
        <v>2760</v>
      </c>
      <c r="J192" s="1">
        <v>136338</v>
      </c>
      <c r="K192" s="1">
        <v>91541</v>
      </c>
      <c r="L192" s="18">
        <v>0.22</v>
      </c>
      <c r="M192" s="18">
        <v>0.46</v>
      </c>
      <c r="N192" s="18">
        <v>0.54</v>
      </c>
      <c r="O192" s="18">
        <v>0.85</v>
      </c>
      <c r="P192" s="18">
        <v>0.88</v>
      </c>
      <c r="Q192" s="18"/>
      <c r="R192" s="18"/>
      <c r="S192" s="1">
        <v>7</v>
      </c>
    </row>
    <row r="193" spans="1:19" x14ac:dyDescent="0.35">
      <c r="A193" s="23">
        <v>44843</v>
      </c>
      <c r="B193" s="38" t="s">
        <v>48</v>
      </c>
      <c r="C193" s="38" t="s">
        <v>60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/>
      <c r="R193" s="18"/>
      <c r="S193" s="1">
        <v>0</v>
      </c>
    </row>
    <row r="194" spans="1:19" x14ac:dyDescent="0.35">
      <c r="A194" s="23">
        <v>44844</v>
      </c>
      <c r="B194" s="38" t="s">
        <v>49</v>
      </c>
      <c r="C194" s="38" t="s">
        <v>60</v>
      </c>
      <c r="D194" s="1">
        <v>1102</v>
      </c>
      <c r="E194" s="1">
        <v>751</v>
      </c>
      <c r="F194" s="72">
        <v>-4.0905134899912966E-2</v>
      </c>
      <c r="G194" s="72">
        <v>0.80095923261390889</v>
      </c>
      <c r="H194" s="1">
        <v>7609</v>
      </c>
      <c r="I194" s="1">
        <v>3511</v>
      </c>
      <c r="J194" s="1">
        <v>137440</v>
      </c>
      <c r="K194" s="1">
        <v>92292</v>
      </c>
      <c r="L194" s="18">
        <v>0.25</v>
      </c>
      <c r="M194" s="18">
        <v>0.32</v>
      </c>
      <c r="N194" s="18">
        <v>0.68</v>
      </c>
      <c r="O194" s="18">
        <v>0.74</v>
      </c>
      <c r="P194" s="18">
        <v>0.78</v>
      </c>
      <c r="Q194" s="18"/>
      <c r="R194" s="18"/>
      <c r="S194" s="1">
        <v>11</v>
      </c>
    </row>
    <row r="195" spans="1:19" x14ac:dyDescent="0.35">
      <c r="A195" s="23">
        <v>44845</v>
      </c>
      <c r="B195" s="38" t="s">
        <v>50</v>
      </c>
      <c r="C195" s="38" t="s">
        <v>60</v>
      </c>
      <c r="D195" s="1">
        <v>890</v>
      </c>
      <c r="E195" s="1">
        <v>656</v>
      </c>
      <c r="F195" s="72">
        <v>-0.26385442514474772</v>
      </c>
      <c r="G195" s="72">
        <v>0.50458715596330272</v>
      </c>
      <c r="H195" s="1">
        <v>8499</v>
      </c>
      <c r="I195" s="1">
        <v>4167</v>
      </c>
      <c r="J195" s="1">
        <v>138330</v>
      </c>
      <c r="K195" s="1">
        <v>92948</v>
      </c>
      <c r="L195" s="76">
        <v>0.42</v>
      </c>
      <c r="M195" s="76">
        <v>0.26</v>
      </c>
      <c r="N195" s="76">
        <v>0.74</v>
      </c>
      <c r="O195" s="76">
        <v>0.73</v>
      </c>
      <c r="P195" s="76">
        <v>0.8</v>
      </c>
      <c r="Q195" s="76"/>
      <c r="R195" s="76"/>
      <c r="S195" s="1">
        <v>10</v>
      </c>
    </row>
    <row r="196" spans="1:19" x14ac:dyDescent="0.35">
      <c r="A196" s="23">
        <v>44846</v>
      </c>
      <c r="B196" s="38" t="s">
        <v>51</v>
      </c>
      <c r="C196" s="38" t="s">
        <v>60</v>
      </c>
      <c r="D196" s="1">
        <v>848</v>
      </c>
      <c r="E196" s="1">
        <v>724</v>
      </c>
      <c r="F196" s="72">
        <v>4.0490797546012272E-2</v>
      </c>
      <c r="G196" s="72">
        <v>0.72792362768496421</v>
      </c>
      <c r="H196" s="1">
        <v>9347</v>
      </c>
      <c r="I196" s="1">
        <v>4891</v>
      </c>
      <c r="J196" s="1">
        <v>139178</v>
      </c>
      <c r="K196" s="1">
        <v>93672</v>
      </c>
      <c r="L196" s="18">
        <v>0.85</v>
      </c>
      <c r="M196" s="18">
        <v>0.15</v>
      </c>
      <c r="N196" s="18">
        <v>0.85</v>
      </c>
      <c r="O196" s="18">
        <v>0.65</v>
      </c>
      <c r="P196" s="18">
        <v>0.79</v>
      </c>
      <c r="Q196" s="18"/>
      <c r="R196" s="18"/>
      <c r="S196" s="1">
        <v>12</v>
      </c>
    </row>
    <row r="197" spans="1:19" x14ac:dyDescent="0.35">
      <c r="A197" s="23">
        <v>44847</v>
      </c>
      <c r="B197" s="38" t="s">
        <v>52</v>
      </c>
      <c r="C197" s="38" t="s">
        <v>60</v>
      </c>
      <c r="D197" s="1">
        <v>803</v>
      </c>
      <c r="E197" s="1">
        <v>723</v>
      </c>
      <c r="F197" s="72">
        <v>-0.27722772277227725</v>
      </c>
      <c r="G197" s="72">
        <v>2.1850220264317182</v>
      </c>
      <c r="H197" s="1">
        <v>10150</v>
      </c>
      <c r="I197" s="1">
        <v>5614</v>
      </c>
      <c r="J197" s="1">
        <v>139981</v>
      </c>
      <c r="K197" s="1">
        <v>94395</v>
      </c>
      <c r="L197" s="18">
        <v>0.69</v>
      </c>
      <c r="M197" s="18">
        <v>0.1</v>
      </c>
      <c r="N197" s="18">
        <v>0.9</v>
      </c>
      <c r="O197" s="18">
        <v>0.6</v>
      </c>
      <c r="P197" s="18">
        <v>0.79</v>
      </c>
      <c r="Q197" s="18"/>
      <c r="R197" s="18"/>
      <c r="S197" s="1">
        <v>11</v>
      </c>
    </row>
    <row r="198" spans="1:19" x14ac:dyDescent="0.35">
      <c r="A198" s="23">
        <v>44848</v>
      </c>
      <c r="B198" s="38" t="s">
        <v>53</v>
      </c>
      <c r="C198" s="38" t="s">
        <v>60</v>
      </c>
      <c r="D198" s="1">
        <v>825</v>
      </c>
      <c r="E198" s="1">
        <v>618</v>
      </c>
      <c r="F198" s="72">
        <v>-0.25474254742547425</v>
      </c>
      <c r="G198" s="72">
        <v>0.10554561717352415</v>
      </c>
      <c r="H198" s="1">
        <v>10975</v>
      </c>
      <c r="I198" s="1">
        <v>6232</v>
      </c>
      <c r="J198" s="1">
        <v>140806</v>
      </c>
      <c r="K198" s="1">
        <v>95013</v>
      </c>
      <c r="L198" s="18">
        <v>0.36</v>
      </c>
      <c r="M198" s="18">
        <v>0.25</v>
      </c>
      <c r="N198" s="18">
        <v>0.75</v>
      </c>
      <c r="O198" s="18">
        <v>0.65</v>
      </c>
      <c r="P198" s="18">
        <v>0.79</v>
      </c>
      <c r="Q198" s="18"/>
      <c r="R198" s="18"/>
      <c r="S198" s="1">
        <v>9</v>
      </c>
    </row>
    <row r="199" spans="1:19" x14ac:dyDescent="0.35">
      <c r="A199" s="23">
        <v>44849</v>
      </c>
      <c r="B199" s="38" t="s">
        <v>54</v>
      </c>
      <c r="C199" s="38" t="s">
        <v>60</v>
      </c>
      <c r="D199" s="1">
        <v>571</v>
      </c>
      <c r="E199" s="1">
        <v>501</v>
      </c>
      <c r="F199" s="72">
        <v>-1.7211703958691909E-2</v>
      </c>
      <c r="G199" s="72">
        <v>0.59554140127388533</v>
      </c>
      <c r="H199" s="1">
        <v>11546</v>
      </c>
      <c r="I199" s="1">
        <v>6733</v>
      </c>
      <c r="J199" s="1">
        <v>141377</v>
      </c>
      <c r="K199" s="1">
        <v>95514</v>
      </c>
      <c r="L199" s="18">
        <v>0.74</v>
      </c>
      <c r="M199" s="18">
        <v>0.12</v>
      </c>
      <c r="N199" s="18">
        <v>0.88</v>
      </c>
      <c r="O199" s="18">
        <v>0.55000000000000004</v>
      </c>
      <c r="P199" s="18">
        <v>0.88</v>
      </c>
      <c r="Q199" s="18"/>
      <c r="R199" s="18"/>
      <c r="S199" s="1">
        <v>11</v>
      </c>
    </row>
    <row r="200" spans="1:19" x14ac:dyDescent="0.35">
      <c r="A200" s="23">
        <v>44850</v>
      </c>
      <c r="B200" s="38" t="s">
        <v>48</v>
      </c>
      <c r="C200" s="38" t="s">
        <v>60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/>
      <c r="R200" s="18"/>
      <c r="S200" s="1">
        <v>0</v>
      </c>
    </row>
    <row r="201" spans="1:19" x14ac:dyDescent="0.35">
      <c r="A201" s="23">
        <v>44851</v>
      </c>
      <c r="B201" s="38" t="s">
        <v>49</v>
      </c>
      <c r="C201" s="38" t="s">
        <v>60</v>
      </c>
      <c r="D201" s="1">
        <v>1114</v>
      </c>
      <c r="E201" s="1">
        <v>923</v>
      </c>
      <c r="F201" s="72">
        <v>1.0889292196007259E-2</v>
      </c>
      <c r="G201" s="72">
        <v>0.22902796271637815</v>
      </c>
      <c r="H201" s="1">
        <v>12660</v>
      </c>
      <c r="I201" s="1">
        <v>7656</v>
      </c>
      <c r="J201" s="1">
        <v>142491</v>
      </c>
      <c r="K201" s="1">
        <v>96437</v>
      </c>
      <c r="L201" s="18">
        <v>0.5</v>
      </c>
      <c r="M201" s="18">
        <v>0.17</v>
      </c>
      <c r="N201" s="18">
        <v>0.83</v>
      </c>
      <c r="O201" s="18">
        <v>0.76</v>
      </c>
      <c r="P201" s="18">
        <v>0.79</v>
      </c>
      <c r="Q201" s="18"/>
      <c r="R201" s="18"/>
      <c r="S201" s="1">
        <v>13</v>
      </c>
    </row>
    <row r="202" spans="1:19" x14ac:dyDescent="0.35">
      <c r="A202" s="23">
        <v>44852</v>
      </c>
      <c r="B202" s="38" t="s">
        <v>50</v>
      </c>
      <c r="C202" s="38" t="s">
        <v>60</v>
      </c>
      <c r="D202" s="1">
        <v>870</v>
      </c>
      <c r="E202" s="1">
        <v>808</v>
      </c>
      <c r="F202" s="72">
        <v>-2.247191011235955E-2</v>
      </c>
      <c r="G202" s="72">
        <v>0.23170731707317074</v>
      </c>
      <c r="H202" s="1">
        <v>13530</v>
      </c>
      <c r="I202" s="1">
        <v>8464</v>
      </c>
      <c r="J202" s="1">
        <v>143361</v>
      </c>
      <c r="K202" s="1">
        <v>97245</v>
      </c>
      <c r="L202" s="18">
        <v>0.77</v>
      </c>
      <c r="M202" s="18">
        <v>7.0000000000000007E-2</v>
      </c>
      <c r="N202" s="18">
        <v>0.93</v>
      </c>
      <c r="O202" s="18">
        <v>0.57999999999999996</v>
      </c>
      <c r="P202" s="18">
        <v>0.81</v>
      </c>
      <c r="Q202" s="18"/>
      <c r="R202" s="18"/>
      <c r="S202" s="1">
        <v>13</v>
      </c>
    </row>
    <row r="203" spans="1:19" x14ac:dyDescent="0.35">
      <c r="A203" s="23">
        <v>44853</v>
      </c>
      <c r="B203" s="38" t="s">
        <v>51</v>
      </c>
      <c r="C203" s="38" t="s">
        <v>60</v>
      </c>
      <c r="D203" s="1">
        <v>832</v>
      </c>
      <c r="E203" s="1">
        <v>747</v>
      </c>
      <c r="F203" s="72">
        <v>-1.8867924528301886E-2</v>
      </c>
      <c r="G203" s="72">
        <v>3.1767955801104975E-2</v>
      </c>
      <c r="H203" s="1">
        <v>14362</v>
      </c>
      <c r="I203" s="1">
        <v>9211</v>
      </c>
      <c r="J203" s="1">
        <v>144193</v>
      </c>
      <c r="K203" s="1">
        <v>97992</v>
      </c>
      <c r="L203" s="18">
        <v>0.66</v>
      </c>
      <c r="M203" s="18">
        <v>0.1</v>
      </c>
      <c r="N203" s="18">
        <v>0.9</v>
      </c>
      <c r="O203" s="18">
        <v>0.65</v>
      </c>
      <c r="P203" s="18">
        <v>0.81</v>
      </c>
      <c r="Q203" s="18"/>
      <c r="R203" s="18"/>
      <c r="S203" s="1">
        <v>10</v>
      </c>
    </row>
    <row r="204" spans="1:19" x14ac:dyDescent="0.35">
      <c r="A204" s="23">
        <v>44854</v>
      </c>
      <c r="B204" s="38" t="s">
        <v>52</v>
      </c>
      <c r="C204" s="38" t="s">
        <v>60</v>
      </c>
      <c r="D204" s="1">
        <v>869</v>
      </c>
      <c r="E204" s="1">
        <v>707</v>
      </c>
      <c r="F204" s="72">
        <v>8.2191780821917804E-2</v>
      </c>
      <c r="G204" s="72">
        <v>-2.2130013831258646E-2</v>
      </c>
      <c r="H204" s="1">
        <v>15231</v>
      </c>
      <c r="I204" s="1">
        <v>9918</v>
      </c>
      <c r="J204" s="1">
        <v>145062</v>
      </c>
      <c r="K204" s="1">
        <v>98699</v>
      </c>
      <c r="L204" s="18">
        <v>0.49</v>
      </c>
      <c r="M204" s="18">
        <v>0.19</v>
      </c>
      <c r="N204" s="18">
        <v>0.81</v>
      </c>
      <c r="O204" s="18">
        <v>0.65</v>
      </c>
      <c r="P204" s="18">
        <v>0.8</v>
      </c>
      <c r="Q204" s="18"/>
      <c r="R204" s="18"/>
      <c r="S204" s="1">
        <v>10</v>
      </c>
    </row>
    <row r="205" spans="1:19" x14ac:dyDescent="0.35">
      <c r="A205" s="23">
        <v>44855</v>
      </c>
      <c r="B205" s="38" t="s">
        <v>53</v>
      </c>
      <c r="C205" s="38" t="s">
        <v>60</v>
      </c>
      <c r="D205" s="1">
        <v>849</v>
      </c>
      <c r="E205" s="1">
        <v>570</v>
      </c>
      <c r="F205" s="72">
        <v>2.9090909090909091E-2</v>
      </c>
      <c r="G205" s="72">
        <v>-7.7669902912621352E-2</v>
      </c>
      <c r="H205" s="1">
        <v>16080</v>
      </c>
      <c r="I205" s="1">
        <v>10488</v>
      </c>
      <c r="J205" s="1">
        <v>145911</v>
      </c>
      <c r="K205" s="1">
        <v>99269</v>
      </c>
      <c r="L205" s="18">
        <v>0.39</v>
      </c>
      <c r="M205" s="18">
        <v>0.32</v>
      </c>
      <c r="N205" s="18">
        <v>0.68</v>
      </c>
      <c r="O205" s="18">
        <v>0.68</v>
      </c>
      <c r="P205" s="18">
        <v>0.79</v>
      </c>
      <c r="Q205" s="18"/>
      <c r="R205" s="18"/>
      <c r="S205" s="1">
        <v>9</v>
      </c>
    </row>
    <row r="206" spans="1:19" x14ac:dyDescent="0.35">
      <c r="A206" s="23">
        <v>44856</v>
      </c>
      <c r="B206" s="36" t="s">
        <v>54</v>
      </c>
      <c r="C206" s="38" t="s">
        <v>60</v>
      </c>
      <c r="D206" s="1">
        <v>601</v>
      </c>
      <c r="E206" s="1">
        <v>287</v>
      </c>
      <c r="F206" s="72">
        <v>5.2539404553415062E-2</v>
      </c>
      <c r="G206" s="72">
        <v>-0.42714570858283435</v>
      </c>
      <c r="H206" s="1">
        <v>16681</v>
      </c>
      <c r="I206" s="1">
        <v>10775</v>
      </c>
      <c r="J206" s="1">
        <v>146512</v>
      </c>
      <c r="K206" s="1">
        <v>99556</v>
      </c>
      <c r="L206" s="18">
        <v>0.14000000000000001</v>
      </c>
      <c r="M206" s="18">
        <v>0.52</v>
      </c>
      <c r="N206" s="18">
        <v>0.48</v>
      </c>
      <c r="O206" s="18">
        <v>0.47</v>
      </c>
      <c r="P206" s="18">
        <v>0.89</v>
      </c>
      <c r="Q206" s="18"/>
      <c r="R206" s="18"/>
      <c r="S206" s="1">
        <v>8</v>
      </c>
    </row>
    <row r="207" spans="1:19" x14ac:dyDescent="0.35">
      <c r="A207" s="23">
        <v>44857</v>
      </c>
      <c r="B207" s="38" t="s">
        <v>48</v>
      </c>
      <c r="C207" s="38" t="s">
        <v>60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/>
      <c r="R207" s="18"/>
      <c r="S207" s="1">
        <v>0</v>
      </c>
    </row>
    <row r="208" spans="1:19" x14ac:dyDescent="0.35">
      <c r="A208" s="23">
        <v>44858</v>
      </c>
      <c r="B208" s="38" t="s">
        <v>49</v>
      </c>
      <c r="C208" s="38" t="s">
        <v>60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/>
      <c r="R208" s="18"/>
      <c r="S208" s="1">
        <v>0</v>
      </c>
    </row>
    <row r="209" spans="1:24" x14ac:dyDescent="0.35">
      <c r="A209" s="23">
        <v>44859</v>
      </c>
      <c r="B209" s="38" t="s">
        <v>50</v>
      </c>
      <c r="C209" s="38" t="s">
        <v>60</v>
      </c>
      <c r="D209" s="1">
        <v>1325</v>
      </c>
      <c r="E209" s="1">
        <v>321</v>
      </c>
      <c r="F209" s="72">
        <v>0.52298850574712641</v>
      </c>
      <c r="G209" s="72">
        <v>-0.6027227722772277</v>
      </c>
      <c r="H209" s="1">
        <v>18006</v>
      </c>
      <c r="I209" s="1">
        <v>11096</v>
      </c>
      <c r="J209" s="1">
        <v>147837</v>
      </c>
      <c r="K209" s="1">
        <v>99877</v>
      </c>
      <c r="L209" s="18">
        <v>0.14000000000000001</v>
      </c>
      <c r="M209" s="18">
        <v>0.76</v>
      </c>
      <c r="N209" s="18">
        <v>0.24</v>
      </c>
      <c r="O209" s="18">
        <v>0.63</v>
      </c>
      <c r="P209" s="18">
        <v>0.82</v>
      </c>
      <c r="Q209" s="18"/>
      <c r="R209" s="18"/>
      <c r="S209" s="1">
        <v>7</v>
      </c>
    </row>
    <row r="210" spans="1:24" x14ac:dyDescent="0.35">
      <c r="A210" s="23">
        <v>44860</v>
      </c>
      <c r="B210" s="38" t="s">
        <v>51</v>
      </c>
      <c r="C210" s="38" t="s">
        <v>60</v>
      </c>
      <c r="D210" s="1">
        <v>1345</v>
      </c>
      <c r="E210" s="1">
        <v>412</v>
      </c>
      <c r="F210" s="72">
        <v>0.61658653846153844</v>
      </c>
      <c r="G210" s="72">
        <v>-0.44846050870147258</v>
      </c>
      <c r="H210" s="1">
        <v>19351</v>
      </c>
      <c r="I210" s="1">
        <v>11508</v>
      </c>
      <c r="J210" s="1">
        <v>149182</v>
      </c>
      <c r="K210" s="1">
        <v>100289</v>
      </c>
      <c r="L210" s="18">
        <v>0.16</v>
      </c>
      <c r="M210" s="18">
        <v>0.69</v>
      </c>
      <c r="N210" s="18">
        <v>0.31</v>
      </c>
      <c r="O210" s="18">
        <v>0.84</v>
      </c>
      <c r="P210" s="18">
        <v>0.78</v>
      </c>
      <c r="Q210" s="18"/>
      <c r="R210" s="18"/>
      <c r="S210" s="1">
        <v>6</v>
      </c>
    </row>
    <row r="211" spans="1:24" x14ac:dyDescent="0.35">
      <c r="A211" s="23">
        <v>44861</v>
      </c>
      <c r="B211" s="38" t="s">
        <v>52</v>
      </c>
      <c r="C211" s="38" t="s">
        <v>60</v>
      </c>
      <c r="D211" s="1">
        <v>1151</v>
      </c>
      <c r="E211" s="1">
        <v>430</v>
      </c>
      <c r="F211" s="72">
        <v>0.32451093210586879</v>
      </c>
      <c r="G211" s="72">
        <v>-0.39179632248939178</v>
      </c>
      <c r="H211" s="1">
        <v>20502</v>
      </c>
      <c r="I211" s="1">
        <v>11938</v>
      </c>
      <c r="J211" s="1">
        <v>150333</v>
      </c>
      <c r="K211" s="1">
        <v>100719</v>
      </c>
      <c r="L211" s="18">
        <v>0.14000000000000001</v>
      </c>
      <c r="M211" s="18">
        <v>0.63</v>
      </c>
      <c r="N211" s="18">
        <v>0.37</v>
      </c>
      <c r="O211" s="18">
        <v>0.8</v>
      </c>
      <c r="P211" s="18">
        <v>0.74</v>
      </c>
      <c r="Q211" s="18"/>
      <c r="R211" s="18"/>
      <c r="S211" s="1">
        <v>8</v>
      </c>
    </row>
    <row r="212" spans="1:24" x14ac:dyDescent="0.35">
      <c r="A212" s="23">
        <v>44862</v>
      </c>
      <c r="B212" s="38" t="s">
        <v>53</v>
      </c>
      <c r="C212" s="38" t="s">
        <v>60</v>
      </c>
      <c r="D212" s="1">
        <v>1169</v>
      </c>
      <c r="E212" s="1">
        <v>353</v>
      </c>
      <c r="F212" s="72">
        <v>0.37691401648998824</v>
      </c>
      <c r="G212" s="72">
        <v>-0.38070175438596493</v>
      </c>
      <c r="H212" s="1">
        <v>21671</v>
      </c>
      <c r="I212" s="1">
        <v>12291</v>
      </c>
      <c r="J212" s="1">
        <v>151502</v>
      </c>
      <c r="K212" s="1">
        <v>101072</v>
      </c>
      <c r="L212" s="18">
        <v>0.15</v>
      </c>
      <c r="M212" s="18">
        <v>0.7</v>
      </c>
      <c r="N212" s="18">
        <v>0.3</v>
      </c>
      <c r="O212" s="18">
        <v>0.81</v>
      </c>
      <c r="P212" s="18">
        <v>0.8</v>
      </c>
      <c r="Q212" s="18"/>
      <c r="R212" s="18"/>
      <c r="S212" s="1">
        <v>6</v>
      </c>
      <c r="V212" s="54"/>
      <c r="W212" s="54"/>
      <c r="X212" s="54"/>
    </row>
    <row r="213" spans="1:24" x14ac:dyDescent="0.35">
      <c r="A213" s="23">
        <v>44863</v>
      </c>
      <c r="B213" s="38" t="s">
        <v>54</v>
      </c>
      <c r="C213" s="38" t="s">
        <v>60</v>
      </c>
      <c r="D213" s="1">
        <v>723</v>
      </c>
      <c r="E213" s="1">
        <v>397</v>
      </c>
      <c r="F213" s="72">
        <v>0.20299500831946754</v>
      </c>
      <c r="G213" s="72">
        <v>0.38327526132404183</v>
      </c>
      <c r="H213" s="1">
        <v>22394</v>
      </c>
      <c r="I213" s="1">
        <v>12688</v>
      </c>
      <c r="J213" s="1">
        <v>152225</v>
      </c>
      <c r="K213" s="1">
        <v>101469</v>
      </c>
      <c r="L213" s="18">
        <v>0.23</v>
      </c>
      <c r="M213" s="18">
        <v>0.45</v>
      </c>
      <c r="N213" s="18">
        <v>0.55000000000000004</v>
      </c>
      <c r="O213" s="18">
        <v>0.7</v>
      </c>
      <c r="P213" s="18">
        <v>0.83</v>
      </c>
      <c r="Q213" s="18"/>
      <c r="R213" s="18"/>
      <c r="S213" s="1">
        <v>9</v>
      </c>
    </row>
    <row r="214" spans="1:24" x14ac:dyDescent="0.35">
      <c r="A214" s="23">
        <v>44864</v>
      </c>
      <c r="B214" s="38" t="s">
        <v>48</v>
      </c>
      <c r="C214" s="38" t="s">
        <v>60</v>
      </c>
      <c r="D214" s="1">
        <v>0</v>
      </c>
      <c r="E214" s="1">
        <v>0</v>
      </c>
      <c r="F214" s="72">
        <v>0</v>
      </c>
      <c r="G214" s="72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/>
      <c r="R214" s="1"/>
      <c r="S214" s="1">
        <v>0</v>
      </c>
    </row>
    <row r="215" spans="1:24" s="54" customFormat="1" x14ac:dyDescent="0.35">
      <c r="A215" s="58">
        <v>44865</v>
      </c>
      <c r="B215" s="55" t="s">
        <v>49</v>
      </c>
      <c r="C215" s="55" t="s">
        <v>60</v>
      </c>
      <c r="D215" s="56">
        <v>1283</v>
      </c>
      <c r="E215" s="56">
        <v>649</v>
      </c>
      <c r="F215" s="91">
        <v>0</v>
      </c>
      <c r="G215" s="91">
        <v>0</v>
      </c>
      <c r="H215" s="56">
        <v>23677</v>
      </c>
      <c r="I215" s="56">
        <v>13337</v>
      </c>
      <c r="J215" s="56">
        <v>153508</v>
      </c>
      <c r="K215" s="56">
        <v>102118</v>
      </c>
      <c r="L215" s="57">
        <v>0.15</v>
      </c>
      <c r="M215" s="57">
        <v>0.49</v>
      </c>
      <c r="N215" s="57">
        <v>0.51</v>
      </c>
      <c r="O215" s="57">
        <v>0.77</v>
      </c>
      <c r="P215" s="57">
        <v>0.77</v>
      </c>
      <c r="Q215" s="57"/>
      <c r="R215" s="57"/>
      <c r="S215" s="56">
        <v>9</v>
      </c>
      <c r="V215"/>
      <c r="W215"/>
      <c r="X215"/>
    </row>
    <row r="216" spans="1:24" x14ac:dyDescent="0.35">
      <c r="A216" s="23">
        <v>44866</v>
      </c>
      <c r="B216" s="36" t="s">
        <v>50</v>
      </c>
      <c r="C216" s="38" t="s">
        <v>60</v>
      </c>
      <c r="D216" s="1">
        <v>1034</v>
      </c>
      <c r="E216" s="1">
        <v>549</v>
      </c>
      <c r="F216" s="72">
        <v>-0.21962264150943397</v>
      </c>
      <c r="G216" s="72">
        <v>0.71028037383177567</v>
      </c>
      <c r="H216" s="1">
        <v>1034</v>
      </c>
      <c r="I216" s="1">
        <v>549</v>
      </c>
      <c r="J216" s="1">
        <v>154542</v>
      </c>
      <c r="K216" s="1">
        <v>102667</v>
      </c>
      <c r="L216" s="18">
        <v>0.16</v>
      </c>
      <c r="M216" s="18">
        <v>0.47</v>
      </c>
      <c r="N216" s="18">
        <v>0.53</v>
      </c>
      <c r="O216" s="18">
        <v>0.89</v>
      </c>
      <c r="P216" s="18">
        <v>0.79</v>
      </c>
      <c r="Q216" s="18"/>
      <c r="R216" s="18"/>
      <c r="S216" s="1">
        <v>8</v>
      </c>
    </row>
    <row r="217" spans="1:24" x14ac:dyDescent="0.35">
      <c r="A217" s="23">
        <v>44867</v>
      </c>
      <c r="B217" s="38" t="s">
        <v>51</v>
      </c>
      <c r="C217" s="38" t="s">
        <v>60</v>
      </c>
      <c r="D217" s="1">
        <v>979</v>
      </c>
      <c r="E217" s="1">
        <v>742</v>
      </c>
      <c r="F217" s="72">
        <v>-0.2721189591078067</v>
      </c>
      <c r="G217" s="72">
        <v>0.80097087378640774</v>
      </c>
      <c r="H217" s="1">
        <v>2013</v>
      </c>
      <c r="I217" s="1">
        <v>1291</v>
      </c>
      <c r="J217" s="1">
        <v>155521</v>
      </c>
      <c r="K217" s="1">
        <v>103409</v>
      </c>
      <c r="L217" s="18">
        <v>0.41</v>
      </c>
      <c r="M217" s="18">
        <v>0.24</v>
      </c>
      <c r="N217" s="18">
        <v>0.76</v>
      </c>
      <c r="O217" s="18">
        <v>0.57999999999999996</v>
      </c>
      <c r="P217" s="18">
        <v>0.78</v>
      </c>
      <c r="Q217" s="18"/>
      <c r="R217" s="18"/>
      <c r="S217" s="1">
        <v>12</v>
      </c>
    </row>
    <row r="218" spans="1:24" x14ac:dyDescent="0.35">
      <c r="A218" s="23">
        <v>44868</v>
      </c>
      <c r="B218" s="38" t="s">
        <v>52</v>
      </c>
      <c r="C218" s="38" t="s">
        <v>60</v>
      </c>
      <c r="D218" s="1">
        <v>961</v>
      </c>
      <c r="E218" s="1">
        <v>701</v>
      </c>
      <c r="F218" s="72">
        <v>-0.16507384882710685</v>
      </c>
      <c r="G218" s="72">
        <v>0.63023255813953494</v>
      </c>
      <c r="H218" s="1">
        <v>2974</v>
      </c>
      <c r="I218" s="1">
        <v>1992</v>
      </c>
      <c r="J218" s="1">
        <v>156482</v>
      </c>
      <c r="K218" s="1">
        <v>104110</v>
      </c>
      <c r="L218" s="18">
        <v>0.26</v>
      </c>
      <c r="M218" s="18">
        <v>0.27</v>
      </c>
      <c r="N218" s="18">
        <v>0.73</v>
      </c>
      <c r="O218" s="18">
        <v>0.75</v>
      </c>
      <c r="P218" s="18">
        <v>0.78</v>
      </c>
      <c r="Q218" s="18"/>
      <c r="R218" s="18"/>
      <c r="S218" s="1">
        <v>11</v>
      </c>
    </row>
    <row r="219" spans="1:24" x14ac:dyDescent="0.35">
      <c r="A219" s="23">
        <v>44869</v>
      </c>
      <c r="B219" s="38" t="s">
        <v>53</v>
      </c>
      <c r="C219" s="38" t="s">
        <v>60</v>
      </c>
      <c r="D219" s="1">
        <v>927</v>
      </c>
      <c r="E219" s="1">
        <v>729</v>
      </c>
      <c r="F219" s="72">
        <v>-0.20701454234388367</v>
      </c>
      <c r="G219" s="72">
        <v>1.065155807365439</v>
      </c>
      <c r="H219" s="1">
        <v>3901</v>
      </c>
      <c r="I219" s="1">
        <v>2721</v>
      </c>
      <c r="J219" s="1">
        <v>157409</v>
      </c>
      <c r="K219" s="1">
        <v>104839</v>
      </c>
      <c r="L219" s="18">
        <v>0.43</v>
      </c>
      <c r="M219" s="18">
        <v>0.21</v>
      </c>
      <c r="N219" s="18">
        <v>0.79</v>
      </c>
      <c r="O219" s="18">
        <v>0.73</v>
      </c>
      <c r="P219" s="18">
        <v>0.78</v>
      </c>
      <c r="Q219" s="18"/>
      <c r="R219" s="18"/>
      <c r="S219" s="1">
        <v>9</v>
      </c>
    </row>
    <row r="220" spans="1:24" x14ac:dyDescent="0.35">
      <c r="A220" s="23">
        <v>44870</v>
      </c>
      <c r="B220" s="38" t="s">
        <v>54</v>
      </c>
      <c r="C220" s="38" t="s">
        <v>60</v>
      </c>
      <c r="D220" s="1">
        <v>543</v>
      </c>
      <c r="E220" s="1">
        <v>326</v>
      </c>
      <c r="F220" s="72">
        <v>-0.24896265560165975</v>
      </c>
      <c r="G220" s="72">
        <v>-0.17884130982367757</v>
      </c>
      <c r="H220" s="1">
        <v>4444</v>
      </c>
      <c r="I220" s="1">
        <v>3047</v>
      </c>
      <c r="J220" s="1">
        <v>157952</v>
      </c>
      <c r="K220" s="1">
        <v>105165</v>
      </c>
      <c r="L220" s="18">
        <v>0.28000000000000003</v>
      </c>
      <c r="M220" s="18">
        <v>0.4</v>
      </c>
      <c r="N220" s="18">
        <v>0.6</v>
      </c>
      <c r="O220" s="18">
        <v>0.61</v>
      </c>
      <c r="P220" s="18">
        <v>0.81</v>
      </c>
      <c r="Q220" s="18"/>
      <c r="R220" s="18"/>
      <c r="S220" s="1">
        <v>8</v>
      </c>
    </row>
    <row r="221" spans="1:24" x14ac:dyDescent="0.35">
      <c r="A221" s="23">
        <v>44871</v>
      </c>
      <c r="B221" s="38" t="s">
        <v>48</v>
      </c>
      <c r="C221" s="38" t="s">
        <v>60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/>
      <c r="R221" s="1"/>
      <c r="S221" s="1">
        <v>0</v>
      </c>
    </row>
    <row r="222" spans="1:24" x14ac:dyDescent="0.35">
      <c r="A222" s="23">
        <v>44872</v>
      </c>
      <c r="B222" s="38" t="s">
        <v>49</v>
      </c>
      <c r="C222" s="38" t="s">
        <v>60</v>
      </c>
      <c r="D222" s="1">
        <v>1109</v>
      </c>
      <c r="E222" s="1">
        <v>619</v>
      </c>
      <c r="F222" s="19">
        <v>-0.13561964146531566</v>
      </c>
      <c r="G222" s="76">
        <v>-4.6224961479198766E-2</v>
      </c>
      <c r="H222" s="1">
        <v>5553</v>
      </c>
      <c r="I222" s="1">
        <v>3666</v>
      </c>
      <c r="J222" s="1">
        <v>159061</v>
      </c>
      <c r="K222" s="1">
        <v>105784</v>
      </c>
      <c r="L222" s="18">
        <v>0.17</v>
      </c>
      <c r="M222" s="18">
        <v>0.44</v>
      </c>
      <c r="N222" s="18">
        <v>0.56000000000000005</v>
      </c>
      <c r="O222" s="18">
        <v>0.68</v>
      </c>
      <c r="P222" s="18">
        <v>0.81</v>
      </c>
      <c r="Q222" s="18"/>
      <c r="R222" s="18"/>
      <c r="S222" s="1">
        <v>8</v>
      </c>
    </row>
    <row r="223" spans="1:24" x14ac:dyDescent="0.35">
      <c r="A223" s="23">
        <v>44873</v>
      </c>
      <c r="B223" s="38" t="s">
        <v>50</v>
      </c>
      <c r="C223" s="38" t="s">
        <v>60</v>
      </c>
      <c r="D223" s="1">
        <v>1082</v>
      </c>
      <c r="E223" s="1">
        <v>740</v>
      </c>
      <c r="F223" s="19">
        <v>4.6421663442940041E-2</v>
      </c>
      <c r="G223" s="76">
        <v>0.34790528233151186</v>
      </c>
      <c r="H223" s="1">
        <v>6635</v>
      </c>
      <c r="I223" s="1">
        <v>4406</v>
      </c>
      <c r="J223" s="1">
        <v>160143</v>
      </c>
      <c r="K223" s="1">
        <v>106524</v>
      </c>
      <c r="L223" s="18">
        <v>0.28999999999999998</v>
      </c>
      <c r="M223" s="18">
        <v>0.32</v>
      </c>
      <c r="N223" s="18">
        <v>0.68</v>
      </c>
      <c r="O223" s="18">
        <v>0.7</v>
      </c>
      <c r="P223" s="18">
        <v>0.77</v>
      </c>
      <c r="Q223" s="18"/>
      <c r="R223" s="18"/>
      <c r="S223" s="1">
        <v>10</v>
      </c>
    </row>
    <row r="224" spans="1:24" x14ac:dyDescent="0.35">
      <c r="A224" s="23">
        <v>44874</v>
      </c>
      <c r="B224" s="38" t="s">
        <v>51</v>
      </c>
      <c r="C224" s="38" t="s">
        <v>60</v>
      </c>
      <c r="D224" s="1">
        <v>906</v>
      </c>
      <c r="E224" s="1">
        <v>631</v>
      </c>
      <c r="F224" s="19">
        <v>-7.4565883554647605E-2</v>
      </c>
      <c r="G224" s="76">
        <v>-0.14959568733153639</v>
      </c>
      <c r="H224" s="1">
        <v>7541</v>
      </c>
      <c r="I224" s="1">
        <v>5037</v>
      </c>
      <c r="J224" s="1">
        <v>161049</v>
      </c>
      <c r="K224" s="1">
        <v>107155</v>
      </c>
      <c r="L224" s="76">
        <v>0.28000000000000003</v>
      </c>
      <c r="M224" s="76">
        <v>0.3</v>
      </c>
      <c r="N224" s="76">
        <v>0.7</v>
      </c>
      <c r="O224" s="76">
        <v>0.73</v>
      </c>
      <c r="P224" s="76">
        <v>0.77</v>
      </c>
      <c r="Q224" s="76"/>
      <c r="R224" s="76"/>
      <c r="S224" s="1">
        <v>10</v>
      </c>
      <c r="T224" s="1"/>
    </row>
    <row r="225" spans="1:24" x14ac:dyDescent="0.35">
      <c r="A225" s="23">
        <v>44875</v>
      </c>
      <c r="B225" s="38" t="s">
        <v>52</v>
      </c>
      <c r="C225" s="38" t="s">
        <v>60</v>
      </c>
      <c r="D225" s="1">
        <v>958</v>
      </c>
      <c r="E225" s="1">
        <v>562</v>
      </c>
      <c r="F225" s="19">
        <v>-3.1217481789802288E-3</v>
      </c>
      <c r="G225" s="76">
        <v>-0.19828815977175462</v>
      </c>
      <c r="H225" s="1">
        <v>8499</v>
      </c>
      <c r="I225" s="1">
        <v>5599</v>
      </c>
      <c r="J225" s="1">
        <v>162007</v>
      </c>
      <c r="K225" s="1">
        <v>107717</v>
      </c>
      <c r="L225" s="76">
        <v>0.21</v>
      </c>
      <c r="M225" s="76">
        <v>0.41</v>
      </c>
      <c r="N225" s="76">
        <v>0.59</v>
      </c>
      <c r="O225" s="76">
        <v>0.73</v>
      </c>
      <c r="P225" s="76">
        <v>0.79</v>
      </c>
      <c r="Q225" s="76"/>
      <c r="R225" s="76"/>
      <c r="S225" s="1">
        <v>9</v>
      </c>
    </row>
    <row r="226" spans="1:24" x14ac:dyDescent="0.35">
      <c r="A226" s="23">
        <v>44876</v>
      </c>
      <c r="B226" s="38" t="s">
        <v>53</v>
      </c>
      <c r="C226" s="38" t="s">
        <v>60</v>
      </c>
      <c r="D226" s="1">
        <v>949</v>
      </c>
      <c r="E226" s="1">
        <v>581</v>
      </c>
      <c r="F226" s="19">
        <v>2.3732470334412083E-2</v>
      </c>
      <c r="G226" s="19">
        <v>-0.20301783264746229</v>
      </c>
      <c r="H226" s="1">
        <v>9448</v>
      </c>
      <c r="I226" s="1">
        <v>6180</v>
      </c>
      <c r="J226" s="1">
        <v>162956</v>
      </c>
      <c r="K226" s="1">
        <v>108298</v>
      </c>
      <c r="L226" s="76">
        <v>0.25</v>
      </c>
      <c r="M226" s="76">
        <v>0.39</v>
      </c>
      <c r="N226" s="76">
        <v>0.61</v>
      </c>
      <c r="O226" s="76">
        <v>0.71</v>
      </c>
      <c r="P226" s="76">
        <v>0.81</v>
      </c>
      <c r="Q226" s="76"/>
      <c r="R226" s="76"/>
      <c r="S226" s="1">
        <v>9</v>
      </c>
    </row>
    <row r="227" spans="1:24" x14ac:dyDescent="0.35">
      <c r="A227" s="23">
        <v>44877</v>
      </c>
      <c r="B227" s="38" t="s">
        <v>54</v>
      </c>
      <c r="C227" s="38" t="s">
        <v>60</v>
      </c>
      <c r="D227" s="1">
        <v>589</v>
      </c>
      <c r="E227" s="1">
        <v>439</v>
      </c>
      <c r="F227" s="19">
        <v>8.4714548802946599E-2</v>
      </c>
      <c r="G227" s="19">
        <v>0.34662576687116564</v>
      </c>
      <c r="H227" s="1">
        <v>10037</v>
      </c>
      <c r="I227" s="1">
        <v>6619</v>
      </c>
      <c r="J227" s="1">
        <v>163545</v>
      </c>
      <c r="K227" s="1">
        <v>108737</v>
      </c>
      <c r="L227" s="76">
        <v>0.39</v>
      </c>
      <c r="M227" s="76">
        <v>0.25</v>
      </c>
      <c r="N227" s="76">
        <v>0.75</v>
      </c>
      <c r="O227" s="76">
        <v>0.64</v>
      </c>
      <c r="P227" s="76">
        <v>0.8</v>
      </c>
      <c r="Q227" s="76"/>
      <c r="R227" s="76"/>
      <c r="S227" s="1">
        <v>11</v>
      </c>
    </row>
    <row r="228" spans="1:24" x14ac:dyDescent="0.35">
      <c r="A228" s="23">
        <v>44878</v>
      </c>
      <c r="B228" s="38" t="s">
        <v>48</v>
      </c>
      <c r="C228" s="38" t="s">
        <v>60</v>
      </c>
      <c r="D228" s="1">
        <v>0</v>
      </c>
      <c r="E228" s="1">
        <v>0</v>
      </c>
      <c r="F228" s="76">
        <v>0</v>
      </c>
      <c r="G228" s="76">
        <v>0</v>
      </c>
      <c r="H228" s="1">
        <v>0</v>
      </c>
      <c r="I228" s="1">
        <v>0</v>
      </c>
      <c r="J228" s="1">
        <v>0</v>
      </c>
      <c r="K228" s="1">
        <v>0</v>
      </c>
      <c r="L228" s="76">
        <v>0</v>
      </c>
      <c r="M228" s="76">
        <v>0</v>
      </c>
      <c r="N228" s="76">
        <v>0</v>
      </c>
      <c r="O228" s="76">
        <v>0</v>
      </c>
      <c r="P228" s="76">
        <v>0</v>
      </c>
      <c r="Q228" s="76"/>
      <c r="R228" s="76"/>
      <c r="S228" s="1">
        <v>0</v>
      </c>
    </row>
    <row r="229" spans="1:24" x14ac:dyDescent="0.35">
      <c r="A229" s="23">
        <v>44879</v>
      </c>
      <c r="B229" s="38" t="s">
        <v>49</v>
      </c>
      <c r="C229" s="38" t="s">
        <v>60</v>
      </c>
      <c r="D229" s="1">
        <v>1164</v>
      </c>
      <c r="E229" s="1">
        <v>555</v>
      </c>
      <c r="F229" s="19">
        <v>4.9594229035166817E-2</v>
      </c>
      <c r="G229" s="76">
        <v>-0.10339256865912763</v>
      </c>
      <c r="H229" s="1">
        <v>11201</v>
      </c>
      <c r="I229" s="1">
        <v>7174</v>
      </c>
      <c r="J229" s="1">
        <v>164709</v>
      </c>
      <c r="K229" s="1">
        <v>109292</v>
      </c>
      <c r="L229" s="18">
        <v>0.16</v>
      </c>
      <c r="M229" s="18">
        <v>0.52</v>
      </c>
      <c r="N229" s="18">
        <v>0.48</v>
      </c>
      <c r="O229" s="18">
        <v>0.8</v>
      </c>
      <c r="P229" s="18">
        <v>0.78</v>
      </c>
      <c r="Q229" s="18"/>
      <c r="R229" s="18"/>
      <c r="S229" s="1">
        <v>10</v>
      </c>
    </row>
    <row r="230" spans="1:24" x14ac:dyDescent="0.35">
      <c r="A230" s="23">
        <v>44880</v>
      </c>
      <c r="B230" s="36" t="s">
        <v>50</v>
      </c>
      <c r="C230" s="38" t="s">
        <v>60</v>
      </c>
      <c r="D230" s="1">
        <v>954</v>
      </c>
      <c r="E230" s="1">
        <v>822</v>
      </c>
      <c r="F230" s="19">
        <v>-0.11829944547134935</v>
      </c>
      <c r="G230" s="76">
        <v>0.11081081081081082</v>
      </c>
      <c r="H230" s="1">
        <v>12155</v>
      </c>
      <c r="I230" s="1">
        <v>7996</v>
      </c>
      <c r="J230" s="1">
        <v>165663</v>
      </c>
      <c r="K230" s="1">
        <v>110114</v>
      </c>
      <c r="L230" s="18">
        <v>0.67</v>
      </c>
      <c r="M230" s="18">
        <v>0.14000000000000001</v>
      </c>
      <c r="N230" s="18">
        <v>0.86</v>
      </c>
      <c r="O230" s="18">
        <v>0.74</v>
      </c>
      <c r="P230" s="18">
        <v>0.81</v>
      </c>
      <c r="Q230" s="18"/>
      <c r="R230" s="18"/>
      <c r="S230" s="1">
        <v>12</v>
      </c>
    </row>
    <row r="231" spans="1:24" x14ac:dyDescent="0.35">
      <c r="A231" s="23">
        <v>44881</v>
      </c>
      <c r="B231" s="38" t="s">
        <v>51</v>
      </c>
      <c r="C231" s="38" t="s">
        <v>60</v>
      </c>
      <c r="D231" s="1">
        <v>1008</v>
      </c>
      <c r="E231" s="1">
        <v>875</v>
      </c>
      <c r="F231" s="19">
        <v>0.11258278145695365</v>
      </c>
      <c r="G231" s="76">
        <v>0.3866877971473851</v>
      </c>
      <c r="H231" s="1">
        <v>13163</v>
      </c>
      <c r="I231" s="1">
        <v>8871</v>
      </c>
      <c r="J231" s="1">
        <v>166671</v>
      </c>
      <c r="K231" s="1">
        <v>110989</v>
      </c>
      <c r="L231" s="18">
        <v>0.61</v>
      </c>
      <c r="M231" s="18">
        <v>0.13</v>
      </c>
      <c r="N231" s="18">
        <v>0.87</v>
      </c>
      <c r="O231" s="18">
        <v>0.74</v>
      </c>
      <c r="P231" s="18">
        <v>0.72</v>
      </c>
      <c r="Q231" s="18"/>
      <c r="R231" s="18"/>
      <c r="S231" s="1">
        <v>13</v>
      </c>
    </row>
    <row r="232" spans="1:24" x14ac:dyDescent="0.35">
      <c r="A232" s="23">
        <v>44882</v>
      </c>
      <c r="B232" s="38" t="s">
        <v>52</v>
      </c>
      <c r="C232" s="38" t="s">
        <v>60</v>
      </c>
      <c r="D232" s="1">
        <v>976</v>
      </c>
      <c r="E232" s="1">
        <v>839</v>
      </c>
      <c r="F232" s="19">
        <v>1.8789144050104383E-2</v>
      </c>
      <c r="G232" s="76">
        <v>0.49288256227758009</v>
      </c>
      <c r="H232" s="1">
        <v>14139</v>
      </c>
      <c r="I232" s="1">
        <v>9710</v>
      </c>
      <c r="J232" s="1">
        <v>167647</v>
      </c>
      <c r="K232" s="1">
        <v>111828</v>
      </c>
      <c r="L232" s="18">
        <v>0.56000000000000005</v>
      </c>
      <c r="M232" s="18">
        <v>0.14000000000000001</v>
      </c>
      <c r="N232" s="18">
        <v>0.86</v>
      </c>
      <c r="O232" s="18">
        <v>0.74</v>
      </c>
      <c r="P232" s="18">
        <v>0.82</v>
      </c>
      <c r="Q232" s="18"/>
      <c r="R232" s="18"/>
      <c r="S232" s="1">
        <v>12</v>
      </c>
    </row>
    <row r="233" spans="1:24" x14ac:dyDescent="0.35">
      <c r="A233" s="23">
        <v>44883</v>
      </c>
      <c r="B233" s="38" t="s">
        <v>53</v>
      </c>
      <c r="C233" s="38" t="s">
        <v>60</v>
      </c>
      <c r="D233" s="1">
        <v>965</v>
      </c>
      <c r="E233" s="1">
        <v>787</v>
      </c>
      <c r="F233" s="19">
        <v>1.6859852476290831E-2</v>
      </c>
      <c r="G233" s="19">
        <v>0.35456110154905335</v>
      </c>
      <c r="H233" s="1">
        <v>15104</v>
      </c>
      <c r="I233" s="1">
        <v>10497</v>
      </c>
      <c r="J233" s="1">
        <v>168612</v>
      </c>
      <c r="K233" s="1">
        <v>112615</v>
      </c>
      <c r="L233" s="18">
        <v>0.46</v>
      </c>
      <c r="M233" s="18">
        <v>0.18</v>
      </c>
      <c r="N233" s="18">
        <v>0.82</v>
      </c>
      <c r="O233" s="18">
        <v>0.75</v>
      </c>
      <c r="P233" s="18">
        <v>0.79</v>
      </c>
      <c r="Q233" s="18"/>
      <c r="R233" s="18"/>
      <c r="S233" s="1">
        <v>11</v>
      </c>
    </row>
    <row r="234" spans="1:24" x14ac:dyDescent="0.35">
      <c r="A234" s="23">
        <v>44884</v>
      </c>
      <c r="B234" s="38" t="s">
        <v>54</v>
      </c>
      <c r="C234" s="38" t="s">
        <v>60</v>
      </c>
      <c r="D234" s="1">
        <v>708</v>
      </c>
      <c r="E234" s="1">
        <v>325</v>
      </c>
      <c r="F234" s="19">
        <v>0.20203735144312393</v>
      </c>
      <c r="G234" s="19">
        <v>-0.25968109339407747</v>
      </c>
      <c r="H234" s="1">
        <v>15812</v>
      </c>
      <c r="I234" s="1">
        <v>10822</v>
      </c>
      <c r="J234" s="1">
        <v>169320</v>
      </c>
      <c r="K234" s="1">
        <v>112940</v>
      </c>
      <c r="L234" s="18">
        <v>0.19</v>
      </c>
      <c r="M234" s="18">
        <v>0.54</v>
      </c>
      <c r="N234" s="18">
        <v>0.46</v>
      </c>
      <c r="O234" s="18">
        <v>0.83</v>
      </c>
      <c r="P234" s="18">
        <v>0.92</v>
      </c>
      <c r="Q234" s="18"/>
      <c r="R234" s="18"/>
      <c r="S234" s="1">
        <v>6</v>
      </c>
    </row>
    <row r="235" spans="1:24" x14ac:dyDescent="0.35">
      <c r="A235" s="23">
        <v>44885</v>
      </c>
      <c r="B235" s="38" t="s">
        <v>48</v>
      </c>
      <c r="C235" s="38" t="s">
        <v>60</v>
      </c>
      <c r="D235" s="1">
        <v>0</v>
      </c>
      <c r="E235" s="1">
        <v>0</v>
      </c>
      <c r="F235" s="76">
        <v>0</v>
      </c>
      <c r="G235" s="76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/>
      <c r="R235" s="1"/>
      <c r="S235" s="1">
        <v>0</v>
      </c>
    </row>
    <row r="236" spans="1:24" x14ac:dyDescent="0.35">
      <c r="A236" s="23">
        <v>44886</v>
      </c>
      <c r="B236" s="38" t="s">
        <v>49</v>
      </c>
      <c r="C236" s="38" t="s">
        <v>60</v>
      </c>
      <c r="D236" s="1">
        <v>1429</v>
      </c>
      <c r="E236" s="1">
        <v>589</v>
      </c>
      <c r="F236" s="19">
        <v>0.22766323024054982</v>
      </c>
      <c r="G236" s="76">
        <v>6.126126126126126E-2</v>
      </c>
      <c r="H236" s="1">
        <v>17241</v>
      </c>
      <c r="I236" s="1">
        <v>11411</v>
      </c>
      <c r="J236" s="1">
        <v>170749</v>
      </c>
      <c r="K236" s="1">
        <v>113529</v>
      </c>
      <c r="L236" s="18">
        <v>0.15</v>
      </c>
      <c r="M236" s="18">
        <v>0.59</v>
      </c>
      <c r="N236" s="18">
        <v>0.41</v>
      </c>
      <c r="O236" s="18">
        <v>0.71</v>
      </c>
      <c r="P236" s="18">
        <v>0.79</v>
      </c>
      <c r="Q236" s="18"/>
      <c r="R236" s="18"/>
      <c r="S236" s="1">
        <v>9</v>
      </c>
      <c r="V236" s="54"/>
      <c r="W236" s="54"/>
      <c r="X236" s="54"/>
    </row>
    <row r="237" spans="1:24" x14ac:dyDescent="0.35">
      <c r="A237" s="23">
        <v>44887</v>
      </c>
      <c r="B237" s="38" t="s">
        <v>50</v>
      </c>
      <c r="C237" s="38" t="s">
        <v>60</v>
      </c>
      <c r="D237" s="1">
        <v>1222</v>
      </c>
      <c r="E237" s="1">
        <v>863</v>
      </c>
      <c r="F237" s="19">
        <v>0.2809224318658281</v>
      </c>
      <c r="G237" s="76">
        <v>4.9878345498783457E-2</v>
      </c>
      <c r="H237" s="1">
        <v>18463</v>
      </c>
      <c r="I237" s="1">
        <v>12274</v>
      </c>
      <c r="J237" s="1">
        <v>171971</v>
      </c>
      <c r="K237" s="1">
        <v>114392</v>
      </c>
      <c r="L237" s="18">
        <v>0.27</v>
      </c>
      <c r="M237" s="18">
        <v>0.28999999999999998</v>
      </c>
      <c r="N237" s="18">
        <v>0.71</v>
      </c>
      <c r="O237" s="18">
        <v>0.77</v>
      </c>
      <c r="P237" s="18">
        <v>0.78</v>
      </c>
      <c r="Q237" s="18"/>
      <c r="R237" s="18"/>
      <c r="S237" s="1">
        <v>12</v>
      </c>
    </row>
    <row r="238" spans="1:24" x14ac:dyDescent="0.35">
      <c r="A238" s="23">
        <v>44888</v>
      </c>
      <c r="B238" s="38" t="s">
        <v>51</v>
      </c>
      <c r="C238" s="38" t="s">
        <v>60</v>
      </c>
      <c r="D238" s="1">
        <v>1078</v>
      </c>
      <c r="E238" s="1">
        <v>859</v>
      </c>
      <c r="F238" s="19">
        <v>6.9444444444444448E-2</v>
      </c>
      <c r="G238" s="76">
        <v>-1.8285714285714287E-2</v>
      </c>
      <c r="H238" s="1">
        <v>19541</v>
      </c>
      <c r="I238" s="1">
        <v>13133</v>
      </c>
      <c r="J238" s="1">
        <v>173049</v>
      </c>
      <c r="K238" s="1">
        <v>115251</v>
      </c>
      <c r="L238" s="18">
        <v>0.39</v>
      </c>
      <c r="M238" s="18">
        <v>0.2</v>
      </c>
      <c r="N238" s="18">
        <v>0.8</v>
      </c>
      <c r="O238" s="18">
        <v>0.82</v>
      </c>
      <c r="P238" s="18">
        <v>0.8</v>
      </c>
      <c r="Q238" s="18"/>
      <c r="R238" s="18"/>
      <c r="S238" s="1">
        <v>10</v>
      </c>
    </row>
    <row r="239" spans="1:24" x14ac:dyDescent="0.35">
      <c r="A239" s="23">
        <v>44889</v>
      </c>
      <c r="B239" s="38" t="s">
        <v>52</v>
      </c>
      <c r="C239" s="38" t="s">
        <v>60</v>
      </c>
      <c r="D239" s="1">
        <v>1249</v>
      </c>
      <c r="E239" s="1">
        <v>798</v>
      </c>
      <c r="F239" s="19">
        <v>0.27971311475409838</v>
      </c>
      <c r="G239" s="76">
        <v>-4.8867699642431463E-2</v>
      </c>
      <c r="H239" s="1">
        <v>20790</v>
      </c>
      <c r="I239" s="1">
        <v>13931</v>
      </c>
      <c r="J239" s="1">
        <v>174298</v>
      </c>
      <c r="K239" s="1">
        <v>116049</v>
      </c>
      <c r="L239" s="18">
        <v>0.21</v>
      </c>
      <c r="M239" s="18">
        <v>0.36</v>
      </c>
      <c r="N239" s="18">
        <v>0.64</v>
      </c>
      <c r="O239" s="18">
        <v>0.82</v>
      </c>
      <c r="P239" s="18">
        <v>0.79</v>
      </c>
      <c r="Q239" s="18"/>
      <c r="R239" s="18"/>
      <c r="S239" s="1">
        <v>11</v>
      </c>
      <c r="U239">
        <f>AVERAGEIF(L1:L366,"&lt;&gt;0")</f>
        <v>0.47730639730639735</v>
      </c>
    </row>
    <row r="240" spans="1:24" x14ac:dyDescent="0.35">
      <c r="A240" s="23">
        <v>44890</v>
      </c>
      <c r="B240" s="38" t="s">
        <v>53</v>
      </c>
      <c r="C240" s="38" t="s">
        <v>60</v>
      </c>
      <c r="D240" s="1">
        <v>1519</v>
      </c>
      <c r="E240" s="1">
        <v>936</v>
      </c>
      <c r="F240" s="19">
        <v>0.57409326424870466</v>
      </c>
      <c r="G240" s="19">
        <v>0.18932655654383734</v>
      </c>
      <c r="H240" s="1">
        <v>22309</v>
      </c>
      <c r="I240" s="1">
        <v>14867</v>
      </c>
      <c r="J240" s="1">
        <v>175817</v>
      </c>
      <c r="K240" s="1">
        <v>116985</v>
      </c>
      <c r="L240" s="18">
        <v>0.2</v>
      </c>
      <c r="M240" s="18">
        <v>0.38</v>
      </c>
      <c r="N240" s="18">
        <v>0.62</v>
      </c>
      <c r="O240" s="18">
        <v>0.81</v>
      </c>
      <c r="P240" s="18">
        <v>0.77</v>
      </c>
      <c r="Q240" s="18"/>
      <c r="R240" s="18"/>
      <c r="S240" s="1">
        <v>13</v>
      </c>
    </row>
    <row r="241" spans="1:24" x14ac:dyDescent="0.35">
      <c r="A241" s="23">
        <v>44891</v>
      </c>
      <c r="B241" s="38" t="s">
        <v>54</v>
      </c>
      <c r="C241" s="38" t="s">
        <v>60</v>
      </c>
      <c r="D241" s="1">
        <v>858</v>
      </c>
      <c r="E241" s="1">
        <v>575</v>
      </c>
      <c r="F241" s="19">
        <v>0.21186440677966101</v>
      </c>
      <c r="G241" s="19">
        <v>0.76923076923076927</v>
      </c>
      <c r="H241" s="1">
        <v>23167</v>
      </c>
      <c r="I241" s="1">
        <v>15442</v>
      </c>
      <c r="J241" s="1">
        <v>176675</v>
      </c>
      <c r="K241" s="1">
        <v>117560</v>
      </c>
      <c r="L241" s="18">
        <v>0.4</v>
      </c>
      <c r="M241" s="18">
        <v>0.33</v>
      </c>
      <c r="N241" s="18">
        <v>0.67</v>
      </c>
      <c r="O241" s="18">
        <v>0.75</v>
      </c>
      <c r="P241" s="18">
        <v>0.87</v>
      </c>
      <c r="Q241" s="18"/>
      <c r="R241" s="18"/>
      <c r="S241" s="1">
        <v>12</v>
      </c>
    </row>
    <row r="242" spans="1:24" x14ac:dyDescent="0.35">
      <c r="A242" s="23">
        <v>44892</v>
      </c>
      <c r="B242" s="38" t="s">
        <v>48</v>
      </c>
      <c r="C242" s="38" t="s">
        <v>60</v>
      </c>
      <c r="D242" s="1">
        <v>0</v>
      </c>
      <c r="E242" s="1">
        <v>0</v>
      </c>
      <c r="F242" s="76">
        <v>0</v>
      </c>
      <c r="G242" s="76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/>
      <c r="R242" s="1"/>
      <c r="S242" s="1">
        <v>0</v>
      </c>
    </row>
    <row r="243" spans="1:24" x14ac:dyDescent="0.35">
      <c r="A243" s="23">
        <v>44893</v>
      </c>
      <c r="B243" s="38" t="s">
        <v>49</v>
      </c>
      <c r="C243" s="38" t="s">
        <v>60</v>
      </c>
      <c r="D243" s="1">
        <v>1845</v>
      </c>
      <c r="E243" s="1">
        <v>747</v>
      </c>
      <c r="F243" s="19">
        <v>0.29111266620013998</v>
      </c>
      <c r="G243" s="76">
        <v>0.26825127334465193</v>
      </c>
      <c r="H243" s="1">
        <v>25012</v>
      </c>
      <c r="I243" s="1">
        <v>16189</v>
      </c>
      <c r="J243" s="1">
        <v>178520</v>
      </c>
      <c r="K243" s="1">
        <v>118307</v>
      </c>
      <c r="L243" s="18">
        <v>0.14000000000000001</v>
      </c>
      <c r="M243" s="18">
        <v>0.6</v>
      </c>
      <c r="N243" s="18">
        <v>0.4</v>
      </c>
      <c r="O243" s="18">
        <v>0.7</v>
      </c>
      <c r="P243" s="18">
        <v>0.77</v>
      </c>
      <c r="Q243" s="18"/>
      <c r="R243" s="18"/>
      <c r="S243" s="1">
        <v>12</v>
      </c>
    </row>
    <row r="244" spans="1:24" x14ac:dyDescent="0.35">
      <c r="A244" s="23">
        <v>44894</v>
      </c>
      <c r="B244" s="38" t="s">
        <v>50</v>
      </c>
      <c r="C244" s="38" t="s">
        <v>60</v>
      </c>
      <c r="D244" s="1">
        <v>1561</v>
      </c>
      <c r="E244" s="1">
        <v>767</v>
      </c>
      <c r="F244" s="19">
        <v>0.27741407528641571</v>
      </c>
      <c r="G244" s="76">
        <v>-0.11123986095017381</v>
      </c>
      <c r="H244" s="1">
        <v>26573</v>
      </c>
      <c r="I244" s="1">
        <v>16956</v>
      </c>
      <c r="J244" s="1">
        <v>180081</v>
      </c>
      <c r="K244" s="1">
        <v>119074</v>
      </c>
      <c r="L244" s="18">
        <v>0.12</v>
      </c>
      <c r="M244" s="18">
        <v>0.51</v>
      </c>
      <c r="N244" s="18">
        <v>0.49</v>
      </c>
      <c r="O244" s="18">
        <v>0.66</v>
      </c>
      <c r="P244" s="18">
        <v>0.78</v>
      </c>
      <c r="Q244" s="18"/>
      <c r="R244" s="18"/>
      <c r="S244" s="1">
        <v>13</v>
      </c>
    </row>
    <row r="245" spans="1:24" x14ac:dyDescent="0.35">
      <c r="A245" s="23">
        <v>44895</v>
      </c>
      <c r="B245" s="38" t="s">
        <v>51</v>
      </c>
      <c r="C245" s="38" t="s">
        <v>60</v>
      </c>
      <c r="D245" s="1">
        <v>1522</v>
      </c>
      <c r="E245" s="1">
        <v>850</v>
      </c>
      <c r="F245" s="19">
        <v>0.41187384044526903</v>
      </c>
      <c r="G245" s="76">
        <v>-1.0477299185098952E-2</v>
      </c>
      <c r="H245" s="1">
        <v>28095</v>
      </c>
      <c r="I245" s="1">
        <v>17806</v>
      </c>
      <c r="J245" s="1">
        <v>181603</v>
      </c>
      <c r="K245" s="1">
        <v>119924</v>
      </c>
      <c r="L245" s="18">
        <v>0.15</v>
      </c>
      <c r="M245" s="18">
        <v>0.44</v>
      </c>
      <c r="N245" s="18">
        <v>0.56000000000000005</v>
      </c>
      <c r="O245" s="18">
        <v>0.76</v>
      </c>
      <c r="P245" s="18">
        <v>0.79</v>
      </c>
      <c r="Q245" s="18"/>
      <c r="R245" s="18"/>
      <c r="S245" s="1">
        <v>13</v>
      </c>
    </row>
    <row r="246" spans="1:24" s="54" customFormat="1" x14ac:dyDescent="0.35">
      <c r="A246" s="58">
        <v>44896</v>
      </c>
      <c r="B246" s="55" t="s">
        <v>52</v>
      </c>
      <c r="C246" s="55" t="s">
        <v>60</v>
      </c>
      <c r="D246" s="56">
        <v>1376</v>
      </c>
      <c r="E246" s="56">
        <v>792</v>
      </c>
      <c r="F246" s="184">
        <v>0.10168134507606084</v>
      </c>
      <c r="G246" s="125">
        <v>-7.5187969924812026E-3</v>
      </c>
      <c r="H246" s="56">
        <v>1376</v>
      </c>
      <c r="I246" s="56">
        <v>792</v>
      </c>
      <c r="J246" s="56">
        <v>182979</v>
      </c>
      <c r="K246" s="56">
        <v>120716</v>
      </c>
      <c r="L246" s="57">
        <v>0.16</v>
      </c>
      <c r="M246" s="57">
        <v>0.42</v>
      </c>
      <c r="N246" s="57">
        <v>0.57999999999999996</v>
      </c>
      <c r="O246" s="57">
        <v>0.78</v>
      </c>
      <c r="P246" s="57">
        <v>0.78</v>
      </c>
      <c r="Q246" s="57"/>
      <c r="R246" s="57"/>
      <c r="S246" s="56">
        <v>12</v>
      </c>
      <c r="V246"/>
      <c r="W246"/>
      <c r="X246"/>
    </row>
    <row r="247" spans="1:24" x14ac:dyDescent="0.35">
      <c r="A247" s="23">
        <v>44897</v>
      </c>
      <c r="B247" s="38" t="s">
        <v>53</v>
      </c>
      <c r="C247" s="38" t="s">
        <v>60</v>
      </c>
      <c r="D247" s="1">
        <v>1350</v>
      </c>
      <c r="E247" s="1">
        <v>832</v>
      </c>
      <c r="F247" s="19">
        <v>-0.11125740618828177</v>
      </c>
      <c r="G247" s="19">
        <v>-0.1111111111111111</v>
      </c>
      <c r="H247" s="1">
        <v>2726</v>
      </c>
      <c r="I247" s="1">
        <v>1624</v>
      </c>
      <c r="J247" s="1">
        <v>184329</v>
      </c>
      <c r="K247" s="1">
        <v>121548</v>
      </c>
      <c r="L247" s="18">
        <v>0.16</v>
      </c>
      <c r="M247" s="18">
        <v>0.38</v>
      </c>
      <c r="N247" s="18">
        <v>0.62</v>
      </c>
      <c r="O247" s="18">
        <v>0.77</v>
      </c>
      <c r="P247" s="18">
        <v>0.77</v>
      </c>
      <c r="Q247" s="18"/>
      <c r="R247" s="18"/>
      <c r="S247" s="1">
        <v>13</v>
      </c>
    </row>
    <row r="248" spans="1:24" x14ac:dyDescent="0.35">
      <c r="A248" s="23">
        <v>44898</v>
      </c>
      <c r="B248" s="38" t="s">
        <v>54</v>
      </c>
      <c r="C248" s="38" t="s">
        <v>60</v>
      </c>
      <c r="D248" s="1">
        <v>862</v>
      </c>
      <c r="E248" s="1">
        <v>619</v>
      </c>
      <c r="F248" s="19">
        <v>4.662004662004662E-3</v>
      </c>
      <c r="G248" s="19">
        <v>7.6521739130434779E-2</v>
      </c>
      <c r="H248" s="1">
        <v>3588</v>
      </c>
      <c r="I248" s="1">
        <v>2243</v>
      </c>
      <c r="J248" s="1">
        <v>185191</v>
      </c>
      <c r="K248" s="1">
        <v>122167</v>
      </c>
      <c r="L248" s="18">
        <v>0.3</v>
      </c>
      <c r="M248" s="18">
        <v>0.28000000000000003</v>
      </c>
      <c r="N248" s="18">
        <v>0.72</v>
      </c>
      <c r="O248" s="18">
        <v>0.72</v>
      </c>
      <c r="P248" s="18">
        <v>0.83</v>
      </c>
      <c r="Q248" s="18"/>
      <c r="R248" s="18"/>
      <c r="S248" s="1">
        <v>14</v>
      </c>
    </row>
    <row r="249" spans="1:24" x14ac:dyDescent="0.35">
      <c r="A249" s="23">
        <v>44899</v>
      </c>
      <c r="B249" s="38" t="s">
        <v>48</v>
      </c>
      <c r="C249" s="38" t="s">
        <v>60</v>
      </c>
      <c r="D249" s="1">
        <v>0</v>
      </c>
      <c r="E249" s="1">
        <v>0</v>
      </c>
      <c r="F249" s="76">
        <v>0</v>
      </c>
      <c r="G249" s="76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/>
      <c r="R249" s="1"/>
      <c r="S249" s="1">
        <v>0</v>
      </c>
    </row>
    <row r="250" spans="1:24" x14ac:dyDescent="0.35">
      <c r="A250" s="23">
        <v>44900</v>
      </c>
      <c r="B250" s="38" t="s">
        <v>49</v>
      </c>
      <c r="C250" s="38" t="s">
        <v>60</v>
      </c>
      <c r="D250" s="1">
        <v>1492</v>
      </c>
      <c r="E250" s="1">
        <v>923</v>
      </c>
      <c r="F250" s="19">
        <v>-0.19132791327913279</v>
      </c>
      <c r="G250" s="19">
        <v>0.23560910307898258</v>
      </c>
      <c r="H250" s="1">
        <v>5080</v>
      </c>
      <c r="I250" s="1">
        <v>3166</v>
      </c>
      <c r="J250" s="1">
        <v>186683</v>
      </c>
      <c r="K250" s="1">
        <v>123090</v>
      </c>
      <c r="L250" s="18">
        <v>0.25</v>
      </c>
      <c r="M250" s="18">
        <v>0.38</v>
      </c>
      <c r="N250" s="18">
        <v>0.62</v>
      </c>
      <c r="O250" s="18">
        <v>0.78</v>
      </c>
      <c r="P250" s="18">
        <v>0.78</v>
      </c>
      <c r="Q250" s="18"/>
      <c r="R250" s="18"/>
      <c r="S250" s="1">
        <v>13</v>
      </c>
    </row>
    <row r="251" spans="1:24" x14ac:dyDescent="0.35">
      <c r="A251" s="23">
        <v>44901</v>
      </c>
      <c r="B251" s="38" t="s">
        <v>50</v>
      </c>
      <c r="C251" s="38" t="s">
        <v>60</v>
      </c>
      <c r="D251" s="1">
        <v>1341</v>
      </c>
      <c r="E251" s="1">
        <v>879</v>
      </c>
      <c r="F251" s="19">
        <v>-0.14093529788597053</v>
      </c>
      <c r="G251" s="19">
        <v>0.14602346805736635</v>
      </c>
      <c r="H251" s="1">
        <v>6421</v>
      </c>
      <c r="I251" s="1">
        <v>4045</v>
      </c>
      <c r="J251" s="1">
        <v>188024</v>
      </c>
      <c r="K251" s="1">
        <v>123969</v>
      </c>
      <c r="L251" s="18">
        <v>0.27</v>
      </c>
      <c r="M251" s="18">
        <v>0.34</v>
      </c>
      <c r="N251" s="18">
        <v>0.66</v>
      </c>
      <c r="O251" s="18">
        <v>0.74</v>
      </c>
      <c r="P251" s="18">
        <v>0.77</v>
      </c>
      <c r="Q251" s="18"/>
      <c r="R251" s="18"/>
      <c r="S251" s="1">
        <v>14</v>
      </c>
    </row>
    <row r="252" spans="1:24" x14ac:dyDescent="0.35">
      <c r="A252" s="23">
        <v>44902</v>
      </c>
      <c r="B252" s="38" t="s">
        <v>51</v>
      </c>
      <c r="C252" s="38" t="s">
        <v>60</v>
      </c>
      <c r="D252" s="1">
        <v>1277</v>
      </c>
      <c r="E252" s="1">
        <v>921</v>
      </c>
      <c r="F252" s="19">
        <v>-0.16097240473061761</v>
      </c>
      <c r="G252" s="19">
        <v>8.352941176470588E-2</v>
      </c>
      <c r="H252" s="1">
        <v>7698</v>
      </c>
      <c r="I252" s="1">
        <v>4966</v>
      </c>
      <c r="J252" s="1">
        <v>189301</v>
      </c>
      <c r="K252" s="1">
        <v>124890</v>
      </c>
      <c r="L252" s="18">
        <v>0.36</v>
      </c>
      <c r="M252" s="18">
        <v>0.28000000000000003</v>
      </c>
      <c r="N252" s="18">
        <v>0.72</v>
      </c>
      <c r="O252" s="18">
        <v>0.81</v>
      </c>
      <c r="P252" s="18">
        <v>0.76</v>
      </c>
      <c r="Q252" s="18"/>
      <c r="R252" s="18"/>
      <c r="S252" s="1">
        <v>13</v>
      </c>
    </row>
    <row r="253" spans="1:24" x14ac:dyDescent="0.35">
      <c r="A253" s="23">
        <v>44903</v>
      </c>
      <c r="B253" s="38" t="s">
        <v>52</v>
      </c>
      <c r="C253" s="38" t="s">
        <v>60</v>
      </c>
      <c r="D253" s="1">
        <v>1409</v>
      </c>
      <c r="E253" s="1">
        <v>765</v>
      </c>
      <c r="F253" s="19">
        <v>2.3982558139534885E-2</v>
      </c>
      <c r="G253" s="19">
        <v>-3.4090909090909088E-2</v>
      </c>
      <c r="H253" s="1">
        <v>9107</v>
      </c>
      <c r="I253" s="1">
        <v>5731</v>
      </c>
      <c r="J253" s="1">
        <v>190710</v>
      </c>
      <c r="K253" s="1">
        <v>125655</v>
      </c>
      <c r="L253" s="18">
        <v>0.19</v>
      </c>
      <c r="M253" s="18">
        <v>0.46</v>
      </c>
      <c r="N253" s="18">
        <v>0.54</v>
      </c>
      <c r="O253" s="18">
        <v>0.8</v>
      </c>
      <c r="P253" s="18">
        <v>0.78</v>
      </c>
      <c r="Q253" s="18"/>
      <c r="R253" s="18"/>
      <c r="S253" s="1">
        <v>13</v>
      </c>
    </row>
    <row r="254" spans="1:24" x14ac:dyDescent="0.35">
      <c r="A254" s="23">
        <v>44904</v>
      </c>
      <c r="B254" s="38" t="s">
        <v>53</v>
      </c>
      <c r="C254" s="38" t="s">
        <v>60</v>
      </c>
      <c r="D254" s="1">
        <v>1143</v>
      </c>
      <c r="E254" s="1">
        <v>879</v>
      </c>
      <c r="F254" s="19">
        <v>-0.15333333333333332</v>
      </c>
      <c r="G254" s="19">
        <v>5.6490384615384616E-2</v>
      </c>
      <c r="H254" s="1">
        <v>10250</v>
      </c>
      <c r="I254" s="1">
        <v>6610</v>
      </c>
      <c r="J254" s="1">
        <v>191853</v>
      </c>
      <c r="K254" s="1">
        <v>126534</v>
      </c>
      <c r="L254" s="18">
        <v>0.39</v>
      </c>
      <c r="M254" s="18">
        <v>0.23</v>
      </c>
      <c r="N254" s="18">
        <v>0.77</v>
      </c>
      <c r="O254" s="18">
        <v>0.74</v>
      </c>
      <c r="P254" s="18">
        <v>0.79</v>
      </c>
      <c r="Q254" s="18"/>
      <c r="R254" s="18"/>
      <c r="S254" s="1">
        <v>12</v>
      </c>
    </row>
    <row r="255" spans="1:24" x14ac:dyDescent="0.35">
      <c r="A255" s="23">
        <v>44905</v>
      </c>
      <c r="B255" s="38" t="s">
        <v>54</v>
      </c>
      <c r="C255" s="38" t="s">
        <v>60</v>
      </c>
      <c r="D255" s="1">
        <v>804</v>
      </c>
      <c r="E255" s="1">
        <v>656</v>
      </c>
      <c r="F255" s="19">
        <v>-6.7285382830626447E-2</v>
      </c>
      <c r="G255" s="19">
        <v>5.9773828756058162E-2</v>
      </c>
      <c r="H255" s="1">
        <v>11054</v>
      </c>
      <c r="I255" s="1">
        <v>7266</v>
      </c>
      <c r="J255" s="1">
        <v>192657</v>
      </c>
      <c r="K255" s="1">
        <v>127190</v>
      </c>
      <c r="L255" s="18">
        <v>0.47</v>
      </c>
      <c r="M255" s="18">
        <v>0.23</v>
      </c>
      <c r="N255" s="18">
        <v>0.77</v>
      </c>
      <c r="O255" s="18">
        <v>0.72</v>
      </c>
      <c r="P255" s="18">
        <v>0.86</v>
      </c>
      <c r="Q255" s="18"/>
      <c r="R255" s="18"/>
      <c r="S255" s="1">
        <v>15</v>
      </c>
    </row>
    <row r="256" spans="1:24" x14ac:dyDescent="0.35">
      <c r="A256" s="23">
        <v>44906</v>
      </c>
      <c r="B256" s="38" t="s">
        <v>48</v>
      </c>
      <c r="C256" s="38" t="s">
        <v>60</v>
      </c>
      <c r="D256" s="1">
        <v>0</v>
      </c>
      <c r="E256" s="1">
        <v>0</v>
      </c>
      <c r="F256" s="19">
        <v>0</v>
      </c>
      <c r="G256" s="19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/>
      <c r="R256" s="1"/>
      <c r="S256" s="1">
        <v>0</v>
      </c>
    </row>
    <row r="257" spans="1:24" x14ac:dyDescent="0.35">
      <c r="A257" s="23">
        <v>44907</v>
      </c>
      <c r="B257" s="38" t="s">
        <v>49</v>
      </c>
      <c r="C257" s="38" t="s">
        <v>60</v>
      </c>
      <c r="D257" s="1">
        <v>1382</v>
      </c>
      <c r="E257" s="1">
        <v>1035</v>
      </c>
      <c r="F257" s="19">
        <v>-7.3726541554959779E-2</v>
      </c>
      <c r="G257" s="19">
        <v>0.12134344528710726</v>
      </c>
      <c r="H257" s="1">
        <v>12436</v>
      </c>
      <c r="I257" s="1">
        <v>8301</v>
      </c>
      <c r="J257" s="1">
        <v>194039</v>
      </c>
      <c r="K257" s="1">
        <v>128225</v>
      </c>
      <c r="L257" s="18">
        <v>0.28000000000000003</v>
      </c>
      <c r="M257" s="18">
        <v>0.25</v>
      </c>
      <c r="N257" s="18">
        <v>0.75</v>
      </c>
      <c r="O257" s="18">
        <v>0.83</v>
      </c>
      <c r="P257" s="18">
        <v>0.86</v>
      </c>
      <c r="Q257" s="18"/>
      <c r="R257" s="18"/>
      <c r="S257" s="1">
        <v>14</v>
      </c>
    </row>
    <row r="258" spans="1:24" x14ac:dyDescent="0.35">
      <c r="A258" s="23">
        <v>44908</v>
      </c>
      <c r="B258" s="38" t="s">
        <v>50</v>
      </c>
      <c r="C258" s="38" t="s">
        <v>60</v>
      </c>
      <c r="D258" s="1">
        <v>1311</v>
      </c>
      <c r="E258" s="1">
        <v>887</v>
      </c>
      <c r="F258" s="19">
        <v>-2.2371364653243849E-2</v>
      </c>
      <c r="G258" s="19">
        <v>9.1012514220705342E-3</v>
      </c>
      <c r="H258" s="1">
        <v>13747</v>
      </c>
      <c r="I258" s="1">
        <v>9188</v>
      </c>
      <c r="J258" s="1">
        <v>195350</v>
      </c>
      <c r="K258" s="1">
        <v>129112</v>
      </c>
      <c r="L258" s="18">
        <v>0.27</v>
      </c>
      <c r="M258" s="18">
        <v>0.32</v>
      </c>
      <c r="N258" s="18">
        <v>0.68</v>
      </c>
      <c r="O258" s="18">
        <v>0.75</v>
      </c>
      <c r="P258" s="18">
        <v>0.77</v>
      </c>
      <c r="Q258" s="18"/>
      <c r="R258" s="18"/>
      <c r="S258" s="1">
        <v>13</v>
      </c>
    </row>
    <row r="259" spans="1:24" x14ac:dyDescent="0.35">
      <c r="A259" s="23">
        <v>44909</v>
      </c>
      <c r="B259" s="38" t="s">
        <v>51</v>
      </c>
      <c r="C259" s="38" t="s">
        <v>60</v>
      </c>
      <c r="D259" s="1">
        <v>1340</v>
      </c>
      <c r="E259" s="1">
        <v>901</v>
      </c>
      <c r="F259" s="19">
        <v>4.9334377447141739E-2</v>
      </c>
      <c r="G259" s="19">
        <v>-2.1715526601520086E-2</v>
      </c>
      <c r="H259" s="1">
        <v>15087</v>
      </c>
      <c r="I259" s="1">
        <v>10089</v>
      </c>
      <c r="J259" s="1">
        <v>196690</v>
      </c>
      <c r="K259" s="1">
        <v>130013</v>
      </c>
      <c r="L259" s="18">
        <v>0.25</v>
      </c>
      <c r="M259" s="18">
        <v>0.33</v>
      </c>
      <c r="N259" s="18">
        <v>0.67</v>
      </c>
      <c r="O259" s="18">
        <v>0.75</v>
      </c>
      <c r="P259" s="18">
        <v>0.76</v>
      </c>
      <c r="Q259" s="18"/>
      <c r="R259" s="18"/>
      <c r="S259" s="1">
        <v>14</v>
      </c>
    </row>
    <row r="260" spans="1:24" x14ac:dyDescent="0.35">
      <c r="A260" s="23">
        <v>44910</v>
      </c>
      <c r="B260" s="38" t="s">
        <v>52</v>
      </c>
      <c r="C260" s="38" t="s">
        <v>60</v>
      </c>
      <c r="D260" s="1">
        <v>1353</v>
      </c>
      <c r="E260" s="1">
        <v>915</v>
      </c>
      <c r="F260" s="19">
        <v>-3.9744499645138397E-2</v>
      </c>
      <c r="G260" s="19">
        <v>0.19607843137254902</v>
      </c>
      <c r="H260" s="1">
        <v>16440</v>
      </c>
      <c r="I260" s="1">
        <v>11004</v>
      </c>
      <c r="J260" s="1">
        <v>198043</v>
      </c>
      <c r="K260" s="1">
        <v>130928</v>
      </c>
      <c r="L260" s="18">
        <v>0.28000000000000003</v>
      </c>
      <c r="M260" s="18">
        <v>0.32</v>
      </c>
      <c r="N260" s="18">
        <v>0.68</v>
      </c>
      <c r="O260" s="18">
        <v>0.79</v>
      </c>
      <c r="P260" s="18">
        <v>0.79</v>
      </c>
      <c r="Q260" s="18"/>
      <c r="R260" s="18"/>
      <c r="S260" s="1">
        <v>14</v>
      </c>
    </row>
    <row r="261" spans="1:24" x14ac:dyDescent="0.35">
      <c r="A261" s="23">
        <v>44911</v>
      </c>
      <c r="B261" s="38" t="s">
        <v>53</v>
      </c>
      <c r="C261" s="38" t="s">
        <v>60</v>
      </c>
      <c r="D261" s="1">
        <v>1269</v>
      </c>
      <c r="E261" s="1">
        <v>913</v>
      </c>
      <c r="F261" s="19">
        <v>0.11023622047244094</v>
      </c>
      <c r="G261" s="19">
        <v>3.8680318543799774E-2</v>
      </c>
      <c r="H261" s="1">
        <v>17709</v>
      </c>
      <c r="I261" s="1">
        <v>11917</v>
      </c>
      <c r="J261" s="1">
        <v>199312</v>
      </c>
      <c r="K261" s="1">
        <v>131841</v>
      </c>
      <c r="L261" s="18">
        <v>0.23</v>
      </c>
      <c r="M261" s="18">
        <v>0.28000000000000003</v>
      </c>
      <c r="N261" s="18">
        <v>0.72</v>
      </c>
      <c r="O261" s="18">
        <v>0.72</v>
      </c>
      <c r="P261" s="18">
        <v>0.79</v>
      </c>
      <c r="Q261" s="18"/>
      <c r="R261" s="18"/>
      <c r="S261" s="1">
        <v>15</v>
      </c>
    </row>
    <row r="262" spans="1:24" x14ac:dyDescent="0.35">
      <c r="A262" s="23">
        <v>44912</v>
      </c>
      <c r="B262" s="38" t="s">
        <v>54</v>
      </c>
      <c r="C262" s="38" t="s">
        <v>60</v>
      </c>
      <c r="D262" s="1">
        <v>837</v>
      </c>
      <c r="E262" s="1">
        <v>682</v>
      </c>
      <c r="F262" s="19">
        <v>4.1044776119402986E-2</v>
      </c>
      <c r="G262" s="19">
        <v>3.9634146341463415E-2</v>
      </c>
      <c r="H262" s="1">
        <v>18546</v>
      </c>
      <c r="I262" s="1">
        <v>12599</v>
      </c>
      <c r="J262" s="1">
        <v>200149</v>
      </c>
      <c r="K262" s="1">
        <v>132523</v>
      </c>
      <c r="L262" s="18">
        <v>0.43</v>
      </c>
      <c r="M262" s="18">
        <v>0.19</v>
      </c>
      <c r="N262" s="18">
        <v>0.81</v>
      </c>
      <c r="O262" s="18">
        <v>0.8</v>
      </c>
      <c r="P262" s="18">
        <v>0.88</v>
      </c>
      <c r="Q262" s="18"/>
      <c r="R262" s="18"/>
      <c r="S262" s="1">
        <v>14</v>
      </c>
    </row>
    <row r="263" spans="1:24" x14ac:dyDescent="0.35">
      <c r="A263" s="23">
        <v>44913</v>
      </c>
      <c r="B263" s="38" t="s">
        <v>48</v>
      </c>
      <c r="C263" s="38" t="s">
        <v>60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/>
      <c r="R263" s="1"/>
      <c r="S263" s="1">
        <v>0</v>
      </c>
      <c r="V263" s="54"/>
      <c r="W263" s="54"/>
      <c r="X263" s="54"/>
    </row>
    <row r="264" spans="1:24" x14ac:dyDescent="0.35">
      <c r="A264" s="23">
        <v>44914</v>
      </c>
      <c r="B264" s="38" t="s">
        <v>49</v>
      </c>
      <c r="C264" s="38" t="s">
        <v>60</v>
      </c>
      <c r="D264" s="1">
        <v>1623</v>
      </c>
      <c r="E264" s="1">
        <v>870</v>
      </c>
      <c r="F264" s="19">
        <f t="shared" ref="F264:G269" si="1">(D264-D257)/D257</f>
        <v>0.17438494934876989</v>
      </c>
      <c r="G264" s="19">
        <f t="shared" si="1"/>
        <v>-0.15942028985507245</v>
      </c>
      <c r="H264" s="1">
        <f>H262+D264</f>
        <v>20169</v>
      </c>
      <c r="I264" s="1">
        <f>I262+E264</f>
        <v>13469</v>
      </c>
      <c r="J264" s="1">
        <f>J262+D264</f>
        <v>201772</v>
      </c>
      <c r="K264" s="1">
        <f>K262+E264</f>
        <v>133393</v>
      </c>
      <c r="L264" s="18">
        <v>0.17</v>
      </c>
      <c r="M264" s="18">
        <v>0.46</v>
      </c>
      <c r="N264" s="18">
        <v>0.54</v>
      </c>
      <c r="O264" s="18">
        <v>0.78</v>
      </c>
      <c r="P264" s="18">
        <v>0.78</v>
      </c>
      <c r="Q264" s="18"/>
      <c r="R264" s="18"/>
      <c r="S264" s="1">
        <v>13</v>
      </c>
    </row>
    <row r="265" spans="1:24" x14ac:dyDescent="0.35">
      <c r="A265" s="23">
        <v>44915</v>
      </c>
      <c r="B265" s="38" t="s">
        <v>50</v>
      </c>
      <c r="C265" s="38" t="s">
        <v>60</v>
      </c>
      <c r="D265" s="1">
        <v>1501</v>
      </c>
      <c r="E265" s="1">
        <v>990</v>
      </c>
      <c r="F265" s="19">
        <f t="shared" si="1"/>
        <v>0.14492753623188406</v>
      </c>
      <c r="G265" s="19">
        <f t="shared" si="1"/>
        <v>0.1161217587373168</v>
      </c>
      <c r="H265" s="1">
        <f t="shared" ref="H265:I269" si="2">H264+D265</f>
        <v>21670</v>
      </c>
      <c r="I265" s="1">
        <f t="shared" si="2"/>
        <v>14459</v>
      </c>
      <c r="J265" s="1">
        <f t="shared" ref="J265:K269" si="3">J264+D265</f>
        <v>203273</v>
      </c>
      <c r="K265" s="1">
        <f t="shared" si="3"/>
        <v>134383</v>
      </c>
      <c r="L265" s="18">
        <v>0.19</v>
      </c>
      <c r="M265" s="18">
        <v>0.34</v>
      </c>
      <c r="N265" s="18">
        <v>0.66</v>
      </c>
      <c r="O265" s="18">
        <v>0.79</v>
      </c>
      <c r="P265" s="18">
        <v>0.77</v>
      </c>
      <c r="Q265" s="18"/>
      <c r="R265" s="18"/>
      <c r="S265" s="1">
        <v>15</v>
      </c>
    </row>
    <row r="266" spans="1:24" x14ac:dyDescent="0.35">
      <c r="A266" s="23">
        <v>44916</v>
      </c>
      <c r="B266" s="38" t="s">
        <v>51</v>
      </c>
      <c r="C266" s="38" t="s">
        <v>60</v>
      </c>
      <c r="D266" s="1">
        <v>1438</v>
      </c>
      <c r="E266" s="1">
        <v>877</v>
      </c>
      <c r="F266" s="19">
        <f t="shared" si="1"/>
        <v>7.3134328358208961E-2</v>
      </c>
      <c r="G266" s="19">
        <f t="shared" si="1"/>
        <v>-2.6637069922308545E-2</v>
      </c>
      <c r="H266" s="1">
        <f t="shared" si="2"/>
        <v>23108</v>
      </c>
      <c r="I266" s="1">
        <f t="shared" si="2"/>
        <v>15336</v>
      </c>
      <c r="J266" s="1">
        <f t="shared" si="3"/>
        <v>204711</v>
      </c>
      <c r="K266" s="1">
        <f t="shared" si="3"/>
        <v>135260</v>
      </c>
      <c r="L266" s="18">
        <v>0.19</v>
      </c>
      <c r="M266" s="18">
        <v>0.39</v>
      </c>
      <c r="N266" s="18">
        <v>0.61</v>
      </c>
      <c r="O266" s="18">
        <v>0.74</v>
      </c>
      <c r="P266" s="18">
        <v>0.8</v>
      </c>
      <c r="Q266" s="18"/>
      <c r="R266" s="18"/>
      <c r="S266" s="1">
        <v>13</v>
      </c>
    </row>
    <row r="267" spans="1:24" x14ac:dyDescent="0.35">
      <c r="A267" s="23">
        <v>44917</v>
      </c>
      <c r="B267" s="38" t="s">
        <v>52</v>
      </c>
      <c r="C267" s="38" t="s">
        <v>60</v>
      </c>
      <c r="D267" s="1">
        <v>1540</v>
      </c>
      <c r="E267" s="1">
        <v>765</v>
      </c>
      <c r="F267" s="19">
        <f t="shared" si="1"/>
        <v>0.13821138211382114</v>
      </c>
      <c r="G267" s="19">
        <f t="shared" si="1"/>
        <v>-0.16393442622950818</v>
      </c>
      <c r="H267" s="1">
        <f t="shared" si="2"/>
        <v>24648</v>
      </c>
      <c r="I267" s="1">
        <f t="shared" si="2"/>
        <v>16101</v>
      </c>
      <c r="J267" s="1">
        <f t="shared" si="3"/>
        <v>206251</v>
      </c>
      <c r="K267" s="1">
        <f t="shared" si="3"/>
        <v>136025</v>
      </c>
      <c r="L267" s="18">
        <v>0.13</v>
      </c>
      <c r="M267" s="18">
        <v>0.5</v>
      </c>
      <c r="N267" s="18">
        <v>0.5</v>
      </c>
      <c r="O267" s="18">
        <v>0.76</v>
      </c>
      <c r="P267" s="18">
        <v>0.82</v>
      </c>
      <c r="Q267" s="18"/>
      <c r="R267" s="18"/>
      <c r="S267" s="1">
        <v>14</v>
      </c>
    </row>
    <row r="268" spans="1:24" x14ac:dyDescent="0.35">
      <c r="A268" s="23">
        <v>44918</v>
      </c>
      <c r="B268" s="38" t="s">
        <v>53</v>
      </c>
      <c r="C268" s="38" t="s">
        <v>60</v>
      </c>
      <c r="D268" s="1">
        <v>1283</v>
      </c>
      <c r="E268" s="1">
        <v>708</v>
      </c>
      <c r="F268" s="19">
        <f t="shared" si="1"/>
        <v>1.103230890464933E-2</v>
      </c>
      <c r="G268" s="19">
        <f t="shared" si="1"/>
        <v>-0.22453450164293537</v>
      </c>
      <c r="H268" s="1">
        <f t="shared" si="2"/>
        <v>25931</v>
      </c>
      <c r="I268" s="1">
        <f t="shared" si="2"/>
        <v>16809</v>
      </c>
      <c r="J268" s="1">
        <f t="shared" si="3"/>
        <v>207534</v>
      </c>
      <c r="K268" s="1">
        <f t="shared" si="3"/>
        <v>136733</v>
      </c>
      <c r="L268" s="18">
        <v>0.16</v>
      </c>
      <c r="M268" s="18">
        <v>0.45</v>
      </c>
      <c r="N268" s="18">
        <v>0.55000000000000004</v>
      </c>
      <c r="O268" s="18">
        <v>0.86</v>
      </c>
      <c r="P268" s="18">
        <v>0.8</v>
      </c>
      <c r="Q268" s="18"/>
      <c r="R268" s="18"/>
      <c r="S268" s="1">
        <v>11</v>
      </c>
    </row>
    <row r="269" spans="1:24" x14ac:dyDescent="0.35">
      <c r="A269" s="23">
        <v>44919</v>
      </c>
      <c r="B269" s="38" t="s">
        <v>54</v>
      </c>
      <c r="C269" s="38" t="s">
        <v>60</v>
      </c>
      <c r="D269" s="1">
        <v>379</v>
      </c>
      <c r="E269" s="1">
        <v>366</v>
      </c>
      <c r="F269" s="19">
        <f t="shared" si="1"/>
        <v>-0.54719235364396657</v>
      </c>
      <c r="G269" s="19">
        <f t="shared" si="1"/>
        <v>-0.4633431085043988</v>
      </c>
      <c r="H269" s="1">
        <f t="shared" si="2"/>
        <v>26310</v>
      </c>
      <c r="I269" s="1">
        <f t="shared" si="2"/>
        <v>17175</v>
      </c>
      <c r="J269" s="1">
        <f t="shared" si="3"/>
        <v>207913</v>
      </c>
      <c r="K269" s="1">
        <f t="shared" si="3"/>
        <v>137099</v>
      </c>
      <c r="L269" s="18">
        <v>0.83</v>
      </c>
      <c r="M269" s="18">
        <v>0.03</v>
      </c>
      <c r="N269" s="18">
        <v>0.97</v>
      </c>
      <c r="O269" s="18">
        <v>0.48</v>
      </c>
      <c r="P269" s="18">
        <v>0.86</v>
      </c>
      <c r="Q269" s="18"/>
      <c r="R269" s="18"/>
      <c r="S269" s="1">
        <v>12</v>
      </c>
    </row>
    <row r="270" spans="1:24" x14ac:dyDescent="0.35">
      <c r="A270" s="23">
        <v>44920</v>
      </c>
      <c r="B270" s="38" t="s">
        <v>48</v>
      </c>
      <c r="C270" s="38" t="s">
        <v>60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/>
      <c r="R270" s="1"/>
      <c r="S270" s="1">
        <v>0</v>
      </c>
    </row>
    <row r="271" spans="1:24" x14ac:dyDescent="0.35">
      <c r="A271" s="23">
        <v>44921</v>
      </c>
      <c r="B271" s="38" t="s">
        <v>49</v>
      </c>
      <c r="C271" s="38" t="s">
        <v>60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/>
      <c r="R271" s="1"/>
      <c r="S271" s="1">
        <v>0</v>
      </c>
    </row>
    <row r="272" spans="1:24" x14ac:dyDescent="0.35">
      <c r="A272" s="23">
        <v>44922</v>
      </c>
      <c r="B272" s="38" t="s">
        <v>50</v>
      </c>
      <c r="C272" s="38" t="s">
        <v>60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/>
      <c r="R272" s="1"/>
      <c r="S272" s="1">
        <v>0</v>
      </c>
    </row>
    <row r="273" spans="1:24" x14ac:dyDescent="0.35">
      <c r="A273" s="23">
        <v>44923</v>
      </c>
      <c r="B273" s="38" t="s">
        <v>51</v>
      </c>
      <c r="C273" s="38" t="s">
        <v>60</v>
      </c>
      <c r="D273" s="1">
        <v>1217</v>
      </c>
      <c r="E273" s="1">
        <v>933</v>
      </c>
      <c r="F273" s="19">
        <f t="shared" ref="F273:G276" si="4">(D273-D266)/D266</f>
        <v>-0.15368567454798332</v>
      </c>
      <c r="G273" s="19">
        <f t="shared" si="4"/>
        <v>6.385404789053592E-2</v>
      </c>
      <c r="H273" s="1">
        <f>H269+D273</f>
        <v>27527</v>
      </c>
      <c r="I273" s="1">
        <f>I269+E273</f>
        <v>18108</v>
      </c>
      <c r="J273" s="1">
        <f>J269+D273</f>
        <v>209130</v>
      </c>
      <c r="K273" s="1">
        <f>K269+E273</f>
        <v>138032</v>
      </c>
      <c r="L273" s="18">
        <v>0.27</v>
      </c>
      <c r="M273" s="18">
        <v>0.23</v>
      </c>
      <c r="N273" s="18">
        <v>0.77</v>
      </c>
      <c r="O273" s="18">
        <v>0.77</v>
      </c>
      <c r="P273" s="18">
        <v>0.82</v>
      </c>
      <c r="Q273" s="18"/>
      <c r="R273" s="18"/>
      <c r="S273" s="1">
        <v>13</v>
      </c>
    </row>
    <row r="274" spans="1:24" x14ac:dyDescent="0.35">
      <c r="A274" s="23">
        <v>44924</v>
      </c>
      <c r="B274" s="38" t="s">
        <v>52</v>
      </c>
      <c r="C274" s="38" t="s">
        <v>60</v>
      </c>
      <c r="D274" s="1">
        <v>1031</v>
      </c>
      <c r="E274" s="1">
        <v>727</v>
      </c>
      <c r="F274" s="19">
        <f t="shared" si="4"/>
        <v>-0.33051948051948055</v>
      </c>
      <c r="G274" s="19">
        <f t="shared" si="4"/>
        <v>-4.9673202614379082E-2</v>
      </c>
      <c r="H274" s="1">
        <f t="shared" ref="H274:I276" si="5">H273+D274</f>
        <v>28558</v>
      </c>
      <c r="I274" s="1">
        <f t="shared" si="5"/>
        <v>18835</v>
      </c>
      <c r="J274" s="1">
        <f t="shared" ref="J274:K276" si="6">J273+D274</f>
        <v>210161</v>
      </c>
      <c r="K274" s="1">
        <f t="shared" si="6"/>
        <v>138759</v>
      </c>
      <c r="L274" s="18">
        <v>0.32</v>
      </c>
      <c r="M274" s="18">
        <v>0.28999999999999998</v>
      </c>
      <c r="N274" s="18">
        <v>0.71</v>
      </c>
      <c r="O274" s="18">
        <v>0.76</v>
      </c>
      <c r="P274" s="18">
        <v>0.8</v>
      </c>
      <c r="Q274" s="18"/>
      <c r="R274" s="18"/>
      <c r="S274" s="1">
        <v>11</v>
      </c>
    </row>
    <row r="275" spans="1:24" x14ac:dyDescent="0.35">
      <c r="A275" s="23">
        <v>44925</v>
      </c>
      <c r="B275" s="38" t="s">
        <v>53</v>
      </c>
      <c r="C275" s="38" t="s">
        <v>60</v>
      </c>
      <c r="D275" s="1">
        <v>960</v>
      </c>
      <c r="E275" s="1">
        <v>752</v>
      </c>
      <c r="F275" s="19">
        <f t="shared" si="4"/>
        <v>-0.25175370226032734</v>
      </c>
      <c r="G275" s="19">
        <f t="shared" si="4"/>
        <v>6.2146892655367235E-2</v>
      </c>
      <c r="H275" s="1">
        <f t="shared" si="5"/>
        <v>29518</v>
      </c>
      <c r="I275" s="1">
        <f t="shared" si="5"/>
        <v>19587</v>
      </c>
      <c r="J275" s="1">
        <f t="shared" si="6"/>
        <v>211121</v>
      </c>
      <c r="K275" s="1">
        <f t="shared" si="6"/>
        <v>139511</v>
      </c>
      <c r="L275" s="18">
        <v>0.39</v>
      </c>
      <c r="M275" s="18">
        <v>0.22</v>
      </c>
      <c r="N275" s="18">
        <v>0.78</v>
      </c>
      <c r="O275" s="18">
        <v>0.76</v>
      </c>
      <c r="P275" s="18">
        <v>0.79</v>
      </c>
      <c r="Q275" s="18"/>
      <c r="R275" s="18"/>
      <c r="S275" s="1">
        <v>11</v>
      </c>
    </row>
    <row r="276" spans="1:24" x14ac:dyDescent="0.35">
      <c r="A276" s="23">
        <v>44926</v>
      </c>
      <c r="B276" s="38" t="s">
        <v>54</v>
      </c>
      <c r="C276" s="38" t="s">
        <v>60</v>
      </c>
      <c r="D276" s="1">
        <v>330</v>
      </c>
      <c r="E276" s="1">
        <v>307</v>
      </c>
      <c r="F276" s="19">
        <f t="shared" si="4"/>
        <v>-0.12928759894459102</v>
      </c>
      <c r="G276" s="19">
        <f t="shared" si="4"/>
        <v>-0.16120218579234974</v>
      </c>
      <c r="H276" s="1">
        <f t="shared" si="5"/>
        <v>29848</v>
      </c>
      <c r="I276" s="1">
        <f t="shared" si="5"/>
        <v>19894</v>
      </c>
      <c r="J276" s="1">
        <f t="shared" si="6"/>
        <v>211451</v>
      </c>
      <c r="K276" s="1">
        <f t="shared" si="6"/>
        <v>139818</v>
      </c>
      <c r="L276" s="18">
        <v>0.76</v>
      </c>
      <c r="M276" s="18">
        <v>7.0000000000000007E-2</v>
      </c>
      <c r="N276" s="18">
        <v>0.93</v>
      </c>
      <c r="O276" s="18">
        <v>0.41</v>
      </c>
      <c r="P276" s="18">
        <v>0.88</v>
      </c>
      <c r="Q276" s="18"/>
      <c r="R276" s="18"/>
      <c r="S276" s="1">
        <v>10</v>
      </c>
    </row>
    <row r="277" spans="1:24" s="54" customFormat="1" x14ac:dyDescent="0.35">
      <c r="A277" s="58">
        <v>44927</v>
      </c>
      <c r="B277" s="55" t="s">
        <v>48</v>
      </c>
      <c r="C277" s="55" t="s">
        <v>60</v>
      </c>
      <c r="D277" s="56">
        <v>0</v>
      </c>
      <c r="E277" s="56">
        <v>0</v>
      </c>
      <c r="F277" s="56">
        <v>0</v>
      </c>
      <c r="G277" s="56">
        <v>0</v>
      </c>
      <c r="H277" s="56">
        <v>0</v>
      </c>
      <c r="I277" s="56">
        <v>0</v>
      </c>
      <c r="J277" s="56">
        <v>0</v>
      </c>
      <c r="K277" s="56">
        <v>0</v>
      </c>
      <c r="L277" s="56">
        <v>0</v>
      </c>
      <c r="M277" s="56">
        <v>0</v>
      </c>
      <c r="N277" s="56">
        <v>0</v>
      </c>
      <c r="O277" s="56">
        <v>0</v>
      </c>
      <c r="P277" s="56">
        <v>0</v>
      </c>
      <c r="Q277" s="56"/>
      <c r="R277" s="56"/>
      <c r="S277" s="56">
        <v>0</v>
      </c>
      <c r="V277"/>
      <c r="W277"/>
      <c r="X277"/>
    </row>
    <row r="278" spans="1:24" x14ac:dyDescent="0.35">
      <c r="A278" s="23">
        <v>44928</v>
      </c>
      <c r="B278" s="38" t="s">
        <v>49</v>
      </c>
      <c r="C278" s="38" t="s">
        <v>60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/>
      <c r="R278" s="1"/>
      <c r="S278" s="1">
        <v>0</v>
      </c>
    </row>
    <row r="279" spans="1:24" x14ac:dyDescent="0.35">
      <c r="A279" s="23">
        <v>44929</v>
      </c>
      <c r="B279" s="38" t="s">
        <v>50</v>
      </c>
      <c r="C279" s="38" t="s">
        <v>60</v>
      </c>
      <c r="D279" s="1">
        <v>1069</v>
      </c>
      <c r="E279" s="1">
        <v>754</v>
      </c>
      <c r="F279" s="19">
        <f t="shared" ref="F279:G283" si="7">IFERROR(((D279-D272))/D272,0)</f>
        <v>0</v>
      </c>
      <c r="G279" s="19">
        <f t="shared" si="7"/>
        <v>0</v>
      </c>
      <c r="H279" s="1">
        <f>D279</f>
        <v>1069</v>
      </c>
      <c r="I279" s="1">
        <f>E279</f>
        <v>754</v>
      </c>
      <c r="J279" s="1">
        <f>J276+D279</f>
        <v>212520</v>
      </c>
      <c r="K279" s="1">
        <f>K276+E279</f>
        <v>140572</v>
      </c>
      <c r="L279" s="18">
        <v>0.28000000000000003</v>
      </c>
      <c r="M279" s="18">
        <v>0.28999999999999998</v>
      </c>
      <c r="N279" s="18">
        <v>0.71</v>
      </c>
      <c r="O279" s="18">
        <v>0.77</v>
      </c>
      <c r="P279" s="18">
        <v>0.75</v>
      </c>
      <c r="Q279" s="18"/>
      <c r="R279" s="18"/>
      <c r="S279" s="1">
        <v>11</v>
      </c>
    </row>
    <row r="280" spans="1:24" x14ac:dyDescent="0.35">
      <c r="A280" s="23">
        <v>44930</v>
      </c>
      <c r="B280" s="38" t="s">
        <v>51</v>
      </c>
      <c r="C280" s="38" t="s">
        <v>60</v>
      </c>
      <c r="D280" s="1">
        <v>814</v>
      </c>
      <c r="E280" s="1">
        <v>771</v>
      </c>
      <c r="F280" s="19">
        <f t="shared" si="7"/>
        <v>-0.33114215283483978</v>
      </c>
      <c r="G280" s="19">
        <f t="shared" si="7"/>
        <v>-0.17363344051446947</v>
      </c>
      <c r="H280" s="1">
        <f t="shared" ref="H280:I283" si="8">H279+D280</f>
        <v>1883</v>
      </c>
      <c r="I280" s="1">
        <f t="shared" si="8"/>
        <v>1525</v>
      </c>
      <c r="J280" s="1">
        <f t="shared" ref="J280:K283" si="9">J279+D280</f>
        <v>213334</v>
      </c>
      <c r="K280" s="1">
        <f t="shared" si="9"/>
        <v>141343</v>
      </c>
      <c r="L280" s="18">
        <v>0.81</v>
      </c>
      <c r="M280" s="18">
        <v>0.05</v>
      </c>
      <c r="N280" s="18">
        <v>0.95</v>
      </c>
      <c r="O280" s="18">
        <v>0.63</v>
      </c>
      <c r="P280" s="18">
        <v>0.77</v>
      </c>
      <c r="Q280" s="18"/>
      <c r="R280" s="18"/>
      <c r="S280" s="1">
        <v>13</v>
      </c>
    </row>
    <row r="281" spans="1:24" x14ac:dyDescent="0.35">
      <c r="A281" s="23">
        <v>44931</v>
      </c>
      <c r="B281" s="38" t="s">
        <v>52</v>
      </c>
      <c r="C281" s="38" t="s">
        <v>60</v>
      </c>
      <c r="D281" s="1">
        <v>857</v>
      </c>
      <c r="E281" s="1">
        <v>737</v>
      </c>
      <c r="F281" s="19">
        <f t="shared" si="7"/>
        <v>-0.1687681862269641</v>
      </c>
      <c r="G281" s="19">
        <f t="shared" si="7"/>
        <v>1.3755158184319119E-2</v>
      </c>
      <c r="H281" s="1">
        <f t="shared" si="8"/>
        <v>2740</v>
      </c>
      <c r="I281" s="1">
        <f t="shared" si="8"/>
        <v>2262</v>
      </c>
      <c r="J281" s="1">
        <f t="shared" si="9"/>
        <v>214191</v>
      </c>
      <c r="K281" s="1">
        <f t="shared" si="9"/>
        <v>142080</v>
      </c>
      <c r="L281" s="18">
        <v>0.53</v>
      </c>
      <c r="M281" s="18">
        <v>0.14000000000000001</v>
      </c>
      <c r="N281" s="18">
        <v>0.86</v>
      </c>
      <c r="O281" s="18">
        <v>0.69</v>
      </c>
      <c r="P281" s="18">
        <v>0.77</v>
      </c>
      <c r="Q281" s="18"/>
      <c r="R281" s="18"/>
      <c r="S281" s="1">
        <v>12</v>
      </c>
    </row>
    <row r="282" spans="1:24" x14ac:dyDescent="0.35">
      <c r="A282" s="23">
        <v>44932</v>
      </c>
      <c r="B282" s="38" t="s">
        <v>53</v>
      </c>
      <c r="C282" s="38" t="s">
        <v>60</v>
      </c>
      <c r="D282" s="1">
        <v>830</v>
      </c>
      <c r="E282" s="1">
        <v>729</v>
      </c>
      <c r="F282" s="19">
        <f t="shared" si="7"/>
        <v>-0.13541666666666666</v>
      </c>
      <c r="G282" s="19">
        <f t="shared" si="7"/>
        <v>-3.0585106382978722E-2</v>
      </c>
      <c r="H282" s="1">
        <f t="shared" si="8"/>
        <v>3570</v>
      </c>
      <c r="I282" s="1">
        <f t="shared" si="8"/>
        <v>2991</v>
      </c>
      <c r="J282" s="1">
        <f t="shared" si="9"/>
        <v>215021</v>
      </c>
      <c r="K282" s="1">
        <f t="shared" si="9"/>
        <v>142809</v>
      </c>
      <c r="L282" s="18">
        <v>0.56999999999999995</v>
      </c>
      <c r="M282" s="18">
        <v>0.88</v>
      </c>
      <c r="N282" s="18">
        <v>0.12</v>
      </c>
      <c r="O282" s="18">
        <v>0.66</v>
      </c>
      <c r="P282" s="18">
        <v>0.78</v>
      </c>
      <c r="Q282" s="18"/>
      <c r="R282" s="18"/>
      <c r="S282" s="1">
        <v>12</v>
      </c>
    </row>
    <row r="283" spans="1:24" x14ac:dyDescent="0.35">
      <c r="A283" s="23">
        <v>44933</v>
      </c>
      <c r="B283" s="38" t="s">
        <v>54</v>
      </c>
      <c r="C283" s="38" t="s">
        <v>60</v>
      </c>
      <c r="D283" s="1">
        <v>298</v>
      </c>
      <c r="E283" s="1">
        <v>282</v>
      </c>
      <c r="F283" s="19">
        <f t="shared" si="7"/>
        <v>-9.696969696969697E-2</v>
      </c>
      <c r="G283" s="19">
        <f t="shared" si="7"/>
        <v>-8.143322475570032E-2</v>
      </c>
      <c r="H283" s="1">
        <f t="shared" si="8"/>
        <v>3868</v>
      </c>
      <c r="I283" s="1">
        <f t="shared" si="8"/>
        <v>3273</v>
      </c>
      <c r="J283" s="1">
        <f t="shared" si="9"/>
        <v>215319</v>
      </c>
      <c r="K283" s="1">
        <f t="shared" si="9"/>
        <v>143091</v>
      </c>
      <c r="L283" s="18">
        <v>0.83</v>
      </c>
      <c r="M283" s="18">
        <v>0.05</v>
      </c>
      <c r="N283" s="18">
        <v>0.95</v>
      </c>
      <c r="O283" s="18">
        <v>0.91</v>
      </c>
      <c r="P283" s="18">
        <v>0.31</v>
      </c>
      <c r="Q283" s="18"/>
      <c r="R283" s="18"/>
      <c r="S283" s="1">
        <v>12</v>
      </c>
    </row>
    <row r="284" spans="1:24" x14ac:dyDescent="0.35">
      <c r="A284" s="23">
        <v>44934</v>
      </c>
      <c r="B284" s="38" t="s">
        <v>48</v>
      </c>
      <c r="C284" s="38" t="s">
        <v>60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/>
      <c r="R284" s="1"/>
      <c r="S284" s="1">
        <v>0</v>
      </c>
    </row>
    <row r="285" spans="1:24" x14ac:dyDescent="0.35">
      <c r="A285" s="23">
        <v>44935</v>
      </c>
      <c r="B285" s="38" t="s">
        <v>49</v>
      </c>
      <c r="C285" s="38" t="s">
        <v>60</v>
      </c>
      <c r="D285" s="1">
        <v>886</v>
      </c>
      <c r="E285" s="1">
        <v>749</v>
      </c>
      <c r="F285" s="19">
        <f>IFERROR(((D285-D278)/D278),0)</f>
        <v>0</v>
      </c>
      <c r="G285" s="19">
        <f>IFERROR(((E285-E278)/E278),0)</f>
        <v>0</v>
      </c>
      <c r="H285" s="1">
        <f>H283+D285</f>
        <v>4754</v>
      </c>
      <c r="I285" s="1">
        <f>I283+E285</f>
        <v>4022</v>
      </c>
      <c r="J285" s="1">
        <f>J283+D285</f>
        <v>216205</v>
      </c>
      <c r="K285" s="1">
        <f>K283+E285</f>
        <v>143840</v>
      </c>
      <c r="L285" s="18">
        <v>0.5</v>
      </c>
      <c r="M285" s="18">
        <v>0.15</v>
      </c>
      <c r="N285" s="18">
        <v>0.85</v>
      </c>
      <c r="O285" s="18">
        <v>0.66</v>
      </c>
      <c r="P285" s="18">
        <v>0.8</v>
      </c>
      <c r="Q285" s="18"/>
      <c r="R285" s="18"/>
      <c r="S285" s="1">
        <v>12</v>
      </c>
    </row>
    <row r="286" spans="1:24" x14ac:dyDescent="0.35">
      <c r="A286" s="23">
        <v>44936</v>
      </c>
      <c r="B286" s="38" t="s">
        <v>50</v>
      </c>
      <c r="C286" s="38" t="s">
        <v>60</v>
      </c>
      <c r="D286" s="1">
        <v>855</v>
      </c>
      <c r="E286" s="1">
        <v>738</v>
      </c>
      <c r="F286" s="19">
        <f t="shared" ref="F286:F290" si="10">(D286-D279)/D279</f>
        <v>-0.20018709073900842</v>
      </c>
      <c r="G286" s="19">
        <f>(E286-E279)/E279</f>
        <v>-2.1220159151193633E-2</v>
      </c>
      <c r="H286" s="1">
        <f t="shared" ref="H286:H290" si="11">H285+D286</f>
        <v>5609</v>
      </c>
      <c r="I286" s="1">
        <f t="shared" ref="I286:I290" si="12">I285+E286</f>
        <v>4760</v>
      </c>
      <c r="J286" s="1">
        <f t="shared" ref="J286:J290" si="13">J285+D286</f>
        <v>217060</v>
      </c>
      <c r="K286" s="1">
        <f t="shared" ref="K286:K290" si="14">K285+E286</f>
        <v>144578</v>
      </c>
      <c r="L286" s="18">
        <v>0.59</v>
      </c>
      <c r="M286" s="18">
        <v>0.14000000000000001</v>
      </c>
      <c r="N286" s="18">
        <v>0.86</v>
      </c>
      <c r="O286" s="18">
        <v>0.48</v>
      </c>
      <c r="P286" s="18">
        <v>0.8</v>
      </c>
      <c r="Q286" s="18"/>
      <c r="R286" s="18"/>
      <c r="S286" s="1">
        <v>14</v>
      </c>
    </row>
    <row r="287" spans="1:24" x14ac:dyDescent="0.35">
      <c r="A287" s="23">
        <v>44937</v>
      </c>
      <c r="B287" s="38" t="s">
        <v>51</v>
      </c>
      <c r="C287" s="38" t="s">
        <v>60</v>
      </c>
      <c r="D287" s="1">
        <v>817</v>
      </c>
      <c r="E287" s="1">
        <v>694</v>
      </c>
      <c r="F287" s="19">
        <f t="shared" si="10"/>
        <v>3.6855036855036856E-3</v>
      </c>
      <c r="G287" s="19">
        <f>(E287-E280)/E280</f>
        <v>-9.9870298313878086E-2</v>
      </c>
      <c r="H287" s="1">
        <f>H286+D287</f>
        <v>6426</v>
      </c>
      <c r="I287" s="1">
        <f>I286+E287</f>
        <v>5454</v>
      </c>
      <c r="J287" s="1">
        <f>J286+D287</f>
        <v>217877</v>
      </c>
      <c r="K287" s="1">
        <f t="shared" si="14"/>
        <v>145272</v>
      </c>
      <c r="L287" s="18">
        <v>0.59</v>
      </c>
      <c r="M287" s="18">
        <v>0.15</v>
      </c>
      <c r="N287" s="18">
        <v>0.85</v>
      </c>
      <c r="O287" s="18">
        <v>0.49</v>
      </c>
      <c r="P287" s="18">
        <v>0.78</v>
      </c>
      <c r="Q287" s="18"/>
      <c r="R287" s="18"/>
      <c r="S287" s="1">
        <v>11</v>
      </c>
      <c r="V287" s="54"/>
      <c r="W287" s="54"/>
      <c r="X287" s="54"/>
    </row>
    <row r="288" spans="1:24" x14ac:dyDescent="0.35">
      <c r="A288" s="23">
        <v>44938</v>
      </c>
      <c r="B288" s="38" t="s">
        <v>52</v>
      </c>
      <c r="C288" s="38" t="s">
        <v>60</v>
      </c>
      <c r="D288" s="1">
        <v>734</v>
      </c>
      <c r="E288" s="1">
        <v>656</v>
      </c>
      <c r="F288" s="19">
        <f t="shared" si="10"/>
        <v>-0.14352392065344224</v>
      </c>
      <c r="G288" s="19">
        <f t="shared" ref="G288:G290" si="15">(E288-E281)/E281</f>
        <v>-0.10990502035278155</v>
      </c>
      <c r="H288" s="1">
        <f t="shared" si="11"/>
        <v>7160</v>
      </c>
      <c r="I288" s="1">
        <f t="shared" si="12"/>
        <v>6110</v>
      </c>
      <c r="J288" s="1">
        <f t="shared" si="13"/>
        <v>218611</v>
      </c>
      <c r="K288" s="1">
        <f t="shared" si="14"/>
        <v>145928</v>
      </c>
      <c r="L288" s="18">
        <v>0.73</v>
      </c>
      <c r="M288" s="18">
        <v>0.11</v>
      </c>
      <c r="N288" s="18">
        <v>0.89</v>
      </c>
      <c r="O288" s="18">
        <v>0.48</v>
      </c>
      <c r="P288" s="18">
        <v>0.8</v>
      </c>
      <c r="Q288" s="18"/>
      <c r="R288" s="18"/>
      <c r="S288" s="1">
        <v>11</v>
      </c>
    </row>
    <row r="289" spans="1:19" x14ac:dyDescent="0.35">
      <c r="A289" s="23">
        <v>44939</v>
      </c>
      <c r="B289" s="38" t="s">
        <v>53</v>
      </c>
      <c r="C289" s="38" t="s">
        <v>60</v>
      </c>
      <c r="D289" s="1">
        <v>749</v>
      </c>
      <c r="E289" s="1">
        <v>708</v>
      </c>
      <c r="F289" s="19">
        <f t="shared" si="10"/>
        <v>-9.7590361445783133E-2</v>
      </c>
      <c r="G289" s="19">
        <f t="shared" si="15"/>
        <v>-2.8806584362139918E-2</v>
      </c>
      <c r="H289" s="1">
        <f t="shared" si="11"/>
        <v>7909</v>
      </c>
      <c r="I289" s="1">
        <f t="shared" si="12"/>
        <v>6818</v>
      </c>
      <c r="J289" s="1">
        <f t="shared" si="13"/>
        <v>219360</v>
      </c>
      <c r="K289" s="1">
        <f t="shared" si="14"/>
        <v>146636</v>
      </c>
      <c r="L289" s="18">
        <v>0.85</v>
      </c>
      <c r="M289" s="18">
        <v>0.05</v>
      </c>
      <c r="N289" s="18">
        <v>0.95</v>
      </c>
      <c r="O289" s="18">
        <v>0.33</v>
      </c>
      <c r="P289" s="18">
        <v>0.83</v>
      </c>
      <c r="Q289" s="18"/>
      <c r="R289" s="18"/>
      <c r="S289" s="1">
        <v>14</v>
      </c>
    </row>
    <row r="290" spans="1:19" x14ac:dyDescent="0.35">
      <c r="A290" s="23">
        <v>44940</v>
      </c>
      <c r="B290" s="38" t="s">
        <v>54</v>
      </c>
      <c r="C290" s="38" t="s">
        <v>60</v>
      </c>
      <c r="D290" s="1">
        <v>334</v>
      </c>
      <c r="E290" s="1">
        <v>311</v>
      </c>
      <c r="F290" s="19">
        <f t="shared" si="10"/>
        <v>0.12080536912751678</v>
      </c>
      <c r="G290" s="19">
        <f t="shared" si="15"/>
        <v>0.10283687943262411</v>
      </c>
      <c r="H290" s="1">
        <f t="shared" si="11"/>
        <v>8243</v>
      </c>
      <c r="I290" s="1">
        <f t="shared" si="12"/>
        <v>7129</v>
      </c>
      <c r="J290" s="1">
        <f t="shared" si="13"/>
        <v>219694</v>
      </c>
      <c r="K290" s="1">
        <f t="shared" si="14"/>
        <v>146947</v>
      </c>
      <c r="L290" s="18">
        <v>0.8</v>
      </c>
      <c r="M290" s="18">
        <v>7.0000000000000007E-2</v>
      </c>
      <c r="N290" s="18">
        <v>0.93</v>
      </c>
      <c r="O290" s="18">
        <v>0.32</v>
      </c>
      <c r="P290" s="18">
        <v>0.85</v>
      </c>
      <c r="Q290" s="18"/>
      <c r="R290" s="18"/>
      <c r="S290" s="1">
        <v>11</v>
      </c>
    </row>
    <row r="291" spans="1:19" x14ac:dyDescent="0.35">
      <c r="A291" s="23">
        <v>44941</v>
      </c>
      <c r="B291" s="38" t="s">
        <v>48</v>
      </c>
      <c r="C291" s="38" t="s">
        <v>60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/>
      <c r="R291" s="1"/>
      <c r="S291" s="1">
        <v>0</v>
      </c>
    </row>
    <row r="292" spans="1:19" x14ac:dyDescent="0.35">
      <c r="A292" s="23">
        <v>44942</v>
      </c>
      <c r="B292" s="38" t="s">
        <v>49</v>
      </c>
      <c r="C292" s="38" t="s">
        <v>60</v>
      </c>
      <c r="D292" s="1">
        <v>899</v>
      </c>
      <c r="E292" s="1">
        <v>842</v>
      </c>
      <c r="F292" s="19">
        <f>IFERROR(((D292-D285)/D285),0)</f>
        <v>1.4672686230248307E-2</v>
      </c>
      <c r="G292" s="19">
        <f>IFERROR(((E292-E285)/E285),0)</f>
        <v>0.12416555407209613</v>
      </c>
      <c r="H292" s="1">
        <f>H290+D292</f>
        <v>9142</v>
      </c>
      <c r="I292" s="1">
        <f>I290+E292</f>
        <v>7971</v>
      </c>
      <c r="J292" s="1">
        <f>J290+D292</f>
        <v>220593</v>
      </c>
      <c r="K292" s="1">
        <f>K290+E292</f>
        <v>147789</v>
      </c>
      <c r="L292" s="18">
        <v>0.79</v>
      </c>
      <c r="M292" s="18">
        <v>0.06</v>
      </c>
      <c r="N292" s="18">
        <v>0.94</v>
      </c>
      <c r="O292" s="18">
        <v>0.62</v>
      </c>
      <c r="P292" s="18">
        <v>0.81</v>
      </c>
      <c r="Q292" s="18"/>
      <c r="R292" s="18"/>
      <c r="S292" s="1">
        <v>11</v>
      </c>
    </row>
    <row r="293" spans="1:19" x14ac:dyDescent="0.35">
      <c r="A293" s="23">
        <v>44943</v>
      </c>
      <c r="B293" s="38" t="s">
        <v>50</v>
      </c>
      <c r="C293" s="38" t="s">
        <v>60</v>
      </c>
      <c r="D293" s="1">
        <v>824</v>
      </c>
      <c r="E293" s="1">
        <v>804</v>
      </c>
      <c r="F293" s="19">
        <f t="shared" ref="F293:F296" si="16">(D293-D286)/D286</f>
        <v>-3.6257309941520467E-2</v>
      </c>
      <c r="G293" s="19">
        <f>(E293-E286)/E286</f>
        <v>8.943089430894309E-2</v>
      </c>
      <c r="H293" s="1">
        <f t="shared" ref="H293" si="17">H292+D293</f>
        <v>9966</v>
      </c>
      <c r="I293" s="1">
        <f t="shared" ref="I293" si="18">I292+E293</f>
        <v>8775</v>
      </c>
      <c r="J293" s="1">
        <f t="shared" ref="J293" si="19">J292+D293</f>
        <v>221417</v>
      </c>
      <c r="K293" s="1">
        <f t="shared" ref="K293:K297" si="20">K292+E293</f>
        <v>148593</v>
      </c>
      <c r="L293" s="18">
        <v>0.88</v>
      </c>
      <c r="M293" s="18">
        <v>0.02</v>
      </c>
      <c r="N293" s="18">
        <v>0.98</v>
      </c>
      <c r="O293" s="18">
        <v>0.6</v>
      </c>
      <c r="P293" s="18">
        <v>0.83</v>
      </c>
      <c r="Q293" s="18"/>
      <c r="R293" s="18"/>
      <c r="S293" s="1">
        <v>11</v>
      </c>
    </row>
    <row r="294" spans="1:19" x14ac:dyDescent="0.35">
      <c r="A294" s="23">
        <v>44944</v>
      </c>
      <c r="B294" s="38" t="s">
        <v>51</v>
      </c>
      <c r="C294" s="38" t="s">
        <v>60</v>
      </c>
      <c r="D294" s="1">
        <v>734</v>
      </c>
      <c r="E294" s="1">
        <v>719</v>
      </c>
      <c r="F294" s="19">
        <f t="shared" si="16"/>
        <v>-0.10159118727050184</v>
      </c>
      <c r="G294" s="19">
        <f>(E294-E287)/E287</f>
        <v>3.6023054755043228E-2</v>
      </c>
      <c r="H294" s="1">
        <f>H293+D294</f>
        <v>10700</v>
      </c>
      <c r="I294" s="1">
        <f>I293+E294</f>
        <v>9494</v>
      </c>
      <c r="J294" s="1">
        <f>J293+D294</f>
        <v>222151</v>
      </c>
      <c r="K294" s="1">
        <f t="shared" si="20"/>
        <v>149312</v>
      </c>
      <c r="L294" s="18">
        <v>0.94</v>
      </c>
      <c r="M294" s="18">
        <v>0.02</v>
      </c>
      <c r="N294" s="18">
        <v>0.98</v>
      </c>
      <c r="O294" s="18">
        <v>0.4</v>
      </c>
      <c r="P294" s="18">
        <v>0.81</v>
      </c>
      <c r="Q294" s="18"/>
      <c r="R294" s="18"/>
      <c r="S294" s="1">
        <v>11</v>
      </c>
    </row>
    <row r="295" spans="1:19" x14ac:dyDescent="0.35">
      <c r="A295" s="23">
        <v>44945</v>
      </c>
      <c r="B295" s="38" t="s">
        <v>52</v>
      </c>
      <c r="C295" s="38" t="s">
        <v>60</v>
      </c>
      <c r="D295" s="1">
        <v>760</v>
      </c>
      <c r="E295" s="1">
        <v>699</v>
      </c>
      <c r="F295" s="19">
        <f t="shared" si="16"/>
        <v>3.5422343324250684E-2</v>
      </c>
      <c r="G295" s="19">
        <f t="shared" ref="G295:G296" si="21">(E295-E288)/E288</f>
        <v>6.5548780487804881E-2</v>
      </c>
      <c r="H295" s="1">
        <f t="shared" ref="H295:H297" si="22">H294+D295</f>
        <v>11460</v>
      </c>
      <c r="I295" s="1">
        <f t="shared" ref="I295:I297" si="23">I294+E295</f>
        <v>10193</v>
      </c>
      <c r="J295" s="1">
        <f t="shared" ref="J295:J297" si="24">J294+D295</f>
        <v>222911</v>
      </c>
      <c r="K295" s="1">
        <f t="shared" si="20"/>
        <v>150011</v>
      </c>
      <c r="L295" s="18">
        <v>0.8</v>
      </c>
      <c r="M295" s="18">
        <v>0.08</v>
      </c>
      <c r="N295" s="18">
        <v>0.92</v>
      </c>
      <c r="O295" s="18">
        <v>0.53</v>
      </c>
      <c r="P295" s="18">
        <v>0.79</v>
      </c>
      <c r="Q295" s="261">
        <v>2.2453703703703702E-3</v>
      </c>
      <c r="R295" s="200">
        <v>1.2499999999999999E-2</v>
      </c>
      <c r="S295" s="1">
        <v>10</v>
      </c>
    </row>
    <row r="296" spans="1:19" x14ac:dyDescent="0.35">
      <c r="A296" s="23">
        <v>44946</v>
      </c>
      <c r="B296" s="38" t="s">
        <v>53</v>
      </c>
      <c r="C296" s="38" t="s">
        <v>60</v>
      </c>
      <c r="D296" s="1">
        <v>694</v>
      </c>
      <c r="E296" s="1">
        <v>665</v>
      </c>
      <c r="F296" s="19">
        <f t="shared" si="16"/>
        <v>-7.3431241655540727E-2</v>
      </c>
      <c r="G296" s="19">
        <f t="shared" si="21"/>
        <v>-6.0734463276836161E-2</v>
      </c>
      <c r="H296" s="1">
        <f t="shared" si="22"/>
        <v>12154</v>
      </c>
      <c r="I296" s="1">
        <f t="shared" si="23"/>
        <v>10858</v>
      </c>
      <c r="J296" s="1">
        <f t="shared" si="24"/>
        <v>223605</v>
      </c>
      <c r="K296" s="1">
        <f t="shared" si="20"/>
        <v>150676</v>
      </c>
      <c r="L296" s="18">
        <v>0.87</v>
      </c>
      <c r="M296" s="18">
        <v>0.08</v>
      </c>
      <c r="N296" s="18">
        <v>0.92</v>
      </c>
      <c r="O296" s="18">
        <v>0.53</v>
      </c>
      <c r="P296" s="18">
        <v>0.8</v>
      </c>
      <c r="Q296" s="261">
        <v>2.3611111111111111E-3</v>
      </c>
      <c r="R296" s="200">
        <v>7.6388888888888886E-3</v>
      </c>
      <c r="S296" s="1">
        <v>10</v>
      </c>
    </row>
    <row r="297" spans="1:19" x14ac:dyDescent="0.35">
      <c r="A297" s="23">
        <v>44947</v>
      </c>
      <c r="B297" s="38" t="s">
        <v>54</v>
      </c>
      <c r="C297" s="38" t="s">
        <v>60</v>
      </c>
      <c r="D297" s="1">
        <v>246</v>
      </c>
      <c r="E297" s="1">
        <v>203</v>
      </c>
      <c r="F297" s="19">
        <f>(D297-D290)/D290</f>
        <v>-0.26347305389221559</v>
      </c>
      <c r="G297" s="19">
        <f>(E297-E290)/E290</f>
        <v>-0.34726688102893893</v>
      </c>
      <c r="H297" s="1">
        <f t="shared" si="22"/>
        <v>12400</v>
      </c>
      <c r="I297" s="1">
        <f t="shared" si="23"/>
        <v>11061</v>
      </c>
      <c r="J297" s="1">
        <f t="shared" si="24"/>
        <v>223851</v>
      </c>
      <c r="K297" s="1">
        <f t="shared" si="20"/>
        <v>150879</v>
      </c>
      <c r="L297" s="18">
        <v>0.72</v>
      </c>
      <c r="M297" s="18">
        <v>0.17</v>
      </c>
      <c r="N297" s="18">
        <v>0.83</v>
      </c>
      <c r="O297" s="18">
        <v>0.26</v>
      </c>
      <c r="P297" s="18">
        <v>0.89</v>
      </c>
      <c r="Q297" s="261">
        <v>1.9560185185185184E-3</v>
      </c>
      <c r="R297" s="200">
        <v>2.9861111111111113E-2</v>
      </c>
      <c r="S297" s="1">
        <v>11</v>
      </c>
    </row>
    <row r="298" spans="1:19" x14ac:dyDescent="0.35">
      <c r="A298" s="23">
        <v>44948</v>
      </c>
      <c r="B298" s="38" t="s">
        <v>48</v>
      </c>
      <c r="C298" s="38" t="s">
        <v>60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61">
        <v>0</v>
      </c>
      <c r="R298" s="200">
        <v>0</v>
      </c>
      <c r="S298" s="1">
        <v>0</v>
      </c>
    </row>
    <row r="299" spans="1:19" x14ac:dyDescent="0.35">
      <c r="A299" s="23">
        <v>44949</v>
      </c>
      <c r="B299" s="38" t="s">
        <v>49</v>
      </c>
      <c r="C299" s="38" t="s">
        <v>60</v>
      </c>
      <c r="D299" s="1">
        <v>778</v>
      </c>
      <c r="E299" s="1">
        <v>705</v>
      </c>
      <c r="F299" s="19">
        <f>IFERROR(((D299-D292)/D292),0)</f>
        <v>-0.13459399332591768</v>
      </c>
      <c r="G299" s="19">
        <f>IFERROR(((E299-E292)/E292),0)</f>
        <v>-0.16270783847980996</v>
      </c>
      <c r="H299" s="1">
        <f>H297+D299</f>
        <v>13178</v>
      </c>
      <c r="I299" s="1">
        <f>I297+E299</f>
        <v>11766</v>
      </c>
      <c r="J299" s="1">
        <f>J297+D299</f>
        <v>224629</v>
      </c>
      <c r="K299" s="1">
        <f>K297+E299</f>
        <v>151584</v>
      </c>
      <c r="L299" s="18">
        <v>0.76</v>
      </c>
      <c r="M299" s="18">
        <v>0.09</v>
      </c>
      <c r="N299" s="18">
        <v>0.91</v>
      </c>
      <c r="O299" s="18">
        <v>0.56999999999999995</v>
      </c>
      <c r="P299" s="18">
        <v>0.81</v>
      </c>
      <c r="Q299" s="261">
        <v>2.1759259259259262E-3</v>
      </c>
      <c r="R299" s="200">
        <v>1.3194444444444444E-2</v>
      </c>
      <c r="S299" s="1">
        <v>10</v>
      </c>
    </row>
    <row r="300" spans="1:19" x14ac:dyDescent="0.35">
      <c r="A300" s="23">
        <v>44950</v>
      </c>
      <c r="B300" s="38" t="s">
        <v>50</v>
      </c>
      <c r="C300" s="38" t="s">
        <v>60</v>
      </c>
      <c r="D300" s="1">
        <v>775</v>
      </c>
      <c r="E300" s="1">
        <v>738</v>
      </c>
      <c r="F300" s="19">
        <f t="shared" ref="F300:F303" si="25">(D300-D293)/D293</f>
        <v>-5.946601941747573E-2</v>
      </c>
      <c r="G300" s="19">
        <f>(E300-E293)/E293</f>
        <v>-8.2089552238805971E-2</v>
      </c>
      <c r="H300" s="1">
        <f t="shared" ref="H300" si="26">H299+D300</f>
        <v>13953</v>
      </c>
      <c r="I300" s="1">
        <f t="shared" ref="I300" si="27">I299+E300</f>
        <v>12504</v>
      </c>
      <c r="J300" s="1">
        <f t="shared" ref="J300" si="28">J299+D300</f>
        <v>225404</v>
      </c>
      <c r="K300" s="1">
        <f t="shared" ref="K300:K304" si="29">K299+E300</f>
        <v>152322</v>
      </c>
      <c r="L300" s="18">
        <v>0.85</v>
      </c>
      <c r="M300" s="18">
        <v>0.05</v>
      </c>
      <c r="N300" s="18">
        <v>0.95</v>
      </c>
      <c r="O300" s="18">
        <v>0.53</v>
      </c>
      <c r="P300" s="18">
        <v>0.78</v>
      </c>
      <c r="Q300" s="261">
        <v>2.1759259259259262E-3</v>
      </c>
      <c r="R300" s="200">
        <v>1.3194444444444444E-2</v>
      </c>
      <c r="S300" s="1">
        <v>11</v>
      </c>
    </row>
    <row r="301" spans="1:19" x14ac:dyDescent="0.35">
      <c r="A301" s="23">
        <v>44951</v>
      </c>
      <c r="B301" s="38" t="s">
        <v>51</v>
      </c>
      <c r="C301" s="38" t="s">
        <v>60</v>
      </c>
      <c r="D301" s="1">
        <v>704</v>
      </c>
      <c r="E301" s="1">
        <v>660</v>
      </c>
      <c r="F301" s="19">
        <f t="shared" si="25"/>
        <v>-4.0871934604904632E-2</v>
      </c>
      <c r="G301" s="19">
        <f>(E301-E294)/E294</f>
        <v>-8.2058414464534074E-2</v>
      </c>
      <c r="H301" s="1">
        <f>H300+D301</f>
        <v>14657</v>
      </c>
      <c r="I301" s="1">
        <f>I300+E301</f>
        <v>13164</v>
      </c>
      <c r="J301" s="1">
        <f>J300+D301</f>
        <v>226108</v>
      </c>
      <c r="K301" s="1">
        <f t="shared" si="29"/>
        <v>152982</v>
      </c>
      <c r="L301" s="18">
        <v>0.8</v>
      </c>
      <c r="M301" s="18">
        <v>0.06</v>
      </c>
      <c r="N301" s="18">
        <v>0.94</v>
      </c>
      <c r="O301" s="18">
        <v>0.49</v>
      </c>
      <c r="P301" s="18">
        <v>0.79</v>
      </c>
      <c r="Q301" s="261">
        <v>2.0138888888888888E-3</v>
      </c>
      <c r="R301" s="200">
        <v>9.7222222222222224E-3</v>
      </c>
      <c r="S301" s="1">
        <v>10</v>
      </c>
    </row>
    <row r="302" spans="1:19" x14ac:dyDescent="0.35">
      <c r="A302" s="23">
        <v>44952</v>
      </c>
      <c r="B302" s="38" t="s">
        <v>52</v>
      </c>
      <c r="C302" s="38" t="s">
        <v>60</v>
      </c>
      <c r="D302" s="1">
        <v>763</v>
      </c>
      <c r="E302" s="1">
        <v>742</v>
      </c>
      <c r="F302" s="19">
        <f t="shared" si="25"/>
        <v>3.9473684210526317E-3</v>
      </c>
      <c r="G302" s="19">
        <f t="shared" ref="G302:G303" si="30">(E302-E295)/E295</f>
        <v>6.1516452074391992E-2</v>
      </c>
      <c r="H302" s="1">
        <f t="shared" ref="H302:H304" si="31">H301+D302</f>
        <v>15420</v>
      </c>
      <c r="I302" s="1">
        <f t="shared" ref="I302:I304" si="32">I301+E302</f>
        <v>13906</v>
      </c>
      <c r="J302" s="1">
        <f t="shared" ref="J302:J304" si="33">J301+D302</f>
        <v>226871</v>
      </c>
      <c r="K302" s="1">
        <f t="shared" si="29"/>
        <v>153724</v>
      </c>
      <c r="L302" s="18">
        <v>0.92</v>
      </c>
      <c r="M302" s="18">
        <v>0.03</v>
      </c>
      <c r="N302" s="18">
        <v>0.97</v>
      </c>
      <c r="O302" s="18">
        <v>0.4</v>
      </c>
      <c r="P302" s="18">
        <v>0.79</v>
      </c>
      <c r="Q302" s="261">
        <v>2.1759259259259262E-3</v>
      </c>
      <c r="R302" s="200">
        <v>6.2499999999999995E-3</v>
      </c>
      <c r="S302" s="1">
        <v>12</v>
      </c>
    </row>
    <row r="303" spans="1:19" x14ac:dyDescent="0.35">
      <c r="A303" s="23">
        <v>44953</v>
      </c>
      <c r="B303" s="38" t="s">
        <v>53</v>
      </c>
      <c r="C303" s="38" t="s">
        <v>60</v>
      </c>
      <c r="D303" s="1">
        <v>720</v>
      </c>
      <c r="E303" s="1">
        <v>685</v>
      </c>
      <c r="F303" s="19">
        <f t="shared" si="25"/>
        <v>3.7463976945244955E-2</v>
      </c>
      <c r="G303" s="19">
        <f t="shared" si="30"/>
        <v>3.007518796992481E-2</v>
      </c>
      <c r="H303" s="1">
        <f t="shared" si="31"/>
        <v>16140</v>
      </c>
      <c r="I303" s="1">
        <f t="shared" si="32"/>
        <v>14591</v>
      </c>
      <c r="J303" s="1">
        <f t="shared" si="33"/>
        <v>227591</v>
      </c>
      <c r="K303" s="1">
        <f t="shared" si="29"/>
        <v>154409</v>
      </c>
      <c r="L303" s="18">
        <v>0.85</v>
      </c>
      <c r="M303" s="18">
        <v>0.05</v>
      </c>
      <c r="N303" s="18">
        <v>0.95</v>
      </c>
      <c r="O303" s="18">
        <v>0.53</v>
      </c>
      <c r="P303" s="18">
        <v>0.84</v>
      </c>
      <c r="Q303" s="261">
        <v>2.3611111111111111E-3</v>
      </c>
      <c r="R303" s="200">
        <v>9.0277777777777787E-3</v>
      </c>
      <c r="S303" s="1">
        <v>10</v>
      </c>
    </row>
    <row r="304" spans="1:19" x14ac:dyDescent="0.35">
      <c r="A304" s="23">
        <v>44954</v>
      </c>
      <c r="B304" s="36" t="s">
        <v>54</v>
      </c>
      <c r="C304" s="38" t="s">
        <v>60</v>
      </c>
      <c r="D304" s="1">
        <v>417</v>
      </c>
      <c r="E304" s="1">
        <v>384</v>
      </c>
      <c r="F304" s="19">
        <f>(D304-D297)/D297</f>
        <v>0.69512195121951215</v>
      </c>
      <c r="G304" s="19">
        <f>(E304-E297)/E297</f>
        <v>0.89162561576354682</v>
      </c>
      <c r="H304" s="1">
        <f t="shared" si="31"/>
        <v>16557</v>
      </c>
      <c r="I304" s="1">
        <f t="shared" si="32"/>
        <v>14975</v>
      </c>
      <c r="J304" s="1">
        <f t="shared" si="33"/>
        <v>228008</v>
      </c>
      <c r="K304" s="1">
        <f t="shared" si="29"/>
        <v>154793</v>
      </c>
      <c r="L304" s="18">
        <v>0.87</v>
      </c>
      <c r="M304" s="18">
        <v>0.08</v>
      </c>
      <c r="N304" s="18">
        <v>0.92</v>
      </c>
      <c r="O304" s="18">
        <v>0.37</v>
      </c>
      <c r="P304" s="18">
        <v>0.88</v>
      </c>
      <c r="Q304" s="261">
        <v>2.5925925925925925E-3</v>
      </c>
      <c r="R304" s="200">
        <v>9.0277777777777787E-3</v>
      </c>
      <c r="S304" s="1">
        <v>11</v>
      </c>
    </row>
    <row r="305" spans="1:19" x14ac:dyDescent="0.35">
      <c r="A305" s="23">
        <v>44955</v>
      </c>
      <c r="B305" s="38" t="s">
        <v>48</v>
      </c>
      <c r="C305" s="38" t="s">
        <v>60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61">
        <v>0</v>
      </c>
      <c r="R305" s="200">
        <v>0</v>
      </c>
      <c r="S305" s="1">
        <v>0</v>
      </c>
    </row>
    <row r="306" spans="1:19" x14ac:dyDescent="0.35">
      <c r="A306" s="23">
        <v>44956</v>
      </c>
      <c r="B306" s="38" t="s">
        <v>49</v>
      </c>
      <c r="C306" s="38" t="s">
        <v>60</v>
      </c>
      <c r="D306" s="1">
        <v>796</v>
      </c>
      <c r="E306" s="1">
        <v>776</v>
      </c>
      <c r="F306" s="19">
        <f>IFERROR(((D306-D299)/D299),0)</f>
        <v>2.313624678663239E-2</v>
      </c>
      <c r="G306" s="19">
        <f>IFERROR(((E306-E299)/E299),0)</f>
        <v>0.10070921985815603</v>
      </c>
      <c r="H306" s="1">
        <f>H304+D306</f>
        <v>17353</v>
      </c>
      <c r="I306" s="1">
        <f>I304+E306</f>
        <v>15751</v>
      </c>
      <c r="J306" s="1">
        <f>J304+D306</f>
        <v>228804</v>
      </c>
      <c r="K306" s="1">
        <f>K304+E306</f>
        <v>155569</v>
      </c>
      <c r="L306" s="18">
        <v>0.93</v>
      </c>
      <c r="M306" s="18">
        <v>0.03</v>
      </c>
      <c r="N306" s="18">
        <v>0.97</v>
      </c>
      <c r="O306" s="18">
        <v>0.51</v>
      </c>
      <c r="P306" s="18">
        <v>0.79</v>
      </c>
      <c r="Q306" s="261">
        <v>1.8750000000000001E-3</v>
      </c>
      <c r="R306" s="200">
        <v>4.8611111111111112E-3</v>
      </c>
      <c r="S306" s="1">
        <v>12</v>
      </c>
    </row>
    <row r="307" spans="1:19" x14ac:dyDescent="0.35">
      <c r="A307" s="23">
        <v>44957</v>
      </c>
      <c r="B307" s="38" t="s">
        <v>50</v>
      </c>
      <c r="C307" s="38" t="s">
        <v>60</v>
      </c>
      <c r="D307" s="1">
        <v>770</v>
      </c>
      <c r="E307" s="1">
        <v>749</v>
      </c>
      <c r="F307" s="19">
        <f t="shared" ref="F307:F311" si="34">(D307-D300)/D300</f>
        <v>-6.4516129032258064E-3</v>
      </c>
      <c r="G307" s="19">
        <f>(E307-E300)/E300</f>
        <v>1.4905149051490514E-2</v>
      </c>
      <c r="H307" s="1">
        <f t="shared" ref="H307" si="35">H306+D307</f>
        <v>18123</v>
      </c>
      <c r="I307" s="1">
        <f t="shared" ref="I307" si="36">I306+E307</f>
        <v>16500</v>
      </c>
      <c r="J307" s="1">
        <f t="shared" ref="J307:J308" si="37">J306+D307</f>
        <v>229574</v>
      </c>
      <c r="K307" s="1">
        <f t="shared" ref="K307:K311" si="38">K306+E307</f>
        <v>156318</v>
      </c>
      <c r="L307" s="18">
        <v>0.92</v>
      </c>
      <c r="M307" s="18">
        <v>0.03</v>
      </c>
      <c r="N307" s="18">
        <v>0.97</v>
      </c>
      <c r="O307" s="18">
        <v>0.47</v>
      </c>
      <c r="P307" s="18">
        <v>0.79</v>
      </c>
      <c r="Q307" s="261">
        <v>2.0486111111111113E-3</v>
      </c>
      <c r="R307" s="200">
        <v>5.5555555555555558E-3</v>
      </c>
      <c r="S307" s="1">
        <v>12</v>
      </c>
    </row>
    <row r="308" spans="1:19" x14ac:dyDescent="0.35">
      <c r="A308" s="23">
        <v>44958</v>
      </c>
      <c r="B308" s="36" t="s">
        <v>51</v>
      </c>
      <c r="C308" s="38" t="s">
        <v>60</v>
      </c>
      <c r="D308" s="1">
        <v>746</v>
      </c>
      <c r="E308" s="1">
        <v>718</v>
      </c>
      <c r="F308" s="19">
        <f t="shared" si="34"/>
        <v>5.9659090909090912E-2</v>
      </c>
      <c r="G308" s="19">
        <f>(E308-E301)/E301</f>
        <v>8.7878787878787876E-2</v>
      </c>
      <c r="H308" s="1">
        <f>Table7[[#This Row],[Calls Off]]</f>
        <v>746</v>
      </c>
      <c r="I308" s="1">
        <f>Table7[[#This Row],[Calls Ans]]</f>
        <v>718</v>
      </c>
      <c r="J308" s="1">
        <f t="shared" si="37"/>
        <v>230320</v>
      </c>
      <c r="K308" s="1">
        <f t="shared" si="38"/>
        <v>157036</v>
      </c>
      <c r="L308" s="18">
        <v>0.91</v>
      </c>
      <c r="M308" s="18">
        <v>0.04</v>
      </c>
      <c r="N308" s="18">
        <v>0.96</v>
      </c>
      <c r="O308" s="18">
        <v>0.41</v>
      </c>
      <c r="P308" s="18">
        <v>0.78</v>
      </c>
      <c r="Q308" s="261">
        <v>2.0601851851851853E-3</v>
      </c>
      <c r="R308" s="200">
        <v>5.5555555555555558E-3</v>
      </c>
      <c r="S308" s="1">
        <v>13</v>
      </c>
    </row>
    <row r="309" spans="1:19" x14ac:dyDescent="0.35">
      <c r="A309" s="23">
        <v>44959</v>
      </c>
      <c r="B309" s="38" t="s">
        <v>52</v>
      </c>
      <c r="C309" s="38" t="s">
        <v>60</v>
      </c>
      <c r="D309" s="1">
        <v>719</v>
      </c>
      <c r="E309" s="1">
        <v>710</v>
      </c>
      <c r="F309" s="19">
        <f t="shared" si="34"/>
        <v>-5.7667103538663174E-2</v>
      </c>
      <c r="G309" s="19">
        <f>(E309-E302)/E302</f>
        <v>-4.3126684636118601E-2</v>
      </c>
      <c r="H309" s="1">
        <f>H308+D309</f>
        <v>1465</v>
      </c>
      <c r="I309" s="1">
        <f>I308+E309</f>
        <v>1428</v>
      </c>
      <c r="J309" s="1">
        <f>J308+D309</f>
        <v>231039</v>
      </c>
      <c r="K309" s="1">
        <f t="shared" si="38"/>
        <v>157746</v>
      </c>
      <c r="L309" s="18">
        <v>0.95</v>
      </c>
      <c r="M309" s="18">
        <v>0.01</v>
      </c>
      <c r="N309" s="18">
        <v>0.99</v>
      </c>
      <c r="O309" s="18">
        <v>0.43</v>
      </c>
      <c r="P309" s="18">
        <v>0.8</v>
      </c>
      <c r="Q309" s="261">
        <v>1.8865740740740742E-3</v>
      </c>
      <c r="R309" s="200">
        <v>3.472222222222222E-3</v>
      </c>
      <c r="S309" s="1">
        <v>12</v>
      </c>
    </row>
    <row r="310" spans="1:19" x14ac:dyDescent="0.35">
      <c r="A310" s="23">
        <v>44960</v>
      </c>
      <c r="B310" s="38" t="s">
        <v>53</v>
      </c>
      <c r="C310" s="38" t="s">
        <v>60</v>
      </c>
      <c r="D310" s="1">
        <v>672</v>
      </c>
      <c r="E310" s="1">
        <v>651</v>
      </c>
      <c r="F310" s="19">
        <f t="shared" si="34"/>
        <v>-6.6666666666666666E-2</v>
      </c>
      <c r="G310" s="19">
        <f t="shared" ref="G310:G311" si="39">(E310-E303)/E303</f>
        <v>-4.9635036496350364E-2</v>
      </c>
      <c r="H310" s="1">
        <f t="shared" ref="H310:H311" si="40">H309+D310</f>
        <v>2137</v>
      </c>
      <c r="I310" s="1">
        <f t="shared" ref="I310:I311" si="41">I309+E310</f>
        <v>2079</v>
      </c>
      <c r="J310" s="1">
        <f t="shared" ref="J310:J311" si="42">J309+D310</f>
        <v>231711</v>
      </c>
      <c r="K310" s="1">
        <f t="shared" si="38"/>
        <v>158397</v>
      </c>
      <c r="L310" s="18">
        <v>0.93</v>
      </c>
      <c r="M310" s="18">
        <v>0.03</v>
      </c>
      <c r="N310" s="18">
        <v>0.97</v>
      </c>
      <c r="O310" s="18">
        <v>0.4</v>
      </c>
      <c r="P310" s="18">
        <v>0.8</v>
      </c>
      <c r="Q310" s="261">
        <v>1.7708333333333332E-3</v>
      </c>
      <c r="R310" s="200">
        <v>4.8611111111111112E-3</v>
      </c>
      <c r="S310" s="1">
        <v>12</v>
      </c>
    </row>
    <row r="311" spans="1:19" x14ac:dyDescent="0.35">
      <c r="A311" s="23">
        <v>44961</v>
      </c>
      <c r="B311" s="38" t="s">
        <v>54</v>
      </c>
      <c r="C311" s="38" t="s">
        <v>60</v>
      </c>
      <c r="D311" s="1">
        <v>423</v>
      </c>
      <c r="E311" s="1">
        <v>418</v>
      </c>
      <c r="F311" s="19">
        <f t="shared" si="34"/>
        <v>1.4388489208633094E-2</v>
      </c>
      <c r="G311" s="19">
        <f t="shared" si="39"/>
        <v>8.8541666666666671E-2</v>
      </c>
      <c r="H311" s="1">
        <f t="shared" si="40"/>
        <v>2560</v>
      </c>
      <c r="I311" s="1">
        <f t="shared" si="41"/>
        <v>2497</v>
      </c>
      <c r="J311" s="1">
        <f t="shared" si="42"/>
        <v>232134</v>
      </c>
      <c r="K311" s="1">
        <f t="shared" si="38"/>
        <v>158815</v>
      </c>
      <c r="L311" s="18">
        <v>0.97</v>
      </c>
      <c r="M311" s="18">
        <v>0.01</v>
      </c>
      <c r="N311" s="18">
        <v>0.99</v>
      </c>
      <c r="O311" s="18">
        <v>0.38</v>
      </c>
      <c r="P311" s="18">
        <v>0.86</v>
      </c>
      <c r="Q311" s="261">
        <v>1.8750000000000001E-3</v>
      </c>
      <c r="R311" s="200">
        <v>4.1666666666666666E-3</v>
      </c>
      <c r="S311" s="1">
        <v>12</v>
      </c>
    </row>
    <row r="312" spans="1:19" x14ac:dyDescent="0.35">
      <c r="A312" s="23">
        <v>44962</v>
      </c>
      <c r="B312" s="38" t="s">
        <v>48</v>
      </c>
      <c r="C312" s="38" t="s">
        <v>60</v>
      </c>
      <c r="D312" s="1">
        <v>0</v>
      </c>
      <c r="E312" s="1">
        <v>0</v>
      </c>
      <c r="F312" s="19">
        <v>0</v>
      </c>
      <c r="G312" s="19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261">
        <v>0</v>
      </c>
      <c r="R312" s="200">
        <v>0</v>
      </c>
      <c r="S312" s="1">
        <v>0</v>
      </c>
    </row>
    <row r="313" spans="1:19" x14ac:dyDescent="0.35">
      <c r="A313" s="23">
        <v>44963</v>
      </c>
      <c r="B313" s="38" t="s">
        <v>49</v>
      </c>
      <c r="C313" s="38" t="s">
        <v>60</v>
      </c>
      <c r="D313" s="1">
        <v>832</v>
      </c>
      <c r="E313" s="1">
        <v>805</v>
      </c>
      <c r="F313" s="19">
        <f>IFERROR(((D313-D306)/D306),0)</f>
        <v>4.5226130653266333E-2</v>
      </c>
      <c r="G313" s="19">
        <f>IFERROR(((E313-E306)/E306),0)</f>
        <v>3.7371134020618556E-2</v>
      </c>
      <c r="H313" s="1">
        <f>H311+D313</f>
        <v>3392</v>
      </c>
      <c r="I313" s="1">
        <f>I311+E313</f>
        <v>3302</v>
      </c>
      <c r="J313" s="1">
        <f>J311+D313</f>
        <v>232966</v>
      </c>
      <c r="K313" s="1">
        <f>K311+E313</f>
        <v>159620</v>
      </c>
      <c r="L313" s="18">
        <v>0.88</v>
      </c>
      <c r="M313" s="18">
        <v>0.03</v>
      </c>
      <c r="N313" s="18">
        <v>0.97</v>
      </c>
      <c r="O313" s="18">
        <v>0.53</v>
      </c>
      <c r="P313" s="18">
        <v>0.79</v>
      </c>
      <c r="Q313" s="261">
        <v>2.1180555555555553E-3</v>
      </c>
      <c r="R313" s="200">
        <v>5.5555555555555558E-3</v>
      </c>
      <c r="S313" s="1">
        <v>12</v>
      </c>
    </row>
    <row r="314" spans="1:19" x14ac:dyDescent="0.35">
      <c r="A314" s="23">
        <v>44964</v>
      </c>
      <c r="B314" s="38" t="s">
        <v>50</v>
      </c>
      <c r="C314" s="38" t="s">
        <v>60</v>
      </c>
      <c r="D314" s="1">
        <v>804</v>
      </c>
      <c r="E314" s="1">
        <v>793</v>
      </c>
      <c r="F314" s="19">
        <f t="shared" ref="F314:F318" si="43">(D314-D307)/D307</f>
        <v>4.4155844155844157E-2</v>
      </c>
      <c r="G314" s="19">
        <f>(E314-E307)/E307</f>
        <v>5.8744993324432573E-2</v>
      </c>
      <c r="H314" s="1">
        <f t="shared" ref="H314:H315" si="44">H313+D314</f>
        <v>4196</v>
      </c>
      <c r="I314" s="1">
        <f t="shared" ref="I314:I315" si="45">I313+E314</f>
        <v>4095</v>
      </c>
      <c r="J314" s="1">
        <f t="shared" ref="J314:J315" si="46">J313+D314</f>
        <v>233770</v>
      </c>
      <c r="K314" s="1">
        <f t="shared" ref="K314:K318" si="47">K313+E314</f>
        <v>160413</v>
      </c>
      <c r="L314" s="18">
        <v>0.98</v>
      </c>
      <c r="M314" s="18">
        <v>0.01</v>
      </c>
      <c r="N314" s="18">
        <v>0.99</v>
      </c>
      <c r="O314" s="18">
        <v>0.49</v>
      </c>
      <c r="P314" s="18">
        <v>0.82</v>
      </c>
      <c r="Q314" s="261">
        <v>1.7361111111111112E-3</v>
      </c>
      <c r="R314" s="200">
        <v>3.472222222222222E-3</v>
      </c>
      <c r="S314" s="1">
        <v>13</v>
      </c>
    </row>
    <row r="315" spans="1:19" x14ac:dyDescent="0.35">
      <c r="A315" s="23">
        <v>44965</v>
      </c>
      <c r="B315" s="38" t="s">
        <v>51</v>
      </c>
      <c r="C315" s="38" t="s">
        <v>60</v>
      </c>
      <c r="D315" s="1">
        <v>711</v>
      </c>
      <c r="E315" s="1">
        <v>700</v>
      </c>
      <c r="F315" s="19">
        <f t="shared" si="43"/>
        <v>-4.6916890080428951E-2</v>
      </c>
      <c r="G315" s="19">
        <f>(E315-E308)/E308</f>
        <v>-2.5069637883008356E-2</v>
      </c>
      <c r="H315" s="1">
        <f t="shared" si="44"/>
        <v>4907</v>
      </c>
      <c r="I315" s="1">
        <f t="shared" si="45"/>
        <v>4795</v>
      </c>
      <c r="J315" s="1">
        <f t="shared" si="46"/>
        <v>234481</v>
      </c>
      <c r="K315" s="1">
        <f t="shared" si="47"/>
        <v>161113</v>
      </c>
      <c r="L315" s="18">
        <v>0.97</v>
      </c>
      <c r="M315" s="18">
        <v>0.02</v>
      </c>
      <c r="N315" s="18">
        <v>0.98</v>
      </c>
      <c r="O315" s="18">
        <v>0.35</v>
      </c>
      <c r="P315" s="18">
        <v>0.82</v>
      </c>
      <c r="Q315" s="261">
        <v>1.7361111111111112E-3</v>
      </c>
      <c r="R315" s="200">
        <v>4.1666666666666666E-3</v>
      </c>
      <c r="S315" s="1">
        <v>13</v>
      </c>
    </row>
    <row r="316" spans="1:19" x14ac:dyDescent="0.35">
      <c r="A316" s="23">
        <v>44966</v>
      </c>
      <c r="B316" s="38" t="s">
        <v>52</v>
      </c>
      <c r="C316" s="38" t="s">
        <v>60</v>
      </c>
      <c r="D316" s="1">
        <v>703</v>
      </c>
      <c r="E316" s="1">
        <v>661</v>
      </c>
      <c r="F316" s="19">
        <f t="shared" si="43"/>
        <v>-2.2253129346314324E-2</v>
      </c>
      <c r="G316" s="19">
        <f>(E316-E309)/E309</f>
        <v>-6.9014084507042259E-2</v>
      </c>
      <c r="H316" s="1">
        <f>H315+D316</f>
        <v>5610</v>
      </c>
      <c r="I316" s="1">
        <f>I315+E316</f>
        <v>5456</v>
      </c>
      <c r="J316" s="1">
        <f>J315+D316</f>
        <v>235184</v>
      </c>
      <c r="K316" s="1">
        <f t="shared" si="47"/>
        <v>161774</v>
      </c>
      <c r="L316" s="18">
        <v>0.86</v>
      </c>
      <c r="M316" s="18">
        <v>0.06</v>
      </c>
      <c r="N316" s="18">
        <v>0.94</v>
      </c>
      <c r="O316" s="18">
        <v>0.5</v>
      </c>
      <c r="P316" s="18">
        <v>0.75</v>
      </c>
      <c r="Q316" s="261">
        <v>2.0370370370370373E-3</v>
      </c>
      <c r="R316" s="200">
        <v>8.3333333333333332E-3</v>
      </c>
      <c r="S316" s="1">
        <v>11</v>
      </c>
    </row>
    <row r="317" spans="1:19" x14ac:dyDescent="0.35">
      <c r="A317" s="23">
        <v>44967</v>
      </c>
      <c r="B317" s="38" t="s">
        <v>53</v>
      </c>
      <c r="C317" s="38" t="s">
        <v>60</v>
      </c>
      <c r="D317" s="1">
        <v>693</v>
      </c>
      <c r="E317" s="1">
        <v>684</v>
      </c>
      <c r="F317" s="19">
        <f t="shared" si="43"/>
        <v>3.125E-2</v>
      </c>
      <c r="G317" s="19">
        <f t="shared" ref="G317:G318" si="48">(E317-E310)/E310</f>
        <v>5.0691244239631339E-2</v>
      </c>
      <c r="H317" s="1">
        <f t="shared" ref="H317:H318" si="49">H316+D317</f>
        <v>6303</v>
      </c>
      <c r="I317" s="1">
        <f t="shared" ref="I317:I318" si="50">I316+E317</f>
        <v>6140</v>
      </c>
      <c r="J317" s="1">
        <f t="shared" ref="J317:J318" si="51">J316+D317</f>
        <v>235877</v>
      </c>
      <c r="K317" s="1">
        <f t="shared" si="47"/>
        <v>162458</v>
      </c>
      <c r="L317" s="18">
        <v>0.96</v>
      </c>
      <c r="M317" s="18">
        <v>0.01</v>
      </c>
      <c r="N317" s="18">
        <v>0.99</v>
      </c>
      <c r="O317" s="18">
        <v>0.43</v>
      </c>
      <c r="P317" s="18">
        <v>0.79</v>
      </c>
      <c r="Q317" s="261">
        <v>1.7476851851851852E-3</v>
      </c>
      <c r="R317" s="200">
        <v>3.472222222222222E-3</v>
      </c>
      <c r="S317" s="1">
        <v>11</v>
      </c>
    </row>
    <row r="318" spans="1:19" x14ac:dyDescent="0.35">
      <c r="A318" s="23">
        <v>44968</v>
      </c>
      <c r="B318" s="38" t="s">
        <v>54</v>
      </c>
      <c r="C318" s="38" t="s">
        <v>60</v>
      </c>
      <c r="D318" s="1">
        <v>390</v>
      </c>
      <c r="E318" s="1">
        <v>372</v>
      </c>
      <c r="F318" s="19">
        <f t="shared" si="43"/>
        <v>-7.8014184397163122E-2</v>
      </c>
      <c r="G318" s="19">
        <f t="shared" si="48"/>
        <v>-0.11004784688995216</v>
      </c>
      <c r="H318" s="1">
        <f t="shared" si="49"/>
        <v>6693</v>
      </c>
      <c r="I318" s="1">
        <f t="shared" si="50"/>
        <v>6512</v>
      </c>
      <c r="J318" s="1">
        <f t="shared" si="51"/>
        <v>236267</v>
      </c>
      <c r="K318" s="1">
        <f t="shared" si="47"/>
        <v>162830</v>
      </c>
      <c r="L318" s="18">
        <v>0.95</v>
      </c>
      <c r="M318" s="18">
        <v>0.05</v>
      </c>
      <c r="N318" s="18">
        <v>0.95</v>
      </c>
      <c r="O318" s="18">
        <v>0.33</v>
      </c>
      <c r="P318" s="18">
        <v>0.88</v>
      </c>
      <c r="Q318" s="261">
        <v>1.6203703703703703E-3</v>
      </c>
      <c r="R318" s="200">
        <v>4.8611111111111112E-3</v>
      </c>
      <c r="S318" s="1">
        <v>12</v>
      </c>
    </row>
    <row r="319" spans="1:19" x14ac:dyDescent="0.35">
      <c r="A319" s="23">
        <v>44969</v>
      </c>
      <c r="B319" s="38" t="s">
        <v>48</v>
      </c>
      <c r="C319" s="38" t="s">
        <v>60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61">
        <v>0</v>
      </c>
      <c r="R319" s="200">
        <v>0</v>
      </c>
      <c r="S319" s="1">
        <v>0</v>
      </c>
    </row>
    <row r="320" spans="1:19" x14ac:dyDescent="0.35">
      <c r="A320" s="23">
        <v>44970</v>
      </c>
      <c r="B320" s="38" t="s">
        <v>49</v>
      </c>
      <c r="C320" s="38" t="s">
        <v>60</v>
      </c>
      <c r="D320" s="1">
        <v>801</v>
      </c>
      <c r="E320" s="1">
        <v>700</v>
      </c>
      <c r="F320" s="19">
        <f>IFERROR(((D320-D313)/D313),0)</f>
        <v>-3.7259615384615384E-2</v>
      </c>
      <c r="G320" s="19">
        <f>IFERROR(((E320-E313)/E313),0)</f>
        <v>-0.13043478260869565</v>
      </c>
      <c r="H320" s="1">
        <f>H318+D320</f>
        <v>7494</v>
      </c>
      <c r="I320" s="1">
        <f>I318+E320</f>
        <v>7212</v>
      </c>
      <c r="J320" s="1">
        <f>J318+D320</f>
        <v>237068</v>
      </c>
      <c r="K320" s="1">
        <f>K318+E320</f>
        <v>163530</v>
      </c>
      <c r="L320" s="18">
        <v>0.63</v>
      </c>
      <c r="M320" s="18">
        <v>0.13</v>
      </c>
      <c r="N320" s="18">
        <v>0.87</v>
      </c>
      <c r="O320" s="18">
        <v>0.51</v>
      </c>
      <c r="P320" s="18">
        <v>0.82</v>
      </c>
      <c r="Q320" s="261">
        <v>2.3958333333333336E-3</v>
      </c>
      <c r="R320" s="200">
        <v>2.7777777777777776E-2</v>
      </c>
      <c r="S320" s="1">
        <v>11</v>
      </c>
    </row>
    <row r="321" spans="1:24" x14ac:dyDescent="0.35">
      <c r="A321" s="23">
        <v>44971</v>
      </c>
      <c r="B321" s="38" t="s">
        <v>50</v>
      </c>
      <c r="C321" s="38" t="s">
        <v>60</v>
      </c>
      <c r="D321" s="1">
        <v>642</v>
      </c>
      <c r="E321" s="1">
        <v>632</v>
      </c>
      <c r="F321" s="19">
        <f t="shared" ref="F321:F325" si="52">(D321-D314)/D314</f>
        <v>-0.20149253731343283</v>
      </c>
      <c r="G321" s="19">
        <f>(E321-E314)/E314</f>
        <v>-0.20302648171500631</v>
      </c>
      <c r="H321" s="1">
        <f t="shared" ref="H321:H322" si="53">H320+D321</f>
        <v>8136</v>
      </c>
      <c r="I321" s="1">
        <f t="shared" ref="I321:I322" si="54">I320+E321</f>
        <v>7844</v>
      </c>
      <c r="J321" s="1">
        <f t="shared" ref="J321:J322" si="55">J320+D321</f>
        <v>237710</v>
      </c>
      <c r="K321" s="1">
        <f t="shared" ref="K321:K325" si="56">K320+E321</f>
        <v>164162</v>
      </c>
      <c r="L321" s="18">
        <v>0.96</v>
      </c>
      <c r="M321" s="18">
        <v>0.02</v>
      </c>
      <c r="N321" s="18">
        <v>0.98</v>
      </c>
      <c r="O321" s="18">
        <v>0.33</v>
      </c>
      <c r="P321" s="18">
        <v>0.81</v>
      </c>
      <c r="Q321" s="261">
        <v>1.9675925925925928E-3</v>
      </c>
      <c r="R321" s="200">
        <v>3.472222222222222E-3</v>
      </c>
      <c r="S321" s="1">
        <v>11</v>
      </c>
    </row>
    <row r="322" spans="1:24" x14ac:dyDescent="0.35">
      <c r="A322" s="23">
        <v>44972</v>
      </c>
      <c r="B322" s="38" t="s">
        <v>51</v>
      </c>
      <c r="C322" s="38" t="s">
        <v>60</v>
      </c>
      <c r="D322" s="1">
        <v>633</v>
      </c>
      <c r="E322" s="1">
        <v>616</v>
      </c>
      <c r="F322" s="19">
        <f t="shared" si="52"/>
        <v>-0.10970464135021098</v>
      </c>
      <c r="G322" s="19">
        <f>(E322-E315)/E315</f>
        <v>-0.12</v>
      </c>
      <c r="H322" s="1">
        <f t="shared" si="53"/>
        <v>8769</v>
      </c>
      <c r="I322" s="1">
        <f t="shared" si="54"/>
        <v>8460</v>
      </c>
      <c r="J322" s="1">
        <f t="shared" si="55"/>
        <v>238343</v>
      </c>
      <c r="K322" s="1">
        <f t="shared" si="56"/>
        <v>164778</v>
      </c>
      <c r="L322" s="18">
        <v>0.9</v>
      </c>
      <c r="M322" s="18">
        <v>0.03</v>
      </c>
      <c r="N322" s="18">
        <v>0.97</v>
      </c>
      <c r="O322" s="18">
        <v>0.45</v>
      </c>
      <c r="P322" s="18">
        <v>0.79</v>
      </c>
      <c r="Q322" s="261">
        <v>2.1296296296296298E-3</v>
      </c>
      <c r="R322" s="200">
        <v>5.5555555555555558E-3</v>
      </c>
      <c r="S322" s="1">
        <v>11</v>
      </c>
    </row>
    <row r="323" spans="1:24" x14ac:dyDescent="0.35">
      <c r="A323" s="23">
        <v>44973</v>
      </c>
      <c r="B323" s="38" t="s">
        <v>52</v>
      </c>
      <c r="C323" s="38" t="s">
        <v>60</v>
      </c>
      <c r="D323" s="1">
        <v>580</v>
      </c>
      <c r="E323" s="1">
        <v>559</v>
      </c>
      <c r="F323" s="19">
        <f t="shared" si="52"/>
        <v>-0.17496443812233287</v>
      </c>
      <c r="G323" s="19">
        <f>(E323-E316)/E316</f>
        <v>-0.15431164901664146</v>
      </c>
      <c r="H323" s="1">
        <f>H322+D323</f>
        <v>9349</v>
      </c>
      <c r="I323" s="1">
        <f>I322+E323</f>
        <v>9019</v>
      </c>
      <c r="J323" s="1">
        <f>J322+D323</f>
        <v>238923</v>
      </c>
      <c r="K323" s="1">
        <f t="shared" si="56"/>
        <v>165337</v>
      </c>
      <c r="L323" s="18">
        <v>0.88</v>
      </c>
      <c r="M323" s="18">
        <v>0.04</v>
      </c>
      <c r="N323" s="18">
        <v>0.96</v>
      </c>
      <c r="O323" s="18">
        <v>0.41</v>
      </c>
      <c r="P323" s="18">
        <v>0.83</v>
      </c>
      <c r="Q323" s="261">
        <v>2.0833333333333333E-3</v>
      </c>
      <c r="R323" s="200">
        <v>8.3333333333333332E-3</v>
      </c>
      <c r="S323" s="1">
        <v>9</v>
      </c>
    </row>
    <row r="324" spans="1:24" x14ac:dyDescent="0.35">
      <c r="A324" s="23">
        <v>44974</v>
      </c>
      <c r="B324" s="38" t="s">
        <v>53</v>
      </c>
      <c r="C324" s="38" t="s">
        <v>60</v>
      </c>
      <c r="D324" s="1">
        <v>612</v>
      </c>
      <c r="E324" s="1">
        <v>549</v>
      </c>
      <c r="F324" s="19">
        <f t="shared" si="52"/>
        <v>-0.11688311688311688</v>
      </c>
      <c r="G324" s="19">
        <f t="shared" ref="G324:G325" si="57">(E324-E317)/E317</f>
        <v>-0.19736842105263158</v>
      </c>
      <c r="H324" s="1">
        <f t="shared" ref="H324:H325" si="58">H323+D324</f>
        <v>9961</v>
      </c>
      <c r="I324" s="1">
        <f t="shared" ref="I324:I325" si="59">I323+E324</f>
        <v>9568</v>
      </c>
      <c r="J324" s="1">
        <f t="shared" ref="J324:J325" si="60">J323+D324</f>
        <v>239535</v>
      </c>
      <c r="K324" s="1">
        <f t="shared" si="56"/>
        <v>165886</v>
      </c>
      <c r="L324" s="18">
        <v>0.74</v>
      </c>
      <c r="M324" s="18">
        <v>0.1</v>
      </c>
      <c r="N324" s="18">
        <v>0.9</v>
      </c>
      <c r="O324" s="18">
        <v>0.31</v>
      </c>
      <c r="P324" s="18">
        <v>0.8</v>
      </c>
      <c r="Q324" s="261">
        <v>2.1875000000000002E-3</v>
      </c>
      <c r="R324" s="200">
        <v>2.361111111111111E-2</v>
      </c>
      <c r="S324" s="1">
        <v>9</v>
      </c>
    </row>
    <row r="325" spans="1:24" x14ac:dyDescent="0.35">
      <c r="A325" s="23">
        <v>44975</v>
      </c>
      <c r="B325" s="38" t="s">
        <v>54</v>
      </c>
      <c r="C325" s="38" t="s">
        <v>60</v>
      </c>
      <c r="D325" s="1">
        <v>300</v>
      </c>
      <c r="E325" s="1">
        <v>294</v>
      </c>
      <c r="F325" s="19">
        <f t="shared" si="52"/>
        <v>-0.23076923076923078</v>
      </c>
      <c r="G325" s="19">
        <f t="shared" si="57"/>
        <v>-0.20967741935483872</v>
      </c>
      <c r="H325" s="1">
        <f t="shared" si="58"/>
        <v>10261</v>
      </c>
      <c r="I325" s="1">
        <f t="shared" si="59"/>
        <v>9862</v>
      </c>
      <c r="J325" s="1">
        <f t="shared" si="60"/>
        <v>239835</v>
      </c>
      <c r="K325" s="1">
        <f t="shared" si="56"/>
        <v>166180</v>
      </c>
      <c r="L325" s="18">
        <v>0.94</v>
      </c>
      <c r="M325" s="18">
        <v>0.02</v>
      </c>
      <c r="N325" s="18">
        <v>0.98</v>
      </c>
      <c r="O325" s="18">
        <v>0.31</v>
      </c>
      <c r="P325" s="18">
        <v>0.88</v>
      </c>
      <c r="Q325" s="261">
        <v>1.5856481481481481E-3</v>
      </c>
      <c r="R325" s="200">
        <v>4.1666666666666666E-3</v>
      </c>
      <c r="S325" s="1">
        <v>7</v>
      </c>
    </row>
    <row r="326" spans="1:24" x14ac:dyDescent="0.35">
      <c r="A326" s="23">
        <v>44976</v>
      </c>
      <c r="B326" s="38" t="s">
        <v>48</v>
      </c>
      <c r="C326" s="38" t="s">
        <v>60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261">
        <v>0</v>
      </c>
      <c r="R326" s="200">
        <v>0</v>
      </c>
      <c r="S326" s="1">
        <v>0</v>
      </c>
    </row>
    <row r="327" spans="1:24" x14ac:dyDescent="0.35">
      <c r="A327" s="23">
        <v>44977</v>
      </c>
      <c r="B327" s="38" t="s">
        <v>49</v>
      </c>
      <c r="C327" s="38" t="s">
        <v>60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261">
        <v>0</v>
      </c>
      <c r="R327" s="200">
        <v>0</v>
      </c>
      <c r="S327" s="1">
        <v>0</v>
      </c>
    </row>
    <row r="328" spans="1:24" x14ac:dyDescent="0.35">
      <c r="A328" s="23">
        <v>44978</v>
      </c>
      <c r="B328" s="38" t="s">
        <v>50</v>
      </c>
      <c r="C328" s="38" t="s">
        <v>60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261">
        <v>0</v>
      </c>
      <c r="R328" s="200">
        <v>0</v>
      </c>
      <c r="S328" s="1">
        <v>0</v>
      </c>
    </row>
    <row r="329" spans="1:24" x14ac:dyDescent="0.35">
      <c r="A329" s="23">
        <v>44979</v>
      </c>
      <c r="B329" s="38" t="s">
        <v>51</v>
      </c>
      <c r="C329" s="38" t="s">
        <v>60</v>
      </c>
      <c r="D329" s="1">
        <v>902</v>
      </c>
      <c r="E329" s="1">
        <v>829</v>
      </c>
      <c r="F329" s="19">
        <f t="shared" ref="F329:F332" si="61">(D329-D322)/D322</f>
        <v>0.42496050552922593</v>
      </c>
      <c r="G329" s="19">
        <f>(E329-E322)/E322</f>
        <v>0.3457792207792208</v>
      </c>
      <c r="H329" s="1">
        <f>H325+D329</f>
        <v>11163</v>
      </c>
      <c r="I329" s="1">
        <f t="shared" ref="I329" si="62">I325+E329</f>
        <v>10691</v>
      </c>
      <c r="J329" s="1">
        <f>J325+D329</f>
        <v>240737</v>
      </c>
      <c r="K329" s="1">
        <f>K325+E329</f>
        <v>167009</v>
      </c>
      <c r="L329" s="18">
        <v>0.7</v>
      </c>
      <c r="M329" s="18">
        <v>0.08</v>
      </c>
      <c r="N329" s="18">
        <v>0.92</v>
      </c>
      <c r="O329" s="18">
        <v>0.48</v>
      </c>
      <c r="P329" s="18">
        <v>0.83</v>
      </c>
      <c r="Q329" s="261">
        <v>1.2731481481481483E-3</v>
      </c>
      <c r="R329" s="200">
        <v>1.7361111111111112E-2</v>
      </c>
      <c r="S329" s="1">
        <v>9</v>
      </c>
    </row>
    <row r="330" spans="1:24" x14ac:dyDescent="0.35">
      <c r="A330" s="23">
        <v>44980</v>
      </c>
      <c r="B330" s="38" t="s">
        <v>52</v>
      </c>
      <c r="C330" s="38" t="s">
        <v>60</v>
      </c>
      <c r="D330" s="1">
        <v>793</v>
      </c>
      <c r="E330" s="1">
        <v>693</v>
      </c>
      <c r="F330" s="19">
        <f t="shared" si="61"/>
        <v>0.36724137931034484</v>
      </c>
      <c r="G330" s="19">
        <f>(E330-E323)/E323</f>
        <v>0.23971377459749552</v>
      </c>
      <c r="H330" s="1">
        <f>H329+D330</f>
        <v>11956</v>
      </c>
      <c r="I330" s="1">
        <f>I329+E330</f>
        <v>11384</v>
      </c>
      <c r="J330" s="1">
        <f>J329+D330</f>
        <v>241530</v>
      </c>
      <c r="K330" s="1">
        <f t="shared" ref="K330:K332" si="63">K329+E330</f>
        <v>167702</v>
      </c>
      <c r="L330" s="18">
        <v>0.63</v>
      </c>
      <c r="M330" s="18">
        <v>0.13</v>
      </c>
      <c r="N330" s="18">
        <v>0.87</v>
      </c>
      <c r="O330" s="18">
        <v>0.53</v>
      </c>
      <c r="P330" s="18">
        <v>0.8</v>
      </c>
      <c r="Q330" s="261">
        <v>2.3263888888888891E-3</v>
      </c>
      <c r="R330" s="200">
        <v>2.4999999999999998E-2</v>
      </c>
      <c r="S330" s="1">
        <v>11</v>
      </c>
    </row>
    <row r="331" spans="1:24" x14ac:dyDescent="0.35">
      <c r="A331" s="23">
        <v>44981</v>
      </c>
      <c r="B331" s="38" t="s">
        <v>53</v>
      </c>
      <c r="C331" s="38" t="s">
        <v>60</v>
      </c>
      <c r="D331" s="1">
        <v>720</v>
      </c>
      <c r="E331" s="1">
        <v>692</v>
      </c>
      <c r="F331" s="19">
        <f t="shared" si="61"/>
        <v>0.17647058823529413</v>
      </c>
      <c r="G331" s="19">
        <f t="shared" ref="G331:G332" si="64">(E331-E324)/E324</f>
        <v>0.26047358834244078</v>
      </c>
      <c r="H331" s="1">
        <f t="shared" ref="H331:H332" si="65">H330+D331</f>
        <v>12676</v>
      </c>
      <c r="I331" s="1">
        <f t="shared" ref="I331:I332" si="66">I330+E331</f>
        <v>12076</v>
      </c>
      <c r="J331" s="1">
        <f t="shared" ref="J331:J332" si="67">J330+D331</f>
        <v>242250</v>
      </c>
      <c r="K331" s="1">
        <f t="shared" si="63"/>
        <v>168394</v>
      </c>
      <c r="L331" s="18">
        <v>0.87</v>
      </c>
      <c r="M331" s="18">
        <v>0.04</v>
      </c>
      <c r="N331" s="18">
        <v>0.96</v>
      </c>
      <c r="O331" s="18">
        <v>0.53</v>
      </c>
      <c r="P331" s="18">
        <v>0.84</v>
      </c>
      <c r="Q331" s="261">
        <v>1.9675925925925928E-3</v>
      </c>
      <c r="R331" s="200">
        <v>6.9444444444444441E-3</v>
      </c>
      <c r="S331" s="1">
        <v>11</v>
      </c>
    </row>
    <row r="332" spans="1:24" x14ac:dyDescent="0.35">
      <c r="A332" s="23">
        <v>44982</v>
      </c>
      <c r="B332" s="38" t="s">
        <v>54</v>
      </c>
      <c r="C332" s="38" t="s">
        <v>60</v>
      </c>
      <c r="D332" s="1">
        <v>368</v>
      </c>
      <c r="E332" s="1">
        <v>357</v>
      </c>
      <c r="F332" s="19">
        <f t="shared" si="61"/>
        <v>0.22666666666666666</v>
      </c>
      <c r="G332" s="19">
        <f t="shared" si="64"/>
        <v>0.21428571428571427</v>
      </c>
      <c r="H332" s="1">
        <f t="shared" si="65"/>
        <v>13044</v>
      </c>
      <c r="I332" s="1">
        <f t="shared" si="66"/>
        <v>12433</v>
      </c>
      <c r="J332" s="1">
        <f t="shared" si="67"/>
        <v>242618</v>
      </c>
      <c r="K332" s="1">
        <f t="shared" si="63"/>
        <v>168751</v>
      </c>
      <c r="L332" s="18">
        <v>0.9</v>
      </c>
      <c r="M332" s="18">
        <v>0.03</v>
      </c>
      <c r="N332" s="18">
        <v>0.97</v>
      </c>
      <c r="O332" s="18">
        <v>0.46</v>
      </c>
      <c r="P332" s="18">
        <v>0.9</v>
      </c>
      <c r="Q332" s="261">
        <v>2.4189814814814816E-3</v>
      </c>
      <c r="R332" s="200">
        <v>6.9444444444444441E-3</v>
      </c>
      <c r="S332" s="1">
        <v>10</v>
      </c>
      <c r="U332" s="219">
        <f>AVERAGEIF(R295:R341,"&lt;&gt;0")</f>
        <v>1.0416666666666664E-2</v>
      </c>
    </row>
    <row r="333" spans="1:24" x14ac:dyDescent="0.35">
      <c r="A333" s="23">
        <v>44983</v>
      </c>
      <c r="B333" s="38" t="s">
        <v>48</v>
      </c>
      <c r="C333" s="38" t="s">
        <v>60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61">
        <v>0</v>
      </c>
      <c r="R333" s="200">
        <v>0</v>
      </c>
      <c r="S333" s="1">
        <v>0</v>
      </c>
    </row>
    <row r="334" spans="1:24" x14ac:dyDescent="0.35">
      <c r="A334" s="23">
        <v>44984</v>
      </c>
      <c r="B334" s="38" t="s">
        <v>49</v>
      </c>
      <c r="C334" s="38" t="s">
        <v>60</v>
      </c>
      <c r="D334" s="1">
        <v>862</v>
      </c>
      <c r="E334" s="1">
        <v>778</v>
      </c>
      <c r="F334" s="19">
        <f>IFERROR(((D334-D327)/D327),0)</f>
        <v>0</v>
      </c>
      <c r="G334" s="19">
        <f>IFERROR(((E334-E327)/E327),0)</f>
        <v>0</v>
      </c>
      <c r="H334" s="1">
        <f>H332+D334</f>
        <v>13906</v>
      </c>
      <c r="I334" s="1">
        <f>I332+E334</f>
        <v>13211</v>
      </c>
      <c r="J334" s="1">
        <f>J332+D334</f>
        <v>243480</v>
      </c>
      <c r="K334" s="1">
        <f>K332+E334</f>
        <v>169529</v>
      </c>
      <c r="L334" s="18">
        <v>0.69</v>
      </c>
      <c r="M334" s="18">
        <v>0.1</v>
      </c>
      <c r="N334" s="18">
        <v>0.9</v>
      </c>
      <c r="O334" s="18">
        <v>0.53</v>
      </c>
      <c r="P334" s="18">
        <v>0.8</v>
      </c>
      <c r="Q334" s="261">
        <v>1.7592592592592592E-3</v>
      </c>
      <c r="R334" s="200">
        <v>1.8749999999999999E-2</v>
      </c>
      <c r="S334" s="1">
        <v>10</v>
      </c>
    </row>
    <row r="335" spans="1:24" x14ac:dyDescent="0.35">
      <c r="A335" s="23">
        <v>44985</v>
      </c>
      <c r="B335" s="38" t="s">
        <v>50</v>
      </c>
      <c r="C335" s="38" t="s">
        <v>60</v>
      </c>
      <c r="D335" s="1">
        <v>876</v>
      </c>
      <c r="E335" s="1">
        <v>822</v>
      </c>
      <c r="F335" s="19">
        <f>IFERROR((D335-D328)/D328,0)</f>
        <v>0</v>
      </c>
      <c r="G335" s="19">
        <f>IFERROR((E335-E328)/E328,0)</f>
        <v>0</v>
      </c>
      <c r="H335" s="1">
        <f t="shared" ref="H335" si="68">H334+D335</f>
        <v>14782</v>
      </c>
      <c r="I335" s="1">
        <f t="shared" ref="I335" si="69">I334+E335</f>
        <v>14033</v>
      </c>
      <c r="J335" s="1">
        <f t="shared" ref="J335" si="70">J334+D335</f>
        <v>244356</v>
      </c>
      <c r="K335" s="1">
        <f t="shared" ref="K335" si="71">K334+E335</f>
        <v>170351</v>
      </c>
      <c r="L335" s="18">
        <v>0.78</v>
      </c>
      <c r="M335" s="18">
        <v>0.06</v>
      </c>
      <c r="N335" s="18">
        <v>0.94</v>
      </c>
      <c r="O335" s="18">
        <v>0.69</v>
      </c>
      <c r="P335" s="18">
        <v>0.78</v>
      </c>
      <c r="Q335" s="261">
        <v>2.0023148148148148E-3</v>
      </c>
      <c r="R335" s="200">
        <v>1.3194444444444444E-2</v>
      </c>
      <c r="S335" s="1">
        <v>9</v>
      </c>
    </row>
    <row r="336" spans="1:24" s="54" customFormat="1" x14ac:dyDescent="0.35">
      <c r="A336" s="58">
        <v>44986</v>
      </c>
      <c r="B336" s="119" t="s">
        <v>51</v>
      </c>
      <c r="C336" s="55" t="s">
        <v>60</v>
      </c>
      <c r="D336" s="56">
        <v>839</v>
      </c>
      <c r="E336" s="56">
        <v>789</v>
      </c>
      <c r="F336" s="184">
        <f t="shared" ref="F336:F339" si="72">(D336-D329)/D329</f>
        <v>-6.9844789356984474E-2</v>
      </c>
      <c r="G336" s="184">
        <f>(E336-E329)/E329</f>
        <v>-4.8250904704463207E-2</v>
      </c>
      <c r="H336" s="56">
        <f>D336</f>
        <v>839</v>
      </c>
      <c r="I336" s="56">
        <f>E336</f>
        <v>789</v>
      </c>
      <c r="J336" s="56">
        <f>J335+D336</f>
        <v>245195</v>
      </c>
      <c r="K336" s="56">
        <f>K335+E336</f>
        <v>171140</v>
      </c>
      <c r="L336" s="57">
        <v>0.79</v>
      </c>
      <c r="M336" s="57">
        <v>0.06</v>
      </c>
      <c r="N336" s="57">
        <v>0.94</v>
      </c>
      <c r="O336" s="57">
        <v>0.63</v>
      </c>
      <c r="P336" s="57">
        <v>0.78</v>
      </c>
      <c r="Q336" s="262">
        <v>1.7708333333333332E-3</v>
      </c>
      <c r="R336" s="208">
        <v>1.4583333333333332E-2</v>
      </c>
      <c r="S336" s="56">
        <v>9</v>
      </c>
      <c r="V336"/>
      <c r="W336"/>
      <c r="X336"/>
    </row>
    <row r="337" spans="1:24" x14ac:dyDescent="0.35">
      <c r="A337" s="23">
        <v>44987</v>
      </c>
      <c r="B337" s="38" t="s">
        <v>52</v>
      </c>
      <c r="C337" s="38" t="s">
        <v>60</v>
      </c>
      <c r="D337" s="1">
        <v>785</v>
      </c>
      <c r="E337" s="1">
        <v>645</v>
      </c>
      <c r="F337" s="19">
        <f t="shared" si="72"/>
        <v>-1.0088272383354351E-2</v>
      </c>
      <c r="G337" s="19">
        <f>(E337-E330)/E330</f>
        <v>-6.9264069264069264E-2</v>
      </c>
      <c r="H337" s="1">
        <f>H336+D337</f>
        <v>1624</v>
      </c>
      <c r="I337" s="1">
        <f>I336+E337</f>
        <v>1434</v>
      </c>
      <c r="J337" s="1">
        <f>J336+D337</f>
        <v>245980</v>
      </c>
      <c r="K337" s="1">
        <f t="shared" ref="K337:K339" si="73">K336+E337</f>
        <v>171785</v>
      </c>
      <c r="L337" s="18">
        <v>0.59</v>
      </c>
      <c r="M337" s="18">
        <v>0.08</v>
      </c>
      <c r="N337" s="18">
        <v>0.92</v>
      </c>
      <c r="O337" s="18">
        <v>0.55000000000000004</v>
      </c>
      <c r="P337" s="18">
        <v>0.79</v>
      </c>
      <c r="Q337" s="261">
        <v>2.0254629629629629E-3</v>
      </c>
      <c r="R337" s="200">
        <v>3.125E-2</v>
      </c>
      <c r="S337" s="1">
        <v>9</v>
      </c>
    </row>
    <row r="338" spans="1:24" x14ac:dyDescent="0.35">
      <c r="A338" s="23">
        <v>44988</v>
      </c>
      <c r="B338" s="38" t="s">
        <v>53</v>
      </c>
      <c r="C338" s="38" t="s">
        <v>60</v>
      </c>
      <c r="D338" s="1">
        <v>761</v>
      </c>
      <c r="E338" s="1">
        <v>722</v>
      </c>
      <c r="F338" s="19">
        <f t="shared" si="72"/>
        <v>5.6944444444444443E-2</v>
      </c>
      <c r="G338" s="19">
        <f t="shared" ref="G338:G339" si="74">(E338-E331)/E331</f>
        <v>4.3352601156069363E-2</v>
      </c>
      <c r="H338" s="1">
        <f t="shared" ref="H338:H339" si="75">H337+D338</f>
        <v>2385</v>
      </c>
      <c r="I338" s="1">
        <f t="shared" ref="I338:I339" si="76">I337+E338</f>
        <v>2156</v>
      </c>
      <c r="J338" s="1">
        <f t="shared" ref="J338:J339" si="77">J337+D338</f>
        <v>246741</v>
      </c>
      <c r="K338" s="1">
        <f t="shared" si="73"/>
        <v>172507</v>
      </c>
      <c r="L338" s="18">
        <v>0.84</v>
      </c>
      <c r="M338" s="18">
        <v>0.05</v>
      </c>
      <c r="N338" s="18">
        <v>0.95</v>
      </c>
      <c r="O338" s="18">
        <v>0.45</v>
      </c>
      <c r="P338" s="18">
        <v>0.79</v>
      </c>
      <c r="Q338" s="261">
        <v>1.9444444444444442E-3</v>
      </c>
      <c r="R338" s="200">
        <v>7.6388888888888886E-3</v>
      </c>
      <c r="S338" s="1">
        <v>10</v>
      </c>
    </row>
    <row r="339" spans="1:24" x14ac:dyDescent="0.35">
      <c r="A339" s="23">
        <v>44989</v>
      </c>
      <c r="B339" s="38" t="s">
        <v>54</v>
      </c>
      <c r="C339" s="38" t="s">
        <v>60</v>
      </c>
      <c r="D339" s="1">
        <v>408</v>
      </c>
      <c r="E339" s="1">
        <v>395</v>
      </c>
      <c r="F339" s="19">
        <f t="shared" si="72"/>
        <v>0.10869565217391304</v>
      </c>
      <c r="G339" s="19">
        <f t="shared" si="74"/>
        <v>0.10644257703081232</v>
      </c>
      <c r="H339" s="1">
        <f t="shared" si="75"/>
        <v>2793</v>
      </c>
      <c r="I339" s="1">
        <f t="shared" si="76"/>
        <v>2551</v>
      </c>
      <c r="J339" s="1">
        <f t="shared" si="77"/>
        <v>247149</v>
      </c>
      <c r="K339" s="1">
        <f t="shared" si="73"/>
        <v>172902</v>
      </c>
      <c r="L339" s="18">
        <v>0.92</v>
      </c>
      <c r="M339" s="18">
        <v>0.03</v>
      </c>
      <c r="N339" s="18">
        <v>0.97</v>
      </c>
      <c r="O339" s="18">
        <v>0.31</v>
      </c>
      <c r="P339" s="18">
        <v>0.9</v>
      </c>
      <c r="Q339" s="261">
        <v>1.5625000000000001E-3</v>
      </c>
      <c r="R339" s="200">
        <v>7.6388888888888886E-3</v>
      </c>
      <c r="S339" s="1">
        <v>8</v>
      </c>
    </row>
    <row r="340" spans="1:24" x14ac:dyDescent="0.35">
      <c r="A340" s="23">
        <v>44990</v>
      </c>
      <c r="B340" s="38" t="s">
        <v>48</v>
      </c>
      <c r="C340" s="38" t="s">
        <v>60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261">
        <v>0</v>
      </c>
      <c r="R340" s="200">
        <v>0</v>
      </c>
      <c r="S340" s="1">
        <v>0</v>
      </c>
      <c r="V340" s="54"/>
      <c r="W340" s="54"/>
      <c r="X340" s="54"/>
    </row>
    <row r="341" spans="1:24" x14ac:dyDescent="0.35">
      <c r="A341" s="23">
        <v>44991</v>
      </c>
      <c r="B341" s="38" t="s">
        <v>49</v>
      </c>
      <c r="C341" s="38" t="s">
        <v>60</v>
      </c>
      <c r="D341" s="1">
        <v>817</v>
      </c>
      <c r="E341" s="1">
        <v>797</v>
      </c>
      <c r="F341" s="19">
        <f>IFERROR(((D341-D334)/D334),0)</f>
        <v>-5.2204176334106726E-2</v>
      </c>
      <c r="G341" s="19">
        <f>IFERROR(((E341-E334)/E334),0)</f>
        <v>2.4421593830334189E-2</v>
      </c>
      <c r="H341" s="1">
        <f>H339+D341</f>
        <v>3610</v>
      </c>
      <c r="I341" s="1">
        <f>I339+E341</f>
        <v>3348</v>
      </c>
      <c r="J341" s="1">
        <f>J339+D341</f>
        <v>247966</v>
      </c>
      <c r="K341" s="1">
        <f>K339+E341</f>
        <v>173699</v>
      </c>
      <c r="L341" s="18">
        <v>0.92</v>
      </c>
      <c r="M341" s="18">
        <v>0.02</v>
      </c>
      <c r="N341" s="18">
        <v>0.98</v>
      </c>
      <c r="O341" s="18">
        <v>0.54</v>
      </c>
      <c r="P341" s="18">
        <v>0.79</v>
      </c>
      <c r="Q341" s="261">
        <v>2.3611111111111111E-3</v>
      </c>
      <c r="R341" s="200">
        <v>4.8611111111111112E-3</v>
      </c>
      <c r="S341" s="1">
        <v>12</v>
      </c>
    </row>
    <row r="342" spans="1:24" x14ac:dyDescent="0.35">
      <c r="A342" s="23">
        <v>44992</v>
      </c>
      <c r="B342" s="36" t="s">
        <v>50</v>
      </c>
      <c r="C342" s="38" t="s">
        <v>60</v>
      </c>
      <c r="D342" s="1">
        <v>663</v>
      </c>
      <c r="E342" s="1">
        <v>643</v>
      </c>
      <c r="F342" s="19">
        <f>IFERROR((D342-D335)/D335,0)</f>
        <v>-0.24315068493150685</v>
      </c>
      <c r="G342" s="19">
        <f>IFERROR((E342-E335)/E335,0)</f>
        <v>-0.21776155717761558</v>
      </c>
      <c r="H342" s="1">
        <f t="shared" ref="H342" si="78">H341+D342</f>
        <v>4273</v>
      </c>
      <c r="I342" s="1">
        <f t="shared" ref="I342" si="79">I341+E342</f>
        <v>3991</v>
      </c>
      <c r="J342" s="1">
        <f t="shared" ref="J342" si="80">J341+D342</f>
        <v>248629</v>
      </c>
      <c r="K342" s="1">
        <f t="shared" ref="K342" si="81">K341+E342</f>
        <v>174342</v>
      </c>
      <c r="L342" s="18">
        <v>0.89</v>
      </c>
      <c r="M342" s="18">
        <v>0.03</v>
      </c>
      <c r="N342" s="18">
        <v>0.97</v>
      </c>
      <c r="O342" s="18">
        <v>0.46</v>
      </c>
      <c r="P342" s="18">
        <v>0.8</v>
      </c>
      <c r="Q342" s="261">
        <v>1.9791666666666668E-3</v>
      </c>
      <c r="R342" s="200">
        <v>6.2499999999999995E-3</v>
      </c>
      <c r="S342" s="1">
        <v>10</v>
      </c>
    </row>
    <row r="343" spans="1:24" x14ac:dyDescent="0.35">
      <c r="A343" s="23">
        <v>44993</v>
      </c>
      <c r="B343" s="38" t="s">
        <v>51</v>
      </c>
      <c r="C343" s="38" t="s">
        <v>60</v>
      </c>
      <c r="D343" s="1">
        <v>626</v>
      </c>
      <c r="E343" s="1">
        <v>607</v>
      </c>
      <c r="F343" s="98">
        <f t="shared" ref="F343:F346" si="82">(D343-D336)/D336</f>
        <v>-0.25387365911799764</v>
      </c>
      <c r="G343" s="98">
        <f>(E343-E336)/E336</f>
        <v>-0.23067173637515842</v>
      </c>
      <c r="H343" s="1">
        <f>D343+H342</f>
        <v>4899</v>
      </c>
      <c r="I343" s="1">
        <f>E343+I342</f>
        <v>4598</v>
      </c>
      <c r="J343" s="1">
        <f>J342+D343</f>
        <v>249255</v>
      </c>
      <c r="K343" s="1">
        <f>K342+E343</f>
        <v>174949</v>
      </c>
      <c r="L343" s="18">
        <v>0.89</v>
      </c>
      <c r="M343" s="18">
        <v>0.03</v>
      </c>
      <c r="N343" s="18">
        <v>0.97</v>
      </c>
      <c r="O343" s="18">
        <v>0.5</v>
      </c>
      <c r="P343" s="18">
        <v>0.78</v>
      </c>
      <c r="Q343" s="261">
        <v>2.0023148148148148E-3</v>
      </c>
      <c r="R343" s="200">
        <v>6.2499999999999995E-3</v>
      </c>
      <c r="S343" s="1">
        <v>10</v>
      </c>
    </row>
    <row r="344" spans="1:24" x14ac:dyDescent="0.35">
      <c r="A344" s="23">
        <v>44994</v>
      </c>
      <c r="B344" s="38" t="s">
        <v>52</v>
      </c>
      <c r="C344" s="38" t="s">
        <v>60</v>
      </c>
      <c r="D344" s="1">
        <v>625</v>
      </c>
      <c r="E344" s="1">
        <v>588</v>
      </c>
      <c r="F344" s="19">
        <f t="shared" si="82"/>
        <v>-0.20382165605095542</v>
      </c>
      <c r="G344" s="19">
        <f>(E344-E337)/E337</f>
        <v>-8.8372093023255813E-2</v>
      </c>
      <c r="H344" s="1">
        <f>H343+D344</f>
        <v>5524</v>
      </c>
      <c r="I344" s="1">
        <f>I343+E344</f>
        <v>5186</v>
      </c>
      <c r="J344" s="1">
        <f>J343+D344</f>
        <v>249880</v>
      </c>
      <c r="K344" s="1">
        <f t="shared" ref="K344:K346" si="83">K343+E344</f>
        <v>175537</v>
      </c>
      <c r="L344" s="18">
        <v>0.82</v>
      </c>
      <c r="M344" s="18">
        <v>0.06</v>
      </c>
      <c r="N344" s="18">
        <v>0.94</v>
      </c>
      <c r="O344" s="18">
        <v>0.45</v>
      </c>
      <c r="P344" s="18">
        <v>0.79</v>
      </c>
      <c r="Q344" s="261">
        <v>2.3032407407407402E-3</v>
      </c>
      <c r="R344" s="200">
        <v>1.1805555555555555E-2</v>
      </c>
      <c r="S344" s="1">
        <v>10</v>
      </c>
    </row>
    <row r="345" spans="1:24" x14ac:dyDescent="0.35">
      <c r="A345" s="23">
        <v>44995</v>
      </c>
      <c r="B345" s="38" t="s">
        <v>53</v>
      </c>
      <c r="C345" s="38" t="s">
        <v>60</v>
      </c>
      <c r="D345" s="1">
        <v>614</v>
      </c>
      <c r="E345" s="1">
        <v>554</v>
      </c>
      <c r="F345" s="19">
        <f t="shared" si="82"/>
        <v>-0.19316688567674112</v>
      </c>
      <c r="G345" s="19">
        <f t="shared" ref="G345:G346" si="84">(E345-E338)/E338</f>
        <v>-0.23268698060941828</v>
      </c>
      <c r="H345" s="1">
        <f t="shared" ref="H345:H346" si="85">H344+D345</f>
        <v>6138</v>
      </c>
      <c r="I345" s="1">
        <f t="shared" ref="I345:I346" si="86">I344+E345</f>
        <v>5740</v>
      </c>
      <c r="J345" s="1">
        <f t="shared" ref="J345:J346" si="87">J344+D345</f>
        <v>250494</v>
      </c>
      <c r="K345" s="1">
        <f t="shared" si="83"/>
        <v>176091</v>
      </c>
      <c r="L345" s="18">
        <v>0.86</v>
      </c>
      <c r="M345" s="18">
        <v>0.1</v>
      </c>
      <c r="N345" s="18">
        <v>0.9</v>
      </c>
      <c r="O345" s="18">
        <v>0.28999999999999998</v>
      </c>
      <c r="P345" s="18">
        <v>0.8</v>
      </c>
      <c r="Q345" s="261">
        <v>2.0254629629629629E-3</v>
      </c>
      <c r="R345" s="200">
        <v>2.013888888888889E-2</v>
      </c>
      <c r="S345" s="1">
        <v>12</v>
      </c>
    </row>
    <row r="346" spans="1:24" x14ac:dyDescent="0.35">
      <c r="A346" s="23">
        <v>44996</v>
      </c>
      <c r="B346" s="38" t="s">
        <v>54</v>
      </c>
      <c r="C346" s="38" t="s">
        <v>60</v>
      </c>
      <c r="D346" s="1">
        <v>353</v>
      </c>
      <c r="E346" s="1">
        <v>339</v>
      </c>
      <c r="F346" s="19">
        <f t="shared" si="82"/>
        <v>-0.13480392156862744</v>
      </c>
      <c r="G346" s="19">
        <f t="shared" si="84"/>
        <v>-0.14177215189873418</v>
      </c>
      <c r="H346" s="1">
        <f t="shared" si="85"/>
        <v>6491</v>
      </c>
      <c r="I346" s="1">
        <f t="shared" si="86"/>
        <v>6079</v>
      </c>
      <c r="J346" s="1">
        <f t="shared" si="87"/>
        <v>250847</v>
      </c>
      <c r="K346" s="1">
        <f t="shared" si="83"/>
        <v>176430</v>
      </c>
      <c r="L346" s="18">
        <v>0.87</v>
      </c>
      <c r="M346" s="18">
        <v>0.04</v>
      </c>
      <c r="N346" s="18">
        <v>0.96</v>
      </c>
      <c r="O346" s="18">
        <v>0.5</v>
      </c>
      <c r="P346" s="18">
        <v>0.89</v>
      </c>
      <c r="Q346" s="261">
        <v>2.0138888888888888E-3</v>
      </c>
      <c r="R346" s="200">
        <v>7.6388888888888886E-3</v>
      </c>
      <c r="S346" s="1">
        <v>8</v>
      </c>
    </row>
    <row r="347" spans="1:24" x14ac:dyDescent="0.35">
      <c r="A347" s="23">
        <v>44997</v>
      </c>
      <c r="B347" s="38" t="s">
        <v>48</v>
      </c>
      <c r="C347" s="38" t="s">
        <v>60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261">
        <v>0</v>
      </c>
      <c r="R347" s="200">
        <v>0</v>
      </c>
      <c r="S347" s="1">
        <v>0</v>
      </c>
    </row>
    <row r="348" spans="1:24" x14ac:dyDescent="0.35">
      <c r="A348" s="23">
        <v>44998</v>
      </c>
      <c r="B348" s="38" t="s">
        <v>49</v>
      </c>
      <c r="C348" s="38" t="s">
        <v>60</v>
      </c>
      <c r="D348" s="1">
        <v>748</v>
      </c>
      <c r="E348" s="1">
        <v>734</v>
      </c>
      <c r="F348" s="19">
        <f>IFERROR(((D348-D341)/D341),0)</f>
        <v>-8.4455324357405145E-2</v>
      </c>
      <c r="G348" s="19">
        <f>IFERROR(((E348-E341)/E341),0)</f>
        <v>-7.9046424090338768E-2</v>
      </c>
      <c r="H348" s="1">
        <f>H346+D348</f>
        <v>7239</v>
      </c>
      <c r="I348" s="1">
        <f>I346+E348</f>
        <v>6813</v>
      </c>
      <c r="J348" s="1">
        <f>J346+D348</f>
        <v>251595</v>
      </c>
      <c r="K348" s="1">
        <f>K346+E348</f>
        <v>177164</v>
      </c>
      <c r="L348" s="18">
        <v>0.95</v>
      </c>
      <c r="M348" s="18">
        <v>0.02</v>
      </c>
      <c r="N348" s="18">
        <v>0.98</v>
      </c>
      <c r="O348" s="18">
        <v>0.51</v>
      </c>
      <c r="P348" s="18">
        <v>0.81</v>
      </c>
      <c r="Q348" s="261">
        <v>1.9791666666666668E-3</v>
      </c>
      <c r="R348" s="200">
        <v>4.8611111111111112E-3</v>
      </c>
      <c r="S348" s="1">
        <v>11</v>
      </c>
    </row>
    <row r="349" spans="1:24" x14ac:dyDescent="0.35">
      <c r="A349" s="23">
        <v>44999</v>
      </c>
      <c r="B349" s="38" t="s">
        <v>50</v>
      </c>
      <c r="C349" s="38" t="s">
        <v>60</v>
      </c>
      <c r="D349" s="1">
        <v>600</v>
      </c>
      <c r="E349" s="1">
        <v>581</v>
      </c>
      <c r="F349" s="19">
        <f>IFERROR((D349-D342)/D342,0)</f>
        <v>-9.5022624434389136E-2</v>
      </c>
      <c r="G349" s="19">
        <f>IFERROR((E349-E342)/E342,0)</f>
        <v>-9.6423017107309481E-2</v>
      </c>
      <c r="H349" s="1">
        <f t="shared" ref="H349" si="88">H348+D349</f>
        <v>7839</v>
      </c>
      <c r="I349" s="1">
        <f t="shared" ref="I349" si="89">I348+E349</f>
        <v>7394</v>
      </c>
      <c r="J349" s="1">
        <f t="shared" ref="J349" si="90">J348+D349</f>
        <v>252195</v>
      </c>
      <c r="K349" s="1">
        <f t="shared" ref="K349" si="91">K348+E349</f>
        <v>177745</v>
      </c>
      <c r="L349" s="18">
        <v>0.93</v>
      </c>
      <c r="M349" s="18">
        <v>0.03</v>
      </c>
      <c r="N349" s="18">
        <v>0.97</v>
      </c>
      <c r="O349" s="18">
        <v>0.33</v>
      </c>
      <c r="P349" s="18">
        <v>0.81</v>
      </c>
      <c r="Q349" s="261">
        <v>1.9907407407407408E-3</v>
      </c>
      <c r="R349" s="200">
        <v>4.8611111111111112E-3</v>
      </c>
      <c r="S349" s="1">
        <v>10</v>
      </c>
    </row>
    <row r="350" spans="1:24" x14ac:dyDescent="0.35">
      <c r="A350" s="23">
        <v>45000</v>
      </c>
      <c r="B350" s="38" t="s">
        <v>51</v>
      </c>
      <c r="C350" s="38" t="s">
        <v>60</v>
      </c>
      <c r="D350" s="1">
        <v>627</v>
      </c>
      <c r="E350" s="1">
        <v>614</v>
      </c>
      <c r="F350" s="98">
        <f t="shared" ref="F350:F353" si="92">(D350-D343)/D343</f>
        <v>1.5974440894568689E-3</v>
      </c>
      <c r="G350" s="98">
        <f>(E350-E343)/E343</f>
        <v>1.1532125205930808E-2</v>
      </c>
      <c r="H350" s="1">
        <f>D350+H349</f>
        <v>8466</v>
      </c>
      <c r="I350" s="1">
        <f>E350+I349</f>
        <v>8008</v>
      </c>
      <c r="J350" s="1">
        <f>J349+D350</f>
        <v>252822</v>
      </c>
      <c r="K350" s="1">
        <f>K349+E350</f>
        <v>178359</v>
      </c>
      <c r="L350" s="18">
        <v>0.94</v>
      </c>
      <c r="M350" s="18">
        <v>0.02</v>
      </c>
      <c r="N350" s="18">
        <v>0.98</v>
      </c>
      <c r="O350" s="18">
        <v>0.44</v>
      </c>
      <c r="P350" s="18">
        <v>0.8</v>
      </c>
      <c r="Q350" s="261">
        <v>2.1527777777777782E-3</v>
      </c>
      <c r="R350" s="200">
        <v>5.5555555555555558E-3</v>
      </c>
      <c r="S350" s="1">
        <v>12</v>
      </c>
    </row>
    <row r="351" spans="1:24" x14ac:dyDescent="0.35">
      <c r="A351" s="23">
        <v>45001</v>
      </c>
      <c r="B351" s="38" t="s">
        <v>52</v>
      </c>
      <c r="C351" s="38" t="s">
        <v>60</v>
      </c>
      <c r="D351" s="1">
        <v>608</v>
      </c>
      <c r="E351" s="1">
        <v>593</v>
      </c>
      <c r="F351" s="19">
        <f t="shared" si="92"/>
        <v>-2.7199999999999998E-2</v>
      </c>
      <c r="G351" s="19">
        <f>(E351-E344)/E344</f>
        <v>8.5034013605442185E-3</v>
      </c>
      <c r="H351" s="1">
        <f>H350+D351</f>
        <v>9074</v>
      </c>
      <c r="I351" s="1">
        <f>I350+E351</f>
        <v>8601</v>
      </c>
      <c r="J351" s="1">
        <f>J350+D351</f>
        <v>253430</v>
      </c>
      <c r="K351" s="1">
        <f t="shared" ref="K351:K353" si="93">K350+E351</f>
        <v>178952</v>
      </c>
      <c r="L351" s="18">
        <v>0.91</v>
      </c>
      <c r="M351" s="18">
        <v>0.02</v>
      </c>
      <c r="N351" s="18">
        <v>0.98</v>
      </c>
      <c r="O351" s="18">
        <v>0.45</v>
      </c>
      <c r="P351" s="18">
        <v>0.82</v>
      </c>
      <c r="Q351" s="261">
        <v>2.2916666666666662E-3</v>
      </c>
      <c r="R351" s="200">
        <v>4.8611111111111112E-3</v>
      </c>
      <c r="S351" s="1">
        <v>10</v>
      </c>
    </row>
    <row r="352" spans="1:24" x14ac:dyDescent="0.35">
      <c r="A352" s="23">
        <v>45002</v>
      </c>
      <c r="B352" s="38" t="s">
        <v>53</v>
      </c>
      <c r="C352" s="38" t="s">
        <v>60</v>
      </c>
      <c r="D352" s="1">
        <v>587</v>
      </c>
      <c r="E352" s="1">
        <v>561</v>
      </c>
      <c r="F352" s="19">
        <f t="shared" si="92"/>
        <v>-4.3973941368078175E-2</v>
      </c>
      <c r="G352" s="19">
        <f t="shared" ref="G352:G353" si="94">(E352-E345)/E345</f>
        <v>1.263537906137184E-2</v>
      </c>
      <c r="H352" s="1">
        <f t="shared" ref="H352:H353" si="95">H351+D352</f>
        <v>9661</v>
      </c>
      <c r="I352" s="1">
        <f t="shared" ref="I352:I353" si="96">I351+E352</f>
        <v>9162</v>
      </c>
      <c r="J352" s="1">
        <f t="shared" ref="J352:J353" si="97">J351+D352</f>
        <v>254017</v>
      </c>
      <c r="K352" s="1">
        <f t="shared" si="93"/>
        <v>179513</v>
      </c>
      <c r="L352" s="18">
        <v>0.88</v>
      </c>
      <c r="M352" s="18">
        <v>0.04</v>
      </c>
      <c r="N352" s="18">
        <v>0.96</v>
      </c>
      <c r="O352" s="18">
        <v>0.42</v>
      </c>
      <c r="P352" s="18">
        <v>0.79</v>
      </c>
      <c r="Q352" s="261">
        <v>2.3032407407407402E-3</v>
      </c>
      <c r="R352" s="200">
        <v>9.7222222222222224E-3</v>
      </c>
      <c r="S352" s="1">
        <v>10</v>
      </c>
    </row>
    <row r="353" spans="1:19" x14ac:dyDescent="0.35">
      <c r="A353" s="23">
        <v>45003</v>
      </c>
      <c r="B353" s="38" t="s">
        <v>54</v>
      </c>
      <c r="C353" s="38" t="s">
        <v>60</v>
      </c>
      <c r="D353" s="1">
        <v>321</v>
      </c>
      <c r="E353" s="1">
        <v>299</v>
      </c>
      <c r="F353" s="19">
        <f t="shared" si="92"/>
        <v>-9.0651558073654395E-2</v>
      </c>
      <c r="G353" s="19">
        <f t="shared" si="94"/>
        <v>-0.11799410029498525</v>
      </c>
      <c r="H353" s="1">
        <f t="shared" si="95"/>
        <v>9982</v>
      </c>
      <c r="I353" s="1">
        <f t="shared" si="96"/>
        <v>9461</v>
      </c>
      <c r="J353" s="1">
        <f t="shared" si="97"/>
        <v>254338</v>
      </c>
      <c r="K353" s="1">
        <f t="shared" si="93"/>
        <v>179812</v>
      </c>
      <c r="L353" s="18">
        <v>0.94</v>
      </c>
      <c r="M353" s="18">
        <v>7.0000000000000007E-2</v>
      </c>
      <c r="N353" s="18">
        <v>0.93</v>
      </c>
      <c r="O353" s="18">
        <v>0.13</v>
      </c>
      <c r="P353" s="18">
        <v>0.91</v>
      </c>
      <c r="Q353" s="261">
        <v>1.8402777777777777E-3</v>
      </c>
      <c r="R353" s="200">
        <v>6.2499999999999995E-3</v>
      </c>
      <c r="S353" s="1">
        <v>9</v>
      </c>
    </row>
    <row r="354" spans="1:19" x14ac:dyDescent="0.35">
      <c r="A354" s="23">
        <v>45004</v>
      </c>
      <c r="B354" s="38" t="s">
        <v>48</v>
      </c>
      <c r="C354" s="38" t="s">
        <v>60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61">
        <v>0</v>
      </c>
      <c r="R354" s="200">
        <v>0</v>
      </c>
      <c r="S354" s="1">
        <v>0</v>
      </c>
    </row>
    <row r="355" spans="1:19" x14ac:dyDescent="0.35">
      <c r="A355" s="23">
        <v>45005</v>
      </c>
      <c r="B355" s="38" t="s">
        <v>49</v>
      </c>
      <c r="C355" s="38" t="s">
        <v>60</v>
      </c>
      <c r="D355" s="1">
        <v>711</v>
      </c>
      <c r="E355" s="1">
        <v>673</v>
      </c>
      <c r="F355" s="19">
        <f>IFERROR(((D355-D348)/D348),0)</f>
        <v>-4.9465240641711233E-2</v>
      </c>
      <c r="G355" s="19">
        <f>IFERROR(((E355-E348)/E348),0)</f>
        <v>-8.3106267029972758E-2</v>
      </c>
      <c r="H355" s="1">
        <f>H353+D355</f>
        <v>10693</v>
      </c>
      <c r="I355" s="1">
        <f>I353+E355</f>
        <v>10134</v>
      </c>
      <c r="J355" s="1">
        <f>J353+D355</f>
        <v>255049</v>
      </c>
      <c r="K355" s="1">
        <f>K353+E355</f>
        <v>180485</v>
      </c>
      <c r="L355" s="18">
        <v>0.8</v>
      </c>
      <c r="M355" s="18">
        <v>0.05</v>
      </c>
      <c r="N355" s="18">
        <v>0.95</v>
      </c>
      <c r="O355" s="18">
        <v>0.52</v>
      </c>
      <c r="P355" s="18">
        <v>0.77</v>
      </c>
      <c r="Q355" s="261">
        <v>2.0254629629629629E-3</v>
      </c>
      <c r="R355" s="200">
        <v>1.4583333333333332E-2</v>
      </c>
      <c r="S355" s="1">
        <v>11</v>
      </c>
    </row>
    <row r="356" spans="1:19" x14ac:dyDescent="0.35">
      <c r="A356" s="23">
        <v>45006</v>
      </c>
      <c r="B356" s="36" t="s">
        <v>50</v>
      </c>
      <c r="C356" s="38" t="s">
        <v>60</v>
      </c>
      <c r="D356" s="1">
        <v>658</v>
      </c>
      <c r="E356" s="1">
        <v>593</v>
      </c>
      <c r="F356" s="19">
        <f>IFERROR((D356-D349)/D349,0)</f>
        <v>9.6666666666666665E-2</v>
      </c>
      <c r="G356" s="19">
        <f>IFERROR((E356-E349)/E349,0)</f>
        <v>2.0654044750430294E-2</v>
      </c>
      <c r="H356" s="1">
        <f t="shared" ref="H356" si="98">H355+D356</f>
        <v>11351</v>
      </c>
      <c r="I356" s="1">
        <f t="shared" ref="I356" si="99">I355+E356</f>
        <v>10727</v>
      </c>
      <c r="J356" s="1">
        <f t="shared" ref="J356" si="100">J355+D356</f>
        <v>255707</v>
      </c>
      <c r="K356" s="1">
        <f t="shared" ref="K356" si="101">K355+E356</f>
        <v>181078</v>
      </c>
      <c r="L356" s="18">
        <v>0.71</v>
      </c>
      <c r="M356" s="18">
        <v>0.1</v>
      </c>
      <c r="N356" s="18">
        <v>0.9</v>
      </c>
      <c r="O356" s="18">
        <v>0.5</v>
      </c>
      <c r="P356" s="18">
        <v>0.79</v>
      </c>
      <c r="Q356" s="261">
        <v>2.5462962962962961E-3</v>
      </c>
      <c r="R356" s="200">
        <v>4.027777777777778E-2</v>
      </c>
      <c r="S356" s="1">
        <v>9</v>
      </c>
    </row>
    <row r="357" spans="1:19" x14ac:dyDescent="0.35">
      <c r="A357" s="23">
        <v>45007</v>
      </c>
      <c r="B357" s="38" t="s">
        <v>51</v>
      </c>
      <c r="C357" s="38" t="s">
        <v>60</v>
      </c>
      <c r="D357" s="1">
        <v>616</v>
      </c>
      <c r="E357" s="1">
        <v>536</v>
      </c>
      <c r="F357" s="98">
        <f t="shared" ref="F357:F360" si="102">(D357-D350)/D350</f>
        <v>-1.7543859649122806E-2</v>
      </c>
      <c r="G357" s="98">
        <f>(E357-E350)/E350</f>
        <v>-0.12703583061889251</v>
      </c>
      <c r="H357" s="1">
        <f>D357+H356</f>
        <v>11967</v>
      </c>
      <c r="I357" s="1">
        <f>E357+I356</f>
        <v>11263</v>
      </c>
      <c r="J357" s="1">
        <f>J356+D357</f>
        <v>256323</v>
      </c>
      <c r="K357" s="1">
        <f>K356+E357</f>
        <v>181614</v>
      </c>
      <c r="L357" s="18">
        <v>0.65</v>
      </c>
      <c r="M357" s="18">
        <v>0.13</v>
      </c>
      <c r="N357" s="18">
        <v>0.87</v>
      </c>
      <c r="O357" s="18">
        <v>0.48</v>
      </c>
      <c r="P357" s="18">
        <v>0.8</v>
      </c>
      <c r="Q357" s="261">
        <v>2.1412037037037038E-3</v>
      </c>
      <c r="R357" s="200">
        <v>5.0694444444444452E-2</v>
      </c>
      <c r="S357" s="1">
        <v>8</v>
      </c>
    </row>
    <row r="358" spans="1:19" x14ac:dyDescent="0.35">
      <c r="A358" s="23">
        <v>45008</v>
      </c>
      <c r="B358" s="36" t="s">
        <v>52</v>
      </c>
      <c r="C358" s="38" t="s">
        <v>60</v>
      </c>
      <c r="D358" s="1">
        <v>617</v>
      </c>
      <c r="E358" s="1">
        <v>594</v>
      </c>
      <c r="F358" s="19">
        <f t="shared" si="102"/>
        <v>1.4802631578947368E-2</v>
      </c>
      <c r="G358" s="19">
        <f>(E358-E351)/E351</f>
        <v>1.6863406408094434E-3</v>
      </c>
      <c r="H358" s="1">
        <f>H357+D358</f>
        <v>12584</v>
      </c>
      <c r="I358" s="1">
        <f>I357+E358</f>
        <v>11857</v>
      </c>
      <c r="J358" s="1">
        <f>J357+D358</f>
        <v>256940</v>
      </c>
      <c r="K358" s="1">
        <f t="shared" ref="K358:K360" si="103">K357+E358</f>
        <v>182208</v>
      </c>
      <c r="L358" s="18">
        <v>0.86</v>
      </c>
      <c r="M358" s="18">
        <v>0.04</v>
      </c>
      <c r="N358" s="18">
        <v>0.96</v>
      </c>
      <c r="O358" s="18">
        <v>0.46</v>
      </c>
      <c r="P358" s="18">
        <v>0.78</v>
      </c>
      <c r="Q358" s="261">
        <v>2.3148148148148151E-3</v>
      </c>
      <c r="R358" s="200">
        <v>6.9444444444444441E-3</v>
      </c>
      <c r="S358" s="1">
        <v>10</v>
      </c>
    </row>
    <row r="359" spans="1:19" x14ac:dyDescent="0.35">
      <c r="A359" s="23">
        <v>45009</v>
      </c>
      <c r="B359" s="38" t="s">
        <v>53</v>
      </c>
      <c r="C359" s="38" t="s">
        <v>60</v>
      </c>
      <c r="D359" s="1">
        <v>611</v>
      </c>
      <c r="E359" s="1">
        <v>561</v>
      </c>
      <c r="F359" s="19">
        <f t="shared" si="102"/>
        <v>4.0885860306643949E-2</v>
      </c>
      <c r="G359" s="19">
        <f>(E359-E352)/E352</f>
        <v>0</v>
      </c>
      <c r="H359" s="1">
        <f t="shared" ref="H359:H360" si="104">H358+D359</f>
        <v>13195</v>
      </c>
      <c r="I359" s="1">
        <f t="shared" ref="I359:I360" si="105">I358+E359</f>
        <v>12418</v>
      </c>
      <c r="J359" s="1">
        <f t="shared" ref="J359:J360" si="106">J358+D359</f>
        <v>257551</v>
      </c>
      <c r="K359" s="1">
        <f t="shared" si="103"/>
        <v>182769</v>
      </c>
      <c r="L359" s="18">
        <v>0.75</v>
      </c>
      <c r="M359" s="18">
        <v>0.08</v>
      </c>
      <c r="N359" s="18">
        <v>0.92</v>
      </c>
      <c r="O359" s="18">
        <v>0.48</v>
      </c>
      <c r="P359" s="18">
        <v>0.77</v>
      </c>
      <c r="Q359" s="261">
        <v>2.1180555555555553E-3</v>
      </c>
      <c r="R359" s="200">
        <v>2.2916666666666669E-2</v>
      </c>
      <c r="S359" s="1">
        <v>10</v>
      </c>
    </row>
    <row r="360" spans="1:19" x14ac:dyDescent="0.35">
      <c r="A360" s="23">
        <v>45010</v>
      </c>
      <c r="B360" s="36" t="s">
        <v>54</v>
      </c>
      <c r="C360" s="38" t="s">
        <v>60</v>
      </c>
      <c r="D360" s="1">
        <v>341</v>
      </c>
      <c r="E360" s="1">
        <v>325</v>
      </c>
      <c r="F360" s="19">
        <f t="shared" si="102"/>
        <v>6.2305295950155763E-2</v>
      </c>
      <c r="G360" s="19">
        <f t="shared" ref="G360" si="107">(E360-E353)/E353</f>
        <v>8.6956521739130432E-2</v>
      </c>
      <c r="H360" s="1">
        <f t="shared" si="104"/>
        <v>13536</v>
      </c>
      <c r="I360" s="1">
        <f t="shared" si="105"/>
        <v>12743</v>
      </c>
      <c r="J360" s="1">
        <f t="shared" si="106"/>
        <v>257892</v>
      </c>
      <c r="K360" s="1">
        <f t="shared" si="103"/>
        <v>183094</v>
      </c>
      <c r="L360" s="18">
        <v>0.85</v>
      </c>
      <c r="M360" s="18">
        <v>0.05</v>
      </c>
      <c r="N360" s="18">
        <v>0.95</v>
      </c>
      <c r="O360" s="18">
        <v>0.31</v>
      </c>
      <c r="P360" s="18">
        <v>0.86</v>
      </c>
      <c r="Q360" s="261">
        <v>1.9791666666666668E-3</v>
      </c>
      <c r="R360" s="200">
        <v>1.1805555555555555E-2</v>
      </c>
      <c r="S360" s="1">
        <v>7</v>
      </c>
    </row>
    <row r="361" spans="1:19" x14ac:dyDescent="0.35">
      <c r="A361" s="23">
        <v>45011</v>
      </c>
      <c r="B361" s="38" t="s">
        <v>48</v>
      </c>
      <c r="C361" s="38" t="s">
        <v>60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61">
        <v>0</v>
      </c>
      <c r="R361" s="200">
        <v>0</v>
      </c>
      <c r="S361" s="1">
        <v>0</v>
      </c>
    </row>
    <row r="362" spans="1:19" x14ac:dyDescent="0.35">
      <c r="A362" s="23">
        <v>45012</v>
      </c>
      <c r="B362" s="36" t="s">
        <v>49</v>
      </c>
      <c r="C362" s="38" t="s">
        <v>60</v>
      </c>
      <c r="D362" s="1">
        <v>717</v>
      </c>
      <c r="E362" s="1">
        <v>628</v>
      </c>
      <c r="F362" s="19">
        <f>IFERROR(((D362-D355)/D355),0)</f>
        <v>8.4388185654008432E-3</v>
      </c>
      <c r="G362" s="19">
        <f>IFERROR(((E362-E355)/E355),0)</f>
        <v>-6.6864784546805348E-2</v>
      </c>
      <c r="H362" s="1">
        <f>H360+D362</f>
        <v>14253</v>
      </c>
      <c r="I362" s="1">
        <f>I360+E362</f>
        <v>13371</v>
      </c>
      <c r="J362" s="1">
        <f>J360+D362</f>
        <v>258609</v>
      </c>
      <c r="K362" s="1">
        <f>K360+E362</f>
        <v>183722</v>
      </c>
      <c r="L362" s="18">
        <v>0.56000000000000005</v>
      </c>
      <c r="M362" s="18">
        <v>0.12</v>
      </c>
      <c r="N362" s="18">
        <v>0.88</v>
      </c>
      <c r="O362" s="18">
        <v>0.61</v>
      </c>
      <c r="P362" s="18">
        <v>0.77</v>
      </c>
      <c r="Q362" s="261">
        <v>2.1527777777777782E-3</v>
      </c>
      <c r="R362" s="200">
        <v>2.9861111111111113E-2</v>
      </c>
      <c r="S362" s="1">
        <v>9</v>
      </c>
    </row>
    <row r="363" spans="1:19" x14ac:dyDescent="0.35">
      <c r="A363" s="23">
        <v>45013</v>
      </c>
      <c r="B363" s="38" t="s">
        <v>50</v>
      </c>
      <c r="C363" s="38" t="s">
        <v>60</v>
      </c>
      <c r="D363" s="1">
        <v>674</v>
      </c>
      <c r="E363" s="1">
        <v>657</v>
      </c>
      <c r="F363" s="19">
        <f>IFERROR((D363-D356)/D356,0)</f>
        <v>2.4316109422492401E-2</v>
      </c>
      <c r="G363" s="19">
        <f>IFERROR((E363-E356)/E356,0)</f>
        <v>0.10792580101180438</v>
      </c>
      <c r="H363" s="1">
        <f t="shared" ref="H363" si="108">H362+D363</f>
        <v>14927</v>
      </c>
      <c r="I363" s="1">
        <f t="shared" ref="I363" si="109">I362+E363</f>
        <v>14028</v>
      </c>
      <c r="J363" s="1">
        <f t="shared" ref="J363" si="110">J362+D363</f>
        <v>259283</v>
      </c>
      <c r="K363" s="1">
        <f t="shared" ref="K363" si="111">K362+E363</f>
        <v>184379</v>
      </c>
      <c r="L363" s="18">
        <v>0.91</v>
      </c>
      <c r="M363" s="18">
        <v>0.03</v>
      </c>
      <c r="N363" s="18">
        <v>0.97</v>
      </c>
      <c r="O363" s="18">
        <v>0.4</v>
      </c>
      <c r="P363" s="18">
        <v>0.81</v>
      </c>
      <c r="Q363" s="261">
        <v>1.8981481481481482E-3</v>
      </c>
      <c r="R363" s="200">
        <v>6.2499999999999995E-3</v>
      </c>
      <c r="S363" s="1">
        <v>11</v>
      </c>
    </row>
    <row r="364" spans="1:19" x14ac:dyDescent="0.35">
      <c r="A364" s="23">
        <v>45014</v>
      </c>
      <c r="B364" s="36" t="s">
        <v>51</v>
      </c>
      <c r="C364" s="38" t="s">
        <v>60</v>
      </c>
      <c r="D364" s="1">
        <v>719</v>
      </c>
      <c r="E364" s="1">
        <v>679</v>
      </c>
      <c r="F364" s="98">
        <f t="shared" ref="F364" si="112">(D364-D357)/D357</f>
        <v>0.16720779220779219</v>
      </c>
      <c r="G364" s="98">
        <f>(E364-E357)/E357</f>
        <v>0.26679104477611942</v>
      </c>
      <c r="H364" s="1">
        <f>D364+H363</f>
        <v>15646</v>
      </c>
      <c r="I364" s="1">
        <f>E364+I363</f>
        <v>14707</v>
      </c>
      <c r="J364" s="1">
        <f>J363+D364</f>
        <v>260002</v>
      </c>
      <c r="K364" s="1">
        <f>K363+E364</f>
        <v>185058</v>
      </c>
      <c r="L364" s="18">
        <v>0.82</v>
      </c>
      <c r="M364" s="18">
        <v>0.06</v>
      </c>
      <c r="N364" s="18">
        <v>0.94</v>
      </c>
      <c r="O364" s="18">
        <v>0.56000000000000005</v>
      </c>
      <c r="P364" s="18">
        <v>0.78</v>
      </c>
      <c r="Q364" s="261">
        <v>2.2916666666666662E-3</v>
      </c>
      <c r="R364" s="200">
        <v>1.1111111111111112E-2</v>
      </c>
      <c r="S364" s="1">
        <v>10</v>
      </c>
    </row>
    <row r="365" spans="1:19" x14ac:dyDescent="0.35">
      <c r="A365" s="23">
        <v>45015</v>
      </c>
      <c r="B365" s="38" t="s">
        <v>52</v>
      </c>
      <c r="C365" s="38" t="s">
        <v>60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61">
        <v>0</v>
      </c>
      <c r="R365" s="200">
        <v>0</v>
      </c>
      <c r="S365" s="1">
        <v>0</v>
      </c>
    </row>
    <row r="366" spans="1:19" x14ac:dyDescent="0.35">
      <c r="A366" s="23">
        <v>45016</v>
      </c>
      <c r="B366" s="36" t="s">
        <v>53</v>
      </c>
      <c r="C366" s="38" t="s">
        <v>60</v>
      </c>
      <c r="D366" s="1">
        <v>758</v>
      </c>
      <c r="E366" s="1">
        <v>683</v>
      </c>
      <c r="F366" s="19">
        <f t="shared" ref="F366" si="113">(D366-D359)/D359</f>
        <v>0.24058919803600654</v>
      </c>
      <c r="G366" s="19">
        <f>(E366-E359)/E359</f>
        <v>0.21746880570409982</v>
      </c>
      <c r="H366" s="1">
        <f>H364+D366</f>
        <v>16404</v>
      </c>
      <c r="I366" s="1">
        <f>I364+E366</f>
        <v>15390</v>
      </c>
      <c r="J366" s="1">
        <f t="shared" ref="J366" si="114">J365+D366</f>
        <v>758</v>
      </c>
      <c r="K366" s="1">
        <f t="shared" ref="K366" si="115">K365+E366</f>
        <v>683</v>
      </c>
      <c r="L366" s="18">
        <v>0.62</v>
      </c>
      <c r="M366" s="18">
        <v>0.1</v>
      </c>
      <c r="N366" s="18">
        <v>0.9</v>
      </c>
      <c r="O366" s="18">
        <v>0.62</v>
      </c>
      <c r="P366" s="18">
        <v>0.78</v>
      </c>
      <c r="Q366" s="261">
        <v>2.1064814814814813E-3</v>
      </c>
      <c r="R366" s="200">
        <v>2.6388888888888889E-2</v>
      </c>
      <c r="S366" s="1">
        <v>9</v>
      </c>
    </row>
    <row r="369" spans="12:12" x14ac:dyDescent="0.35">
      <c r="L369" s="232">
        <f>AVERAGE(L1:L279)</f>
        <v>0.29715827338129497</v>
      </c>
    </row>
  </sheetData>
  <mergeCells count="1">
    <mergeCell ref="W141:X141"/>
  </mergeCells>
  <phoneticPr fontId="8" type="noConversion"/>
  <dataValidations count="2">
    <dataValidation type="list" allowBlank="1" showInputMessage="1" showErrorMessage="1" sqref="AC20:AC21 W120:W121" xr:uid="{4B0DD217-3BFE-4080-B100-903B8DA6A89D}">
      <formula1>period_TT</formula1>
    </dataValidation>
    <dataValidation type="list" allowBlank="1" showInputMessage="1" showErrorMessage="1" sqref="Z6:Z7" xr:uid="{99CF4F32-FDBA-406A-B66E-6FACCCB4D56D}">
      <formula1>WoW_dates_TT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A9F4-EA48-4A56-9996-6747C44E2CEF}">
  <sheetPr codeName="Sheet8"/>
  <dimension ref="A1:AF366"/>
  <sheetViews>
    <sheetView zoomScale="57" zoomScaleNormal="55" workbookViewId="0">
      <pane xSplit="1" ySplit="1" topLeftCell="B300" activePane="bottomRight" state="frozen"/>
      <selection pane="topRight" activeCell="B1" sqref="B1"/>
      <selection pane="bottomLeft" activeCell="A3" sqref="A3"/>
      <selection pane="bottomRight" activeCell="Q366" sqref="Q300:Q366"/>
    </sheetView>
  </sheetViews>
  <sheetFormatPr defaultRowHeight="14.5" x14ac:dyDescent="0.35"/>
  <cols>
    <col min="2" max="2" width="19" bestFit="1" customWidth="1"/>
    <col min="3" max="3" width="7.6328125" customWidth="1"/>
    <col min="4" max="4" width="11.81640625" bestFit="1" customWidth="1"/>
    <col min="5" max="5" width="19.08984375" customWidth="1"/>
    <col min="6" max="6" width="28.6328125" bestFit="1" customWidth="1"/>
    <col min="7" max="7" width="25.1796875" bestFit="1" customWidth="1"/>
    <col min="8" max="8" width="19.6328125" customWidth="1"/>
    <col min="9" max="9" width="18.36328125" customWidth="1"/>
    <col min="10" max="10" width="19" customWidth="1"/>
    <col min="11" max="11" width="15.54296875" customWidth="1"/>
    <col min="12" max="15" width="11.81640625" bestFit="1" customWidth="1"/>
    <col min="19" max="19" width="11.08984375" customWidth="1"/>
    <col min="21" max="21" width="10.08984375" customWidth="1"/>
    <col min="22" max="22" width="21.6328125" bestFit="1" customWidth="1"/>
    <col min="23" max="23" width="24" bestFit="1" customWidth="1"/>
    <col min="25" max="25" width="10.81640625" bestFit="1" customWidth="1"/>
    <col min="26" max="26" width="6.90625" bestFit="1" customWidth="1"/>
    <col min="31" max="31" width="11.7265625" bestFit="1" customWidth="1"/>
  </cols>
  <sheetData>
    <row r="1" spans="1:32" x14ac:dyDescent="0.35">
      <c r="A1" s="109" t="s">
        <v>36</v>
      </c>
      <c r="B1" s="44" t="s">
        <v>55</v>
      </c>
      <c r="C1" s="44" t="s">
        <v>59</v>
      </c>
      <c r="D1" s="44" t="s">
        <v>58</v>
      </c>
      <c r="E1" s="44" t="s">
        <v>34</v>
      </c>
      <c r="F1" s="44" t="s">
        <v>154</v>
      </c>
      <c r="G1" s="44" t="s">
        <v>61</v>
      </c>
      <c r="H1" s="44" t="s">
        <v>56</v>
      </c>
      <c r="I1" s="44" t="s">
        <v>57</v>
      </c>
      <c r="J1" s="44" t="s">
        <v>153</v>
      </c>
      <c r="K1" s="44" t="s">
        <v>152</v>
      </c>
      <c r="L1" s="44" t="s">
        <v>32</v>
      </c>
      <c r="M1" s="44" t="s">
        <v>5</v>
      </c>
      <c r="N1" s="44" t="s">
        <v>4</v>
      </c>
      <c r="O1" s="44" t="s">
        <v>33</v>
      </c>
      <c r="P1" s="45" t="s">
        <v>7</v>
      </c>
      <c r="Q1" s="45" t="s">
        <v>82</v>
      </c>
      <c r="R1" s="45" t="s">
        <v>83</v>
      </c>
      <c r="S1" s="44" t="s">
        <v>80</v>
      </c>
    </row>
    <row r="2" spans="1:32" x14ac:dyDescent="0.35">
      <c r="A2" s="29">
        <v>44652</v>
      </c>
      <c r="B2" s="36" t="s">
        <v>53</v>
      </c>
      <c r="C2" s="70" t="s">
        <v>60</v>
      </c>
      <c r="D2" s="34">
        <v>529</v>
      </c>
      <c r="E2" s="34">
        <v>434</v>
      </c>
      <c r="F2" s="71">
        <v>-8.4775086505190306E-2</v>
      </c>
      <c r="G2" s="71">
        <v>-0.17647058823529413</v>
      </c>
      <c r="H2" s="34">
        <v>529</v>
      </c>
      <c r="I2" s="34">
        <v>434</v>
      </c>
      <c r="J2" s="34">
        <v>529</v>
      </c>
      <c r="K2" s="34">
        <v>434</v>
      </c>
      <c r="L2" s="77">
        <v>0.51</v>
      </c>
      <c r="M2" s="77">
        <v>0.18</v>
      </c>
      <c r="N2" s="77">
        <v>0.82</v>
      </c>
      <c r="O2" s="77">
        <v>0.75</v>
      </c>
      <c r="P2" s="107">
        <v>0.97</v>
      </c>
      <c r="Q2" s="199"/>
      <c r="R2" s="199"/>
      <c r="S2" s="138"/>
    </row>
    <row r="3" spans="1:32" x14ac:dyDescent="0.35">
      <c r="A3" s="29">
        <v>44653</v>
      </c>
      <c r="B3" s="38" t="s">
        <v>54</v>
      </c>
      <c r="C3" s="70" t="s">
        <v>60</v>
      </c>
      <c r="D3" s="1">
        <v>409</v>
      </c>
      <c r="E3" s="1">
        <v>310</v>
      </c>
      <c r="F3" s="72">
        <v>0.59765625</v>
      </c>
      <c r="G3" s="72">
        <v>0.41552511415525112</v>
      </c>
      <c r="H3" s="1">
        <v>938</v>
      </c>
      <c r="I3" s="1">
        <v>744</v>
      </c>
      <c r="J3" s="1">
        <v>938</v>
      </c>
      <c r="K3" s="1">
        <v>744</v>
      </c>
      <c r="L3" s="76">
        <v>0.37</v>
      </c>
      <c r="M3" s="76">
        <v>0.24</v>
      </c>
      <c r="N3" s="76">
        <v>0.76</v>
      </c>
      <c r="O3" s="76">
        <v>1.07</v>
      </c>
      <c r="P3" s="108">
        <v>0.98</v>
      </c>
      <c r="Q3" s="108"/>
      <c r="R3" s="108"/>
      <c r="S3" s="76"/>
      <c r="U3" s="6" t="s">
        <v>65</v>
      </c>
      <c r="V3" s="7" t="s">
        <v>66</v>
      </c>
      <c r="W3" s="115" t="s">
        <v>67</v>
      </c>
      <c r="AE3" t="s">
        <v>68</v>
      </c>
      <c r="AF3" s="16">
        <v>44655</v>
      </c>
    </row>
    <row r="4" spans="1:32" x14ac:dyDescent="0.35">
      <c r="A4" s="29">
        <v>44654</v>
      </c>
      <c r="B4" s="36" t="s">
        <v>48</v>
      </c>
      <c r="C4" s="70" t="s">
        <v>60</v>
      </c>
      <c r="D4" s="34">
        <v>0</v>
      </c>
      <c r="E4" s="34">
        <v>0</v>
      </c>
      <c r="F4" s="71">
        <v>0</v>
      </c>
      <c r="G4" s="71">
        <v>0</v>
      </c>
      <c r="H4" s="34">
        <v>0</v>
      </c>
      <c r="I4" s="34">
        <v>0</v>
      </c>
      <c r="J4" s="34">
        <v>0</v>
      </c>
      <c r="K4" s="34">
        <v>0</v>
      </c>
      <c r="L4" s="77">
        <v>0</v>
      </c>
      <c r="M4" s="77">
        <v>0</v>
      </c>
      <c r="N4" s="77">
        <v>0</v>
      </c>
      <c r="O4" s="77">
        <v>0</v>
      </c>
      <c r="P4" s="107">
        <v>0</v>
      </c>
      <c r="Q4" s="107"/>
      <c r="R4" s="107"/>
      <c r="S4" s="76"/>
      <c r="U4" s="29">
        <v>44655</v>
      </c>
      <c r="V4" s="1">
        <f t="shared" ref="V4:V18" si="0">SUMIFS(calls_off_BAR,period_BAR,"&gt;="&amp;U4,period_BAR,"&lt;"&amp;U5)</f>
        <v>2421</v>
      </c>
      <c r="W4" s="116">
        <f t="shared" ref="W4:W18" si="1">SUMIFS(calls_ans_BAR,period_BAR,"&gt;="&amp;U4,period_BAR,"&lt;"&amp;U5)</f>
        <v>2281</v>
      </c>
      <c r="AE4" t="s">
        <v>69</v>
      </c>
      <c r="AF4" s="16">
        <v>44977</v>
      </c>
    </row>
    <row r="5" spans="1:32" x14ac:dyDescent="0.35">
      <c r="A5" s="29">
        <v>44655</v>
      </c>
      <c r="B5" s="38" t="s">
        <v>49</v>
      </c>
      <c r="C5" s="70" t="s">
        <v>60</v>
      </c>
      <c r="D5" s="1">
        <v>447</v>
      </c>
      <c r="E5" s="1">
        <v>416</v>
      </c>
      <c r="F5" s="72">
        <v>-0.28821656050955413</v>
      </c>
      <c r="G5" s="72">
        <v>-0.26889279437609842</v>
      </c>
      <c r="H5" s="1">
        <v>1385</v>
      </c>
      <c r="I5" s="1">
        <v>1160</v>
      </c>
      <c r="J5" s="1">
        <v>1385</v>
      </c>
      <c r="K5" s="1">
        <v>1160</v>
      </c>
      <c r="L5" s="76">
        <v>0.67</v>
      </c>
      <c r="M5" s="76">
        <v>7.0000000000000007E-2</v>
      </c>
      <c r="N5" s="76">
        <v>0.93</v>
      </c>
      <c r="O5" s="76">
        <v>0.56999999999999995</v>
      </c>
      <c r="P5" s="108">
        <v>0.97</v>
      </c>
      <c r="Q5" s="108"/>
      <c r="R5" s="108"/>
      <c r="S5" s="76"/>
      <c r="U5" s="29">
        <f>U4+7</f>
        <v>44662</v>
      </c>
      <c r="V5" s="1">
        <f t="shared" si="0"/>
        <v>2421</v>
      </c>
      <c r="W5" s="116">
        <f t="shared" si="1"/>
        <v>2254</v>
      </c>
    </row>
    <row r="6" spans="1:32" x14ac:dyDescent="0.35">
      <c r="A6" s="29">
        <v>44656</v>
      </c>
      <c r="B6" s="36" t="s">
        <v>50</v>
      </c>
      <c r="C6" s="70" t="s">
        <v>60</v>
      </c>
      <c r="D6" s="34">
        <v>433</v>
      </c>
      <c r="E6" s="34">
        <v>400</v>
      </c>
      <c r="F6" s="71">
        <v>-0.12170385395537525</v>
      </c>
      <c r="G6" s="71">
        <v>-6.1032863849765258E-2</v>
      </c>
      <c r="H6" s="34">
        <v>1818</v>
      </c>
      <c r="I6" s="34">
        <v>1560</v>
      </c>
      <c r="J6" s="34">
        <v>1818</v>
      </c>
      <c r="K6" s="34">
        <v>1560</v>
      </c>
      <c r="L6" s="77">
        <v>0.79</v>
      </c>
      <c r="M6" s="77">
        <v>0.08</v>
      </c>
      <c r="N6" s="77">
        <v>0.92</v>
      </c>
      <c r="O6" s="77">
        <v>0.79</v>
      </c>
      <c r="P6" s="107">
        <v>0.92</v>
      </c>
      <c r="Q6" s="107"/>
      <c r="R6" s="107"/>
      <c r="S6" s="76"/>
      <c r="U6" s="29">
        <f t="shared" ref="U6:U18" si="2">U5+7</f>
        <v>44669</v>
      </c>
      <c r="V6" s="1">
        <f t="shared" si="0"/>
        <v>2580</v>
      </c>
      <c r="W6" s="116">
        <f t="shared" si="1"/>
        <v>2331</v>
      </c>
    </row>
    <row r="7" spans="1:32" x14ac:dyDescent="0.35">
      <c r="A7" s="29">
        <v>44657</v>
      </c>
      <c r="B7" s="38" t="s">
        <v>51</v>
      </c>
      <c r="C7" s="70" t="s">
        <v>60</v>
      </c>
      <c r="D7" s="1">
        <v>448</v>
      </c>
      <c r="E7" s="1">
        <v>423</v>
      </c>
      <c r="F7" s="72">
        <v>-0.16728624535315986</v>
      </c>
      <c r="G7" s="72">
        <v>-0.11320754716981132</v>
      </c>
      <c r="H7" s="1">
        <v>2266</v>
      </c>
      <c r="I7" s="1">
        <v>1983</v>
      </c>
      <c r="J7" s="1">
        <v>2266</v>
      </c>
      <c r="K7" s="1">
        <v>1983</v>
      </c>
      <c r="L7" s="76">
        <v>0.85</v>
      </c>
      <c r="M7" s="76">
        <v>0.06</v>
      </c>
      <c r="N7" s="76">
        <v>0.94</v>
      </c>
      <c r="O7" s="76">
        <v>0.96</v>
      </c>
      <c r="P7" s="108">
        <v>0.89</v>
      </c>
      <c r="Q7" s="108"/>
      <c r="R7" s="108"/>
      <c r="S7" s="76"/>
      <c r="U7" s="29">
        <f t="shared" si="2"/>
        <v>44676</v>
      </c>
      <c r="V7" s="1">
        <f t="shared" si="0"/>
        <v>2930</v>
      </c>
      <c r="W7" s="116">
        <f t="shared" si="1"/>
        <v>2551</v>
      </c>
    </row>
    <row r="8" spans="1:32" x14ac:dyDescent="0.35">
      <c r="A8" s="29">
        <v>44658</v>
      </c>
      <c r="B8" s="36" t="s">
        <v>52</v>
      </c>
      <c r="C8" s="70" t="s">
        <v>60</v>
      </c>
      <c r="D8" s="34">
        <v>349</v>
      </c>
      <c r="E8" s="34">
        <v>320</v>
      </c>
      <c r="F8" s="71">
        <v>-0.3500931098696462</v>
      </c>
      <c r="G8" s="71">
        <v>-0.34959349593495936</v>
      </c>
      <c r="H8" s="34">
        <v>2615</v>
      </c>
      <c r="I8" s="34">
        <v>2303</v>
      </c>
      <c r="J8" s="34">
        <v>2615</v>
      </c>
      <c r="K8" s="34">
        <v>2303</v>
      </c>
      <c r="L8" s="77">
        <v>0.79</v>
      </c>
      <c r="M8" s="77">
        <v>0.08</v>
      </c>
      <c r="N8" s="77">
        <v>0.92</v>
      </c>
      <c r="O8" s="77">
        <v>0.74</v>
      </c>
      <c r="P8" s="107">
        <v>0.96</v>
      </c>
      <c r="Q8" s="107"/>
      <c r="R8" s="107"/>
      <c r="S8" s="76"/>
      <c r="U8" s="29">
        <f t="shared" si="2"/>
        <v>44683</v>
      </c>
      <c r="V8" s="1">
        <f t="shared" si="0"/>
        <v>2363</v>
      </c>
      <c r="W8" s="116">
        <f t="shared" si="1"/>
        <v>2162</v>
      </c>
    </row>
    <row r="9" spans="1:32" x14ac:dyDescent="0.35">
      <c r="A9" s="29">
        <v>44659</v>
      </c>
      <c r="B9" s="38" t="s">
        <v>53</v>
      </c>
      <c r="C9" s="70" t="s">
        <v>60</v>
      </c>
      <c r="D9" s="1">
        <v>453</v>
      </c>
      <c r="E9" s="1">
        <v>441</v>
      </c>
      <c r="F9" s="72">
        <v>-0.14366729678638943</v>
      </c>
      <c r="G9" s="72">
        <v>1.6129032258064516E-2</v>
      </c>
      <c r="H9" s="1">
        <v>3068</v>
      </c>
      <c r="I9" s="1">
        <v>2744</v>
      </c>
      <c r="J9" s="1">
        <v>3068</v>
      </c>
      <c r="K9" s="1">
        <v>2744</v>
      </c>
      <c r="L9" s="76">
        <v>0.89</v>
      </c>
      <c r="M9" s="76">
        <v>0.03</v>
      </c>
      <c r="N9" s="76">
        <v>0.97</v>
      </c>
      <c r="O9" s="76">
        <v>1</v>
      </c>
      <c r="P9" s="108">
        <v>0.92</v>
      </c>
      <c r="Q9" s="108"/>
      <c r="R9" s="108"/>
      <c r="S9" s="76"/>
      <c r="U9" s="29">
        <f t="shared" si="2"/>
        <v>44690</v>
      </c>
      <c r="V9" s="1">
        <f t="shared" si="0"/>
        <v>2810</v>
      </c>
      <c r="W9" s="116">
        <f t="shared" si="1"/>
        <v>2561</v>
      </c>
    </row>
    <row r="10" spans="1:32" x14ac:dyDescent="0.35">
      <c r="A10" s="29">
        <v>44660</v>
      </c>
      <c r="B10" s="36" t="s">
        <v>54</v>
      </c>
      <c r="C10" s="70" t="s">
        <v>60</v>
      </c>
      <c r="D10" s="34">
        <v>291</v>
      </c>
      <c r="E10" s="34">
        <v>281</v>
      </c>
      <c r="F10" s="71">
        <v>-0.28850855745721271</v>
      </c>
      <c r="G10" s="71">
        <v>-9.3548387096774197E-2</v>
      </c>
      <c r="H10" s="34">
        <v>3359</v>
      </c>
      <c r="I10" s="34">
        <v>3025</v>
      </c>
      <c r="J10" s="34">
        <v>3359</v>
      </c>
      <c r="K10" s="34">
        <v>3025</v>
      </c>
      <c r="L10" s="77">
        <v>0.87</v>
      </c>
      <c r="M10" s="77">
        <v>0.03</v>
      </c>
      <c r="N10" s="77">
        <v>0.97</v>
      </c>
      <c r="O10" s="77">
        <v>0.65</v>
      </c>
      <c r="P10" s="107">
        <v>0.92</v>
      </c>
      <c r="Q10" s="107"/>
      <c r="R10" s="107"/>
      <c r="S10" s="76"/>
      <c r="U10" s="29">
        <f t="shared" si="2"/>
        <v>44697</v>
      </c>
      <c r="V10" s="1">
        <f t="shared" si="0"/>
        <v>3123</v>
      </c>
      <c r="W10" s="116">
        <f t="shared" si="1"/>
        <v>2934</v>
      </c>
    </row>
    <row r="11" spans="1:32" x14ac:dyDescent="0.35">
      <c r="A11" s="29">
        <v>44661</v>
      </c>
      <c r="B11" s="38" t="s">
        <v>48</v>
      </c>
      <c r="C11" s="70" t="s">
        <v>60</v>
      </c>
      <c r="D11" s="1">
        <v>0</v>
      </c>
      <c r="E11" s="1">
        <v>0</v>
      </c>
      <c r="F11" s="72">
        <v>0</v>
      </c>
      <c r="G11" s="72">
        <v>0</v>
      </c>
      <c r="H11" s="1">
        <v>0</v>
      </c>
      <c r="I11" s="1">
        <v>0</v>
      </c>
      <c r="J11" s="1">
        <v>0</v>
      </c>
      <c r="K11" s="1">
        <v>0</v>
      </c>
      <c r="L11" s="76">
        <v>0</v>
      </c>
      <c r="M11" s="76">
        <v>0</v>
      </c>
      <c r="N11" s="76">
        <v>0</v>
      </c>
      <c r="O11" s="76">
        <v>0</v>
      </c>
      <c r="P11" s="108">
        <v>0</v>
      </c>
      <c r="Q11" s="108"/>
      <c r="R11" s="108"/>
      <c r="S11" s="76"/>
      <c r="U11" s="29">
        <f t="shared" si="2"/>
        <v>44704</v>
      </c>
      <c r="V11" s="1">
        <f t="shared" si="0"/>
        <v>2538</v>
      </c>
      <c r="W11" s="116">
        <f t="shared" si="1"/>
        <v>2402</v>
      </c>
    </row>
    <row r="12" spans="1:32" x14ac:dyDescent="0.35">
      <c r="A12" s="29">
        <v>44662</v>
      </c>
      <c r="B12" s="36" t="s">
        <v>49</v>
      </c>
      <c r="C12" s="70" t="s">
        <v>60</v>
      </c>
      <c r="D12" s="34">
        <v>544</v>
      </c>
      <c r="E12" s="34">
        <v>511</v>
      </c>
      <c r="F12" s="71">
        <v>0.21700223713646533</v>
      </c>
      <c r="G12" s="71">
        <v>0.22836538461538461</v>
      </c>
      <c r="H12" s="34">
        <v>3903</v>
      </c>
      <c r="I12" s="34">
        <v>3536</v>
      </c>
      <c r="J12" s="34">
        <v>3903</v>
      </c>
      <c r="K12" s="34">
        <v>3536</v>
      </c>
      <c r="L12" s="77">
        <v>0.79</v>
      </c>
      <c r="M12" s="77">
        <v>0.06</v>
      </c>
      <c r="N12" s="77">
        <v>0.94</v>
      </c>
      <c r="O12" s="77">
        <v>0.7</v>
      </c>
      <c r="P12" s="107">
        <v>0.96</v>
      </c>
      <c r="Q12" s="107"/>
      <c r="R12" s="107"/>
      <c r="S12" s="76"/>
      <c r="U12" s="29">
        <f t="shared" si="2"/>
        <v>44711</v>
      </c>
      <c r="V12" s="1">
        <f t="shared" si="0"/>
        <v>2284</v>
      </c>
      <c r="W12" s="116">
        <f t="shared" si="1"/>
        <v>2202</v>
      </c>
    </row>
    <row r="13" spans="1:32" x14ac:dyDescent="0.35">
      <c r="A13" s="29">
        <v>44663</v>
      </c>
      <c r="B13" s="38" t="s">
        <v>50</v>
      </c>
      <c r="C13" s="70" t="s">
        <v>60</v>
      </c>
      <c r="D13" s="1">
        <v>636</v>
      </c>
      <c r="E13" s="1">
        <v>580</v>
      </c>
      <c r="F13" s="72">
        <v>0.46882217090069284</v>
      </c>
      <c r="G13" s="72">
        <v>0.45</v>
      </c>
      <c r="H13" s="1">
        <v>4539</v>
      </c>
      <c r="I13" s="1">
        <v>4116</v>
      </c>
      <c r="J13" s="1">
        <v>4539</v>
      </c>
      <c r="K13" s="1">
        <v>4116</v>
      </c>
      <c r="L13" s="76">
        <v>0.74</v>
      </c>
      <c r="M13" s="76">
        <v>0.09</v>
      </c>
      <c r="N13" s="76">
        <v>0.91</v>
      </c>
      <c r="O13" s="76">
        <v>1.1499999999999999</v>
      </c>
      <c r="P13" s="108">
        <v>0.97</v>
      </c>
      <c r="Q13" s="108"/>
      <c r="R13" s="108"/>
      <c r="S13" s="76"/>
      <c r="U13" s="29">
        <f t="shared" si="2"/>
        <v>44718</v>
      </c>
      <c r="V13" s="1">
        <f t="shared" si="0"/>
        <v>2285</v>
      </c>
      <c r="W13" s="116">
        <f t="shared" si="1"/>
        <v>2180</v>
      </c>
    </row>
    <row r="14" spans="1:32" x14ac:dyDescent="0.35">
      <c r="A14" s="29">
        <v>44664</v>
      </c>
      <c r="B14" s="36" t="s">
        <v>51</v>
      </c>
      <c r="C14" s="70" t="s">
        <v>60</v>
      </c>
      <c r="D14" s="34">
        <v>515</v>
      </c>
      <c r="E14" s="34">
        <v>494</v>
      </c>
      <c r="F14" s="71">
        <v>0.14955357142857142</v>
      </c>
      <c r="G14" s="71">
        <v>0.16784869976359337</v>
      </c>
      <c r="H14" s="34">
        <v>5054</v>
      </c>
      <c r="I14" s="34">
        <v>4610</v>
      </c>
      <c r="J14" s="34">
        <v>5054</v>
      </c>
      <c r="K14" s="34">
        <v>4610</v>
      </c>
      <c r="L14" s="77">
        <v>0.87</v>
      </c>
      <c r="M14" s="77">
        <v>0.04</v>
      </c>
      <c r="N14" s="77">
        <v>0.96</v>
      </c>
      <c r="O14" s="77">
        <v>0.68</v>
      </c>
      <c r="P14" s="107">
        <v>0.9</v>
      </c>
      <c r="Q14" s="107"/>
      <c r="R14" s="107"/>
      <c r="S14" s="76"/>
      <c r="U14" s="29">
        <f t="shared" si="2"/>
        <v>44725</v>
      </c>
      <c r="V14" s="1">
        <f t="shared" si="0"/>
        <v>2160</v>
      </c>
      <c r="W14" s="116">
        <f t="shared" si="1"/>
        <v>2075</v>
      </c>
    </row>
    <row r="15" spans="1:32" x14ac:dyDescent="0.35">
      <c r="A15" s="29">
        <v>44665</v>
      </c>
      <c r="B15" s="38" t="s">
        <v>52</v>
      </c>
      <c r="C15" s="70" t="s">
        <v>60</v>
      </c>
      <c r="D15" s="1">
        <v>463</v>
      </c>
      <c r="E15" s="1">
        <v>435</v>
      </c>
      <c r="F15" s="72">
        <v>0.32664756446991405</v>
      </c>
      <c r="G15" s="72">
        <v>0.359375</v>
      </c>
      <c r="H15" s="1">
        <v>5517</v>
      </c>
      <c r="I15" s="1">
        <v>5045</v>
      </c>
      <c r="J15" s="1">
        <v>5517</v>
      </c>
      <c r="K15" s="1">
        <v>5045</v>
      </c>
      <c r="L15" s="76">
        <v>0.84</v>
      </c>
      <c r="M15" s="76">
        <v>0.06</v>
      </c>
      <c r="N15" s="76">
        <v>0.94</v>
      </c>
      <c r="O15" s="76">
        <v>0.75</v>
      </c>
      <c r="P15" s="108">
        <v>0.95</v>
      </c>
      <c r="Q15" s="108"/>
      <c r="R15" s="108"/>
      <c r="S15" s="76"/>
      <c r="U15" s="29">
        <f>U14+7</f>
        <v>44732</v>
      </c>
      <c r="V15" s="1">
        <f t="shared" si="0"/>
        <v>3021</v>
      </c>
      <c r="W15" s="116">
        <f t="shared" si="1"/>
        <v>2748</v>
      </c>
    </row>
    <row r="16" spans="1:32" x14ac:dyDescent="0.35">
      <c r="A16" s="29">
        <v>44666</v>
      </c>
      <c r="B16" s="36" t="s">
        <v>53</v>
      </c>
      <c r="C16" s="70" t="s">
        <v>60</v>
      </c>
      <c r="D16" s="34">
        <v>0</v>
      </c>
      <c r="E16" s="34">
        <v>0</v>
      </c>
      <c r="F16" s="71">
        <v>0</v>
      </c>
      <c r="G16" s="71">
        <v>0</v>
      </c>
      <c r="H16" s="34">
        <v>0</v>
      </c>
      <c r="I16" s="34">
        <v>0</v>
      </c>
      <c r="J16" s="34">
        <v>0</v>
      </c>
      <c r="K16" s="34">
        <v>0</v>
      </c>
      <c r="L16" s="77">
        <v>0</v>
      </c>
      <c r="M16" s="77">
        <v>0</v>
      </c>
      <c r="N16" s="77">
        <v>0</v>
      </c>
      <c r="O16" s="77">
        <v>0</v>
      </c>
      <c r="P16" s="107">
        <v>0</v>
      </c>
      <c r="Q16" s="107"/>
      <c r="R16" s="107"/>
      <c r="S16" s="76"/>
      <c r="U16" s="29">
        <f t="shared" si="2"/>
        <v>44739</v>
      </c>
      <c r="V16" s="1">
        <f t="shared" si="0"/>
        <v>2787</v>
      </c>
      <c r="W16" s="116">
        <f t="shared" si="1"/>
        <v>2525</v>
      </c>
    </row>
    <row r="17" spans="1:23" x14ac:dyDescent="0.35">
      <c r="A17" s="29">
        <v>44667</v>
      </c>
      <c r="B17" s="38" t="s">
        <v>54</v>
      </c>
      <c r="C17" s="70" t="s">
        <v>60</v>
      </c>
      <c r="D17" s="1">
        <v>263</v>
      </c>
      <c r="E17" s="1">
        <v>234</v>
      </c>
      <c r="F17" s="72">
        <v>-9.6219931271477668E-2</v>
      </c>
      <c r="G17" s="72">
        <v>-0.16725978647686832</v>
      </c>
      <c r="H17" s="1">
        <v>5780</v>
      </c>
      <c r="I17" s="1">
        <v>5279</v>
      </c>
      <c r="J17" s="1">
        <v>5780</v>
      </c>
      <c r="K17" s="1">
        <v>5279</v>
      </c>
      <c r="L17" s="76">
        <v>0.74</v>
      </c>
      <c r="M17" s="76">
        <v>0.11</v>
      </c>
      <c r="N17" s="76">
        <v>0.89</v>
      </c>
      <c r="O17" s="76">
        <v>0.54</v>
      </c>
      <c r="P17" s="108">
        <v>0.9</v>
      </c>
      <c r="Q17" s="108"/>
      <c r="R17" s="108"/>
      <c r="S17" s="76"/>
      <c r="U17" s="29">
        <f t="shared" si="2"/>
        <v>44746</v>
      </c>
      <c r="V17" s="1">
        <f t="shared" si="0"/>
        <v>2109</v>
      </c>
      <c r="W17" s="116">
        <f t="shared" si="1"/>
        <v>1661</v>
      </c>
    </row>
    <row r="18" spans="1:23" x14ac:dyDescent="0.35">
      <c r="A18" s="29">
        <v>44668</v>
      </c>
      <c r="B18" s="36" t="s">
        <v>48</v>
      </c>
      <c r="C18" s="70" t="s">
        <v>60</v>
      </c>
      <c r="D18" s="34">
        <v>0</v>
      </c>
      <c r="E18" s="34">
        <v>0</v>
      </c>
      <c r="F18" s="71">
        <v>0</v>
      </c>
      <c r="G18" s="71">
        <v>0</v>
      </c>
      <c r="H18" s="34">
        <v>0</v>
      </c>
      <c r="I18" s="34">
        <v>0</v>
      </c>
      <c r="J18" s="34">
        <v>0</v>
      </c>
      <c r="K18" s="34">
        <v>0</v>
      </c>
      <c r="L18" s="77">
        <v>0</v>
      </c>
      <c r="M18" s="77">
        <v>0</v>
      </c>
      <c r="N18" s="77">
        <v>0</v>
      </c>
      <c r="O18" s="77">
        <v>0</v>
      </c>
      <c r="P18" s="107">
        <v>0</v>
      </c>
      <c r="Q18" s="107"/>
      <c r="R18" s="107"/>
      <c r="S18" s="76"/>
      <c r="U18" s="29">
        <f t="shared" si="2"/>
        <v>44753</v>
      </c>
      <c r="V18" s="1">
        <f t="shared" si="0"/>
        <v>2404</v>
      </c>
      <c r="W18" s="116">
        <f t="shared" si="1"/>
        <v>2134</v>
      </c>
    </row>
    <row r="19" spans="1:23" x14ac:dyDescent="0.35">
      <c r="A19" s="29">
        <v>44669</v>
      </c>
      <c r="B19" s="38" t="s">
        <v>49</v>
      </c>
      <c r="C19" s="70" t="s">
        <v>60</v>
      </c>
      <c r="D19" s="1">
        <v>0</v>
      </c>
      <c r="E19" s="1">
        <v>0</v>
      </c>
      <c r="F19" s="72">
        <v>0</v>
      </c>
      <c r="G19" s="72">
        <v>0</v>
      </c>
      <c r="H19" s="1">
        <v>0</v>
      </c>
      <c r="I19" s="1">
        <v>0</v>
      </c>
      <c r="J19" s="1">
        <v>0</v>
      </c>
      <c r="K19" s="1">
        <v>0</v>
      </c>
      <c r="L19" s="76">
        <v>0</v>
      </c>
      <c r="M19" s="76">
        <v>0</v>
      </c>
      <c r="N19" s="76">
        <v>0</v>
      </c>
      <c r="O19" s="76">
        <v>0</v>
      </c>
      <c r="P19" s="108">
        <v>0</v>
      </c>
      <c r="Q19" s="108"/>
      <c r="R19" s="108"/>
      <c r="S19" s="76"/>
      <c r="U19" s="35">
        <f t="shared" ref="U19:U56" si="3">U18+7</f>
        <v>44760</v>
      </c>
      <c r="V19" s="42" cm="1">
        <f t="array" ref="V19">SUMIFS(calls_off_BAR,period_BAR,"&gt;="&amp;U19,period_BAR,"&lt;"&amp;U20)</f>
        <v>3228</v>
      </c>
      <c r="W19" s="114" cm="1">
        <f t="array" ref="W19">SUMIFS(calls_ans_BAR,period_BAR,"&gt;="&amp;U19,period_BAR,"&lt;"&amp;U20)</f>
        <v>2728</v>
      </c>
    </row>
    <row r="20" spans="1:23" x14ac:dyDescent="0.35">
      <c r="A20" s="29">
        <v>44670</v>
      </c>
      <c r="B20" s="36" t="s">
        <v>50</v>
      </c>
      <c r="C20" s="70" t="s">
        <v>60</v>
      </c>
      <c r="D20" s="34">
        <v>630</v>
      </c>
      <c r="E20" s="34">
        <v>580</v>
      </c>
      <c r="F20" s="71">
        <v>-9.433962264150943E-3</v>
      </c>
      <c r="G20" s="71">
        <v>0</v>
      </c>
      <c r="H20" s="34">
        <v>6410</v>
      </c>
      <c r="I20" s="34">
        <v>5859</v>
      </c>
      <c r="J20" s="34">
        <v>6410</v>
      </c>
      <c r="K20" s="34">
        <v>5859</v>
      </c>
      <c r="L20" s="77">
        <v>0.78</v>
      </c>
      <c r="M20" s="77">
        <v>0.08</v>
      </c>
      <c r="N20" s="77">
        <v>0.92</v>
      </c>
      <c r="O20" s="77">
        <v>0.67</v>
      </c>
      <c r="P20" s="107">
        <v>0.96</v>
      </c>
      <c r="Q20" s="107"/>
      <c r="R20" s="107"/>
      <c r="S20" s="76"/>
      <c r="U20" s="35">
        <f t="shared" si="3"/>
        <v>44767</v>
      </c>
      <c r="V20" s="42" cm="1">
        <f t="array" ref="V20">SUMIFS(calls_off_BAR,period_BAR,"&gt;="&amp;U20,period_BAR,"&lt;"&amp;U21)</f>
        <v>3338</v>
      </c>
      <c r="W20" s="114" cm="1">
        <f t="array" ref="W20">SUMIFS(calls_ans_BAR,period_BAR,"&gt;="&amp;U20,period_BAR,"&lt;"&amp;U21)</f>
        <v>2533</v>
      </c>
    </row>
    <row r="21" spans="1:23" x14ac:dyDescent="0.35">
      <c r="A21" s="29">
        <v>44671</v>
      </c>
      <c r="B21" s="38" t="s">
        <v>51</v>
      </c>
      <c r="C21" s="70" t="s">
        <v>60</v>
      </c>
      <c r="D21" s="1">
        <v>525</v>
      </c>
      <c r="E21" s="1">
        <v>502</v>
      </c>
      <c r="F21" s="72">
        <v>1.9417475728155338E-2</v>
      </c>
      <c r="G21" s="72">
        <v>1.6194331983805668E-2</v>
      </c>
      <c r="H21" s="1">
        <v>6935</v>
      </c>
      <c r="I21" s="1">
        <v>6361</v>
      </c>
      <c r="J21" s="1">
        <v>6935</v>
      </c>
      <c r="K21" s="1">
        <v>6361</v>
      </c>
      <c r="L21" s="76">
        <v>0.87</v>
      </c>
      <c r="M21" s="76">
        <v>0.04</v>
      </c>
      <c r="N21" s="76">
        <v>0.96</v>
      </c>
      <c r="O21" s="76">
        <v>0.57999999999999996</v>
      </c>
      <c r="P21" s="108">
        <v>0.97</v>
      </c>
      <c r="Q21" s="108"/>
      <c r="R21" s="108"/>
      <c r="S21" s="76"/>
      <c r="U21" s="35">
        <f t="shared" si="3"/>
        <v>44774</v>
      </c>
      <c r="V21" s="1" cm="1">
        <f t="array" ref="V21">SUMIFS(calls_off_BAR,period_BAR,"&gt;="&amp;U21,period_BAR,"&lt;"&amp;U22)</f>
        <v>1392</v>
      </c>
      <c r="W21" s="116" cm="1">
        <f t="array" ref="W21">SUMIFS(calls_ans_BAR,period_BAR,"&gt;="&amp;U21,period_BAR,"&lt;"&amp;U22)</f>
        <v>1026</v>
      </c>
    </row>
    <row r="22" spans="1:23" x14ac:dyDescent="0.35">
      <c r="A22" s="29">
        <v>44672</v>
      </c>
      <c r="B22" s="36" t="s">
        <v>52</v>
      </c>
      <c r="C22" s="70" t="s">
        <v>60</v>
      </c>
      <c r="D22" s="34">
        <v>501</v>
      </c>
      <c r="E22" s="34">
        <v>488</v>
      </c>
      <c r="F22" s="71">
        <v>8.2073434125269976E-2</v>
      </c>
      <c r="G22" s="71">
        <v>0.12183908045977011</v>
      </c>
      <c r="H22" s="34">
        <v>7436</v>
      </c>
      <c r="I22" s="34">
        <v>6849</v>
      </c>
      <c r="J22" s="34">
        <v>7436</v>
      </c>
      <c r="K22" s="34">
        <v>6849</v>
      </c>
      <c r="L22" s="77">
        <v>0.9</v>
      </c>
      <c r="M22" s="77">
        <v>0.03</v>
      </c>
      <c r="N22" s="77">
        <v>0.97</v>
      </c>
      <c r="O22" s="77">
        <v>0.56000000000000005</v>
      </c>
      <c r="P22" s="107">
        <v>0.92</v>
      </c>
      <c r="Q22" s="107"/>
      <c r="R22" s="107"/>
      <c r="S22" s="76"/>
      <c r="U22" s="35">
        <f t="shared" si="3"/>
        <v>44781</v>
      </c>
      <c r="V22" s="1" cm="1">
        <f t="array" ref="V22">SUMIFS(calls_off_BAR,period_BAR,"&gt;="&amp;U22,period_BAR,"&lt;"&amp;U23)</f>
        <v>2818</v>
      </c>
      <c r="W22" s="116" cm="1">
        <f t="array" ref="W22">SUMIFS(calls_ans_BAR,period_BAR,"&gt;="&amp;U22,period_BAR,"&lt;"&amp;U23)</f>
        <v>2275</v>
      </c>
    </row>
    <row r="23" spans="1:23" x14ac:dyDescent="0.35">
      <c r="A23" s="29">
        <v>44673</v>
      </c>
      <c r="B23" s="38" t="s">
        <v>53</v>
      </c>
      <c r="C23" s="70" t="s">
        <v>60</v>
      </c>
      <c r="D23" s="1">
        <v>528</v>
      </c>
      <c r="E23" s="1">
        <v>491</v>
      </c>
      <c r="F23" s="72">
        <v>0</v>
      </c>
      <c r="G23" s="72">
        <v>0</v>
      </c>
      <c r="H23" s="1">
        <v>7964</v>
      </c>
      <c r="I23" s="1">
        <v>7340</v>
      </c>
      <c r="J23" s="1">
        <v>7964</v>
      </c>
      <c r="K23" s="1">
        <v>7340</v>
      </c>
      <c r="L23" s="76">
        <v>0.78</v>
      </c>
      <c r="M23" s="76">
        <v>7.0000000000000007E-2</v>
      </c>
      <c r="N23" s="76">
        <v>0.93</v>
      </c>
      <c r="O23" s="76">
        <v>0.68</v>
      </c>
      <c r="P23" s="108">
        <v>0.94</v>
      </c>
      <c r="Q23" s="108"/>
      <c r="R23" s="108"/>
      <c r="S23" s="76"/>
      <c r="U23" s="35">
        <f t="shared" si="3"/>
        <v>44788</v>
      </c>
      <c r="V23" s="1" cm="1">
        <f t="array" ref="V23">SUMIFS(calls_off_BAR,period_BAR,"&gt;="&amp;U23,period_BAR,"&lt;"&amp;U24)</f>
        <v>3027</v>
      </c>
      <c r="W23" s="116" cm="1">
        <f t="array" ref="W23">SUMIFS(calls_ans_BAR,period_BAR,"&gt;="&amp;U23,period_BAR,"&lt;"&amp;U24)</f>
        <v>2272</v>
      </c>
    </row>
    <row r="24" spans="1:23" x14ac:dyDescent="0.35">
      <c r="A24" s="29">
        <v>44674</v>
      </c>
      <c r="B24" s="36" t="s">
        <v>54</v>
      </c>
      <c r="C24" s="70" t="s">
        <v>60</v>
      </c>
      <c r="D24" s="34">
        <v>396</v>
      </c>
      <c r="E24" s="34">
        <v>270</v>
      </c>
      <c r="F24" s="71">
        <v>0.50570342205323193</v>
      </c>
      <c r="G24" s="71">
        <v>0.15384615384615385</v>
      </c>
      <c r="H24" s="34">
        <v>8360</v>
      </c>
      <c r="I24" s="34">
        <v>7610</v>
      </c>
      <c r="J24" s="34">
        <v>8360</v>
      </c>
      <c r="K24" s="34">
        <v>7610</v>
      </c>
      <c r="L24" s="77">
        <v>0.35</v>
      </c>
      <c r="M24" s="77">
        <v>0.32</v>
      </c>
      <c r="N24" s="77">
        <v>0.68</v>
      </c>
      <c r="O24" s="77">
        <v>0.93</v>
      </c>
      <c r="P24" s="107">
        <v>0.96</v>
      </c>
      <c r="Q24" s="107"/>
      <c r="R24" s="107"/>
      <c r="S24" s="76"/>
      <c r="U24" s="35">
        <f t="shared" si="3"/>
        <v>44795</v>
      </c>
      <c r="V24" s="1" cm="1">
        <f t="array" ref="V24">SUMIFS(calls_off_BAR,period_BAR,"&gt;="&amp;U24,period_BAR,"&lt;"&amp;U25)</f>
        <v>3694</v>
      </c>
      <c r="W24" s="116" cm="1">
        <f t="array" ref="W24">SUMIFS(calls_ans_BAR,period_BAR,"&gt;="&amp;U24,period_BAR,"&lt;"&amp;U25)</f>
        <v>2854</v>
      </c>
    </row>
    <row r="25" spans="1:23" x14ac:dyDescent="0.35">
      <c r="A25" s="29">
        <v>44675</v>
      </c>
      <c r="B25" s="38" t="s">
        <v>48</v>
      </c>
      <c r="C25" s="70" t="s">
        <v>60</v>
      </c>
      <c r="D25" s="1">
        <v>0</v>
      </c>
      <c r="E25" s="1">
        <v>0</v>
      </c>
      <c r="F25" s="72">
        <v>0</v>
      </c>
      <c r="G25" s="72">
        <v>0</v>
      </c>
      <c r="H25" s="1">
        <v>0</v>
      </c>
      <c r="I25" s="1">
        <v>0</v>
      </c>
      <c r="J25" s="1">
        <v>0</v>
      </c>
      <c r="K25" s="1">
        <v>0</v>
      </c>
      <c r="L25" s="76">
        <v>0</v>
      </c>
      <c r="M25" s="76">
        <v>0</v>
      </c>
      <c r="N25" s="76">
        <v>0</v>
      </c>
      <c r="O25" s="76">
        <v>0</v>
      </c>
      <c r="P25" s="108">
        <v>0</v>
      </c>
      <c r="Q25" s="108"/>
      <c r="R25" s="108"/>
      <c r="S25" s="76"/>
      <c r="U25" s="35">
        <f t="shared" si="3"/>
        <v>44802</v>
      </c>
      <c r="V25" s="1" cm="1">
        <f t="array" ref="V25">SUMIFS(calls_off_BAR,period_BAR,"&gt;="&amp;U25,period_BAR,"&lt;"&amp;U26)</f>
        <v>4172</v>
      </c>
      <c r="W25" s="116" cm="1">
        <f t="array" ref="W25">SUMIFS(calls_ans_BAR,period_BAR,"&gt;="&amp;U25,period_BAR,"&lt;"&amp;U26)</f>
        <v>2014</v>
      </c>
    </row>
    <row r="26" spans="1:23" x14ac:dyDescent="0.35">
      <c r="A26" s="29">
        <v>44676</v>
      </c>
      <c r="B26" s="36" t="s">
        <v>49</v>
      </c>
      <c r="C26" s="70" t="s">
        <v>60</v>
      </c>
      <c r="D26" s="34">
        <v>670</v>
      </c>
      <c r="E26" s="34">
        <v>602</v>
      </c>
      <c r="F26" s="71">
        <v>0</v>
      </c>
      <c r="G26" s="71">
        <v>0</v>
      </c>
      <c r="H26" s="34">
        <v>9030</v>
      </c>
      <c r="I26" s="34">
        <v>8212</v>
      </c>
      <c r="J26" s="34">
        <v>9030</v>
      </c>
      <c r="K26" s="34">
        <v>8212</v>
      </c>
      <c r="L26" s="77">
        <v>0.68</v>
      </c>
      <c r="M26" s="77">
        <v>0.1</v>
      </c>
      <c r="N26" s="77">
        <v>0.9</v>
      </c>
      <c r="O26" s="77">
        <v>0.69</v>
      </c>
      <c r="P26" s="107">
        <v>0.98</v>
      </c>
      <c r="Q26" s="107"/>
      <c r="R26" s="107"/>
      <c r="S26" s="76"/>
      <c r="U26" s="35">
        <f t="shared" si="3"/>
        <v>44809</v>
      </c>
      <c r="V26" s="1" cm="1">
        <f t="array" ref="V26">SUMIFS(calls_off_BAR,period_BAR,"&gt;="&amp;U26,period_BAR,"&lt;"&amp;U27)</f>
        <v>3787</v>
      </c>
      <c r="W26" s="116" cm="1">
        <f t="array" ref="W26">SUMIFS(calls_ans_BAR,period_BAR,"&gt;="&amp;U26,period_BAR,"&lt;"&amp;U27)</f>
        <v>2158</v>
      </c>
    </row>
    <row r="27" spans="1:23" x14ac:dyDescent="0.35">
      <c r="A27" s="29">
        <v>44677</v>
      </c>
      <c r="B27" s="38" t="s">
        <v>50</v>
      </c>
      <c r="C27" s="70" t="s">
        <v>60</v>
      </c>
      <c r="D27" s="1">
        <v>562</v>
      </c>
      <c r="E27" s="1">
        <v>546</v>
      </c>
      <c r="F27" s="72">
        <v>-0.10793650793650794</v>
      </c>
      <c r="G27" s="72">
        <v>-5.8620689655172413E-2</v>
      </c>
      <c r="H27" s="1">
        <v>9592</v>
      </c>
      <c r="I27" s="1">
        <v>8758</v>
      </c>
      <c r="J27" s="1">
        <v>9592</v>
      </c>
      <c r="K27" s="1">
        <v>8758</v>
      </c>
      <c r="L27" s="76">
        <v>0.92</v>
      </c>
      <c r="M27" s="76">
        <v>0.03</v>
      </c>
      <c r="N27" s="76">
        <v>0.97</v>
      </c>
      <c r="O27" s="76">
        <v>0.75</v>
      </c>
      <c r="P27" s="108">
        <v>0.96</v>
      </c>
      <c r="Q27" s="108"/>
      <c r="R27" s="108"/>
      <c r="S27" s="76"/>
      <c r="U27" s="35">
        <f t="shared" si="3"/>
        <v>44816</v>
      </c>
      <c r="V27" s="1" cm="1">
        <f t="array" ref="V27">SUMIFS(calls_off_BAR,period_BAR,"&gt;="&amp;U27,period_BAR,"&lt;"&amp;U28)</f>
        <v>3183</v>
      </c>
      <c r="W27" s="116" cm="1">
        <f t="array" ref="W27">SUMIFS(calls_ans_BAR,period_BAR,"&gt;="&amp;U27,period_BAR,"&lt;"&amp;U28)</f>
        <v>2084</v>
      </c>
    </row>
    <row r="28" spans="1:23" x14ac:dyDescent="0.35">
      <c r="A28" s="29">
        <v>44678</v>
      </c>
      <c r="B28" s="36" t="s">
        <v>51</v>
      </c>
      <c r="C28" s="70" t="s">
        <v>60</v>
      </c>
      <c r="D28" s="34">
        <v>591</v>
      </c>
      <c r="E28" s="34">
        <v>556</v>
      </c>
      <c r="F28" s="71">
        <v>0.12571428571428572</v>
      </c>
      <c r="G28" s="71">
        <v>0.10756972111553785</v>
      </c>
      <c r="H28" s="34">
        <v>10183</v>
      </c>
      <c r="I28" s="34">
        <v>9314</v>
      </c>
      <c r="J28" s="34">
        <v>10183</v>
      </c>
      <c r="K28" s="34">
        <v>9314</v>
      </c>
      <c r="L28" s="77">
        <v>0.85</v>
      </c>
      <c r="M28" s="77">
        <v>0.06</v>
      </c>
      <c r="N28" s="77">
        <v>0.94</v>
      </c>
      <c r="O28" s="77">
        <v>0.77</v>
      </c>
      <c r="P28" s="107">
        <v>0.96</v>
      </c>
      <c r="Q28" s="107"/>
      <c r="R28" s="107"/>
      <c r="S28" s="76"/>
      <c r="U28" s="35">
        <f t="shared" si="3"/>
        <v>44823</v>
      </c>
      <c r="V28" s="1">
        <f>SUMIFS(calls_off_BAR,period_BAR,"&gt;="&amp;U28,period_BAR,"&lt;"&amp;U29)</f>
        <v>2661</v>
      </c>
      <c r="W28" s="116">
        <f>SUMIFS(calls_ans_BAR,period_BAR,"&gt;="&amp;U28,period_BAR,"&lt;"&amp;U29)</f>
        <v>1928</v>
      </c>
    </row>
    <row r="29" spans="1:23" ht="14" customHeight="1" x14ac:dyDescent="0.35">
      <c r="A29" s="29">
        <v>44679</v>
      </c>
      <c r="B29" s="38" t="s">
        <v>52</v>
      </c>
      <c r="C29" s="70" t="s">
        <v>60</v>
      </c>
      <c r="D29" s="1">
        <v>0</v>
      </c>
      <c r="E29" s="1">
        <v>0</v>
      </c>
      <c r="F29" s="72">
        <v>0</v>
      </c>
      <c r="G29" s="72">
        <v>0</v>
      </c>
      <c r="H29" s="1">
        <v>0</v>
      </c>
      <c r="I29" s="1">
        <v>0</v>
      </c>
      <c r="J29" s="1">
        <v>0</v>
      </c>
      <c r="K29" s="1">
        <v>0</v>
      </c>
      <c r="L29" s="76">
        <v>0</v>
      </c>
      <c r="M29" s="76">
        <v>0</v>
      </c>
      <c r="N29" s="76">
        <v>0</v>
      </c>
      <c r="O29" s="76">
        <v>0</v>
      </c>
      <c r="P29" s="108">
        <v>0</v>
      </c>
      <c r="Q29" s="108"/>
      <c r="R29" s="108"/>
      <c r="S29" s="76"/>
      <c r="U29" s="35">
        <f t="shared" si="3"/>
        <v>44830</v>
      </c>
      <c r="V29" s="1">
        <f>SUMIFS(calls_off_BAR,period_BAR,"&gt;="&amp;U29,period_BAR,"&lt;"&amp;U30)</f>
        <v>3740</v>
      </c>
      <c r="W29" s="116">
        <f>SUMIFS(calls_ans_BAR,period_BAR,"&gt;="&amp;U29,period_BAR,"&lt;"&amp;U30)</f>
        <v>2056</v>
      </c>
    </row>
    <row r="30" spans="1:23" ht="14" customHeight="1" x14ac:dyDescent="0.35">
      <c r="A30" s="29">
        <v>44680</v>
      </c>
      <c r="B30" s="36" t="s">
        <v>53</v>
      </c>
      <c r="C30" s="70" t="s">
        <v>60</v>
      </c>
      <c r="D30" s="34">
        <v>792</v>
      </c>
      <c r="E30" s="34">
        <v>588</v>
      </c>
      <c r="F30" s="71">
        <v>0.5</v>
      </c>
      <c r="G30" s="71">
        <v>0.19755600814663951</v>
      </c>
      <c r="H30" s="34">
        <v>10975</v>
      </c>
      <c r="I30" s="34">
        <v>9902</v>
      </c>
      <c r="J30" s="34">
        <v>10975</v>
      </c>
      <c r="K30" s="34">
        <v>9902</v>
      </c>
      <c r="L30" s="77">
        <v>0.4</v>
      </c>
      <c r="M30" s="77">
        <v>0.26</v>
      </c>
      <c r="N30" s="77">
        <v>0.74</v>
      </c>
      <c r="O30" s="77">
        <v>0.81</v>
      </c>
      <c r="P30" s="107">
        <v>0.96</v>
      </c>
      <c r="Q30" s="107"/>
      <c r="R30" s="107"/>
      <c r="S30" s="76"/>
      <c r="U30" s="35">
        <f t="shared" si="3"/>
        <v>44837</v>
      </c>
      <c r="V30" s="1" cm="1">
        <f t="array" ref="V30">SUMIFS(calls_off_BAR,period_BAR,"&gt;="&amp;U30,period_BAR,"&lt;"&amp;U31)</f>
        <v>3641</v>
      </c>
      <c r="W30" s="116" cm="1">
        <f t="array" ref="W30">SUMIFS(calls_ans_BAR,period_BAR,"&gt;="&amp;U30,period_BAR,"&lt;"&amp;U31)</f>
        <v>2042</v>
      </c>
    </row>
    <row r="31" spans="1:23" ht="14" customHeight="1" x14ac:dyDescent="0.35">
      <c r="A31" s="29">
        <v>44681</v>
      </c>
      <c r="B31" s="38" t="s">
        <v>54</v>
      </c>
      <c r="C31" s="70" t="s">
        <v>60</v>
      </c>
      <c r="D31" s="1">
        <v>315</v>
      </c>
      <c r="E31" s="1">
        <v>259</v>
      </c>
      <c r="F31" s="72">
        <v>-0.20454545454545456</v>
      </c>
      <c r="G31" s="72">
        <v>-4.0740740740740744E-2</v>
      </c>
      <c r="H31" s="1">
        <v>11290</v>
      </c>
      <c r="I31" s="1">
        <v>10161</v>
      </c>
      <c r="J31" s="1">
        <v>11290</v>
      </c>
      <c r="K31" s="1">
        <v>10161</v>
      </c>
      <c r="L31" s="76">
        <v>0.62</v>
      </c>
      <c r="M31" s="76">
        <v>0.18</v>
      </c>
      <c r="N31" s="76">
        <v>0.82</v>
      </c>
      <c r="O31" s="76">
        <v>0.6</v>
      </c>
      <c r="P31" s="108">
        <v>1</v>
      </c>
      <c r="Q31" s="108"/>
      <c r="R31" s="108"/>
      <c r="S31" s="76"/>
      <c r="U31" s="35">
        <f t="shared" si="3"/>
        <v>44844</v>
      </c>
      <c r="V31" s="1" cm="1">
        <f t="array" ref="V31">SUMIFS(calls_off_BAR,period_BAR,"&gt;="&amp;U31,period_BAR,"&lt;"&amp;U32)</f>
        <v>3825</v>
      </c>
      <c r="W31" s="116" cm="1">
        <f t="array" ref="W31">SUMIFS(calls_ans_BAR,period_BAR,"&gt;="&amp;U31,period_BAR,"&lt;"&amp;U32)</f>
        <v>2582</v>
      </c>
    </row>
    <row r="32" spans="1:23" ht="14" customHeight="1" x14ac:dyDescent="0.35">
      <c r="A32" s="29">
        <v>44682</v>
      </c>
      <c r="B32" s="36" t="s">
        <v>48</v>
      </c>
      <c r="C32" s="70" t="s">
        <v>60</v>
      </c>
      <c r="D32" s="34">
        <v>0</v>
      </c>
      <c r="E32" s="34">
        <v>0</v>
      </c>
      <c r="F32" s="71">
        <v>0</v>
      </c>
      <c r="G32" s="71">
        <v>0</v>
      </c>
      <c r="H32" s="34">
        <v>0</v>
      </c>
      <c r="I32" s="34">
        <v>0</v>
      </c>
      <c r="J32" s="34">
        <v>0</v>
      </c>
      <c r="K32" s="34">
        <v>0</v>
      </c>
      <c r="L32" s="77">
        <v>0</v>
      </c>
      <c r="M32" s="77">
        <v>0</v>
      </c>
      <c r="N32" s="77">
        <v>0</v>
      </c>
      <c r="O32" s="77">
        <v>0</v>
      </c>
      <c r="P32" s="107">
        <v>0</v>
      </c>
      <c r="Q32" s="107"/>
      <c r="R32" s="107"/>
      <c r="S32" s="76"/>
      <c r="U32" s="35">
        <f t="shared" si="3"/>
        <v>44851</v>
      </c>
      <c r="V32" s="1">
        <f>SUMIFS(calls_off_BAR,period_BAR,"&gt;="&amp;U32,period_BAR,"&lt;"&amp;U33)</f>
        <v>3193</v>
      </c>
      <c r="W32" s="116">
        <f>SUMIFS(calls_ans_BAR,period_BAR,"&gt;="&amp;U32,period_BAR,"&lt;"&amp;U33)</f>
        <v>2521</v>
      </c>
    </row>
    <row r="33" spans="1:26" ht="14" customHeight="1" x14ac:dyDescent="0.35">
      <c r="A33" s="29">
        <v>44683</v>
      </c>
      <c r="B33" s="38" t="s">
        <v>49</v>
      </c>
      <c r="C33" s="70" t="s">
        <v>60</v>
      </c>
      <c r="D33" s="1">
        <v>0</v>
      </c>
      <c r="E33" s="1">
        <v>0</v>
      </c>
      <c r="F33" s="72">
        <v>0</v>
      </c>
      <c r="G33" s="72">
        <v>0</v>
      </c>
      <c r="H33" s="1">
        <v>0</v>
      </c>
      <c r="I33" s="1">
        <v>0</v>
      </c>
      <c r="J33" s="1">
        <v>0</v>
      </c>
      <c r="K33" s="1">
        <v>0</v>
      </c>
      <c r="L33" s="76">
        <v>0</v>
      </c>
      <c r="M33" s="76">
        <v>0</v>
      </c>
      <c r="N33" s="76">
        <v>0</v>
      </c>
      <c r="O33" s="76">
        <v>0</v>
      </c>
      <c r="P33" s="108">
        <v>0</v>
      </c>
      <c r="Q33" s="108"/>
      <c r="R33" s="108"/>
      <c r="S33" s="76"/>
      <c r="U33" s="35">
        <f t="shared" si="3"/>
        <v>44858</v>
      </c>
      <c r="V33" s="1" cm="1">
        <f t="array" ref="V33">SUMIFS(calls_off_BAR,period_BAR,"&gt;="&amp;U33,period_BAR,"&lt;"&amp;U34)</f>
        <v>3593</v>
      </c>
      <c r="W33" s="116" cm="1">
        <f t="array" ref="W33">SUMIFS(calls_ans_BAR,period_BAR,"&gt;="&amp;U33,period_BAR,"&lt;"&amp;U34)</f>
        <v>3119</v>
      </c>
    </row>
    <row r="34" spans="1:26" ht="14" customHeight="1" x14ac:dyDescent="0.35">
      <c r="A34" s="29">
        <v>44684</v>
      </c>
      <c r="B34" s="36" t="s">
        <v>50</v>
      </c>
      <c r="C34" s="70" t="s">
        <v>60</v>
      </c>
      <c r="D34" s="34">
        <v>709</v>
      </c>
      <c r="E34" s="34">
        <v>611</v>
      </c>
      <c r="F34" s="71">
        <v>0.26156583629893237</v>
      </c>
      <c r="G34" s="71">
        <v>0.11904761904761904</v>
      </c>
      <c r="H34" s="34">
        <v>709</v>
      </c>
      <c r="I34" s="34">
        <v>611</v>
      </c>
      <c r="J34" s="34">
        <v>11999</v>
      </c>
      <c r="K34" s="34">
        <v>10772</v>
      </c>
      <c r="L34" s="77">
        <v>0.64</v>
      </c>
      <c r="M34" s="77">
        <v>0.14000000000000001</v>
      </c>
      <c r="N34" s="77">
        <v>0.86</v>
      </c>
      <c r="O34" s="77">
        <v>0.7</v>
      </c>
      <c r="P34" s="107">
        <v>0.98</v>
      </c>
      <c r="Q34" s="107"/>
      <c r="R34" s="107"/>
      <c r="S34" s="76"/>
      <c r="U34" s="35">
        <f t="shared" si="3"/>
        <v>44865</v>
      </c>
      <c r="V34" s="1" cm="1">
        <f t="array" ref="V34">SUMIFS(calls_off_BAR,period_BAR,"&gt;="&amp;U34,period_BAR,"&lt;"&amp;U35)</f>
        <v>3660</v>
      </c>
      <c r="W34" s="116" cm="1">
        <f t="array" ref="W34">SUMIFS(calls_ans_BAR,period_BAR,"&gt;="&amp;U34,period_BAR,"&lt;"&amp;U35)</f>
        <v>3093</v>
      </c>
    </row>
    <row r="35" spans="1:26" ht="14" customHeight="1" x14ac:dyDescent="0.35">
      <c r="A35" s="29">
        <v>44685</v>
      </c>
      <c r="B35" s="38" t="s">
        <v>51</v>
      </c>
      <c r="C35" s="70" t="s">
        <v>60</v>
      </c>
      <c r="D35" s="1">
        <v>508</v>
      </c>
      <c r="E35" s="1">
        <v>477</v>
      </c>
      <c r="F35" s="72">
        <v>-0.14043993231810489</v>
      </c>
      <c r="G35" s="72">
        <v>-0.1420863309352518</v>
      </c>
      <c r="H35" s="1">
        <v>1217</v>
      </c>
      <c r="I35" s="1">
        <v>1088</v>
      </c>
      <c r="J35" s="1">
        <v>12507</v>
      </c>
      <c r="K35" s="1">
        <v>11249</v>
      </c>
      <c r="L35" s="76">
        <v>0.81</v>
      </c>
      <c r="M35" s="76">
        <v>0.06</v>
      </c>
      <c r="N35" s="76">
        <v>0.94</v>
      </c>
      <c r="O35" s="76">
        <v>0.77</v>
      </c>
      <c r="P35" s="108">
        <v>0.97</v>
      </c>
      <c r="Q35" s="108"/>
      <c r="R35" s="108"/>
      <c r="S35" s="76"/>
      <c r="U35" s="35">
        <f t="shared" si="3"/>
        <v>44872</v>
      </c>
      <c r="V35" s="1">
        <f>SUMIFS(calls_off_BAR,period_BAR,"&gt;="&amp;U35,period_BAR,"&lt;"&amp;U36)</f>
        <v>3804</v>
      </c>
      <c r="W35" s="116">
        <f>SUMIFS(calls_ans_BAR,period_BAR,"&gt;="&amp;U35,period_BAR,"&lt;"&amp;U36)</f>
        <v>2856</v>
      </c>
      <c r="Y35">
        <f>(Table14[[#This Row],[Sum of Calls - Offered]]-V34)/V34</f>
        <v>3.9344262295081971E-2</v>
      </c>
      <c r="Z35">
        <f>(Table14[[#This Row],[Sum of Calls - Answered]]-W34)/W34</f>
        <v>-7.662463627546072E-2</v>
      </c>
    </row>
    <row r="36" spans="1:26" ht="14" customHeight="1" x14ac:dyDescent="0.35">
      <c r="A36" s="29">
        <v>44686</v>
      </c>
      <c r="B36" s="36" t="s">
        <v>52</v>
      </c>
      <c r="C36" s="70" t="s">
        <v>60</v>
      </c>
      <c r="D36" s="34">
        <v>507</v>
      </c>
      <c r="E36" s="34">
        <v>479</v>
      </c>
      <c r="F36" s="71">
        <v>0</v>
      </c>
      <c r="G36" s="71">
        <v>0</v>
      </c>
      <c r="H36" s="34">
        <v>1724</v>
      </c>
      <c r="I36" s="34">
        <v>1567</v>
      </c>
      <c r="J36" s="34">
        <v>13014</v>
      </c>
      <c r="K36" s="34">
        <v>11728</v>
      </c>
      <c r="L36" s="77">
        <v>0.86</v>
      </c>
      <c r="M36" s="77">
        <v>0.06</v>
      </c>
      <c r="N36" s="77">
        <v>0.94</v>
      </c>
      <c r="O36" s="77">
        <v>0.66</v>
      </c>
      <c r="P36" s="107">
        <v>0.96</v>
      </c>
      <c r="Q36" s="107"/>
      <c r="R36" s="107"/>
      <c r="S36" s="76"/>
      <c r="U36" s="35">
        <f t="shared" si="3"/>
        <v>44879</v>
      </c>
      <c r="V36" s="1" cm="1">
        <f t="array" ref="V36">SUMIFS(calls_off_BAR,period_BAR,"&gt;="&amp;U36,period_BAR,"&lt;"&amp;U37)</f>
        <v>3395</v>
      </c>
      <c r="W36" s="116" cm="1">
        <f t="array" ref="W36">SUMIFS(calls_ans_BAR,period_BAR,"&gt;="&amp;U36,period_BAR,"&lt;"&amp;U37)</f>
        <v>3193</v>
      </c>
    </row>
    <row r="37" spans="1:26" ht="14" customHeight="1" x14ac:dyDescent="0.35">
      <c r="A37" s="29">
        <v>44687</v>
      </c>
      <c r="B37" s="38" t="s">
        <v>53</v>
      </c>
      <c r="C37" s="70" t="s">
        <v>60</v>
      </c>
      <c r="D37" s="1">
        <v>403</v>
      </c>
      <c r="E37" s="1">
        <v>379</v>
      </c>
      <c r="F37" s="72">
        <v>-0.49116161616161619</v>
      </c>
      <c r="G37" s="72">
        <v>-0.35544217687074831</v>
      </c>
      <c r="H37" s="1">
        <v>2127</v>
      </c>
      <c r="I37" s="1">
        <v>1946</v>
      </c>
      <c r="J37" s="1">
        <v>13417</v>
      </c>
      <c r="K37" s="1">
        <v>12107</v>
      </c>
      <c r="L37" s="76">
        <v>0.87</v>
      </c>
      <c r="M37" s="76">
        <v>0.06</v>
      </c>
      <c r="N37" s="76">
        <v>0.94</v>
      </c>
      <c r="O37" s="76">
        <v>0.52</v>
      </c>
      <c r="P37" s="108">
        <v>1</v>
      </c>
      <c r="Q37" s="108"/>
      <c r="R37" s="108"/>
      <c r="S37" s="76"/>
      <c r="U37" s="35">
        <f t="shared" si="3"/>
        <v>44886</v>
      </c>
      <c r="V37" s="1" cm="1">
        <f t="array" ref="V37">SUMIFS(calls_off_BAR,period_BAR,"&gt;="&amp;U37,period_BAR,"&lt;"&amp;U38)</f>
        <v>4531</v>
      </c>
      <c r="W37" s="116" cm="1">
        <f t="array" ref="W37">SUMIFS(calls_ans_BAR,period_BAR,"&gt;="&amp;U37,period_BAR,"&lt;"&amp;U38)</f>
        <v>3948</v>
      </c>
    </row>
    <row r="38" spans="1:26" ht="14" customHeight="1" x14ac:dyDescent="0.35">
      <c r="A38" s="29">
        <v>44688</v>
      </c>
      <c r="B38" s="36" t="s">
        <v>54</v>
      </c>
      <c r="C38" s="70" t="s">
        <v>60</v>
      </c>
      <c r="D38" s="34">
        <v>236</v>
      </c>
      <c r="E38" s="34">
        <v>216</v>
      </c>
      <c r="F38" s="71">
        <v>-0.25079365079365079</v>
      </c>
      <c r="G38" s="71">
        <v>-0.16602316602316602</v>
      </c>
      <c r="H38" s="34">
        <v>2363</v>
      </c>
      <c r="I38" s="34">
        <v>2162</v>
      </c>
      <c r="J38" s="34">
        <v>13653</v>
      </c>
      <c r="K38" s="34">
        <v>12323</v>
      </c>
      <c r="L38" s="77">
        <v>0.81</v>
      </c>
      <c r="M38" s="77">
        <v>0.08</v>
      </c>
      <c r="N38" s="77">
        <v>0.92</v>
      </c>
      <c r="O38" s="77">
        <v>0.65</v>
      </c>
      <c r="P38" s="107">
        <v>0.93</v>
      </c>
      <c r="Q38" s="107"/>
      <c r="R38" s="107"/>
      <c r="S38" s="76"/>
      <c r="U38" s="35">
        <f t="shared" si="3"/>
        <v>44893</v>
      </c>
      <c r="V38" s="1" cm="1">
        <f t="array" ref="V38">SUMIFS(calls_off_BAR,period_BAR,"&gt;="&amp;U38,period_BAR,"&lt;"&amp;U39)</f>
        <v>4553</v>
      </c>
      <c r="W38" s="116" cm="1">
        <f t="array" ref="W38">SUMIFS(calls_ans_BAR,period_BAR,"&gt;="&amp;U38,period_BAR,"&lt;"&amp;U39)</f>
        <v>3562</v>
      </c>
    </row>
    <row r="39" spans="1:26" ht="14" customHeight="1" x14ac:dyDescent="0.35">
      <c r="A39" s="29">
        <v>44689</v>
      </c>
      <c r="B39" s="38" t="s">
        <v>48</v>
      </c>
      <c r="C39" s="70" t="s">
        <v>60</v>
      </c>
      <c r="D39" s="1">
        <v>0</v>
      </c>
      <c r="E39" s="1">
        <v>0</v>
      </c>
      <c r="F39" s="72">
        <v>0</v>
      </c>
      <c r="G39" s="72">
        <v>0</v>
      </c>
      <c r="H39" s="1">
        <v>0</v>
      </c>
      <c r="I39" s="1">
        <v>0</v>
      </c>
      <c r="J39" s="1">
        <v>0</v>
      </c>
      <c r="K39" s="1">
        <v>0</v>
      </c>
      <c r="L39" s="76">
        <v>0</v>
      </c>
      <c r="M39" s="76">
        <v>0</v>
      </c>
      <c r="N39" s="76">
        <v>0</v>
      </c>
      <c r="O39" s="76">
        <v>0</v>
      </c>
      <c r="P39" s="108">
        <v>0</v>
      </c>
      <c r="Q39" s="108"/>
      <c r="R39" s="108"/>
      <c r="S39" s="76"/>
      <c r="U39" s="35">
        <f t="shared" si="3"/>
        <v>44900</v>
      </c>
      <c r="V39" s="1" cm="1">
        <f t="array" ref="V39">SUMIFS(calls_off_BAR,period_BAR,"&gt;="&amp;U39,period_BAR,"&lt;"&amp;U40)</f>
        <v>4871</v>
      </c>
      <c r="W39" s="116" cm="1">
        <f t="array" ref="W39">SUMIFS(calls_ans_BAR,period_BAR,"&gt;="&amp;U39,period_BAR,"&lt;"&amp;U40)</f>
        <v>3852</v>
      </c>
    </row>
    <row r="40" spans="1:26" ht="14" customHeight="1" x14ac:dyDescent="0.35">
      <c r="A40" s="29">
        <v>44690</v>
      </c>
      <c r="B40" s="36" t="s">
        <v>49</v>
      </c>
      <c r="C40" s="70" t="s">
        <v>60</v>
      </c>
      <c r="D40" s="34">
        <v>573</v>
      </c>
      <c r="E40" s="34">
        <v>518</v>
      </c>
      <c r="F40" s="71">
        <v>0</v>
      </c>
      <c r="G40" s="71">
        <v>0</v>
      </c>
      <c r="H40" s="34">
        <v>2936</v>
      </c>
      <c r="I40" s="34">
        <v>2680</v>
      </c>
      <c r="J40" s="34">
        <v>14226</v>
      </c>
      <c r="K40" s="34">
        <v>12841</v>
      </c>
      <c r="L40" s="77">
        <v>0.76</v>
      </c>
      <c r="M40" s="77">
        <v>0.1</v>
      </c>
      <c r="N40" s="77">
        <v>0.9</v>
      </c>
      <c r="O40" s="77">
        <v>0.6</v>
      </c>
      <c r="P40" s="107">
        <v>0.96</v>
      </c>
      <c r="Q40" s="107"/>
      <c r="R40" s="107"/>
      <c r="S40" s="76"/>
      <c r="U40" s="35">
        <f t="shared" si="3"/>
        <v>44907</v>
      </c>
      <c r="V40" s="1" cm="1">
        <f t="array" ref="V40">SUMIFS(calls_off_BAR,period_BAR,"&gt;="&amp;U40,period_BAR,"&lt;"&amp;U41)</f>
        <v>4889</v>
      </c>
      <c r="W40" s="116" cm="1">
        <f t="array" ref="W40">SUMIFS(calls_ans_BAR,period_BAR,"&gt;="&amp;U40,period_BAR,"&lt;"&amp;U41)</f>
        <v>3832</v>
      </c>
    </row>
    <row r="41" spans="1:26" ht="14" customHeight="1" x14ac:dyDescent="0.35">
      <c r="A41" s="29">
        <v>44691</v>
      </c>
      <c r="B41" s="38" t="s">
        <v>50</v>
      </c>
      <c r="C41" s="70" t="s">
        <v>60</v>
      </c>
      <c r="D41" s="1">
        <v>564</v>
      </c>
      <c r="E41" s="1">
        <v>517</v>
      </c>
      <c r="F41" s="72">
        <v>-0.20451339915373765</v>
      </c>
      <c r="G41" s="72">
        <v>-0.15384615384615385</v>
      </c>
      <c r="H41" s="1">
        <v>3500</v>
      </c>
      <c r="I41" s="1">
        <v>3197</v>
      </c>
      <c r="J41" s="1">
        <v>14790</v>
      </c>
      <c r="K41" s="1">
        <v>13358</v>
      </c>
      <c r="L41" s="76">
        <v>0.77</v>
      </c>
      <c r="M41" s="76">
        <v>0.08</v>
      </c>
      <c r="N41" s="76">
        <v>0.92</v>
      </c>
      <c r="O41" s="76">
        <v>0.71</v>
      </c>
      <c r="P41" s="108">
        <v>0.96</v>
      </c>
      <c r="Q41" s="108"/>
      <c r="R41" s="108"/>
      <c r="S41" s="76"/>
      <c r="U41" s="35">
        <f t="shared" si="3"/>
        <v>44914</v>
      </c>
      <c r="V41" s="1">
        <f>SUMIFS(calls_off_BAR,period_BAR,"&gt;="&amp;U41,period_BAR,"&lt;"&amp;U42)</f>
        <v>6856</v>
      </c>
      <c r="W41" s="116">
        <f>SUMIFS(calls_ans_BAR,period_BAR,"&gt;="&amp;U41,period_BAR,"&lt;"&amp;U42)</f>
        <v>4037</v>
      </c>
    </row>
    <row r="42" spans="1:26" ht="14" customHeight="1" x14ac:dyDescent="0.35">
      <c r="A42" s="29">
        <v>44692</v>
      </c>
      <c r="B42" s="36" t="s">
        <v>51</v>
      </c>
      <c r="C42" s="70" t="s">
        <v>60</v>
      </c>
      <c r="D42" s="34">
        <v>439</v>
      </c>
      <c r="E42" s="34">
        <v>414</v>
      </c>
      <c r="F42" s="71">
        <v>-0.13582677165354332</v>
      </c>
      <c r="G42" s="71">
        <v>-0.13207547169811321</v>
      </c>
      <c r="H42" s="34">
        <v>3939</v>
      </c>
      <c r="I42" s="34">
        <v>3611</v>
      </c>
      <c r="J42" s="34">
        <v>15229</v>
      </c>
      <c r="K42" s="34">
        <v>13772</v>
      </c>
      <c r="L42" s="77">
        <v>0.85</v>
      </c>
      <c r="M42" s="77">
        <v>0.06</v>
      </c>
      <c r="N42" s="77">
        <v>0.94</v>
      </c>
      <c r="O42" s="77">
        <v>0.56999999999999995</v>
      </c>
      <c r="P42" s="107">
        <v>0.96</v>
      </c>
      <c r="Q42" s="107"/>
      <c r="R42" s="107"/>
      <c r="S42" s="76"/>
      <c r="U42" s="35">
        <f t="shared" si="3"/>
        <v>44921</v>
      </c>
      <c r="V42" s="1" cm="1">
        <f t="array" ref="V42">SUMIFS(calls_off_BAR,period_BAR,"&gt;="&amp;U42,period_BAR,"&lt;"&amp;U43)</f>
        <v>2889</v>
      </c>
      <c r="W42" s="116" cm="1">
        <f t="array" ref="W42">SUMIFS(calls_ans_BAR,period_BAR,"&gt;="&amp;U42,period_BAR,"&lt;"&amp;U43)</f>
        <v>2412</v>
      </c>
    </row>
    <row r="43" spans="1:26" ht="14" customHeight="1" x14ac:dyDescent="0.35">
      <c r="A43" s="29">
        <v>44693</v>
      </c>
      <c r="B43" s="38" t="s">
        <v>52</v>
      </c>
      <c r="C43" s="70" t="s">
        <v>60</v>
      </c>
      <c r="D43" s="1">
        <v>454</v>
      </c>
      <c r="E43" s="1">
        <v>407</v>
      </c>
      <c r="F43" s="72">
        <v>-0.10453648915187377</v>
      </c>
      <c r="G43" s="72">
        <v>-0.15031315240083507</v>
      </c>
      <c r="H43" s="1">
        <v>4393</v>
      </c>
      <c r="I43" s="1">
        <v>4018</v>
      </c>
      <c r="J43" s="1">
        <v>15683</v>
      </c>
      <c r="K43" s="1">
        <v>14179</v>
      </c>
      <c r="L43" s="76">
        <v>0.74</v>
      </c>
      <c r="M43" s="76">
        <v>0.1</v>
      </c>
      <c r="N43" s="76">
        <v>0.9</v>
      </c>
      <c r="O43" s="76">
        <v>0.7</v>
      </c>
      <c r="P43" s="108">
        <v>0.97</v>
      </c>
      <c r="Q43" s="108"/>
      <c r="R43" s="108"/>
      <c r="S43" s="76"/>
      <c r="U43" s="35">
        <f t="shared" si="3"/>
        <v>44928</v>
      </c>
      <c r="V43" s="1" cm="1">
        <f t="array" ref="V43">SUMIFS(calls_off_BAR,period_BAR,"&gt;="&amp;U43,period_BAR,"&lt;"&amp;U44)</f>
        <v>2480</v>
      </c>
      <c r="W43" s="116" cm="1">
        <f t="array" ref="W43">SUMIFS(calls_ans_BAR,period_BAR,"&gt;="&amp;U43,period_BAR,"&lt;"&amp;U44)</f>
        <v>1973</v>
      </c>
    </row>
    <row r="44" spans="1:26" ht="14" customHeight="1" x14ac:dyDescent="0.35">
      <c r="A44" s="29">
        <v>44694</v>
      </c>
      <c r="B44" s="36" t="s">
        <v>53</v>
      </c>
      <c r="C44" s="70" t="s">
        <v>60</v>
      </c>
      <c r="D44" s="34">
        <v>518</v>
      </c>
      <c r="E44" s="34">
        <v>475</v>
      </c>
      <c r="F44" s="71">
        <v>0.28535980148883372</v>
      </c>
      <c r="G44" s="71">
        <v>0.25329815303430081</v>
      </c>
      <c r="H44" s="34">
        <v>4911</v>
      </c>
      <c r="I44" s="34">
        <v>4493</v>
      </c>
      <c r="J44" s="34">
        <v>16201</v>
      </c>
      <c r="K44" s="34">
        <v>14654</v>
      </c>
      <c r="L44" s="77">
        <v>0.73</v>
      </c>
      <c r="M44" s="77">
        <v>0.08</v>
      </c>
      <c r="N44" s="77">
        <v>0.92</v>
      </c>
      <c r="O44" s="77">
        <v>0.86</v>
      </c>
      <c r="P44" s="107">
        <v>0.96</v>
      </c>
      <c r="Q44" s="107"/>
      <c r="R44" s="107"/>
      <c r="S44" s="76"/>
      <c r="U44" s="35">
        <f t="shared" si="3"/>
        <v>44935</v>
      </c>
      <c r="V44" s="1">
        <f>SUMIFS(calls_off_BAR,period_BAR,"&gt;="&amp;U44,period_BAR,"&lt;"&amp;U45)</f>
        <v>2146</v>
      </c>
      <c r="W44" s="116">
        <f>SUMIFS(calls_ans_BAR,period_BAR,"&gt;="&amp;U44,period_BAR,"&lt;"&amp;U45)</f>
        <v>1989</v>
      </c>
    </row>
    <row r="45" spans="1:26" ht="14" customHeight="1" x14ac:dyDescent="0.35">
      <c r="A45" s="29">
        <v>44695</v>
      </c>
      <c r="B45" s="38" t="s">
        <v>54</v>
      </c>
      <c r="C45" s="70" t="s">
        <v>60</v>
      </c>
      <c r="D45" s="1">
        <v>262</v>
      </c>
      <c r="E45" s="1">
        <v>230</v>
      </c>
      <c r="F45" s="72">
        <v>0.11016949152542373</v>
      </c>
      <c r="G45" s="72">
        <v>6.4814814814814811E-2</v>
      </c>
      <c r="H45" s="1">
        <v>5173</v>
      </c>
      <c r="I45" s="1">
        <v>4723</v>
      </c>
      <c r="J45" s="1">
        <v>16463</v>
      </c>
      <c r="K45" s="1">
        <v>14884</v>
      </c>
      <c r="L45" s="76">
        <v>0.63</v>
      </c>
      <c r="M45" s="76">
        <v>0.12</v>
      </c>
      <c r="N45" s="76">
        <v>0.88</v>
      </c>
      <c r="O45" s="76">
        <v>0.79</v>
      </c>
      <c r="P45" s="108">
        <v>0.96</v>
      </c>
      <c r="Q45" s="108"/>
      <c r="R45" s="108"/>
      <c r="S45" s="76"/>
      <c r="U45" s="35">
        <f t="shared" si="3"/>
        <v>44942</v>
      </c>
      <c r="V45" s="1">
        <f>SUMIFS(calls_off_BAR,period_BAR,"&gt;="&amp;U45,period_BAR,"&lt;"&amp;U46)</f>
        <v>2371</v>
      </c>
      <c r="W45" s="116">
        <f>SUMIFS(calls_ans_BAR,period_BAR,"&gt;="&amp;U45,period_BAR,"&lt;"&amp;U46)</f>
        <v>1941</v>
      </c>
    </row>
    <row r="46" spans="1:26" ht="14" customHeight="1" x14ac:dyDescent="0.35">
      <c r="A46" s="29">
        <v>44696</v>
      </c>
      <c r="B46" s="36" t="s">
        <v>48</v>
      </c>
      <c r="C46" s="70" t="s">
        <v>60</v>
      </c>
      <c r="D46" s="34">
        <v>0</v>
      </c>
      <c r="E46" s="34">
        <v>0</v>
      </c>
      <c r="F46" s="71">
        <v>0</v>
      </c>
      <c r="G46" s="71">
        <v>0</v>
      </c>
      <c r="H46" s="34">
        <v>0</v>
      </c>
      <c r="I46" s="34">
        <v>0</v>
      </c>
      <c r="J46" s="34">
        <v>0</v>
      </c>
      <c r="K46" s="34">
        <v>0</v>
      </c>
      <c r="L46" s="77">
        <v>0</v>
      </c>
      <c r="M46" s="77">
        <v>0</v>
      </c>
      <c r="N46" s="77">
        <v>0</v>
      </c>
      <c r="O46" s="77">
        <v>0</v>
      </c>
      <c r="P46" s="107">
        <v>0</v>
      </c>
      <c r="Q46" s="107"/>
      <c r="R46" s="107"/>
      <c r="S46" s="76"/>
      <c r="U46" s="35">
        <f t="shared" si="3"/>
        <v>44949</v>
      </c>
      <c r="V46" s="1">
        <f>SUMIFS(calls_off_BAR,period_BAR,"&gt;="&amp;U46,period_BAR,"&lt;"&amp;U47)</f>
        <v>2442</v>
      </c>
      <c r="W46" s="116">
        <f>SUMIFS(calls_ans_BAR,period_BAR,"&gt;="&amp;U46,period_BAR,"&lt;"&amp;U47)</f>
        <v>2302</v>
      </c>
    </row>
    <row r="47" spans="1:26" ht="14" customHeight="1" x14ac:dyDescent="0.35">
      <c r="A47" s="29">
        <v>44697</v>
      </c>
      <c r="B47" s="38" t="s">
        <v>49</v>
      </c>
      <c r="C47" s="70" t="s">
        <v>60</v>
      </c>
      <c r="D47" s="1">
        <v>578</v>
      </c>
      <c r="E47" s="1">
        <v>552</v>
      </c>
      <c r="F47" s="72">
        <v>8.7260034904013961E-3</v>
      </c>
      <c r="G47" s="72">
        <v>6.5637065637065631E-2</v>
      </c>
      <c r="H47" s="1">
        <v>5751</v>
      </c>
      <c r="I47" s="1">
        <v>5275</v>
      </c>
      <c r="J47" s="1">
        <v>17041</v>
      </c>
      <c r="K47" s="1">
        <v>15436</v>
      </c>
      <c r="L47" s="76">
        <v>0.83</v>
      </c>
      <c r="M47" s="76">
        <v>0.04</v>
      </c>
      <c r="N47" s="76">
        <v>0.96</v>
      </c>
      <c r="O47" s="76">
        <v>0.63</v>
      </c>
      <c r="P47" s="108">
        <v>0.98</v>
      </c>
      <c r="Q47" s="108"/>
      <c r="R47" s="108"/>
      <c r="S47" s="76"/>
      <c r="U47" s="35">
        <f t="shared" si="3"/>
        <v>44956</v>
      </c>
      <c r="V47" s="1" cm="1">
        <f t="array" ref="V47">SUMIFS(calls_off_BAR,period_BAR,"&gt;="&amp;U47,period_BAR,"&lt;"&amp;U48)</f>
        <v>0</v>
      </c>
      <c r="W47" s="116" cm="1">
        <f t="array" ref="W47">SUMIFS(calls_ans_BAR,period_BAR,"&gt;="&amp;U47,period_BAR,"&lt;"&amp;U48)</f>
        <v>0</v>
      </c>
    </row>
    <row r="48" spans="1:26" x14ac:dyDescent="0.35">
      <c r="A48" s="29">
        <v>44698</v>
      </c>
      <c r="B48" s="36" t="s">
        <v>50</v>
      </c>
      <c r="C48" s="70" t="s">
        <v>60</v>
      </c>
      <c r="D48" s="34">
        <v>588</v>
      </c>
      <c r="E48" s="34">
        <v>533</v>
      </c>
      <c r="F48" s="71">
        <v>4.2553191489361701E-2</v>
      </c>
      <c r="G48" s="71">
        <v>3.0947775628626693E-2</v>
      </c>
      <c r="H48" s="34">
        <v>6339</v>
      </c>
      <c r="I48" s="34">
        <v>5808</v>
      </c>
      <c r="J48" s="34">
        <v>17629</v>
      </c>
      <c r="K48" s="34">
        <v>15969</v>
      </c>
      <c r="L48" s="77">
        <v>0.73</v>
      </c>
      <c r="M48" s="77">
        <v>0.09</v>
      </c>
      <c r="N48" s="77">
        <v>0.91</v>
      </c>
      <c r="O48" s="77">
        <v>0.74</v>
      </c>
      <c r="P48" s="107">
        <v>0.98</v>
      </c>
      <c r="Q48" s="107"/>
      <c r="R48" s="107"/>
      <c r="S48" s="76"/>
      <c r="U48" s="35">
        <f t="shared" si="3"/>
        <v>44963</v>
      </c>
      <c r="V48" s="1" cm="1">
        <f t="array" ref="V48">SUMIFS(calls_off_BAR,period_BAR,"&gt;="&amp;U48,period_BAR,"&lt;"&amp;U49)</f>
        <v>1490</v>
      </c>
      <c r="W48" s="116" cm="1">
        <f t="array" ref="W48">SUMIFS(calls_ans_BAR,period_BAR,"&gt;="&amp;U48,period_BAR,"&lt;"&amp;U49)</f>
        <v>1213</v>
      </c>
    </row>
    <row r="49" spans="1:23" x14ac:dyDescent="0.35">
      <c r="A49" s="29">
        <v>44699</v>
      </c>
      <c r="B49" s="38" t="s">
        <v>51</v>
      </c>
      <c r="C49" s="70" t="s">
        <v>60</v>
      </c>
      <c r="D49" s="1">
        <v>468</v>
      </c>
      <c r="E49" s="1">
        <v>448</v>
      </c>
      <c r="F49" s="72">
        <v>6.6059225512528477E-2</v>
      </c>
      <c r="G49" s="72">
        <v>8.2125603864734303E-2</v>
      </c>
      <c r="H49" s="1">
        <v>6807</v>
      </c>
      <c r="I49" s="1">
        <v>6256</v>
      </c>
      <c r="J49" s="1">
        <v>18097</v>
      </c>
      <c r="K49" s="1">
        <v>16417</v>
      </c>
      <c r="L49" s="76">
        <v>0.88</v>
      </c>
      <c r="M49" s="76">
        <v>0.04</v>
      </c>
      <c r="N49" s="76">
        <v>0.96</v>
      </c>
      <c r="O49" s="76">
        <v>0.77</v>
      </c>
      <c r="P49" s="108">
        <v>0.98</v>
      </c>
      <c r="Q49" s="108"/>
      <c r="R49" s="108"/>
      <c r="S49" s="76"/>
      <c r="U49" s="35">
        <f t="shared" si="3"/>
        <v>44970</v>
      </c>
      <c r="V49" s="1" cm="1">
        <f t="array" ref="V49">SUMIFS(calls_off_BAR,period_BAR,"&gt;="&amp;U49,period_BAR,"&lt;"&amp;U50)</f>
        <v>2275</v>
      </c>
      <c r="W49" s="116" cm="1">
        <f t="array" ref="W49">SUMIFS(calls_ans_BAR,period_BAR,"&gt;="&amp;U49,period_BAR,"&lt;"&amp;U50)</f>
        <v>1950</v>
      </c>
    </row>
    <row r="50" spans="1:23" x14ac:dyDescent="0.35">
      <c r="A50" s="29">
        <v>44700</v>
      </c>
      <c r="B50" s="36" t="s">
        <v>52</v>
      </c>
      <c r="C50" s="70" t="s">
        <v>60</v>
      </c>
      <c r="D50" s="34">
        <v>469</v>
      </c>
      <c r="E50" s="34">
        <v>448</v>
      </c>
      <c r="F50" s="71">
        <v>3.3039647577092511E-2</v>
      </c>
      <c r="G50" s="71">
        <v>0.10073710073710074</v>
      </c>
      <c r="H50" s="34">
        <v>7276</v>
      </c>
      <c r="I50" s="34">
        <v>6704</v>
      </c>
      <c r="J50" s="34">
        <v>18566</v>
      </c>
      <c r="K50" s="34">
        <v>16865</v>
      </c>
      <c r="L50" s="77">
        <v>0.81</v>
      </c>
      <c r="M50" s="77">
        <v>0.04</v>
      </c>
      <c r="N50" s="77">
        <v>0.96</v>
      </c>
      <c r="O50" s="77">
        <v>1.02</v>
      </c>
      <c r="P50" s="107">
        <v>0.95</v>
      </c>
      <c r="Q50" s="107"/>
      <c r="R50" s="107"/>
      <c r="S50" s="76"/>
      <c r="U50" s="35">
        <f t="shared" si="3"/>
        <v>44977</v>
      </c>
      <c r="V50" s="1" cm="1">
        <f t="array" ref="V50">SUMIFS(calls_off_BAR,period_BAR,"&gt;="&amp;U50,period_BAR,"&lt;"&amp;U51)</f>
        <v>2224</v>
      </c>
      <c r="W50" s="116" cm="1">
        <f t="array" ref="W50">SUMIFS(calls_ans_BAR,period_BAR,"&gt;="&amp;U50,period_BAR,"&lt;"&amp;U51)</f>
        <v>2045</v>
      </c>
    </row>
    <row r="51" spans="1:23" x14ac:dyDescent="0.35">
      <c r="A51" s="29">
        <v>44701</v>
      </c>
      <c r="B51" s="38" t="s">
        <v>53</v>
      </c>
      <c r="C51" s="70" t="s">
        <v>60</v>
      </c>
      <c r="D51" s="1">
        <v>532</v>
      </c>
      <c r="E51" s="1">
        <v>506</v>
      </c>
      <c r="F51" s="72">
        <v>2.7027027027027029E-2</v>
      </c>
      <c r="G51" s="72">
        <v>6.5263157894736842E-2</v>
      </c>
      <c r="H51" s="1">
        <v>7808</v>
      </c>
      <c r="I51" s="1">
        <v>7210</v>
      </c>
      <c r="J51" s="1">
        <v>19098</v>
      </c>
      <c r="K51" s="1">
        <v>17371</v>
      </c>
      <c r="L51" s="76">
        <v>0.88</v>
      </c>
      <c r="M51" s="76">
        <v>0.05</v>
      </c>
      <c r="N51" s="76">
        <v>0.95</v>
      </c>
      <c r="O51" s="76">
        <v>0.7</v>
      </c>
      <c r="P51" s="108">
        <v>1</v>
      </c>
      <c r="Q51" s="108"/>
      <c r="R51" s="108"/>
      <c r="S51" s="76"/>
      <c r="U51" s="35">
        <f t="shared" si="3"/>
        <v>44984</v>
      </c>
      <c r="V51" s="1" cm="1">
        <f t="array" ref="V51">SUMIFS(calls_off_BAR,period_BAR,"&gt;="&amp;U51,period_BAR,"&lt;"&amp;U52)</f>
        <v>2289</v>
      </c>
      <c r="W51" s="116" cm="1">
        <f t="array" ref="W51">SUMIFS(calls_ans_BAR,period_BAR,"&gt;="&amp;U51,period_BAR,"&lt;"&amp;U52)</f>
        <v>2089</v>
      </c>
    </row>
    <row r="52" spans="1:23" x14ac:dyDescent="0.35">
      <c r="A52" s="29">
        <v>44702</v>
      </c>
      <c r="B52" s="36" t="s">
        <v>54</v>
      </c>
      <c r="C52" s="70" t="s">
        <v>60</v>
      </c>
      <c r="D52" s="34">
        <v>488</v>
      </c>
      <c r="E52" s="34">
        <v>447</v>
      </c>
      <c r="F52" s="71">
        <v>0.86259541984732824</v>
      </c>
      <c r="G52" s="71">
        <v>0.94347826086956521</v>
      </c>
      <c r="H52" s="34">
        <v>8296</v>
      </c>
      <c r="I52" s="34">
        <v>7657</v>
      </c>
      <c r="J52" s="34">
        <v>19586</v>
      </c>
      <c r="K52" s="34">
        <v>17818</v>
      </c>
      <c r="L52" s="77">
        <v>0.72</v>
      </c>
      <c r="M52" s="77">
        <v>0.08</v>
      </c>
      <c r="N52" s="77">
        <v>0.92</v>
      </c>
      <c r="O52" s="77">
        <v>0.78</v>
      </c>
      <c r="P52" s="107">
        <v>0.93</v>
      </c>
      <c r="Q52" s="107"/>
      <c r="R52" s="107"/>
      <c r="S52" s="76"/>
      <c r="U52" s="35">
        <f t="shared" si="3"/>
        <v>44991</v>
      </c>
      <c r="V52" s="1" cm="1">
        <f t="array" ref="V52">SUMIFS(calls_off_BAR,period_BAR,"&gt;="&amp;U52,period_BAR,"&lt;"&amp;U53)</f>
        <v>2088</v>
      </c>
      <c r="W52" s="116" cm="1">
        <f t="array" ref="W52">SUMIFS(calls_ans_BAR,period_BAR,"&gt;="&amp;U52,period_BAR,"&lt;"&amp;U53)</f>
        <v>1983</v>
      </c>
    </row>
    <row r="53" spans="1:23" x14ac:dyDescent="0.35">
      <c r="A53" s="29">
        <v>44703</v>
      </c>
      <c r="B53" s="38" t="s">
        <v>48</v>
      </c>
      <c r="C53" s="70" t="s">
        <v>60</v>
      </c>
      <c r="D53" s="1">
        <v>0</v>
      </c>
      <c r="E53" s="1">
        <v>0</v>
      </c>
      <c r="F53" s="72">
        <v>0</v>
      </c>
      <c r="G53" s="72">
        <v>0</v>
      </c>
      <c r="H53" s="1">
        <v>0</v>
      </c>
      <c r="I53" s="1">
        <v>0</v>
      </c>
      <c r="J53" s="1">
        <v>0</v>
      </c>
      <c r="K53" s="1">
        <v>0</v>
      </c>
      <c r="L53" s="76">
        <v>0</v>
      </c>
      <c r="M53" s="76">
        <v>0</v>
      </c>
      <c r="N53" s="76">
        <v>0</v>
      </c>
      <c r="O53" s="76">
        <v>0</v>
      </c>
      <c r="P53" s="108">
        <v>0</v>
      </c>
      <c r="Q53" s="108"/>
      <c r="R53" s="108"/>
      <c r="S53" s="76"/>
      <c r="U53" s="35">
        <f t="shared" si="3"/>
        <v>44998</v>
      </c>
      <c r="V53" s="1">
        <f>SUMIFS(calls_off_BAR,period_BAR,"&gt;="&amp;U53,period_BAR,"&lt;"&amp;U54)</f>
        <v>2366</v>
      </c>
      <c r="W53" s="116">
        <f>SUMIFS(calls_ans_BAR,period_BAR,"&gt;="&amp;U53,period_BAR,"&lt;"&amp;U54)</f>
        <v>2158</v>
      </c>
    </row>
    <row r="54" spans="1:23" x14ac:dyDescent="0.35">
      <c r="A54" s="29">
        <v>44704</v>
      </c>
      <c r="B54" s="36" t="s">
        <v>49</v>
      </c>
      <c r="C54" s="70" t="s">
        <v>60</v>
      </c>
      <c r="D54" s="34">
        <v>488</v>
      </c>
      <c r="E54" s="34">
        <v>447</v>
      </c>
      <c r="F54" s="71">
        <v>-0.15570934256055363</v>
      </c>
      <c r="G54" s="71">
        <v>-0.19021739130434784</v>
      </c>
      <c r="H54" s="34">
        <v>8784</v>
      </c>
      <c r="I54" s="34">
        <v>8104</v>
      </c>
      <c r="J54" s="34">
        <v>20074</v>
      </c>
      <c r="K54" s="34">
        <v>18265</v>
      </c>
      <c r="L54" s="77">
        <v>0.72</v>
      </c>
      <c r="M54" s="77">
        <v>0.08</v>
      </c>
      <c r="N54" s="77">
        <v>0.92</v>
      </c>
      <c r="O54" s="77">
        <v>0.78</v>
      </c>
      <c r="P54" s="107">
        <v>0.93</v>
      </c>
      <c r="Q54" s="107"/>
      <c r="R54" s="107"/>
      <c r="S54" s="76"/>
      <c r="U54" s="35">
        <f t="shared" si="3"/>
        <v>45005</v>
      </c>
      <c r="V54" s="1" cm="1">
        <f t="array" ref="V54">SUMIFS(calls_off_BAR,period_BAR,"&gt;="&amp;U54,period_BAR,"&lt;"&amp;U55)</f>
        <v>2158</v>
      </c>
      <c r="W54" s="116" cm="1">
        <f t="array" ref="W54">SUMIFS(calls_ans_BAR,period_BAR,"&gt;="&amp;U54,period_BAR,"&lt;"&amp;U55)</f>
        <v>1963</v>
      </c>
    </row>
    <row r="55" spans="1:23" x14ac:dyDescent="0.35">
      <c r="A55" s="29">
        <v>44705</v>
      </c>
      <c r="B55" s="38" t="s">
        <v>50</v>
      </c>
      <c r="C55" s="70" t="s">
        <v>60</v>
      </c>
      <c r="D55" s="1">
        <v>439</v>
      </c>
      <c r="E55" s="1">
        <v>421</v>
      </c>
      <c r="F55" s="72">
        <v>-0.25340136054421769</v>
      </c>
      <c r="G55" s="72">
        <v>-0.21013133208255161</v>
      </c>
      <c r="H55" s="1">
        <v>9223</v>
      </c>
      <c r="I55" s="1">
        <v>8525</v>
      </c>
      <c r="J55" s="1">
        <v>20513</v>
      </c>
      <c r="K55" s="1">
        <v>18686</v>
      </c>
      <c r="L55" s="76">
        <v>0.87</v>
      </c>
      <c r="M55" s="76">
        <v>0.04</v>
      </c>
      <c r="N55" s="76">
        <v>0.96</v>
      </c>
      <c r="O55" s="76">
        <v>0.71</v>
      </c>
      <c r="P55" s="108">
        <v>0.97</v>
      </c>
      <c r="Q55" s="108"/>
      <c r="R55" s="108"/>
      <c r="S55" s="76"/>
      <c r="U55" s="35">
        <f t="shared" si="3"/>
        <v>45012</v>
      </c>
      <c r="V55" s="1" cm="1">
        <f t="array" ref="V55">SUMIFS(calls_off_BAR,period_BAR,"&gt;="&amp;U55,period_BAR,"&lt;"&amp;U56)</f>
        <v>1905</v>
      </c>
      <c r="W55" s="116" cm="1">
        <f t="array" ref="W55">SUMIFS(calls_ans_BAR,period_BAR,"&gt;="&amp;U55,period_BAR,"&lt;"&amp;U56)</f>
        <v>1790</v>
      </c>
    </row>
    <row r="56" spans="1:23" x14ac:dyDescent="0.35">
      <c r="A56" s="29">
        <v>44706</v>
      </c>
      <c r="B56" s="36" t="s">
        <v>51</v>
      </c>
      <c r="C56" s="70" t="s">
        <v>60</v>
      </c>
      <c r="D56" s="34">
        <v>474</v>
      </c>
      <c r="E56" s="34">
        <v>441</v>
      </c>
      <c r="F56" s="71">
        <v>1.282051282051282E-2</v>
      </c>
      <c r="G56" s="71">
        <v>-1.5625E-2</v>
      </c>
      <c r="H56" s="34">
        <v>9697</v>
      </c>
      <c r="I56" s="34">
        <v>8966</v>
      </c>
      <c r="J56" s="34">
        <v>20987</v>
      </c>
      <c r="K56" s="34">
        <v>19127</v>
      </c>
      <c r="L56" s="77">
        <v>0.82</v>
      </c>
      <c r="M56" s="77">
        <v>7.0000000000000007E-2</v>
      </c>
      <c r="N56" s="77">
        <v>0.93</v>
      </c>
      <c r="O56" s="77">
        <v>0.76</v>
      </c>
      <c r="P56" s="107">
        <v>0.96</v>
      </c>
      <c r="Q56" s="107"/>
      <c r="R56" s="107"/>
      <c r="S56" s="76"/>
      <c r="U56" s="35">
        <f t="shared" si="3"/>
        <v>45019</v>
      </c>
      <c r="V56" s="1">
        <f>SUMIFS(calls_off_BAR,period_BAR,"&gt;="&amp;U56,period_BAR,"&lt;"&amp;U57)</f>
        <v>0</v>
      </c>
      <c r="W56" s="116">
        <f>SUMIFS(calls_ans_BAR,period_BAR,"&gt;="&amp;U56,period_BAR,"&lt;"&amp;U57)</f>
        <v>0</v>
      </c>
    </row>
    <row r="57" spans="1:23" x14ac:dyDescent="0.35">
      <c r="A57" s="29">
        <v>44707</v>
      </c>
      <c r="B57" s="38" t="s">
        <v>52</v>
      </c>
      <c r="C57" s="70" t="s">
        <v>60</v>
      </c>
      <c r="D57" s="1">
        <v>402</v>
      </c>
      <c r="E57" s="1">
        <v>386</v>
      </c>
      <c r="F57" s="72">
        <v>-0.14285714285714285</v>
      </c>
      <c r="G57" s="72">
        <v>-0.13839285714285715</v>
      </c>
      <c r="H57" s="1">
        <v>10099</v>
      </c>
      <c r="I57" s="1">
        <v>9352</v>
      </c>
      <c r="J57" s="1">
        <v>21389</v>
      </c>
      <c r="K57" s="1">
        <v>19513</v>
      </c>
      <c r="L57" s="76">
        <v>0.85</v>
      </c>
      <c r="M57" s="76">
        <v>0.04</v>
      </c>
      <c r="N57" s="76">
        <v>0.96</v>
      </c>
      <c r="O57" s="76">
        <v>0.78</v>
      </c>
      <c r="P57" s="108">
        <v>0.96</v>
      </c>
      <c r="Q57" s="108"/>
      <c r="R57" s="108"/>
      <c r="S57" s="76"/>
    </row>
    <row r="58" spans="1:23" x14ac:dyDescent="0.35">
      <c r="A58" s="29">
        <v>44708</v>
      </c>
      <c r="B58" s="36" t="s">
        <v>53</v>
      </c>
      <c r="C58" s="70" t="s">
        <v>60</v>
      </c>
      <c r="D58" s="34">
        <v>476</v>
      </c>
      <c r="E58" s="34">
        <v>458</v>
      </c>
      <c r="F58" s="71">
        <v>-0.10526315789473684</v>
      </c>
      <c r="G58" s="71">
        <v>-9.4861660079051377E-2</v>
      </c>
      <c r="H58" s="34">
        <v>10575</v>
      </c>
      <c r="I58" s="34">
        <v>9810</v>
      </c>
      <c r="J58" s="34">
        <v>21865</v>
      </c>
      <c r="K58" s="34">
        <v>19971</v>
      </c>
      <c r="L58" s="77">
        <v>0.88</v>
      </c>
      <c r="M58" s="77">
        <v>0.04</v>
      </c>
      <c r="N58" s="77">
        <v>0.96</v>
      </c>
      <c r="O58" s="77">
        <v>0.71</v>
      </c>
      <c r="P58" s="107">
        <v>0.97</v>
      </c>
      <c r="Q58" s="107"/>
      <c r="R58" s="107"/>
      <c r="S58" s="76"/>
    </row>
    <row r="59" spans="1:23" x14ac:dyDescent="0.35">
      <c r="A59" s="29">
        <v>44709</v>
      </c>
      <c r="B59" s="38" t="s">
        <v>54</v>
      </c>
      <c r="C59" s="70" t="s">
        <v>60</v>
      </c>
      <c r="D59" s="1">
        <v>259</v>
      </c>
      <c r="E59" s="1">
        <v>249</v>
      </c>
      <c r="F59" s="72">
        <v>-0.46926229508196721</v>
      </c>
      <c r="G59" s="72">
        <v>-0.44295302013422821</v>
      </c>
      <c r="H59" s="1">
        <v>10834</v>
      </c>
      <c r="I59" s="1">
        <v>10059</v>
      </c>
      <c r="J59" s="1">
        <v>22124</v>
      </c>
      <c r="K59" s="1">
        <v>20220</v>
      </c>
      <c r="L59" s="76">
        <v>0.91</v>
      </c>
      <c r="M59" s="76">
        <v>0.04</v>
      </c>
      <c r="N59" s="76">
        <v>0.96</v>
      </c>
      <c r="O59" s="76">
        <v>0.56999999999999995</v>
      </c>
      <c r="P59" s="108">
        <v>0.97</v>
      </c>
      <c r="Q59" s="108"/>
      <c r="R59" s="108"/>
      <c r="S59" s="76"/>
    </row>
    <row r="60" spans="1:23" x14ac:dyDescent="0.35">
      <c r="A60" s="29">
        <v>44710</v>
      </c>
      <c r="B60" s="36" t="s">
        <v>48</v>
      </c>
      <c r="C60" s="70" t="s">
        <v>60</v>
      </c>
      <c r="D60" s="34">
        <v>0</v>
      </c>
      <c r="E60" s="34">
        <v>0</v>
      </c>
      <c r="F60" s="71">
        <v>0</v>
      </c>
      <c r="G60" s="71">
        <v>0</v>
      </c>
      <c r="H60" s="34">
        <v>0</v>
      </c>
      <c r="I60" s="34">
        <v>0</v>
      </c>
      <c r="J60" s="34">
        <v>0</v>
      </c>
      <c r="K60" s="34">
        <v>0</v>
      </c>
      <c r="L60" s="77">
        <v>0</v>
      </c>
      <c r="M60" s="77">
        <v>0</v>
      </c>
      <c r="N60" s="77">
        <v>0</v>
      </c>
      <c r="O60" s="77">
        <v>0</v>
      </c>
      <c r="P60" s="107">
        <v>0</v>
      </c>
      <c r="Q60" s="107"/>
      <c r="R60" s="107"/>
      <c r="S60" s="76"/>
    </row>
    <row r="61" spans="1:23" x14ac:dyDescent="0.35">
      <c r="A61" s="29">
        <v>44711</v>
      </c>
      <c r="B61" s="38" t="s">
        <v>49</v>
      </c>
      <c r="C61" s="70" t="s">
        <v>60</v>
      </c>
      <c r="D61" s="1">
        <v>471</v>
      </c>
      <c r="E61" s="1">
        <v>466</v>
      </c>
      <c r="F61" s="72">
        <v>-3.4836065573770489E-2</v>
      </c>
      <c r="G61" s="72">
        <v>4.2505592841163314E-2</v>
      </c>
      <c r="H61" s="1">
        <v>11305</v>
      </c>
      <c r="I61" s="1">
        <v>10525</v>
      </c>
      <c r="J61" s="1">
        <v>22595</v>
      </c>
      <c r="K61" s="1">
        <v>20686</v>
      </c>
      <c r="L61" s="76">
        <v>0.97</v>
      </c>
      <c r="M61" s="76">
        <v>0.01</v>
      </c>
      <c r="N61" s="76">
        <v>0.99</v>
      </c>
      <c r="O61" s="76">
        <v>0.54</v>
      </c>
      <c r="P61" s="108">
        <v>0.96</v>
      </c>
      <c r="Q61" s="108"/>
      <c r="R61" s="108"/>
      <c r="S61" s="76"/>
    </row>
    <row r="62" spans="1:23" x14ac:dyDescent="0.35">
      <c r="A62" s="29">
        <v>44712</v>
      </c>
      <c r="B62" s="36" t="s">
        <v>50</v>
      </c>
      <c r="C62" s="70" t="s">
        <v>60</v>
      </c>
      <c r="D62" s="34">
        <v>428</v>
      </c>
      <c r="E62" s="34">
        <v>408</v>
      </c>
      <c r="F62" s="71">
        <v>-2.5056947608200455E-2</v>
      </c>
      <c r="G62" s="71">
        <v>-3.0878859857482184E-2</v>
      </c>
      <c r="H62" s="34">
        <v>11733</v>
      </c>
      <c r="I62" s="34">
        <v>10933</v>
      </c>
      <c r="J62" s="34">
        <v>23023</v>
      </c>
      <c r="K62" s="34">
        <v>21094</v>
      </c>
      <c r="L62" s="77">
        <v>0.85</v>
      </c>
      <c r="M62" s="77">
        <v>0.05</v>
      </c>
      <c r="N62" s="77">
        <v>0.95</v>
      </c>
      <c r="O62" s="77">
        <v>0.56000000000000005</v>
      </c>
      <c r="P62" s="107">
        <v>0.96</v>
      </c>
      <c r="Q62" s="107"/>
      <c r="R62" s="107"/>
      <c r="S62" s="76"/>
    </row>
    <row r="63" spans="1:23" x14ac:dyDescent="0.35">
      <c r="A63" s="29">
        <v>44713</v>
      </c>
      <c r="B63" s="38" t="s">
        <v>51</v>
      </c>
      <c r="C63" s="70" t="s">
        <v>60</v>
      </c>
      <c r="D63" s="1">
        <v>388</v>
      </c>
      <c r="E63" s="1">
        <v>365</v>
      </c>
      <c r="F63" s="72">
        <v>-0.18143459915611815</v>
      </c>
      <c r="G63" s="72">
        <v>-0.17233560090702948</v>
      </c>
      <c r="H63" s="1">
        <v>388</v>
      </c>
      <c r="I63" s="1">
        <v>365</v>
      </c>
      <c r="J63" s="1">
        <v>23411</v>
      </c>
      <c r="K63" s="1">
        <v>21459</v>
      </c>
      <c r="L63" s="76">
        <v>0.76</v>
      </c>
      <c r="M63" s="76">
        <v>0.06</v>
      </c>
      <c r="N63" s="76">
        <v>0.94</v>
      </c>
      <c r="O63" s="76">
        <v>0.63</v>
      </c>
      <c r="P63" s="108">
        <v>0.97</v>
      </c>
      <c r="Q63" s="108"/>
      <c r="R63" s="108"/>
      <c r="S63" s="76"/>
    </row>
    <row r="64" spans="1:23" x14ac:dyDescent="0.35">
      <c r="A64" s="29">
        <v>44714</v>
      </c>
      <c r="B64" s="36" t="s">
        <v>52</v>
      </c>
      <c r="C64" s="70" t="s">
        <v>60</v>
      </c>
      <c r="D64" s="34">
        <v>363</v>
      </c>
      <c r="E64" s="34">
        <v>349</v>
      </c>
      <c r="F64" s="71">
        <v>-9.7014925373134331E-2</v>
      </c>
      <c r="G64" s="71">
        <v>-9.585492227979274E-2</v>
      </c>
      <c r="H64" s="34">
        <v>751</v>
      </c>
      <c r="I64" s="34">
        <v>714</v>
      </c>
      <c r="J64" s="34">
        <v>23774</v>
      </c>
      <c r="K64" s="34">
        <v>21808</v>
      </c>
      <c r="L64" s="77">
        <v>0.86</v>
      </c>
      <c r="M64" s="77">
        <v>0.04</v>
      </c>
      <c r="N64" s="77">
        <v>0.96</v>
      </c>
      <c r="O64" s="77">
        <v>0.6</v>
      </c>
      <c r="P64" s="107">
        <v>0.98</v>
      </c>
      <c r="Q64" s="107"/>
      <c r="R64" s="107"/>
      <c r="S64" s="76"/>
    </row>
    <row r="65" spans="1:19" x14ac:dyDescent="0.35">
      <c r="A65" s="29">
        <v>44715</v>
      </c>
      <c r="B65" s="38" t="s">
        <v>53</v>
      </c>
      <c r="C65" s="70" t="s">
        <v>60</v>
      </c>
      <c r="D65" s="1">
        <v>430</v>
      </c>
      <c r="E65" s="1">
        <v>418</v>
      </c>
      <c r="F65" s="72">
        <v>-9.6638655462184878E-2</v>
      </c>
      <c r="G65" s="72">
        <v>-8.7336244541484712E-2</v>
      </c>
      <c r="H65" s="1">
        <v>1181</v>
      </c>
      <c r="I65" s="1">
        <v>1132</v>
      </c>
      <c r="J65" s="1">
        <v>24204</v>
      </c>
      <c r="K65" s="1">
        <v>22226</v>
      </c>
      <c r="L65" s="76">
        <v>0.89</v>
      </c>
      <c r="M65" s="76">
        <v>0.03</v>
      </c>
      <c r="N65" s="76">
        <v>0.97</v>
      </c>
      <c r="O65" s="76">
        <v>0.72</v>
      </c>
      <c r="P65" s="108">
        <v>0.97</v>
      </c>
      <c r="Q65" s="108"/>
      <c r="R65" s="108"/>
      <c r="S65" s="76"/>
    </row>
    <row r="66" spans="1:19" x14ac:dyDescent="0.35">
      <c r="A66" s="29">
        <v>44716</v>
      </c>
      <c r="B66" s="36" t="s">
        <v>54</v>
      </c>
      <c r="C66" s="70" t="s">
        <v>60</v>
      </c>
      <c r="D66" s="34">
        <v>204</v>
      </c>
      <c r="E66" s="34">
        <v>196</v>
      </c>
      <c r="F66" s="71">
        <v>-0.21235521235521235</v>
      </c>
      <c r="G66" s="71">
        <v>-0.21285140562248997</v>
      </c>
      <c r="H66" s="34">
        <v>1385</v>
      </c>
      <c r="I66" s="34">
        <v>1328</v>
      </c>
      <c r="J66" s="34">
        <v>24408</v>
      </c>
      <c r="K66" s="34">
        <v>22422</v>
      </c>
      <c r="L66" s="77">
        <v>0.84</v>
      </c>
      <c r="M66" s="77">
        <v>0.04</v>
      </c>
      <c r="N66" s="77">
        <v>0.96</v>
      </c>
      <c r="O66" s="77">
        <v>0.68</v>
      </c>
      <c r="P66" s="107">
        <v>0.97</v>
      </c>
      <c r="Q66" s="107"/>
      <c r="R66" s="107"/>
      <c r="S66" s="76"/>
    </row>
    <row r="67" spans="1:19" x14ac:dyDescent="0.35">
      <c r="A67" s="29">
        <v>44717</v>
      </c>
      <c r="B67" s="38" t="s">
        <v>48</v>
      </c>
      <c r="C67" s="70" t="s">
        <v>60</v>
      </c>
      <c r="D67" s="1">
        <v>0</v>
      </c>
      <c r="E67" s="1">
        <v>0</v>
      </c>
      <c r="F67" s="72">
        <v>0</v>
      </c>
      <c r="G67" s="72">
        <v>0</v>
      </c>
      <c r="H67" s="1">
        <v>0</v>
      </c>
      <c r="I67" s="1">
        <v>0</v>
      </c>
      <c r="J67" s="1">
        <v>0</v>
      </c>
      <c r="K67" s="1">
        <v>0</v>
      </c>
      <c r="L67" s="76">
        <v>0</v>
      </c>
      <c r="M67" s="76">
        <v>0</v>
      </c>
      <c r="N67" s="76">
        <v>0</v>
      </c>
      <c r="O67" s="76">
        <v>0</v>
      </c>
      <c r="P67" s="108">
        <v>0</v>
      </c>
      <c r="Q67" s="108"/>
      <c r="R67" s="108"/>
      <c r="S67" s="76"/>
    </row>
    <row r="68" spans="1:19" x14ac:dyDescent="0.35">
      <c r="A68" s="29">
        <v>44718</v>
      </c>
      <c r="B68" s="36" t="s">
        <v>49</v>
      </c>
      <c r="C68" s="70" t="s">
        <v>60</v>
      </c>
      <c r="D68" s="34">
        <v>0</v>
      </c>
      <c r="E68" s="34">
        <v>0</v>
      </c>
      <c r="F68" s="71">
        <v>0</v>
      </c>
      <c r="G68" s="71">
        <v>0</v>
      </c>
      <c r="H68" s="34">
        <v>0</v>
      </c>
      <c r="I68" s="34">
        <v>0</v>
      </c>
      <c r="J68" s="34">
        <v>0</v>
      </c>
      <c r="K68" s="34">
        <v>0</v>
      </c>
      <c r="L68" s="77">
        <v>0</v>
      </c>
      <c r="M68" s="77">
        <v>0</v>
      </c>
      <c r="N68" s="77">
        <v>0</v>
      </c>
      <c r="O68" s="77">
        <v>0</v>
      </c>
      <c r="P68" s="107">
        <v>0</v>
      </c>
      <c r="Q68" s="107"/>
      <c r="R68" s="107"/>
      <c r="S68" s="76"/>
    </row>
    <row r="69" spans="1:19" x14ac:dyDescent="0.35">
      <c r="A69" s="29">
        <v>44719</v>
      </c>
      <c r="B69" s="38" t="s">
        <v>50</v>
      </c>
      <c r="C69" s="70" t="s">
        <v>60</v>
      </c>
      <c r="D69" s="1">
        <v>556</v>
      </c>
      <c r="E69" s="1">
        <v>532</v>
      </c>
      <c r="F69" s="72">
        <v>0.29906542056074764</v>
      </c>
      <c r="G69" s="72">
        <v>0.30392156862745096</v>
      </c>
      <c r="H69" s="1">
        <v>1941</v>
      </c>
      <c r="I69" s="1">
        <v>1860</v>
      </c>
      <c r="J69" s="1">
        <v>24964</v>
      </c>
      <c r="K69" s="1">
        <v>22954</v>
      </c>
      <c r="L69" s="76">
        <v>0.89</v>
      </c>
      <c r="M69" s="76">
        <v>0.04</v>
      </c>
      <c r="N69" s="76">
        <v>0.96</v>
      </c>
      <c r="O69" s="76">
        <v>0.73</v>
      </c>
      <c r="P69" s="108">
        <v>0.98</v>
      </c>
      <c r="Q69" s="108"/>
      <c r="R69" s="108"/>
      <c r="S69" s="76"/>
    </row>
    <row r="70" spans="1:19" x14ac:dyDescent="0.35">
      <c r="A70" s="29">
        <v>44720</v>
      </c>
      <c r="B70" s="36" t="s">
        <v>51</v>
      </c>
      <c r="C70" s="70" t="s">
        <v>60</v>
      </c>
      <c r="D70" s="34">
        <v>508</v>
      </c>
      <c r="E70" s="34">
        <v>494</v>
      </c>
      <c r="F70" s="71">
        <v>0.30927835051546393</v>
      </c>
      <c r="G70" s="71">
        <v>0.35342465753424657</v>
      </c>
      <c r="H70" s="34">
        <v>2449</v>
      </c>
      <c r="I70" s="34">
        <v>2354</v>
      </c>
      <c r="J70" s="34">
        <v>25472</v>
      </c>
      <c r="K70" s="34">
        <v>23448</v>
      </c>
      <c r="L70" s="77">
        <v>0.93</v>
      </c>
      <c r="M70" s="77">
        <v>0.03</v>
      </c>
      <c r="N70" s="77">
        <v>0.97</v>
      </c>
      <c r="O70" s="77">
        <v>0.68</v>
      </c>
      <c r="P70" s="107">
        <v>0.96</v>
      </c>
      <c r="Q70" s="107"/>
      <c r="R70" s="107"/>
      <c r="S70" s="76"/>
    </row>
    <row r="71" spans="1:19" x14ac:dyDescent="0.35">
      <c r="A71" s="29">
        <v>44721</v>
      </c>
      <c r="B71" s="38" t="s">
        <v>52</v>
      </c>
      <c r="C71" s="70" t="s">
        <v>60</v>
      </c>
      <c r="D71" s="1">
        <v>559</v>
      </c>
      <c r="E71" s="1">
        <v>538</v>
      </c>
      <c r="F71" s="72">
        <v>0.53994490358126723</v>
      </c>
      <c r="G71" s="72">
        <v>0.54154727793696278</v>
      </c>
      <c r="H71" s="1">
        <v>3008</v>
      </c>
      <c r="I71" s="1">
        <v>2892</v>
      </c>
      <c r="J71" s="1">
        <v>26031</v>
      </c>
      <c r="K71" s="1">
        <v>23986</v>
      </c>
      <c r="L71" s="76">
        <v>0.88</v>
      </c>
      <c r="M71" s="76">
        <v>0.04</v>
      </c>
      <c r="N71" s="76">
        <v>0.96</v>
      </c>
      <c r="O71" s="76">
        <v>0.74</v>
      </c>
      <c r="P71" s="108">
        <v>0.97</v>
      </c>
      <c r="Q71" s="108"/>
      <c r="R71" s="108"/>
      <c r="S71" s="76"/>
    </row>
    <row r="72" spans="1:19" x14ac:dyDescent="0.35">
      <c r="A72" s="29">
        <v>44722</v>
      </c>
      <c r="B72" s="36" t="s">
        <v>53</v>
      </c>
      <c r="C72" s="70" t="s">
        <v>60</v>
      </c>
      <c r="D72" s="34">
        <v>414</v>
      </c>
      <c r="E72" s="34">
        <v>400</v>
      </c>
      <c r="F72" s="71">
        <v>-3.7209302325581395E-2</v>
      </c>
      <c r="G72" s="71">
        <v>-4.3062200956937802E-2</v>
      </c>
      <c r="H72" s="34">
        <v>3422</v>
      </c>
      <c r="I72" s="34">
        <v>3292</v>
      </c>
      <c r="J72" s="34">
        <v>26445</v>
      </c>
      <c r="K72" s="34">
        <v>24386</v>
      </c>
      <c r="L72" s="77">
        <v>0.91</v>
      </c>
      <c r="M72" s="77">
        <v>0.03</v>
      </c>
      <c r="N72" s="77">
        <v>0.97</v>
      </c>
      <c r="O72" s="77">
        <v>0.55000000000000004</v>
      </c>
      <c r="P72" s="107">
        <v>0.97</v>
      </c>
      <c r="Q72" s="107"/>
      <c r="R72" s="107"/>
      <c r="S72" s="76"/>
    </row>
    <row r="73" spans="1:19" x14ac:dyDescent="0.35">
      <c r="A73" s="29">
        <v>44723</v>
      </c>
      <c r="B73" s="38" t="s">
        <v>54</v>
      </c>
      <c r="C73" s="70" t="s">
        <v>60</v>
      </c>
      <c r="D73" s="1">
        <v>248</v>
      </c>
      <c r="E73" s="1">
        <v>216</v>
      </c>
      <c r="F73" s="72">
        <v>0.21568627450980393</v>
      </c>
      <c r="G73" s="72">
        <v>0.10204081632653061</v>
      </c>
      <c r="H73" s="1">
        <v>3670</v>
      </c>
      <c r="I73" s="1">
        <v>3508</v>
      </c>
      <c r="J73" s="1">
        <v>26693</v>
      </c>
      <c r="K73" s="1">
        <v>24602</v>
      </c>
      <c r="L73" s="76">
        <v>0.66</v>
      </c>
      <c r="M73" s="76">
        <v>0.13</v>
      </c>
      <c r="N73" s="76">
        <v>0.67</v>
      </c>
      <c r="O73" s="76">
        <v>0.74</v>
      </c>
      <c r="P73" s="108">
        <v>0.97</v>
      </c>
      <c r="Q73" s="108"/>
      <c r="R73" s="108"/>
      <c r="S73" s="76"/>
    </row>
    <row r="74" spans="1:19" x14ac:dyDescent="0.35">
      <c r="A74" s="29">
        <v>44724</v>
      </c>
      <c r="B74" s="36" t="s">
        <v>48</v>
      </c>
      <c r="C74" s="70" t="s">
        <v>60</v>
      </c>
      <c r="D74" s="34">
        <v>0</v>
      </c>
      <c r="E74" s="34">
        <v>0</v>
      </c>
      <c r="F74" s="71">
        <v>0</v>
      </c>
      <c r="G74" s="71">
        <v>0</v>
      </c>
      <c r="H74" s="34">
        <v>0</v>
      </c>
      <c r="I74" s="34">
        <v>0</v>
      </c>
      <c r="J74" s="34">
        <v>0</v>
      </c>
      <c r="K74" s="34">
        <v>0</v>
      </c>
      <c r="L74" s="77">
        <v>0</v>
      </c>
      <c r="M74" s="77">
        <v>0</v>
      </c>
      <c r="N74" s="77">
        <v>0</v>
      </c>
      <c r="O74" s="77">
        <v>0</v>
      </c>
      <c r="P74" s="107">
        <v>0</v>
      </c>
      <c r="Q74" s="107"/>
      <c r="R74" s="107"/>
      <c r="S74" s="76"/>
    </row>
    <row r="75" spans="1:19" x14ac:dyDescent="0.35">
      <c r="A75" s="29">
        <v>44725</v>
      </c>
      <c r="B75" s="38" t="s">
        <v>49</v>
      </c>
      <c r="C75" s="70" t="s">
        <v>60</v>
      </c>
      <c r="D75" s="1">
        <v>386</v>
      </c>
      <c r="E75" s="1">
        <v>371</v>
      </c>
      <c r="F75" s="72">
        <v>0</v>
      </c>
      <c r="G75" s="72">
        <v>0</v>
      </c>
      <c r="H75" s="1">
        <v>4056</v>
      </c>
      <c r="I75" s="1">
        <v>3879</v>
      </c>
      <c r="J75" s="1">
        <v>27079</v>
      </c>
      <c r="K75" s="1">
        <v>24973</v>
      </c>
      <c r="L75" s="76">
        <v>0.92</v>
      </c>
      <c r="M75" s="76">
        <v>0.04</v>
      </c>
      <c r="N75" s="76">
        <v>0.96</v>
      </c>
      <c r="O75" s="76">
        <v>0.56000000000000005</v>
      </c>
      <c r="P75" s="108">
        <v>0.96</v>
      </c>
      <c r="Q75" s="108"/>
      <c r="R75" s="108"/>
      <c r="S75" s="76"/>
    </row>
    <row r="76" spans="1:19" x14ac:dyDescent="0.35">
      <c r="A76" s="29">
        <v>44726</v>
      </c>
      <c r="B76" s="36" t="s">
        <v>50</v>
      </c>
      <c r="C76" s="70" t="s">
        <v>60</v>
      </c>
      <c r="D76" s="34">
        <v>403</v>
      </c>
      <c r="E76" s="34">
        <v>383</v>
      </c>
      <c r="F76" s="71">
        <v>-0.27517985611510792</v>
      </c>
      <c r="G76" s="71">
        <v>-0.28007518796992481</v>
      </c>
      <c r="H76" s="34">
        <v>4459</v>
      </c>
      <c r="I76" s="34">
        <v>4262</v>
      </c>
      <c r="J76" s="34">
        <v>27482</v>
      </c>
      <c r="K76" s="34">
        <v>25356</v>
      </c>
      <c r="L76" s="77">
        <v>0.87</v>
      </c>
      <c r="M76" s="77">
        <v>0.05</v>
      </c>
      <c r="N76" s="77">
        <v>0.95</v>
      </c>
      <c r="O76" s="77">
        <v>0.66</v>
      </c>
      <c r="P76" s="107">
        <v>0.96</v>
      </c>
      <c r="Q76" s="107"/>
      <c r="R76" s="107"/>
      <c r="S76" s="76"/>
    </row>
    <row r="77" spans="1:19" x14ac:dyDescent="0.35">
      <c r="A77" s="29">
        <v>44727</v>
      </c>
      <c r="B77" s="38" t="s">
        <v>51</v>
      </c>
      <c r="C77" s="70" t="s">
        <v>60</v>
      </c>
      <c r="D77" s="1">
        <v>372</v>
      </c>
      <c r="E77" s="1">
        <v>364</v>
      </c>
      <c r="F77" s="72">
        <v>-0.26771653543307089</v>
      </c>
      <c r="G77" s="72">
        <v>-0.26315789473684209</v>
      </c>
      <c r="H77" s="1">
        <v>4831</v>
      </c>
      <c r="I77" s="1">
        <v>4626</v>
      </c>
      <c r="J77" s="1">
        <v>27854</v>
      </c>
      <c r="K77" s="1">
        <v>25720</v>
      </c>
      <c r="L77" s="76">
        <v>0.93</v>
      </c>
      <c r="M77" s="76">
        <v>0.02</v>
      </c>
      <c r="N77" s="76">
        <v>0.98</v>
      </c>
      <c r="O77" s="76">
        <v>0.5</v>
      </c>
      <c r="P77" s="108">
        <v>0.96</v>
      </c>
      <c r="Q77" s="108"/>
      <c r="R77" s="108"/>
      <c r="S77" s="76"/>
    </row>
    <row r="78" spans="1:19" x14ac:dyDescent="0.35">
      <c r="A78" s="29">
        <v>44728</v>
      </c>
      <c r="B78" s="36" t="s">
        <v>52</v>
      </c>
      <c r="C78" s="70" t="s">
        <v>60</v>
      </c>
      <c r="D78" s="34">
        <v>396</v>
      </c>
      <c r="E78" s="34">
        <v>384</v>
      </c>
      <c r="F78" s="71">
        <v>-0.29159212880143115</v>
      </c>
      <c r="G78" s="71">
        <v>-0.28624535315985128</v>
      </c>
      <c r="H78" s="34">
        <v>5227</v>
      </c>
      <c r="I78" s="34">
        <v>5010</v>
      </c>
      <c r="J78" s="34">
        <v>28250</v>
      </c>
      <c r="K78" s="34">
        <v>26104</v>
      </c>
      <c r="L78" s="77">
        <v>0.92</v>
      </c>
      <c r="M78" s="77">
        <v>0.03</v>
      </c>
      <c r="N78" s="77">
        <v>0.97</v>
      </c>
      <c r="O78" s="77">
        <v>0.66</v>
      </c>
      <c r="P78" s="107">
        <v>0.96</v>
      </c>
      <c r="Q78" s="107"/>
      <c r="R78" s="107"/>
      <c r="S78" s="76"/>
    </row>
    <row r="79" spans="1:19" x14ac:dyDescent="0.35">
      <c r="A79" s="29">
        <v>44729</v>
      </c>
      <c r="B79" s="38" t="s">
        <v>53</v>
      </c>
      <c r="C79" s="70" t="s">
        <v>60</v>
      </c>
      <c r="D79" s="1">
        <v>369</v>
      </c>
      <c r="E79" s="1">
        <v>354</v>
      </c>
      <c r="F79" s="72">
        <v>-0.10869565217391304</v>
      </c>
      <c r="G79" s="72">
        <v>-0.115</v>
      </c>
      <c r="H79" s="1">
        <v>5596</v>
      </c>
      <c r="I79" s="1">
        <v>5364</v>
      </c>
      <c r="J79" s="1">
        <v>28619</v>
      </c>
      <c r="K79" s="1">
        <v>26458</v>
      </c>
      <c r="L79" s="76">
        <v>0.86</v>
      </c>
      <c r="M79" s="76">
        <v>0.04</v>
      </c>
      <c r="N79" s="76">
        <v>0.96</v>
      </c>
      <c r="O79" s="76">
        <v>0.61</v>
      </c>
      <c r="P79" s="108">
        <v>0.97</v>
      </c>
      <c r="Q79" s="108"/>
      <c r="R79" s="108"/>
      <c r="S79" s="76"/>
    </row>
    <row r="80" spans="1:19" x14ac:dyDescent="0.35">
      <c r="A80" s="29">
        <v>44730</v>
      </c>
      <c r="B80" s="36" t="s">
        <v>54</v>
      </c>
      <c r="C80" s="70" t="s">
        <v>60</v>
      </c>
      <c r="D80" s="34">
        <v>234</v>
      </c>
      <c r="E80" s="34">
        <v>219</v>
      </c>
      <c r="F80" s="71">
        <v>-5.6451612903225805E-2</v>
      </c>
      <c r="G80" s="71">
        <v>1.3888888888888888E-2</v>
      </c>
      <c r="H80" s="34">
        <v>5830</v>
      </c>
      <c r="I80" s="34">
        <v>5583</v>
      </c>
      <c r="J80" s="34">
        <v>28853</v>
      </c>
      <c r="K80" s="34">
        <v>26677</v>
      </c>
      <c r="L80" s="77">
        <v>0.81</v>
      </c>
      <c r="M80" s="77">
        <v>0.06</v>
      </c>
      <c r="N80" s="77">
        <v>0.94</v>
      </c>
      <c r="O80" s="77">
        <v>0.5</v>
      </c>
      <c r="P80" s="107">
        <v>0.97</v>
      </c>
      <c r="Q80" s="107"/>
      <c r="R80" s="107"/>
      <c r="S80" s="76"/>
    </row>
    <row r="81" spans="1:19" x14ac:dyDescent="0.35">
      <c r="A81" s="29">
        <v>44731</v>
      </c>
      <c r="B81" s="38" t="s">
        <v>48</v>
      </c>
      <c r="C81" s="70" t="s">
        <v>60</v>
      </c>
      <c r="D81" s="1">
        <v>0</v>
      </c>
      <c r="E81" s="1">
        <v>0</v>
      </c>
      <c r="F81" s="72">
        <v>0</v>
      </c>
      <c r="G81" s="72">
        <v>0</v>
      </c>
      <c r="H81" s="1">
        <v>0</v>
      </c>
      <c r="I81" s="1">
        <v>0</v>
      </c>
      <c r="J81" s="1">
        <v>0</v>
      </c>
      <c r="K81" s="1">
        <v>0</v>
      </c>
      <c r="L81" s="76">
        <v>0</v>
      </c>
      <c r="M81" s="76">
        <v>0</v>
      </c>
      <c r="N81" s="76">
        <v>0</v>
      </c>
      <c r="O81" s="76">
        <v>0</v>
      </c>
      <c r="P81" s="108">
        <v>0</v>
      </c>
      <c r="Q81" s="108"/>
      <c r="R81" s="108"/>
      <c r="S81" s="76"/>
    </row>
    <row r="82" spans="1:19" x14ac:dyDescent="0.35">
      <c r="A82" s="29">
        <v>44732</v>
      </c>
      <c r="B82" s="36" t="s">
        <v>49</v>
      </c>
      <c r="C82" s="70" t="s">
        <v>60</v>
      </c>
      <c r="D82" s="34">
        <v>499</v>
      </c>
      <c r="E82" s="34">
        <v>489</v>
      </c>
      <c r="F82" s="71">
        <v>0.29274611398963729</v>
      </c>
      <c r="G82" s="71">
        <v>0.31805929919137466</v>
      </c>
      <c r="H82" s="34">
        <v>6329</v>
      </c>
      <c r="I82" s="34">
        <v>6072</v>
      </c>
      <c r="J82" s="34">
        <v>29352</v>
      </c>
      <c r="K82" s="34">
        <v>27166</v>
      </c>
      <c r="L82" s="77">
        <v>0.92</v>
      </c>
      <c r="M82" s="77">
        <v>0.02</v>
      </c>
      <c r="N82" s="77">
        <v>0.98</v>
      </c>
      <c r="O82" s="77">
        <v>0.56000000000000005</v>
      </c>
      <c r="P82" s="107">
        <v>0.99</v>
      </c>
      <c r="Q82" s="107"/>
      <c r="R82" s="107"/>
      <c r="S82" s="76"/>
    </row>
    <row r="83" spans="1:19" x14ac:dyDescent="0.35">
      <c r="A83" s="29">
        <v>44733</v>
      </c>
      <c r="B83" s="38" t="s">
        <v>50</v>
      </c>
      <c r="C83" s="70" t="s">
        <v>60</v>
      </c>
      <c r="D83" s="1">
        <v>577</v>
      </c>
      <c r="E83" s="1">
        <v>508</v>
      </c>
      <c r="F83" s="72">
        <v>0.4317617866004963</v>
      </c>
      <c r="G83" s="72">
        <v>0.32637075718015668</v>
      </c>
      <c r="H83" s="1">
        <v>6906</v>
      </c>
      <c r="I83" s="1">
        <v>6580</v>
      </c>
      <c r="J83" s="1">
        <v>29929</v>
      </c>
      <c r="K83" s="1">
        <v>27674</v>
      </c>
      <c r="L83" s="76">
        <v>0.66</v>
      </c>
      <c r="M83" s="76">
        <v>0.12</v>
      </c>
      <c r="N83" s="76">
        <v>0.88</v>
      </c>
      <c r="O83" s="76">
        <v>0.66</v>
      </c>
      <c r="P83" s="108">
        <v>0.97</v>
      </c>
      <c r="Q83" s="108"/>
      <c r="R83" s="108"/>
      <c r="S83" s="76"/>
    </row>
    <row r="84" spans="1:19" x14ac:dyDescent="0.35">
      <c r="A84" s="29">
        <v>44734</v>
      </c>
      <c r="B84" s="36" t="s">
        <v>51</v>
      </c>
      <c r="C84" s="70" t="s">
        <v>60</v>
      </c>
      <c r="D84" s="34">
        <v>510</v>
      </c>
      <c r="E84" s="34">
        <v>486</v>
      </c>
      <c r="F84" s="71">
        <v>0.37096774193548387</v>
      </c>
      <c r="G84" s="71">
        <v>0.33516483516483514</v>
      </c>
      <c r="H84" s="34">
        <v>7416</v>
      </c>
      <c r="I84" s="34">
        <v>7066</v>
      </c>
      <c r="J84" s="34">
        <v>30439</v>
      </c>
      <c r="K84" s="34">
        <v>28160</v>
      </c>
      <c r="L84" s="77">
        <v>0.88</v>
      </c>
      <c r="M84" s="77">
        <v>0.05</v>
      </c>
      <c r="N84" s="77">
        <v>0.95</v>
      </c>
      <c r="O84" s="77">
        <v>0.84</v>
      </c>
      <c r="P84" s="107">
        <v>0.98</v>
      </c>
      <c r="Q84" s="107"/>
      <c r="R84" s="107"/>
      <c r="S84" s="76"/>
    </row>
    <row r="85" spans="1:19" x14ac:dyDescent="0.35">
      <c r="A85" s="29">
        <v>44735</v>
      </c>
      <c r="B85" s="38" t="s">
        <v>52</v>
      </c>
      <c r="C85" s="70" t="s">
        <v>60</v>
      </c>
      <c r="D85" s="1">
        <v>577</v>
      </c>
      <c r="E85" s="1">
        <v>489</v>
      </c>
      <c r="F85" s="72">
        <v>0.45707070707070707</v>
      </c>
      <c r="G85" s="72">
        <v>0.2734375</v>
      </c>
      <c r="H85" s="1">
        <v>7993</v>
      </c>
      <c r="I85" s="1">
        <v>7555</v>
      </c>
      <c r="J85" s="1">
        <v>31016</v>
      </c>
      <c r="K85" s="1">
        <v>28649</v>
      </c>
      <c r="L85" s="76">
        <v>0.63</v>
      </c>
      <c r="M85" s="76">
        <v>0.15</v>
      </c>
      <c r="N85" s="76">
        <v>0.85</v>
      </c>
      <c r="O85" s="76">
        <v>0.67</v>
      </c>
      <c r="P85" s="108">
        <v>0.96</v>
      </c>
      <c r="Q85" s="108"/>
      <c r="R85" s="108"/>
      <c r="S85" s="76"/>
    </row>
    <row r="86" spans="1:19" x14ac:dyDescent="0.35">
      <c r="A86" s="29">
        <v>44736</v>
      </c>
      <c r="B86" s="36" t="s">
        <v>53</v>
      </c>
      <c r="C86" s="70" t="s">
        <v>60</v>
      </c>
      <c r="D86" s="34">
        <v>565</v>
      </c>
      <c r="E86" s="34">
        <v>510</v>
      </c>
      <c r="F86" s="71">
        <v>0.53116531165311653</v>
      </c>
      <c r="G86" s="71">
        <v>0.44067796610169491</v>
      </c>
      <c r="H86" s="34">
        <v>8558</v>
      </c>
      <c r="I86" s="34">
        <v>8065</v>
      </c>
      <c r="J86" s="34">
        <v>31581</v>
      </c>
      <c r="K86" s="34">
        <v>29159</v>
      </c>
      <c r="L86" s="77">
        <v>0.73</v>
      </c>
      <c r="M86" s="77">
        <v>0.1</v>
      </c>
      <c r="N86" s="77">
        <v>0.9</v>
      </c>
      <c r="O86" s="77">
        <v>0.88</v>
      </c>
      <c r="P86" s="107">
        <v>0.96</v>
      </c>
      <c r="Q86" s="107"/>
      <c r="R86" s="107"/>
      <c r="S86" s="76"/>
    </row>
    <row r="87" spans="1:19" x14ac:dyDescent="0.35">
      <c r="A87" s="29">
        <v>44737</v>
      </c>
      <c r="B87" s="38" t="s">
        <v>54</v>
      </c>
      <c r="C87" s="70" t="s">
        <v>60</v>
      </c>
      <c r="D87" s="1">
        <v>293</v>
      </c>
      <c r="E87" s="1">
        <v>266</v>
      </c>
      <c r="F87" s="72">
        <v>0.25213675213675213</v>
      </c>
      <c r="G87" s="72">
        <v>0.21461187214611871</v>
      </c>
      <c r="H87" s="1">
        <v>8851</v>
      </c>
      <c r="I87" s="1">
        <v>8331</v>
      </c>
      <c r="J87" s="1">
        <v>31874</v>
      </c>
      <c r="K87" s="1">
        <v>29425</v>
      </c>
      <c r="L87" s="76">
        <v>0.78</v>
      </c>
      <c r="M87" s="76">
        <v>0.09</v>
      </c>
      <c r="N87" s="76">
        <v>0.91</v>
      </c>
      <c r="O87" s="76">
        <v>0.81</v>
      </c>
      <c r="P87" s="108">
        <v>0.98</v>
      </c>
      <c r="Q87" s="108"/>
      <c r="R87" s="108"/>
      <c r="S87" s="76"/>
    </row>
    <row r="88" spans="1:19" x14ac:dyDescent="0.35">
      <c r="A88" s="29">
        <v>44738</v>
      </c>
      <c r="B88" s="36" t="s">
        <v>48</v>
      </c>
      <c r="C88" s="70" t="s">
        <v>60</v>
      </c>
      <c r="D88" s="34">
        <v>0</v>
      </c>
      <c r="E88" s="34">
        <v>0</v>
      </c>
      <c r="F88" s="71">
        <v>0</v>
      </c>
      <c r="G88" s="71">
        <v>0</v>
      </c>
      <c r="H88" s="34">
        <v>0</v>
      </c>
      <c r="I88" s="34">
        <v>0</v>
      </c>
      <c r="J88" s="34">
        <v>0</v>
      </c>
      <c r="K88" s="34">
        <v>0</v>
      </c>
      <c r="L88" s="77">
        <v>0</v>
      </c>
      <c r="M88" s="77">
        <v>0</v>
      </c>
      <c r="N88" s="77">
        <v>0</v>
      </c>
      <c r="O88" s="77">
        <v>0</v>
      </c>
      <c r="P88" s="107">
        <v>0</v>
      </c>
      <c r="Q88" s="107"/>
      <c r="R88" s="107"/>
      <c r="S88" s="76"/>
    </row>
    <row r="89" spans="1:19" x14ac:dyDescent="0.35">
      <c r="A89" s="29">
        <v>44739</v>
      </c>
      <c r="B89" s="38" t="s">
        <v>49</v>
      </c>
      <c r="C89" s="70" t="s">
        <v>60</v>
      </c>
      <c r="D89" s="1">
        <v>522</v>
      </c>
      <c r="E89" s="1">
        <v>505</v>
      </c>
      <c r="F89" s="72">
        <v>-9.5320623916811092E-2</v>
      </c>
      <c r="G89" s="72">
        <v>-5.905511811023622E-3</v>
      </c>
      <c r="H89" s="1">
        <f>H87+Table3[[#This Row],[Calls Off]]</f>
        <v>9373</v>
      </c>
      <c r="I89" s="1">
        <f>I87+Table3[[#This Row],[Calls Ans]]</f>
        <v>8836</v>
      </c>
      <c r="J89" s="1">
        <v>32396</v>
      </c>
      <c r="K89" s="1">
        <v>29930</v>
      </c>
      <c r="L89" s="76">
        <v>0.86</v>
      </c>
      <c r="M89" s="76">
        <v>0.03</v>
      </c>
      <c r="N89" s="76">
        <v>0.97</v>
      </c>
      <c r="O89" s="76">
        <v>0.7</v>
      </c>
      <c r="P89" s="108">
        <v>0.96</v>
      </c>
      <c r="Q89" s="108"/>
      <c r="R89" s="108"/>
      <c r="S89" s="76"/>
    </row>
    <row r="90" spans="1:19" x14ac:dyDescent="0.35">
      <c r="A90" s="29">
        <v>44740</v>
      </c>
      <c r="B90" s="36" t="s">
        <v>50</v>
      </c>
      <c r="C90" s="70" t="s">
        <v>60</v>
      </c>
      <c r="D90" s="34">
        <v>503</v>
      </c>
      <c r="E90" s="34">
        <v>436</v>
      </c>
      <c r="F90" s="71">
        <v>-1.3725490196078431E-2</v>
      </c>
      <c r="G90" s="71">
        <v>-0.102880658436214</v>
      </c>
      <c r="H90" s="34">
        <f>H89+Table3[[#This Row],[Calls Off]]</f>
        <v>9876</v>
      </c>
      <c r="I90" s="34">
        <f>I89+Table3[[#This Row],[Calls Ans]]</f>
        <v>9272</v>
      </c>
      <c r="J90" s="34">
        <v>32899</v>
      </c>
      <c r="K90" s="34">
        <v>30366</v>
      </c>
      <c r="L90" s="77">
        <v>0.68</v>
      </c>
      <c r="M90" s="77">
        <v>0.13</v>
      </c>
      <c r="N90" s="77">
        <v>0.87</v>
      </c>
      <c r="O90" s="77">
        <v>0.75</v>
      </c>
      <c r="P90" s="107">
        <v>0.97</v>
      </c>
      <c r="Q90" s="107"/>
      <c r="R90" s="107"/>
      <c r="S90" s="76"/>
    </row>
    <row r="91" spans="1:19" x14ac:dyDescent="0.35">
      <c r="A91" s="29">
        <v>44741</v>
      </c>
      <c r="B91" s="38" t="s">
        <v>51</v>
      </c>
      <c r="C91" s="70" t="s">
        <v>60</v>
      </c>
      <c r="D91" s="1">
        <v>512</v>
      </c>
      <c r="E91" s="1">
        <v>454</v>
      </c>
      <c r="F91" s="72">
        <v>-0.11265164644714037</v>
      </c>
      <c r="G91" s="72">
        <v>-7.1574642126789365E-2</v>
      </c>
      <c r="H91" s="1">
        <f>H90+Table3[[#This Row],[Calls Off]]</f>
        <v>10388</v>
      </c>
      <c r="I91" s="1">
        <f>I90+Table3[[#This Row],[Calls Ans]]</f>
        <v>9726</v>
      </c>
      <c r="J91" s="1">
        <v>33411</v>
      </c>
      <c r="K91" s="1">
        <v>30820</v>
      </c>
      <c r="L91" s="76">
        <v>0.65</v>
      </c>
      <c r="M91" s="76">
        <v>0.11</v>
      </c>
      <c r="N91" s="76">
        <v>0.89</v>
      </c>
      <c r="O91" s="76">
        <v>0.78</v>
      </c>
      <c r="P91" s="108">
        <v>0.97</v>
      </c>
      <c r="Q91" s="108"/>
      <c r="R91" s="108"/>
      <c r="S91" s="76"/>
    </row>
    <row r="92" spans="1:19" x14ac:dyDescent="0.35">
      <c r="A92" s="29">
        <v>44742</v>
      </c>
      <c r="B92" s="36" t="s">
        <v>52</v>
      </c>
      <c r="C92" s="70" t="s">
        <v>60</v>
      </c>
      <c r="D92" s="34">
        <v>503</v>
      </c>
      <c r="E92" s="34">
        <v>474</v>
      </c>
      <c r="F92" s="71">
        <v>-0.10973451327433628</v>
      </c>
      <c r="G92" s="71">
        <v>-7.0588235294117646E-2</v>
      </c>
      <c r="H92" s="34">
        <f>H91+Table3[[#This Row],[Calls Off]]</f>
        <v>10891</v>
      </c>
      <c r="I92" s="34">
        <f>I91+Table3[[#This Row],[Calls Ans]]</f>
        <v>10200</v>
      </c>
      <c r="J92" s="34">
        <v>33914</v>
      </c>
      <c r="K92" s="34">
        <v>31294</v>
      </c>
      <c r="L92" s="77">
        <v>0.8</v>
      </c>
      <c r="M92" s="77">
        <v>0.06</v>
      </c>
      <c r="N92" s="77">
        <v>0.94</v>
      </c>
      <c r="O92" s="77">
        <v>0.82</v>
      </c>
      <c r="P92" s="107">
        <v>0.96</v>
      </c>
      <c r="Q92" s="107"/>
      <c r="R92" s="107"/>
      <c r="S92" s="76"/>
    </row>
    <row r="93" spans="1:19" x14ac:dyDescent="0.35">
      <c r="A93" s="29">
        <v>44743</v>
      </c>
      <c r="B93" s="38" t="s">
        <v>53</v>
      </c>
      <c r="C93" s="70" t="s">
        <v>60</v>
      </c>
      <c r="D93" s="1">
        <v>491</v>
      </c>
      <c r="E93" s="1">
        <v>445</v>
      </c>
      <c r="F93" s="72">
        <v>0.67576791808873715</v>
      </c>
      <c r="G93" s="72">
        <v>0.67293233082706772</v>
      </c>
      <c r="H93" s="1">
        <f>Table3[[#This Row],[Calls Off]]</f>
        <v>491</v>
      </c>
      <c r="I93" s="1">
        <f>Table3[[#This Row],[Calls Ans]]</f>
        <v>445</v>
      </c>
      <c r="J93" s="1">
        <v>34405</v>
      </c>
      <c r="K93" s="1">
        <v>31739</v>
      </c>
      <c r="L93" s="76">
        <v>0.7</v>
      </c>
      <c r="M93" s="76">
        <v>0.09</v>
      </c>
      <c r="N93" s="76">
        <v>0.91</v>
      </c>
      <c r="O93" s="76">
        <v>0.77</v>
      </c>
      <c r="P93" s="108">
        <v>0.96</v>
      </c>
      <c r="Q93" s="108"/>
      <c r="R93" s="108"/>
      <c r="S93" s="76"/>
    </row>
    <row r="94" spans="1:19" x14ac:dyDescent="0.35">
      <c r="A94" s="29">
        <v>44744</v>
      </c>
      <c r="B94" s="36" t="s">
        <v>54</v>
      </c>
      <c r="C94" s="70" t="s">
        <v>60</v>
      </c>
      <c r="D94" s="34">
        <v>256</v>
      </c>
      <c r="E94" s="34">
        <v>211</v>
      </c>
      <c r="F94" s="71">
        <v>-0.12627986348122866</v>
      </c>
      <c r="G94" s="71">
        <v>-0.20676691729323307</v>
      </c>
      <c r="H94" s="34">
        <f>H93+Table3[[#This Row],[Calls Off]]</f>
        <v>747</v>
      </c>
      <c r="I94" s="34">
        <f>I93+Table3[[#This Row],[Calls Ans]]</f>
        <v>656</v>
      </c>
      <c r="J94" s="34">
        <v>34661</v>
      </c>
      <c r="K94" s="34">
        <v>31950</v>
      </c>
      <c r="L94" s="77">
        <v>0.52</v>
      </c>
      <c r="M94" s="77">
        <v>0.18</v>
      </c>
      <c r="N94" s="77">
        <v>0.82</v>
      </c>
      <c r="O94" s="77">
        <v>0.73</v>
      </c>
      <c r="P94" s="107">
        <v>0.98</v>
      </c>
      <c r="Q94" s="107"/>
      <c r="R94" s="107"/>
      <c r="S94" s="76"/>
    </row>
    <row r="95" spans="1:19" x14ac:dyDescent="0.35">
      <c r="A95" s="29">
        <v>44745</v>
      </c>
      <c r="B95" s="38" t="s">
        <v>48</v>
      </c>
      <c r="C95" s="70" t="s">
        <v>60</v>
      </c>
      <c r="D95" s="1">
        <v>0</v>
      </c>
      <c r="E95" s="1">
        <v>0</v>
      </c>
      <c r="F95" s="72">
        <v>0</v>
      </c>
      <c r="G95" s="72">
        <v>0</v>
      </c>
      <c r="H95" s="1">
        <v>0</v>
      </c>
      <c r="I95" s="1">
        <v>0</v>
      </c>
      <c r="J95" s="1">
        <v>0</v>
      </c>
      <c r="K95" s="1">
        <v>0</v>
      </c>
      <c r="L95" s="76">
        <v>0</v>
      </c>
      <c r="M95" s="76">
        <v>0</v>
      </c>
      <c r="N95" s="76">
        <v>0</v>
      </c>
      <c r="O95" s="76">
        <v>0</v>
      </c>
      <c r="P95" s="108">
        <v>0</v>
      </c>
      <c r="Q95" s="108"/>
      <c r="R95" s="108"/>
      <c r="S95" s="76"/>
    </row>
    <row r="96" spans="1:19" x14ac:dyDescent="0.35">
      <c r="A96" s="29">
        <v>44746</v>
      </c>
      <c r="B96" s="36" t="s">
        <v>49</v>
      </c>
      <c r="C96" s="70" t="s">
        <v>60</v>
      </c>
      <c r="D96" s="34">
        <v>738</v>
      </c>
      <c r="E96" s="34">
        <v>550</v>
      </c>
      <c r="F96" s="71">
        <v>0.41379310344827586</v>
      </c>
      <c r="G96" s="71">
        <v>8.9108910891089105E-2</v>
      </c>
      <c r="H96" s="34">
        <f>H94+Table3[[#This Row],[Calls Off]]</f>
        <v>1485</v>
      </c>
      <c r="I96" s="34">
        <f>I94+Table3[[#This Row],[Calls Ans]]</f>
        <v>1206</v>
      </c>
      <c r="J96" s="34">
        <v>35399</v>
      </c>
      <c r="K96" s="34">
        <v>32500</v>
      </c>
      <c r="L96" s="77">
        <v>0.46</v>
      </c>
      <c r="M96" s="77">
        <v>0.25</v>
      </c>
      <c r="N96" s="77">
        <v>0.75</v>
      </c>
      <c r="O96" s="77">
        <v>0.95</v>
      </c>
      <c r="P96" s="107">
        <v>0.97</v>
      </c>
      <c r="Q96" s="107"/>
      <c r="R96" s="107"/>
      <c r="S96" s="149"/>
    </row>
    <row r="97" spans="1:23" x14ac:dyDescent="0.35">
      <c r="A97" s="29">
        <v>44747</v>
      </c>
      <c r="B97" s="38" t="s">
        <v>50</v>
      </c>
      <c r="C97" s="70" t="s">
        <v>60</v>
      </c>
      <c r="D97" s="1">
        <v>638</v>
      </c>
      <c r="E97" s="1">
        <v>459</v>
      </c>
      <c r="F97" s="72">
        <v>0.26838966202783299</v>
      </c>
      <c r="G97" s="72">
        <v>5.2752293577981654E-2</v>
      </c>
      <c r="H97" s="1">
        <f>H96+Table3[[#This Row],[Calls Off]]</f>
        <v>2123</v>
      </c>
      <c r="I97" s="1">
        <f>I96+Table3[[#This Row],[Calls Ans]]</f>
        <v>1665</v>
      </c>
      <c r="J97" s="1">
        <v>36037</v>
      </c>
      <c r="K97" s="1">
        <v>32959</v>
      </c>
      <c r="L97" s="76">
        <v>0.3</v>
      </c>
      <c r="M97" s="76">
        <v>0.28000000000000003</v>
      </c>
      <c r="N97" s="76">
        <v>0.72</v>
      </c>
      <c r="O97" s="76">
        <v>1.06</v>
      </c>
      <c r="P97" s="108">
        <v>0.96</v>
      </c>
      <c r="Q97" s="108"/>
      <c r="R97" s="108"/>
      <c r="S97" s="76"/>
    </row>
    <row r="98" spans="1:23" x14ac:dyDescent="0.35">
      <c r="A98" s="29">
        <v>44748</v>
      </c>
      <c r="B98" s="36" t="s">
        <v>51</v>
      </c>
      <c r="C98" s="70" t="s">
        <v>60</v>
      </c>
      <c r="D98" s="34">
        <v>0</v>
      </c>
      <c r="E98" s="34">
        <v>0</v>
      </c>
      <c r="F98" s="71">
        <v>0</v>
      </c>
      <c r="G98" s="71">
        <v>0</v>
      </c>
      <c r="H98" s="34">
        <v>0</v>
      </c>
      <c r="I98" s="34">
        <v>0</v>
      </c>
      <c r="J98" s="34">
        <v>0</v>
      </c>
      <c r="K98" s="34">
        <v>0</v>
      </c>
      <c r="L98" s="77">
        <v>0</v>
      </c>
      <c r="M98" s="77">
        <v>0</v>
      </c>
      <c r="N98" s="77">
        <v>0</v>
      </c>
      <c r="O98" s="77">
        <v>0</v>
      </c>
      <c r="P98" s="107">
        <v>0</v>
      </c>
      <c r="Q98" s="107"/>
      <c r="R98" s="107"/>
      <c r="S98" s="76"/>
    </row>
    <row r="99" spans="1:23" x14ac:dyDescent="0.35">
      <c r="A99" s="29">
        <v>44749</v>
      </c>
      <c r="B99" s="38" t="s">
        <v>52</v>
      </c>
      <c r="C99" s="70" t="s">
        <v>60</v>
      </c>
      <c r="D99" s="1">
        <v>0</v>
      </c>
      <c r="E99" s="1">
        <v>0</v>
      </c>
      <c r="F99" s="72">
        <v>0</v>
      </c>
      <c r="G99" s="72">
        <v>0</v>
      </c>
      <c r="H99" s="1">
        <v>0</v>
      </c>
      <c r="I99" s="1">
        <v>0</v>
      </c>
      <c r="J99" s="1">
        <v>0</v>
      </c>
      <c r="K99" s="1">
        <v>0</v>
      </c>
      <c r="L99" s="76">
        <v>0</v>
      </c>
      <c r="M99" s="76">
        <v>0</v>
      </c>
      <c r="N99" s="76">
        <v>0</v>
      </c>
      <c r="O99" s="76">
        <v>0</v>
      </c>
      <c r="P99" s="108">
        <v>0</v>
      </c>
      <c r="Q99" s="108"/>
      <c r="R99" s="108"/>
      <c r="S99" s="76"/>
    </row>
    <row r="100" spans="1:23" x14ac:dyDescent="0.35">
      <c r="A100" s="29">
        <v>44750</v>
      </c>
      <c r="B100" s="36" t="s">
        <v>53</v>
      </c>
      <c r="C100" s="70" t="s">
        <v>60</v>
      </c>
      <c r="D100" s="34">
        <v>482</v>
      </c>
      <c r="E100" s="34">
        <v>434</v>
      </c>
      <c r="F100" s="71">
        <v>-1.8329938900203666E-2</v>
      </c>
      <c r="G100" s="71">
        <v>-2.4719101123595506E-2</v>
      </c>
      <c r="H100" s="34">
        <f>H97+Table3[[#This Row],[Calls Off]]</f>
        <v>2605</v>
      </c>
      <c r="I100" s="34">
        <f>I97+Table3[[#This Row],[Calls Ans]]</f>
        <v>2099</v>
      </c>
      <c r="J100" s="34">
        <v>36519</v>
      </c>
      <c r="K100" s="34">
        <v>33393</v>
      </c>
      <c r="L100" s="77">
        <v>0.67</v>
      </c>
      <c r="M100" s="77">
        <v>0.1</v>
      </c>
      <c r="N100" s="77">
        <v>0.9</v>
      </c>
      <c r="O100" s="77">
        <v>0.75</v>
      </c>
      <c r="P100" s="107">
        <v>0.96</v>
      </c>
      <c r="Q100" s="107"/>
      <c r="R100" s="107"/>
      <c r="S100" s="76"/>
    </row>
    <row r="101" spans="1:23" x14ac:dyDescent="0.35">
      <c r="A101" s="29">
        <v>44751</v>
      </c>
      <c r="B101" s="38" t="s">
        <v>54</v>
      </c>
      <c r="C101" s="70" t="s">
        <v>60</v>
      </c>
      <c r="D101" s="1">
        <v>251</v>
      </c>
      <c r="E101" s="1">
        <v>218</v>
      </c>
      <c r="F101" s="72">
        <v>-1.953125E-2</v>
      </c>
      <c r="G101" s="72">
        <v>3.3175355450236969E-2</v>
      </c>
      <c r="H101" s="1">
        <f>H100+Table3[[#This Row],[Calls Off]]</f>
        <v>2856</v>
      </c>
      <c r="I101" s="1">
        <f>I100+Table3[[#This Row],[Calls Ans]]</f>
        <v>2317</v>
      </c>
      <c r="J101" s="1">
        <v>36770</v>
      </c>
      <c r="K101" s="1">
        <v>33611</v>
      </c>
      <c r="L101" s="76">
        <v>0.68</v>
      </c>
      <c r="M101" s="76">
        <v>0.13</v>
      </c>
      <c r="N101" s="76">
        <v>0.87</v>
      </c>
      <c r="O101" s="76">
        <v>0.66</v>
      </c>
      <c r="P101" s="108">
        <v>0.98</v>
      </c>
      <c r="Q101" s="108"/>
      <c r="R101" s="108"/>
      <c r="S101" s="76"/>
    </row>
    <row r="102" spans="1:23" x14ac:dyDescent="0.35">
      <c r="A102" s="29">
        <v>44752</v>
      </c>
      <c r="B102" s="36" t="s">
        <v>48</v>
      </c>
      <c r="C102" s="70" t="s">
        <v>60</v>
      </c>
      <c r="D102" s="34">
        <v>0</v>
      </c>
      <c r="E102" s="34">
        <v>0</v>
      </c>
      <c r="F102" s="71">
        <v>0</v>
      </c>
      <c r="G102" s="71">
        <v>0</v>
      </c>
      <c r="H102" s="34">
        <v>0</v>
      </c>
      <c r="I102" s="34">
        <v>0</v>
      </c>
      <c r="J102" s="34">
        <v>0</v>
      </c>
      <c r="K102" s="34">
        <v>0</v>
      </c>
      <c r="L102" s="77">
        <v>0</v>
      </c>
      <c r="M102" s="77">
        <v>0</v>
      </c>
      <c r="N102" s="77">
        <v>0</v>
      </c>
      <c r="O102" s="77">
        <v>0</v>
      </c>
      <c r="P102" s="107">
        <v>0</v>
      </c>
      <c r="Q102" s="107"/>
      <c r="R102" s="107"/>
      <c r="S102" s="76"/>
    </row>
    <row r="103" spans="1:23" x14ac:dyDescent="0.35">
      <c r="A103" s="29">
        <v>44753</v>
      </c>
      <c r="B103" s="38" t="s">
        <v>49</v>
      </c>
      <c r="C103" s="70" t="s">
        <v>60</v>
      </c>
      <c r="D103" s="1">
        <v>426</v>
      </c>
      <c r="E103" s="1">
        <v>403</v>
      </c>
      <c r="F103" s="72">
        <v>-0.42276422764227645</v>
      </c>
      <c r="G103" s="72">
        <v>-0.26727272727272727</v>
      </c>
      <c r="H103" s="1">
        <f>H101+Table3[[#This Row],[Calls Off]]</f>
        <v>3282</v>
      </c>
      <c r="I103" s="1">
        <f>I101+Table3[[#This Row],[Calls Ans]]</f>
        <v>2720</v>
      </c>
      <c r="J103" s="1">
        <v>37196</v>
      </c>
      <c r="K103" s="1">
        <v>34014</v>
      </c>
      <c r="L103" s="76">
        <v>0.79</v>
      </c>
      <c r="M103" s="76">
        <v>0.05</v>
      </c>
      <c r="N103" s="76">
        <v>0.95</v>
      </c>
      <c r="O103" s="76">
        <v>0.56000000000000005</v>
      </c>
      <c r="P103" s="108">
        <v>0.96</v>
      </c>
      <c r="Q103" s="108"/>
      <c r="R103" s="108"/>
      <c r="S103" s="76"/>
    </row>
    <row r="104" spans="1:23" x14ac:dyDescent="0.35">
      <c r="A104" s="29">
        <v>44754</v>
      </c>
      <c r="B104" s="36" t="s">
        <v>50</v>
      </c>
      <c r="C104" s="70" t="s">
        <v>60</v>
      </c>
      <c r="D104" s="34">
        <v>470</v>
      </c>
      <c r="E104" s="34">
        <v>417</v>
      </c>
      <c r="F104" s="71">
        <v>-0.26332288401253917</v>
      </c>
      <c r="G104" s="71">
        <v>-9.1503267973856203E-2</v>
      </c>
      <c r="H104" s="34">
        <f>H103+Table3[[#This Row],[Calls Off]]</f>
        <v>3752</v>
      </c>
      <c r="I104" s="34">
        <f>I103+Table3[[#This Row],[Calls Ans]]</f>
        <v>3137</v>
      </c>
      <c r="J104" s="34">
        <v>37666</v>
      </c>
      <c r="K104" s="34">
        <v>34431</v>
      </c>
      <c r="L104" s="77">
        <v>0.68</v>
      </c>
      <c r="M104" s="77">
        <v>0.11</v>
      </c>
      <c r="N104" s="77">
        <v>0.89</v>
      </c>
      <c r="O104" s="77">
        <v>0.64</v>
      </c>
      <c r="P104" s="107">
        <v>0.97</v>
      </c>
      <c r="Q104" s="107"/>
      <c r="R104" s="107"/>
      <c r="S104" s="76"/>
    </row>
    <row r="105" spans="1:23" x14ac:dyDescent="0.35">
      <c r="A105" s="29">
        <v>44755</v>
      </c>
      <c r="B105" s="38" t="s">
        <v>51</v>
      </c>
      <c r="C105" s="70" t="s">
        <v>60</v>
      </c>
      <c r="D105" s="1">
        <v>452</v>
      </c>
      <c r="E105" s="1">
        <v>364</v>
      </c>
      <c r="F105" s="72">
        <v>0</v>
      </c>
      <c r="G105" s="72">
        <v>0</v>
      </c>
      <c r="H105" s="1">
        <f>H104+Table3[[#This Row],[Calls Off]]</f>
        <v>4204</v>
      </c>
      <c r="I105" s="1">
        <f>I104+Table3[[#This Row],[Calls Ans]]</f>
        <v>3501</v>
      </c>
      <c r="J105" s="1">
        <v>38118</v>
      </c>
      <c r="K105" s="1">
        <v>34795</v>
      </c>
      <c r="L105" s="76">
        <v>0.54</v>
      </c>
      <c r="M105" s="76">
        <v>0.19</v>
      </c>
      <c r="N105" s="76">
        <v>0.81</v>
      </c>
      <c r="O105" s="76">
        <v>0.84</v>
      </c>
      <c r="P105" s="108">
        <v>0.99</v>
      </c>
      <c r="Q105" s="108"/>
      <c r="R105" s="108"/>
      <c r="S105" s="76"/>
    </row>
    <row r="106" spans="1:23" x14ac:dyDescent="0.35">
      <c r="A106" s="29">
        <v>44756</v>
      </c>
      <c r="B106" s="36" t="s">
        <v>52</v>
      </c>
      <c r="C106" s="70" t="s">
        <v>60</v>
      </c>
      <c r="D106" s="34">
        <v>410</v>
      </c>
      <c r="E106" s="34">
        <v>369</v>
      </c>
      <c r="F106" s="71">
        <v>0</v>
      </c>
      <c r="G106" s="71">
        <v>0</v>
      </c>
      <c r="H106" s="34">
        <f>H105+Table3[[#This Row],[Calls Off]]</f>
        <v>4614</v>
      </c>
      <c r="I106" s="34">
        <f>I105+Table3[[#This Row],[Calls Ans]]</f>
        <v>3870</v>
      </c>
      <c r="J106" s="34">
        <v>38528</v>
      </c>
      <c r="K106" s="34">
        <v>35164</v>
      </c>
      <c r="L106" s="77">
        <v>0.69</v>
      </c>
      <c r="M106" s="77">
        <v>0.1</v>
      </c>
      <c r="N106" s="77">
        <v>0.9</v>
      </c>
      <c r="O106" s="77">
        <v>0.89</v>
      </c>
      <c r="P106" s="107">
        <v>0.93</v>
      </c>
      <c r="Q106" s="107"/>
      <c r="R106" s="107"/>
      <c r="S106" s="76"/>
    </row>
    <row r="107" spans="1:23" x14ac:dyDescent="0.35">
      <c r="A107" s="29">
        <v>44757</v>
      </c>
      <c r="B107" s="38" t="s">
        <v>53</v>
      </c>
      <c r="C107" s="70" t="s">
        <v>60</v>
      </c>
      <c r="D107" s="1">
        <v>453</v>
      </c>
      <c r="E107" s="1">
        <v>398</v>
      </c>
      <c r="F107" s="72">
        <v>-6.0165975103734441E-2</v>
      </c>
      <c r="G107" s="72">
        <v>-8.294930875576037E-2</v>
      </c>
      <c r="H107" s="1">
        <f>H106+Table3[[#This Row],[Calls Off]]</f>
        <v>5067</v>
      </c>
      <c r="I107" s="1">
        <f>I106+Table3[[#This Row],[Calls Ans]]</f>
        <v>4268</v>
      </c>
      <c r="J107" s="1">
        <v>38981</v>
      </c>
      <c r="K107" s="1">
        <v>35562</v>
      </c>
      <c r="L107" s="76">
        <v>0.69</v>
      </c>
      <c r="M107" s="76">
        <v>0.12</v>
      </c>
      <c r="N107" s="76">
        <v>0.88</v>
      </c>
      <c r="O107" s="76">
        <v>0.69</v>
      </c>
      <c r="P107" s="108">
        <v>0.98</v>
      </c>
      <c r="Q107" s="108"/>
      <c r="R107" s="108"/>
      <c r="S107" s="76"/>
    </row>
    <row r="108" spans="1:23" x14ac:dyDescent="0.35">
      <c r="A108" s="29">
        <v>44758</v>
      </c>
      <c r="B108" s="36" t="s">
        <v>54</v>
      </c>
      <c r="C108" s="70" t="s">
        <v>60</v>
      </c>
      <c r="D108" s="34">
        <v>193</v>
      </c>
      <c r="E108" s="34">
        <v>183</v>
      </c>
      <c r="F108" s="71">
        <v>-0.23107569721115537</v>
      </c>
      <c r="G108" s="71">
        <v>-0.16055045871559634</v>
      </c>
      <c r="H108" s="34">
        <f>H107+Table3[[#This Row],[Calls Off]]</f>
        <v>5260</v>
      </c>
      <c r="I108" s="34">
        <f>I107+Table3[[#This Row],[Calls Ans]]</f>
        <v>4451</v>
      </c>
      <c r="J108" s="34">
        <v>39174</v>
      </c>
      <c r="K108" s="34">
        <v>35745</v>
      </c>
      <c r="L108" s="77">
        <v>0.8</v>
      </c>
      <c r="M108" s="77">
        <v>0.05</v>
      </c>
      <c r="N108" s="77">
        <v>0.95</v>
      </c>
      <c r="O108" s="77">
        <v>0.42</v>
      </c>
      <c r="P108" s="107">
        <v>0.9</v>
      </c>
      <c r="Q108" s="107"/>
      <c r="R108" s="107"/>
      <c r="S108" s="76"/>
    </row>
    <row r="109" spans="1:23" x14ac:dyDescent="0.35">
      <c r="A109" s="35">
        <v>44759</v>
      </c>
      <c r="B109" s="110" t="s">
        <v>48</v>
      </c>
      <c r="C109" s="111" t="s">
        <v>60</v>
      </c>
      <c r="D109" s="42">
        <v>0</v>
      </c>
      <c r="E109" s="42">
        <v>0</v>
      </c>
      <c r="F109" s="96">
        <v>0</v>
      </c>
      <c r="G109" s="96">
        <v>0</v>
      </c>
      <c r="H109" s="42">
        <v>0</v>
      </c>
      <c r="I109" s="42">
        <v>0</v>
      </c>
      <c r="J109" s="42">
        <v>0</v>
      </c>
      <c r="K109" s="42">
        <v>0</v>
      </c>
      <c r="L109" s="112">
        <v>0</v>
      </c>
      <c r="M109" s="112">
        <v>0</v>
      </c>
      <c r="N109" s="112">
        <v>0</v>
      </c>
      <c r="O109" s="112">
        <v>0</v>
      </c>
      <c r="P109" s="113">
        <v>0</v>
      </c>
      <c r="Q109" s="113"/>
      <c r="R109" s="113"/>
      <c r="S109" s="76"/>
    </row>
    <row r="110" spans="1:23" x14ac:dyDescent="0.35">
      <c r="A110" s="29">
        <v>44760</v>
      </c>
      <c r="B110" s="38" t="s">
        <v>49</v>
      </c>
      <c r="C110" s="111" t="s">
        <v>60</v>
      </c>
      <c r="D110" s="1">
        <v>718</v>
      </c>
      <c r="E110" s="1">
        <v>614</v>
      </c>
      <c r="F110" s="71">
        <v>0.68544600938967137</v>
      </c>
      <c r="G110" s="71">
        <v>0.52357320099255578</v>
      </c>
      <c r="H110" s="34">
        <f>H108+Table3[[#This Row],[Calls Off]]</f>
        <v>5978</v>
      </c>
      <c r="I110" s="34">
        <f>I108+Table3[[#This Row],[Calls Ans]]</f>
        <v>5065</v>
      </c>
      <c r="J110" s="34">
        <v>39892</v>
      </c>
      <c r="K110" s="34">
        <v>36359</v>
      </c>
      <c r="L110" s="76">
        <v>0.62</v>
      </c>
      <c r="M110" s="76">
        <v>0.14000000000000001</v>
      </c>
      <c r="N110" s="76">
        <v>0.86</v>
      </c>
      <c r="O110" s="76">
        <v>0.85</v>
      </c>
      <c r="P110" s="113">
        <v>0.96</v>
      </c>
      <c r="Q110" s="113"/>
      <c r="R110" s="113"/>
      <c r="S110" s="76"/>
    </row>
    <row r="111" spans="1:23" s="54" customFormat="1" x14ac:dyDescent="0.35">
      <c r="A111" s="29">
        <v>44761</v>
      </c>
      <c r="B111" s="38" t="s">
        <v>50</v>
      </c>
      <c r="C111" s="111" t="s">
        <v>60</v>
      </c>
      <c r="D111" s="1">
        <v>685</v>
      </c>
      <c r="E111" s="1">
        <v>578</v>
      </c>
      <c r="F111" s="72">
        <v>0.45744680851063829</v>
      </c>
      <c r="G111" s="72">
        <v>0.38609112709832133</v>
      </c>
      <c r="H111" s="1">
        <f>H110+Table3[[#This Row],[Calls Off]]</f>
        <v>6663</v>
      </c>
      <c r="I111" s="1">
        <f>I110+Table3[[#This Row],[Calls Ans]]</f>
        <v>5643</v>
      </c>
      <c r="J111" s="1">
        <v>40577</v>
      </c>
      <c r="K111" s="1">
        <v>36937</v>
      </c>
      <c r="L111" s="76">
        <v>0.53</v>
      </c>
      <c r="M111" s="76">
        <v>0.16</v>
      </c>
      <c r="N111" s="76">
        <v>0.84</v>
      </c>
      <c r="O111" s="76">
        <v>0.99</v>
      </c>
      <c r="P111" s="113">
        <v>0.96</v>
      </c>
      <c r="Q111" s="113"/>
      <c r="R111" s="113"/>
      <c r="S111" s="125"/>
      <c r="U111" t="s">
        <v>62</v>
      </c>
      <c r="V111" s="16">
        <v>44986</v>
      </c>
      <c r="W111"/>
    </row>
    <row r="112" spans="1:23" x14ac:dyDescent="0.35">
      <c r="A112" s="29">
        <v>44762</v>
      </c>
      <c r="B112" s="38" t="s">
        <v>51</v>
      </c>
      <c r="C112" s="111" t="s">
        <v>60</v>
      </c>
      <c r="D112" s="1">
        <v>523</v>
      </c>
      <c r="E112" s="1">
        <v>442</v>
      </c>
      <c r="F112" s="72">
        <v>0.15707964601769911</v>
      </c>
      <c r="G112" s="72">
        <v>0.21428571428571427</v>
      </c>
      <c r="H112" s="1">
        <f>H111+Table3[[#This Row],[Calls Off]]</f>
        <v>7186</v>
      </c>
      <c r="I112" s="1">
        <f>I111+Table3[[#This Row],[Calls Ans]]</f>
        <v>6085</v>
      </c>
      <c r="J112" s="1">
        <v>41100</v>
      </c>
      <c r="K112" s="1">
        <v>37379</v>
      </c>
      <c r="L112" s="76">
        <v>0.57999999999999996</v>
      </c>
      <c r="M112" s="76">
        <v>0.15</v>
      </c>
      <c r="N112" s="76">
        <v>0.85</v>
      </c>
      <c r="O112" s="76">
        <v>0.72</v>
      </c>
      <c r="P112" s="113">
        <v>0.96</v>
      </c>
      <c r="Q112" s="113"/>
      <c r="R112" s="113"/>
      <c r="S112" s="76"/>
      <c r="U112" t="s">
        <v>63</v>
      </c>
      <c r="V112" s="16">
        <v>45016</v>
      </c>
    </row>
    <row r="113" spans="1:19" x14ac:dyDescent="0.35">
      <c r="A113" s="29">
        <v>44763</v>
      </c>
      <c r="B113" s="38" t="s">
        <v>52</v>
      </c>
      <c r="C113" s="111" t="s">
        <v>60</v>
      </c>
      <c r="D113" s="1">
        <v>535</v>
      </c>
      <c r="E113" s="1">
        <v>466</v>
      </c>
      <c r="F113" s="72">
        <v>0.3048780487804878</v>
      </c>
      <c r="G113" s="72">
        <v>0.26287262872628725</v>
      </c>
      <c r="H113" s="1">
        <f>H112+Table3[[#This Row],[Calls Off]]</f>
        <v>7721</v>
      </c>
      <c r="I113" s="1">
        <f>I112+Table3[[#This Row],[Calls Ans]]</f>
        <v>6551</v>
      </c>
      <c r="J113" s="1">
        <v>41635</v>
      </c>
      <c r="K113" s="1">
        <v>37845</v>
      </c>
      <c r="L113" s="76">
        <v>0.65</v>
      </c>
      <c r="M113" s="76">
        <v>0.13</v>
      </c>
      <c r="N113" s="76">
        <v>0.87</v>
      </c>
      <c r="O113" s="76">
        <v>0.8</v>
      </c>
      <c r="P113" s="113">
        <v>0.96</v>
      </c>
      <c r="Q113" s="113"/>
      <c r="R113" s="113"/>
      <c r="S113" s="76"/>
    </row>
    <row r="114" spans="1:19" x14ac:dyDescent="0.35">
      <c r="A114" s="29">
        <v>44764</v>
      </c>
      <c r="B114" s="38" t="s">
        <v>53</v>
      </c>
      <c r="C114" s="111" t="s">
        <v>60</v>
      </c>
      <c r="D114" s="1">
        <v>488</v>
      </c>
      <c r="E114" s="1">
        <v>425</v>
      </c>
      <c r="F114" s="72">
        <v>7.7262693156732898E-2</v>
      </c>
      <c r="G114" s="72">
        <v>6.78391959798995E-2</v>
      </c>
      <c r="H114" s="1">
        <f>H113+Table3[[#This Row],[Calls Off]]</f>
        <v>8209</v>
      </c>
      <c r="I114" s="1">
        <f>I113+Table3[[#This Row],[Calls Ans]]</f>
        <v>6976</v>
      </c>
      <c r="J114" s="1">
        <v>42123</v>
      </c>
      <c r="K114" s="1">
        <v>38270</v>
      </c>
      <c r="L114" s="76">
        <v>0.64</v>
      </c>
      <c r="M114" s="76">
        <v>0.13</v>
      </c>
      <c r="N114" s="76">
        <v>0.87</v>
      </c>
      <c r="O114" s="76">
        <v>0.73</v>
      </c>
      <c r="P114" s="113">
        <v>0.96</v>
      </c>
      <c r="Q114" s="113"/>
      <c r="R114" s="113"/>
      <c r="S114" s="76"/>
    </row>
    <row r="115" spans="1:19" x14ac:dyDescent="0.35">
      <c r="A115" s="29">
        <v>44765</v>
      </c>
      <c r="B115" s="38" t="s">
        <v>54</v>
      </c>
      <c r="C115" s="111" t="s">
        <v>60</v>
      </c>
      <c r="D115" s="1">
        <v>279</v>
      </c>
      <c r="E115" s="1">
        <v>203</v>
      </c>
      <c r="F115" s="72">
        <v>0.44559585492227977</v>
      </c>
      <c r="G115" s="72">
        <v>0.10928961748633879</v>
      </c>
      <c r="H115" s="1">
        <f>H114+Table3[[#This Row],[Calls Off]]</f>
        <v>8488</v>
      </c>
      <c r="I115" s="1">
        <f>I114+Table3[[#This Row],[Calls Ans]]</f>
        <v>7179</v>
      </c>
      <c r="J115" s="1">
        <v>42402</v>
      </c>
      <c r="K115" s="1">
        <v>38473</v>
      </c>
      <c r="L115" s="76">
        <v>0.33</v>
      </c>
      <c r="M115" s="76">
        <v>0.27</v>
      </c>
      <c r="N115" s="76">
        <v>0.73</v>
      </c>
      <c r="O115" s="76">
        <v>0.7</v>
      </c>
      <c r="P115" s="113">
        <v>0.95</v>
      </c>
      <c r="Q115" s="113"/>
      <c r="R115" s="113"/>
      <c r="S115" s="76"/>
    </row>
    <row r="116" spans="1:19" x14ac:dyDescent="0.35">
      <c r="A116" s="29">
        <v>44766</v>
      </c>
      <c r="B116" s="38" t="s">
        <v>48</v>
      </c>
      <c r="C116" s="111" t="s">
        <v>60</v>
      </c>
      <c r="D116" s="1">
        <v>0</v>
      </c>
      <c r="E116" s="1">
        <v>0</v>
      </c>
      <c r="F116" s="72">
        <v>0</v>
      </c>
      <c r="G116" s="72">
        <v>0</v>
      </c>
      <c r="H116" s="1">
        <v>0</v>
      </c>
      <c r="I116" s="1">
        <v>0</v>
      </c>
      <c r="J116" s="1">
        <v>0</v>
      </c>
      <c r="K116" s="1">
        <v>0</v>
      </c>
      <c r="L116" s="76">
        <v>0</v>
      </c>
      <c r="M116" s="76">
        <v>0</v>
      </c>
      <c r="N116" s="76">
        <v>0</v>
      </c>
      <c r="O116" s="76">
        <v>0</v>
      </c>
      <c r="P116" s="113">
        <v>0</v>
      </c>
      <c r="Q116" s="113"/>
      <c r="R116" s="113"/>
      <c r="S116" s="76"/>
    </row>
    <row r="117" spans="1:19" x14ac:dyDescent="0.35">
      <c r="A117" s="29">
        <v>44767</v>
      </c>
      <c r="B117" s="38" t="s">
        <v>49</v>
      </c>
      <c r="C117" s="111" t="s">
        <v>60</v>
      </c>
      <c r="D117" s="1">
        <v>717</v>
      </c>
      <c r="E117" s="1">
        <v>476</v>
      </c>
      <c r="F117" s="72">
        <v>-1.3927576601671309E-3</v>
      </c>
      <c r="G117" s="72">
        <v>-0.22475570032573289</v>
      </c>
      <c r="H117" s="1">
        <f>H115+Table3[[#This Row],[Calls Off]]</f>
        <v>9205</v>
      </c>
      <c r="I117" s="1">
        <f>I115+Table3[[#This Row],[Calls Ans]]</f>
        <v>7655</v>
      </c>
      <c r="J117" s="1">
        <v>43119</v>
      </c>
      <c r="K117" s="1">
        <v>38949</v>
      </c>
      <c r="L117" s="76">
        <v>0.3</v>
      </c>
      <c r="M117" s="76">
        <v>0.34</v>
      </c>
      <c r="N117" s="76">
        <v>0.66</v>
      </c>
      <c r="O117" s="76">
        <v>0.82</v>
      </c>
      <c r="P117" s="113">
        <v>0.97</v>
      </c>
      <c r="Q117" s="113"/>
      <c r="R117" s="113"/>
      <c r="S117" s="76"/>
    </row>
    <row r="118" spans="1:19" x14ac:dyDescent="0.35">
      <c r="A118" s="29">
        <v>44768</v>
      </c>
      <c r="B118" s="38" t="s">
        <v>50</v>
      </c>
      <c r="C118" s="111" t="s">
        <v>60</v>
      </c>
      <c r="D118" s="1">
        <v>417</v>
      </c>
      <c r="E118" s="1">
        <v>380</v>
      </c>
      <c r="F118" s="72">
        <v>-0.39124087591240875</v>
      </c>
      <c r="G118" s="72">
        <v>-0.34256055363321797</v>
      </c>
      <c r="H118" s="1">
        <f>H117+Table3[[#This Row],[Calls Off]]</f>
        <v>9622</v>
      </c>
      <c r="I118" s="1">
        <f>I117+Table3[[#This Row],[Calls Ans]]</f>
        <v>8035</v>
      </c>
      <c r="J118" s="1">
        <v>43536</v>
      </c>
      <c r="K118" s="1">
        <v>39329</v>
      </c>
      <c r="L118" s="76">
        <v>0.67</v>
      </c>
      <c r="M118" s="76">
        <v>0.09</v>
      </c>
      <c r="N118" s="76">
        <v>0.91</v>
      </c>
      <c r="O118" s="76">
        <v>0.66</v>
      </c>
      <c r="P118" s="113">
        <v>0.97</v>
      </c>
      <c r="Q118" s="113"/>
      <c r="R118" s="113"/>
      <c r="S118" s="76"/>
    </row>
    <row r="119" spans="1:19" x14ac:dyDescent="0.35">
      <c r="A119" s="29">
        <v>44769</v>
      </c>
      <c r="B119" s="38" t="s">
        <v>51</v>
      </c>
      <c r="C119" s="111" t="s">
        <v>60</v>
      </c>
      <c r="D119" s="1">
        <v>667</v>
      </c>
      <c r="E119" s="1">
        <v>517</v>
      </c>
      <c r="F119" s="72">
        <v>0.27533460803059273</v>
      </c>
      <c r="G119" s="72">
        <v>0.16968325791855204</v>
      </c>
      <c r="H119" s="1">
        <f>H118+Table3[[#This Row],[Calls Off]]</f>
        <v>10289</v>
      </c>
      <c r="I119" s="1">
        <f>I118+Table3[[#This Row],[Calls Ans]]</f>
        <v>8552</v>
      </c>
      <c r="J119" s="1">
        <v>43786</v>
      </c>
      <c r="K119" s="1">
        <v>39466</v>
      </c>
      <c r="L119" s="76">
        <v>0.51</v>
      </c>
      <c r="M119" s="76">
        <v>0.22</v>
      </c>
      <c r="N119" s="76">
        <v>0.78</v>
      </c>
      <c r="O119" s="76">
        <v>0.89</v>
      </c>
      <c r="P119" s="113">
        <v>0.95</v>
      </c>
      <c r="Q119" s="113"/>
      <c r="R119" s="113"/>
      <c r="S119" s="76"/>
    </row>
    <row r="120" spans="1:19" x14ac:dyDescent="0.35">
      <c r="A120" s="29">
        <v>44770</v>
      </c>
      <c r="B120" s="38" t="s">
        <v>52</v>
      </c>
      <c r="C120" s="111" t="s">
        <v>60</v>
      </c>
      <c r="D120" s="1">
        <v>527</v>
      </c>
      <c r="E120" s="1">
        <v>457</v>
      </c>
      <c r="F120" s="72">
        <v>-1.4953271028037384E-2</v>
      </c>
      <c r="G120" s="72">
        <v>-1.9313304721030045E-2</v>
      </c>
      <c r="H120" s="1">
        <f>H119+Table3[[#This Row],[Calls Off]]</f>
        <v>10816</v>
      </c>
      <c r="I120" s="1">
        <f>I119+Table3[[#This Row],[Calls Ans]]</f>
        <v>9009</v>
      </c>
      <c r="J120" s="1">
        <v>44063</v>
      </c>
      <c r="K120" s="1">
        <v>39786</v>
      </c>
      <c r="L120" s="76">
        <v>0.62</v>
      </c>
      <c r="M120" s="76">
        <v>0.13</v>
      </c>
      <c r="N120" s="76">
        <v>0.87</v>
      </c>
      <c r="O120" s="76">
        <v>0.79</v>
      </c>
      <c r="P120" s="113">
        <v>0.98</v>
      </c>
      <c r="Q120" s="113"/>
      <c r="R120" s="113"/>
      <c r="S120" s="76"/>
    </row>
    <row r="121" spans="1:19" x14ac:dyDescent="0.35">
      <c r="A121" s="29">
        <v>44771</v>
      </c>
      <c r="B121" s="38" t="s">
        <v>53</v>
      </c>
      <c r="C121" s="111" t="s">
        <v>60</v>
      </c>
      <c r="D121" s="1">
        <v>647</v>
      </c>
      <c r="E121" s="1">
        <v>458</v>
      </c>
      <c r="F121" s="72">
        <v>0.32581967213114754</v>
      </c>
      <c r="G121" s="72">
        <v>7.7647058823529416E-2</v>
      </c>
      <c r="H121" s="1">
        <f>H120+Table3[[#This Row],[Calls Off]]</f>
        <v>11463</v>
      </c>
      <c r="I121" s="1">
        <f>I120+Table3[[#This Row],[Calls Ans]]</f>
        <v>9467</v>
      </c>
      <c r="J121" s="1">
        <v>44433</v>
      </c>
      <c r="K121" s="1">
        <v>39924</v>
      </c>
      <c r="L121" s="76">
        <v>0.38</v>
      </c>
      <c r="M121" s="76">
        <v>0.28999999999999998</v>
      </c>
      <c r="N121" s="76">
        <v>0.71</v>
      </c>
      <c r="O121" s="76">
        <v>0.79</v>
      </c>
      <c r="P121" s="108">
        <v>0.99</v>
      </c>
      <c r="Q121" s="108"/>
      <c r="R121" s="108"/>
      <c r="S121" s="76"/>
    </row>
    <row r="122" spans="1:19" x14ac:dyDescent="0.35">
      <c r="A122" s="29">
        <v>44772</v>
      </c>
      <c r="B122" s="38" t="s">
        <v>54</v>
      </c>
      <c r="C122" s="111" t="s">
        <v>60</v>
      </c>
      <c r="D122" s="1">
        <v>363</v>
      </c>
      <c r="E122" s="1">
        <v>245</v>
      </c>
      <c r="F122" s="72">
        <v>0.30107526881720431</v>
      </c>
      <c r="G122" s="72">
        <v>0.20689655172413793</v>
      </c>
      <c r="H122" s="1">
        <f>H121+Table3[[#This Row],[Calls Off]]</f>
        <v>11826</v>
      </c>
      <c r="I122" s="1">
        <f>I121+Table3[[#This Row],[Calls Ans]]</f>
        <v>9712</v>
      </c>
      <c r="J122" s="1">
        <v>44426</v>
      </c>
      <c r="K122" s="1">
        <v>40031</v>
      </c>
      <c r="L122" s="76">
        <v>0.26</v>
      </c>
      <c r="M122" s="76">
        <v>0.33</v>
      </c>
      <c r="N122" s="76">
        <v>0.67</v>
      </c>
      <c r="O122" s="76">
        <v>0.56000000000000005</v>
      </c>
      <c r="P122" s="108">
        <v>0.97</v>
      </c>
      <c r="Q122" s="108"/>
      <c r="R122" s="108"/>
      <c r="S122" s="76"/>
    </row>
    <row r="123" spans="1:19" x14ac:dyDescent="0.35">
      <c r="A123" s="29">
        <v>44773</v>
      </c>
      <c r="B123" s="38" t="s">
        <v>48</v>
      </c>
      <c r="C123" s="111" t="s">
        <v>60</v>
      </c>
      <c r="D123" s="1">
        <v>0</v>
      </c>
      <c r="E123" s="1">
        <v>0</v>
      </c>
      <c r="F123" s="72">
        <v>0</v>
      </c>
      <c r="G123" s="72">
        <v>0</v>
      </c>
      <c r="H123" s="1">
        <v>0</v>
      </c>
      <c r="I123" s="1">
        <v>0</v>
      </c>
      <c r="J123" s="1">
        <v>0</v>
      </c>
      <c r="K123" s="1">
        <v>0</v>
      </c>
      <c r="L123" s="76">
        <v>0</v>
      </c>
      <c r="M123" s="76">
        <v>0</v>
      </c>
      <c r="N123" s="76">
        <v>0</v>
      </c>
      <c r="O123" s="76">
        <v>0</v>
      </c>
      <c r="P123" s="108">
        <v>0</v>
      </c>
      <c r="Q123" s="108"/>
      <c r="R123" s="108"/>
      <c r="S123" s="76"/>
    </row>
    <row r="124" spans="1:19" x14ac:dyDescent="0.35">
      <c r="A124" s="123">
        <v>44774</v>
      </c>
      <c r="B124" s="55" t="s">
        <v>49</v>
      </c>
      <c r="C124" s="124" t="s">
        <v>60</v>
      </c>
      <c r="D124" s="56">
        <v>0</v>
      </c>
      <c r="E124" s="56">
        <v>0</v>
      </c>
      <c r="F124" s="91">
        <v>0</v>
      </c>
      <c r="G124" s="91">
        <v>0</v>
      </c>
      <c r="H124" s="56">
        <v>0</v>
      </c>
      <c r="I124" s="56">
        <v>0</v>
      </c>
      <c r="J124" s="56">
        <v>0</v>
      </c>
      <c r="K124" s="56">
        <v>0</v>
      </c>
      <c r="L124" s="125">
        <v>0</v>
      </c>
      <c r="M124" s="125">
        <v>0</v>
      </c>
      <c r="N124" s="125">
        <v>0</v>
      </c>
      <c r="O124" s="125">
        <v>0</v>
      </c>
      <c r="P124" s="126">
        <v>0</v>
      </c>
      <c r="Q124" s="126"/>
      <c r="R124" s="126"/>
      <c r="S124" s="76"/>
    </row>
    <row r="125" spans="1:19" x14ac:dyDescent="0.35">
      <c r="A125" s="29">
        <v>44775</v>
      </c>
      <c r="B125" s="122" t="s">
        <v>50</v>
      </c>
      <c r="C125" s="111" t="s">
        <v>60</v>
      </c>
      <c r="D125" s="1">
        <v>0</v>
      </c>
      <c r="E125" s="1">
        <v>0</v>
      </c>
      <c r="F125" s="72">
        <v>0</v>
      </c>
      <c r="G125" s="72">
        <v>0</v>
      </c>
      <c r="H125" s="1">
        <v>0</v>
      </c>
      <c r="I125" s="1">
        <v>0</v>
      </c>
      <c r="J125" s="1">
        <v>0</v>
      </c>
      <c r="K125" s="1">
        <v>0</v>
      </c>
      <c r="L125" s="76">
        <v>0</v>
      </c>
      <c r="M125" s="76">
        <v>0</v>
      </c>
      <c r="N125" s="76">
        <v>0</v>
      </c>
      <c r="O125" s="76">
        <v>0</v>
      </c>
      <c r="P125" s="108">
        <v>0</v>
      </c>
      <c r="Q125" s="108"/>
      <c r="R125" s="108"/>
      <c r="S125" s="76"/>
    </row>
    <row r="126" spans="1:19" x14ac:dyDescent="0.35">
      <c r="A126" s="127">
        <v>44776</v>
      </c>
      <c r="B126" s="128" t="s">
        <v>51</v>
      </c>
      <c r="C126" s="129" t="s">
        <v>60</v>
      </c>
      <c r="D126" s="130">
        <v>0</v>
      </c>
      <c r="E126" s="130">
        <v>0</v>
      </c>
      <c r="F126" s="131">
        <v>0</v>
      </c>
      <c r="G126" s="131">
        <v>0</v>
      </c>
      <c r="H126" s="130">
        <v>0</v>
      </c>
      <c r="I126" s="130">
        <v>0</v>
      </c>
      <c r="J126" s="130">
        <v>0</v>
      </c>
      <c r="K126" s="130">
        <v>0</v>
      </c>
      <c r="L126" s="132">
        <v>0</v>
      </c>
      <c r="M126" s="132">
        <v>0</v>
      </c>
      <c r="N126" s="132">
        <v>0</v>
      </c>
      <c r="O126" s="132">
        <v>0</v>
      </c>
      <c r="P126" s="133">
        <v>0</v>
      </c>
      <c r="Q126" s="133"/>
      <c r="R126" s="133"/>
      <c r="S126" s="76"/>
    </row>
    <row r="127" spans="1:19" x14ac:dyDescent="0.35">
      <c r="A127" s="29">
        <v>44777</v>
      </c>
      <c r="B127" s="38" t="s">
        <v>52</v>
      </c>
      <c r="C127" s="111" t="s">
        <v>60</v>
      </c>
      <c r="D127" s="1">
        <v>559</v>
      </c>
      <c r="E127" s="1">
        <v>339</v>
      </c>
      <c r="F127" s="72">
        <v>6.0721062618595827E-2</v>
      </c>
      <c r="G127" s="72">
        <v>-0.25820568927789933</v>
      </c>
      <c r="H127" s="1">
        <v>559</v>
      </c>
      <c r="I127" s="1">
        <v>339</v>
      </c>
      <c r="J127" s="1">
        <v>44985</v>
      </c>
      <c r="K127" s="1">
        <v>40370</v>
      </c>
      <c r="L127" s="76">
        <v>0.24</v>
      </c>
      <c r="M127" s="76">
        <v>0.39</v>
      </c>
      <c r="N127" s="76">
        <v>0.61</v>
      </c>
      <c r="O127" s="76">
        <v>0.73</v>
      </c>
      <c r="P127" s="108">
        <v>0.97</v>
      </c>
      <c r="Q127" s="108"/>
      <c r="R127" s="108"/>
      <c r="S127" s="76"/>
    </row>
    <row r="128" spans="1:19" x14ac:dyDescent="0.35">
      <c r="A128" s="29">
        <v>44778</v>
      </c>
      <c r="B128" s="38" t="s">
        <v>53</v>
      </c>
      <c r="C128" s="111" t="s">
        <v>60</v>
      </c>
      <c r="D128" s="1">
        <v>513</v>
      </c>
      <c r="E128" s="1">
        <v>428</v>
      </c>
      <c r="F128" s="72">
        <v>-0.2071097372488408</v>
      </c>
      <c r="G128" s="72">
        <v>-6.5502183406113537E-2</v>
      </c>
      <c r="H128" s="1">
        <v>1072</v>
      </c>
      <c r="I128" s="1">
        <v>767</v>
      </c>
      <c r="J128" s="1">
        <v>45498</v>
      </c>
      <c r="K128" s="1">
        <v>40798</v>
      </c>
      <c r="L128" s="76">
        <v>0.56999999999999995</v>
      </c>
      <c r="M128" s="76">
        <v>0.17</v>
      </c>
      <c r="N128" s="76">
        <v>0.83</v>
      </c>
      <c r="O128" s="76">
        <v>0.74</v>
      </c>
      <c r="P128" s="108">
        <v>0.97</v>
      </c>
      <c r="Q128" s="108"/>
      <c r="R128" s="108"/>
      <c r="S128" s="76"/>
    </row>
    <row r="129" spans="1:19" x14ac:dyDescent="0.35">
      <c r="A129" s="29">
        <v>44779</v>
      </c>
      <c r="B129" s="38" t="s">
        <v>54</v>
      </c>
      <c r="C129" s="111" t="s">
        <v>60</v>
      </c>
      <c r="D129" s="1">
        <v>320</v>
      </c>
      <c r="E129" s="1">
        <v>259</v>
      </c>
      <c r="F129" s="72">
        <v>-0.1184573002754821</v>
      </c>
      <c r="G129" s="72">
        <v>5.7142857142857141E-2</v>
      </c>
      <c r="H129" s="1">
        <v>1392</v>
      </c>
      <c r="I129" s="1">
        <v>1026</v>
      </c>
      <c r="J129" s="1">
        <v>45818</v>
      </c>
      <c r="K129" s="1">
        <v>41057</v>
      </c>
      <c r="L129" s="76">
        <v>0.44</v>
      </c>
      <c r="M129" s="76">
        <v>0.19</v>
      </c>
      <c r="N129" s="76">
        <v>0.81</v>
      </c>
      <c r="O129" s="76">
        <v>0.6</v>
      </c>
      <c r="P129" s="108">
        <v>0.99</v>
      </c>
      <c r="Q129" s="108"/>
      <c r="R129" s="108"/>
      <c r="S129" s="76"/>
    </row>
    <row r="130" spans="1:19" x14ac:dyDescent="0.35">
      <c r="A130" s="29">
        <v>44780</v>
      </c>
      <c r="B130" s="38" t="s">
        <v>48</v>
      </c>
      <c r="C130" s="111" t="s">
        <v>60</v>
      </c>
      <c r="D130" s="1">
        <v>0</v>
      </c>
      <c r="E130" s="1">
        <v>0</v>
      </c>
      <c r="F130" s="72">
        <v>0</v>
      </c>
      <c r="G130" s="72">
        <v>0</v>
      </c>
      <c r="H130" s="1">
        <v>0</v>
      </c>
      <c r="I130" s="1">
        <v>0</v>
      </c>
      <c r="J130" s="1">
        <v>0</v>
      </c>
      <c r="K130" s="1">
        <v>0</v>
      </c>
      <c r="L130" s="76">
        <v>0</v>
      </c>
      <c r="M130" s="76">
        <v>0</v>
      </c>
      <c r="N130" s="76">
        <v>0</v>
      </c>
      <c r="O130" s="76">
        <v>0</v>
      </c>
      <c r="P130" s="108">
        <v>0</v>
      </c>
      <c r="Q130" s="108"/>
      <c r="R130" s="108"/>
      <c r="S130" s="76"/>
    </row>
    <row r="131" spans="1:19" x14ac:dyDescent="0.35">
      <c r="A131" s="29">
        <v>44781</v>
      </c>
      <c r="B131" s="38" t="s">
        <v>49</v>
      </c>
      <c r="C131" s="111" t="s">
        <v>60</v>
      </c>
      <c r="D131" s="1">
        <v>555</v>
      </c>
      <c r="E131" s="1">
        <v>399</v>
      </c>
      <c r="F131" s="72">
        <v>0</v>
      </c>
      <c r="G131" s="72">
        <v>0</v>
      </c>
      <c r="H131" s="1">
        <v>1947</v>
      </c>
      <c r="I131" s="1">
        <v>1425</v>
      </c>
      <c r="J131" s="1">
        <v>46373</v>
      </c>
      <c r="K131" s="1">
        <v>41456</v>
      </c>
      <c r="L131" s="76">
        <v>0.35</v>
      </c>
      <c r="M131" s="76">
        <v>0.28000000000000003</v>
      </c>
      <c r="N131" s="76">
        <v>0.72</v>
      </c>
      <c r="O131" s="76">
        <v>0.92</v>
      </c>
      <c r="P131" s="108">
        <v>0.97</v>
      </c>
      <c r="Q131" s="108"/>
      <c r="R131" s="108"/>
      <c r="S131" s="76"/>
    </row>
    <row r="132" spans="1:19" x14ac:dyDescent="0.35">
      <c r="A132" s="29">
        <v>44782</v>
      </c>
      <c r="B132" s="38" t="s">
        <v>50</v>
      </c>
      <c r="C132" s="111" t="s">
        <v>60</v>
      </c>
      <c r="D132" s="1">
        <v>455</v>
      </c>
      <c r="E132" s="1">
        <v>396</v>
      </c>
      <c r="F132" s="72">
        <v>0</v>
      </c>
      <c r="G132" s="72">
        <v>0</v>
      </c>
      <c r="H132" s="1">
        <v>2402</v>
      </c>
      <c r="I132" s="1">
        <v>1821</v>
      </c>
      <c r="J132" s="1">
        <v>46828</v>
      </c>
      <c r="K132" s="1">
        <v>41852</v>
      </c>
      <c r="L132" s="76">
        <v>0.6</v>
      </c>
      <c r="M132" s="76">
        <v>0.13</v>
      </c>
      <c r="N132" s="76">
        <v>0.87</v>
      </c>
      <c r="O132" s="76">
        <v>0.68</v>
      </c>
      <c r="P132" s="108">
        <v>0.98</v>
      </c>
      <c r="Q132" s="108"/>
      <c r="R132" s="108"/>
      <c r="S132" s="76"/>
    </row>
    <row r="133" spans="1:19" x14ac:dyDescent="0.35">
      <c r="A133" s="29">
        <v>44783</v>
      </c>
      <c r="B133" s="38" t="s">
        <v>51</v>
      </c>
      <c r="C133" s="111" t="s">
        <v>60</v>
      </c>
      <c r="D133" s="1">
        <v>539</v>
      </c>
      <c r="E133" s="1">
        <v>408</v>
      </c>
      <c r="F133" s="72">
        <v>0</v>
      </c>
      <c r="G133" s="72">
        <v>0</v>
      </c>
      <c r="H133" s="1">
        <v>2941</v>
      </c>
      <c r="I133" s="1">
        <v>2229</v>
      </c>
      <c r="J133" s="1">
        <v>47367</v>
      </c>
      <c r="K133" s="1">
        <v>42260</v>
      </c>
      <c r="L133" s="76">
        <v>0.34</v>
      </c>
      <c r="M133" s="76">
        <v>0.24</v>
      </c>
      <c r="N133" s="76">
        <v>0.76</v>
      </c>
      <c r="O133" s="76">
        <v>0.93</v>
      </c>
      <c r="P133" s="108">
        <v>0.97</v>
      </c>
      <c r="Q133" s="108"/>
      <c r="R133" s="108"/>
      <c r="S133" s="76"/>
    </row>
    <row r="134" spans="1:19" x14ac:dyDescent="0.35">
      <c r="A134" s="29">
        <v>44784</v>
      </c>
      <c r="B134" s="38" t="s">
        <v>52</v>
      </c>
      <c r="C134" s="111" t="s">
        <v>60</v>
      </c>
      <c r="D134" s="1">
        <v>458</v>
      </c>
      <c r="E134" s="1">
        <v>375</v>
      </c>
      <c r="F134" s="72">
        <v>-0.18067978533094811</v>
      </c>
      <c r="G134" s="72">
        <v>0.10619469026548672</v>
      </c>
      <c r="H134" s="1">
        <v>3399</v>
      </c>
      <c r="I134" s="1">
        <v>2604</v>
      </c>
      <c r="J134" s="1">
        <v>47825</v>
      </c>
      <c r="K134" s="1">
        <v>42635</v>
      </c>
      <c r="L134" s="76">
        <v>0.56000000000000005</v>
      </c>
      <c r="M134" s="76">
        <v>0.18</v>
      </c>
      <c r="N134" s="76">
        <v>0.82</v>
      </c>
      <c r="O134" s="76">
        <v>0.79</v>
      </c>
      <c r="P134" s="108">
        <v>0.95</v>
      </c>
      <c r="Q134" s="108"/>
      <c r="R134" s="108"/>
      <c r="S134" s="76"/>
    </row>
    <row r="135" spans="1:19" x14ac:dyDescent="0.35">
      <c r="A135" s="29">
        <v>44785</v>
      </c>
      <c r="B135" s="38" t="s">
        <v>53</v>
      </c>
      <c r="C135" s="111" t="s">
        <v>60</v>
      </c>
      <c r="D135" s="1">
        <v>488</v>
      </c>
      <c r="E135" s="1">
        <v>440</v>
      </c>
      <c r="F135" s="72">
        <v>-4.8732943469785572E-2</v>
      </c>
      <c r="G135" s="72">
        <v>2.8037383177570093E-2</v>
      </c>
      <c r="H135" s="1">
        <v>3887</v>
      </c>
      <c r="I135" s="1">
        <v>3044</v>
      </c>
      <c r="J135" s="1">
        <v>48313</v>
      </c>
      <c r="K135" s="1">
        <v>43075</v>
      </c>
      <c r="L135" s="76">
        <v>0.7</v>
      </c>
      <c r="M135" s="76">
        <v>0.1</v>
      </c>
      <c r="N135" s="76">
        <v>0.9</v>
      </c>
      <c r="O135" s="76">
        <v>0.82</v>
      </c>
      <c r="P135" s="108">
        <v>0.98</v>
      </c>
      <c r="Q135" s="108"/>
      <c r="R135" s="108"/>
      <c r="S135" s="76"/>
    </row>
    <row r="136" spans="1:19" x14ac:dyDescent="0.35">
      <c r="A136" s="29">
        <v>44786</v>
      </c>
      <c r="B136" s="38" t="s">
        <v>54</v>
      </c>
      <c r="C136" s="111" t="s">
        <v>60</v>
      </c>
      <c r="D136" s="1">
        <v>323</v>
      </c>
      <c r="E136" s="1">
        <v>257</v>
      </c>
      <c r="F136" s="72">
        <v>9.3749999999999997E-3</v>
      </c>
      <c r="G136" s="72">
        <v>-7.7220077220077222E-3</v>
      </c>
      <c r="H136" s="1">
        <v>4210</v>
      </c>
      <c r="I136" s="1">
        <v>3301</v>
      </c>
      <c r="J136" s="1">
        <v>48636</v>
      </c>
      <c r="K136" s="1">
        <v>43332</v>
      </c>
      <c r="L136" s="76">
        <v>0.56000000000000005</v>
      </c>
      <c r="M136" s="76">
        <v>0.2</v>
      </c>
      <c r="N136" s="76">
        <v>0.8</v>
      </c>
      <c r="O136" s="76">
        <v>0.88</v>
      </c>
      <c r="P136" s="108">
        <v>0.96</v>
      </c>
      <c r="Q136" s="108"/>
      <c r="R136" s="108"/>
      <c r="S136" s="76"/>
    </row>
    <row r="137" spans="1:19" x14ac:dyDescent="0.35">
      <c r="A137" s="29">
        <v>44787</v>
      </c>
      <c r="B137" s="38" t="s">
        <v>48</v>
      </c>
      <c r="C137" s="111" t="s">
        <v>60</v>
      </c>
      <c r="D137" s="1">
        <v>0</v>
      </c>
      <c r="E137" s="1">
        <v>0</v>
      </c>
      <c r="F137" s="72">
        <v>0</v>
      </c>
      <c r="G137" s="72">
        <v>0</v>
      </c>
      <c r="H137" s="1">
        <v>0</v>
      </c>
      <c r="I137" s="1">
        <v>0</v>
      </c>
      <c r="J137" s="1">
        <v>0</v>
      </c>
      <c r="K137" s="1">
        <v>0</v>
      </c>
      <c r="L137" s="76">
        <v>0</v>
      </c>
      <c r="M137" s="76">
        <v>0</v>
      </c>
      <c r="N137" s="76">
        <v>0</v>
      </c>
      <c r="O137" s="76">
        <v>0</v>
      </c>
      <c r="P137" s="108">
        <v>0</v>
      </c>
      <c r="Q137" s="108"/>
      <c r="R137" s="108"/>
      <c r="S137" s="76"/>
    </row>
    <row r="138" spans="1:19" x14ac:dyDescent="0.35">
      <c r="A138" s="29">
        <v>44788</v>
      </c>
      <c r="B138" s="38" t="s">
        <v>49</v>
      </c>
      <c r="C138" s="111" t="s">
        <v>60</v>
      </c>
      <c r="D138" s="1">
        <v>728</v>
      </c>
      <c r="E138" s="1">
        <v>531</v>
      </c>
      <c r="F138" s="72">
        <v>0.31171171171171169</v>
      </c>
      <c r="G138" s="72">
        <v>0.33082706766917291</v>
      </c>
      <c r="H138" s="1">
        <v>4938</v>
      </c>
      <c r="I138" s="1">
        <v>3832</v>
      </c>
      <c r="J138" s="1">
        <v>49364</v>
      </c>
      <c r="K138" s="1">
        <v>43863</v>
      </c>
      <c r="L138" s="76">
        <v>0.31</v>
      </c>
      <c r="M138" s="76">
        <v>0.27</v>
      </c>
      <c r="N138" s="76">
        <v>0.73</v>
      </c>
      <c r="O138" s="76">
        <v>0.73</v>
      </c>
      <c r="P138" s="108">
        <v>0.94</v>
      </c>
      <c r="Q138" s="108"/>
      <c r="R138" s="108"/>
      <c r="S138" s="76"/>
    </row>
    <row r="139" spans="1:19" x14ac:dyDescent="0.35">
      <c r="A139" s="29">
        <v>44789</v>
      </c>
      <c r="B139" s="38" t="s">
        <v>50</v>
      </c>
      <c r="C139" s="111" t="s">
        <v>60</v>
      </c>
      <c r="D139" s="1">
        <v>716</v>
      </c>
      <c r="E139" s="1">
        <v>499</v>
      </c>
      <c r="F139" s="72">
        <v>0.57362637362637359</v>
      </c>
      <c r="G139" s="72">
        <v>0.26010101010101011</v>
      </c>
      <c r="H139" s="1">
        <v>5654</v>
      </c>
      <c r="I139" s="1">
        <v>4331</v>
      </c>
      <c r="J139" s="1">
        <v>50080</v>
      </c>
      <c r="K139" s="1">
        <v>44362</v>
      </c>
      <c r="L139" s="76">
        <v>0.26</v>
      </c>
      <c r="M139" s="76">
        <v>0.38</v>
      </c>
      <c r="N139" s="76">
        <v>0.62</v>
      </c>
      <c r="O139" s="76">
        <v>0.69</v>
      </c>
      <c r="P139" s="108">
        <v>0.97</v>
      </c>
      <c r="Q139" s="108"/>
      <c r="R139" s="108"/>
      <c r="S139" s="76"/>
    </row>
    <row r="140" spans="1:19" x14ac:dyDescent="0.35">
      <c r="A140" s="29">
        <v>44790</v>
      </c>
      <c r="B140" s="38" t="s">
        <v>51</v>
      </c>
      <c r="C140" s="111" t="s">
        <v>60</v>
      </c>
      <c r="D140" s="1">
        <v>238</v>
      </c>
      <c r="E140" s="1">
        <v>229</v>
      </c>
      <c r="F140" s="72">
        <v>-0.55844155844155841</v>
      </c>
      <c r="G140" s="72">
        <v>-0.43872549019607843</v>
      </c>
      <c r="H140" s="1">
        <v>5892</v>
      </c>
      <c r="I140" s="1">
        <v>4560</v>
      </c>
      <c r="J140" s="1">
        <v>50318</v>
      </c>
      <c r="K140" s="1">
        <v>44591</v>
      </c>
      <c r="L140" s="76">
        <v>0.88</v>
      </c>
      <c r="M140" s="76">
        <v>0.04</v>
      </c>
      <c r="N140" s="76">
        <v>0.96</v>
      </c>
      <c r="O140" s="76">
        <v>0.32</v>
      </c>
      <c r="P140" s="108">
        <v>0.98</v>
      </c>
      <c r="Q140" s="108"/>
      <c r="R140" s="108"/>
      <c r="S140" s="76"/>
    </row>
    <row r="141" spans="1:19" x14ac:dyDescent="0.35">
      <c r="A141" s="29">
        <v>44791</v>
      </c>
      <c r="B141" s="38" t="s">
        <v>52</v>
      </c>
      <c r="C141" s="111" t="s">
        <v>60</v>
      </c>
      <c r="D141" s="1">
        <v>576</v>
      </c>
      <c r="E141" s="1">
        <v>333</v>
      </c>
      <c r="F141" s="72">
        <v>0.2576419213973799</v>
      </c>
      <c r="G141" s="72">
        <v>-0.112</v>
      </c>
      <c r="H141" s="1">
        <v>6468</v>
      </c>
      <c r="I141" s="1">
        <v>4893</v>
      </c>
      <c r="J141" s="1">
        <v>50894</v>
      </c>
      <c r="K141" s="1">
        <v>44924</v>
      </c>
      <c r="L141" s="76">
        <v>0.2</v>
      </c>
      <c r="M141" s="76">
        <v>0.42</v>
      </c>
      <c r="N141" s="76">
        <v>0.57999999999999996</v>
      </c>
      <c r="O141" s="76">
        <v>0.46</v>
      </c>
      <c r="P141" s="108">
        <v>0.97</v>
      </c>
      <c r="Q141" s="108"/>
      <c r="R141" s="108"/>
      <c r="S141" s="76"/>
    </row>
    <row r="142" spans="1:19" x14ac:dyDescent="0.35">
      <c r="A142" s="29">
        <v>44792</v>
      </c>
      <c r="B142" s="38" t="s">
        <v>53</v>
      </c>
      <c r="C142" s="111" t="s">
        <v>60</v>
      </c>
      <c r="D142" s="1">
        <v>528</v>
      </c>
      <c r="E142" s="1">
        <v>473</v>
      </c>
      <c r="F142" s="72">
        <v>8.1967213114754092E-2</v>
      </c>
      <c r="G142" s="72">
        <v>7.4999999999999997E-2</v>
      </c>
      <c r="H142" s="1">
        <v>6996</v>
      </c>
      <c r="I142" s="1">
        <v>5366</v>
      </c>
      <c r="J142" s="1">
        <v>51422</v>
      </c>
      <c r="K142" s="1">
        <v>45397</v>
      </c>
      <c r="L142" s="76">
        <v>0.73</v>
      </c>
      <c r="M142" s="76">
        <v>0.1</v>
      </c>
      <c r="N142" s="76">
        <v>0.9</v>
      </c>
      <c r="O142" s="76">
        <v>0.65</v>
      </c>
      <c r="P142" s="108">
        <v>0.95</v>
      </c>
      <c r="Q142" s="108"/>
      <c r="R142" s="108"/>
      <c r="S142" s="76"/>
    </row>
    <row r="143" spans="1:19" x14ac:dyDescent="0.35">
      <c r="A143" s="29">
        <v>44793</v>
      </c>
      <c r="B143" s="38" t="s">
        <v>54</v>
      </c>
      <c r="C143" s="111" t="s">
        <v>60</v>
      </c>
      <c r="D143" s="1">
        <v>241</v>
      </c>
      <c r="E143" s="1">
        <v>207</v>
      </c>
      <c r="F143" s="72">
        <v>-0.25386996904024767</v>
      </c>
      <c r="G143" s="72">
        <v>-0.19455252918287938</v>
      </c>
      <c r="H143" s="1">
        <v>7237</v>
      </c>
      <c r="I143" s="1">
        <v>5573</v>
      </c>
      <c r="J143" s="1">
        <v>51663</v>
      </c>
      <c r="K143" s="1">
        <v>45604</v>
      </c>
      <c r="L143" s="76">
        <v>0.69</v>
      </c>
      <c r="M143" s="76">
        <v>0.13</v>
      </c>
      <c r="N143" s="76">
        <v>0.87</v>
      </c>
      <c r="O143" s="76">
        <v>0.48</v>
      </c>
      <c r="P143" s="108">
        <v>0.97</v>
      </c>
      <c r="Q143" s="108"/>
      <c r="R143" s="108"/>
      <c r="S143" s="76"/>
    </row>
    <row r="144" spans="1:19" x14ac:dyDescent="0.35">
      <c r="A144" s="29">
        <v>44794</v>
      </c>
      <c r="B144" s="38" t="s">
        <v>48</v>
      </c>
      <c r="C144" s="111" t="s">
        <v>60</v>
      </c>
      <c r="D144" s="1">
        <v>0</v>
      </c>
      <c r="E144" s="1">
        <v>0</v>
      </c>
      <c r="F144" s="72">
        <v>0</v>
      </c>
      <c r="G144" s="72">
        <v>0</v>
      </c>
      <c r="H144" s="1">
        <v>0</v>
      </c>
      <c r="I144" s="1">
        <v>0</v>
      </c>
      <c r="J144" s="1">
        <v>0</v>
      </c>
      <c r="K144" s="1">
        <v>0</v>
      </c>
      <c r="L144" s="76">
        <v>0</v>
      </c>
      <c r="M144" s="76">
        <v>0</v>
      </c>
      <c r="N144" s="76">
        <v>0</v>
      </c>
      <c r="O144" s="76">
        <v>0</v>
      </c>
      <c r="P144" s="108">
        <v>0</v>
      </c>
      <c r="Q144" s="108"/>
      <c r="R144" s="108"/>
      <c r="S144" s="76"/>
    </row>
    <row r="145" spans="1:23" x14ac:dyDescent="0.35">
      <c r="A145" s="29">
        <v>44795</v>
      </c>
      <c r="B145" s="38" t="s">
        <v>49</v>
      </c>
      <c r="C145" s="111" t="s">
        <v>60</v>
      </c>
      <c r="D145" s="1">
        <v>681</v>
      </c>
      <c r="E145" s="1">
        <v>531</v>
      </c>
      <c r="F145" s="72">
        <v>-6.4560439560439567E-2</v>
      </c>
      <c r="G145" s="72">
        <v>0</v>
      </c>
      <c r="H145" s="1">
        <v>7918</v>
      </c>
      <c r="I145" s="1">
        <v>6104</v>
      </c>
      <c r="J145" s="1">
        <v>52344</v>
      </c>
      <c r="K145" s="1">
        <v>46135</v>
      </c>
      <c r="L145" s="76">
        <v>0.41</v>
      </c>
      <c r="M145" s="76">
        <v>0.22</v>
      </c>
      <c r="N145" s="76">
        <v>0.78</v>
      </c>
      <c r="O145" s="76">
        <v>0.73</v>
      </c>
      <c r="P145" s="108">
        <v>0.98</v>
      </c>
      <c r="Q145" s="113"/>
      <c r="R145" s="113"/>
      <c r="S145" s="112"/>
    </row>
    <row r="146" spans="1:23" x14ac:dyDescent="0.35">
      <c r="A146" s="29">
        <v>44796</v>
      </c>
      <c r="B146" s="38" t="s">
        <v>50</v>
      </c>
      <c r="C146" s="111" t="s">
        <v>60</v>
      </c>
      <c r="D146" s="1">
        <v>659</v>
      </c>
      <c r="E146" s="1">
        <v>501</v>
      </c>
      <c r="F146" s="72">
        <v>-7.9608938547486033E-2</v>
      </c>
      <c r="G146" s="72">
        <v>4.0080160320641279E-3</v>
      </c>
      <c r="H146" s="1">
        <v>8577</v>
      </c>
      <c r="I146" s="1">
        <v>6605</v>
      </c>
      <c r="J146" s="1">
        <v>53003</v>
      </c>
      <c r="K146" s="1">
        <v>46636</v>
      </c>
      <c r="L146" s="76">
        <v>0.38</v>
      </c>
      <c r="M146" s="76">
        <v>0.24</v>
      </c>
      <c r="N146" s="76">
        <v>0.76</v>
      </c>
      <c r="O146" s="76">
        <v>0.86</v>
      </c>
      <c r="P146" s="108">
        <v>0.98</v>
      </c>
      <c r="Q146" s="108"/>
      <c r="R146" s="108"/>
      <c r="S146" s="76"/>
    </row>
    <row r="147" spans="1:23" x14ac:dyDescent="0.35">
      <c r="A147" s="29">
        <v>44797</v>
      </c>
      <c r="B147" s="38" t="s">
        <v>51</v>
      </c>
      <c r="C147" s="111" t="s">
        <v>60</v>
      </c>
      <c r="D147" s="1">
        <v>581</v>
      </c>
      <c r="E147" s="1">
        <v>495</v>
      </c>
      <c r="F147" s="72">
        <v>1.4411764705882353</v>
      </c>
      <c r="G147" s="72">
        <v>1.1615720524017468</v>
      </c>
      <c r="H147" s="1">
        <v>9158</v>
      </c>
      <c r="I147" s="1">
        <v>7100</v>
      </c>
      <c r="J147" s="1">
        <v>53584</v>
      </c>
      <c r="K147" s="1">
        <v>47131</v>
      </c>
      <c r="L147" s="76">
        <v>0.63</v>
      </c>
      <c r="M147" s="76">
        <v>0.15</v>
      </c>
      <c r="N147" s="76">
        <v>0.85</v>
      </c>
      <c r="O147" s="76">
        <v>0.68</v>
      </c>
      <c r="P147" s="108">
        <v>0.97</v>
      </c>
      <c r="Q147" s="108"/>
      <c r="R147" s="108"/>
      <c r="S147" s="76"/>
      <c r="U147" s="54"/>
      <c r="V147" s="54"/>
      <c r="W147" s="54"/>
    </row>
    <row r="148" spans="1:23" x14ac:dyDescent="0.35">
      <c r="A148" s="29">
        <v>44798</v>
      </c>
      <c r="B148" s="38" t="s">
        <v>52</v>
      </c>
      <c r="C148" s="111" t="s">
        <v>60</v>
      </c>
      <c r="D148" s="1">
        <v>599</v>
      </c>
      <c r="E148" s="1">
        <v>488</v>
      </c>
      <c r="F148" s="72">
        <v>3.9930555555555552E-2</v>
      </c>
      <c r="G148" s="72">
        <v>0.46546546546546547</v>
      </c>
      <c r="H148" s="1">
        <v>9757</v>
      </c>
      <c r="I148" s="1">
        <v>7588</v>
      </c>
      <c r="J148" s="1">
        <v>54183</v>
      </c>
      <c r="K148" s="1">
        <v>47619</v>
      </c>
      <c r="L148" s="76">
        <v>0.49</v>
      </c>
      <c r="M148" s="76">
        <v>0.19</v>
      </c>
      <c r="N148" s="76">
        <v>0.81</v>
      </c>
      <c r="O148" s="76">
        <v>0.67</v>
      </c>
      <c r="P148" s="108">
        <v>0.94</v>
      </c>
      <c r="Q148" s="108"/>
      <c r="R148" s="108"/>
      <c r="S148" s="76"/>
    </row>
    <row r="149" spans="1:23" x14ac:dyDescent="0.35">
      <c r="A149" s="29">
        <v>44799</v>
      </c>
      <c r="B149" s="38" t="s">
        <v>53</v>
      </c>
      <c r="C149" s="111" t="s">
        <v>60</v>
      </c>
      <c r="D149" s="1">
        <v>666</v>
      </c>
      <c r="E149" s="1">
        <v>536</v>
      </c>
      <c r="F149" s="72">
        <v>0.26136363636363635</v>
      </c>
      <c r="G149" s="72">
        <v>0.1331923890063425</v>
      </c>
      <c r="H149" s="1">
        <v>10423</v>
      </c>
      <c r="I149" s="1">
        <v>8124</v>
      </c>
      <c r="J149" s="1">
        <v>54849</v>
      </c>
      <c r="K149" s="1">
        <v>48155</v>
      </c>
      <c r="L149" s="76">
        <v>0.47</v>
      </c>
      <c r="M149" s="76">
        <v>0.19</v>
      </c>
      <c r="N149" s="76">
        <v>0.81</v>
      </c>
      <c r="O149" s="76">
        <v>0.74</v>
      </c>
      <c r="P149" s="108">
        <v>0.93</v>
      </c>
      <c r="Q149" s="108"/>
      <c r="R149" s="108"/>
      <c r="S149" s="76"/>
    </row>
    <row r="150" spans="1:23" x14ac:dyDescent="0.35">
      <c r="A150" s="29">
        <v>44800</v>
      </c>
      <c r="B150" s="38" t="s">
        <v>54</v>
      </c>
      <c r="C150" s="111" t="s">
        <v>60</v>
      </c>
      <c r="D150" s="1">
        <v>508</v>
      </c>
      <c r="E150" s="1">
        <v>303</v>
      </c>
      <c r="F150" s="72">
        <v>1.107883817427386</v>
      </c>
      <c r="G150" s="72">
        <v>0.46376811594202899</v>
      </c>
      <c r="H150" s="1">
        <v>10931</v>
      </c>
      <c r="I150" s="1">
        <v>8427</v>
      </c>
      <c r="J150" s="1">
        <v>55357</v>
      </c>
      <c r="K150" s="1">
        <v>48458</v>
      </c>
      <c r="L150" s="76">
        <v>0.16</v>
      </c>
      <c r="M150" s="76">
        <v>0.4</v>
      </c>
      <c r="N150" s="76">
        <v>0.7</v>
      </c>
      <c r="O150" s="76">
        <v>0.7</v>
      </c>
      <c r="P150" s="108">
        <v>0.95</v>
      </c>
      <c r="Q150" s="108"/>
      <c r="R150" s="108"/>
      <c r="S150" s="149"/>
    </row>
    <row r="151" spans="1:23" x14ac:dyDescent="0.35">
      <c r="A151" s="29">
        <v>44801</v>
      </c>
      <c r="B151" s="38" t="s">
        <v>48</v>
      </c>
      <c r="C151" s="111" t="s">
        <v>60</v>
      </c>
      <c r="D151" s="1">
        <v>0</v>
      </c>
      <c r="E151" s="1">
        <v>0</v>
      </c>
      <c r="F151" s="72">
        <v>0</v>
      </c>
      <c r="G151" s="72">
        <v>0</v>
      </c>
      <c r="H151" s="1">
        <v>0</v>
      </c>
      <c r="I151" s="1">
        <v>0</v>
      </c>
      <c r="J151" s="1">
        <v>0</v>
      </c>
      <c r="K151" s="1">
        <v>0</v>
      </c>
      <c r="L151" s="76">
        <v>0</v>
      </c>
      <c r="M151" s="76">
        <v>0</v>
      </c>
      <c r="N151" s="76">
        <v>0</v>
      </c>
      <c r="O151" s="76">
        <v>0</v>
      </c>
      <c r="P151" s="108">
        <v>0</v>
      </c>
      <c r="Q151" s="108"/>
      <c r="R151" s="108"/>
      <c r="S151" s="149"/>
    </row>
    <row r="152" spans="1:23" x14ac:dyDescent="0.35">
      <c r="A152" s="29">
        <v>44802</v>
      </c>
      <c r="B152" s="38" t="s">
        <v>49</v>
      </c>
      <c r="C152" s="111" t="s">
        <v>60</v>
      </c>
      <c r="D152" s="1">
        <v>919</v>
      </c>
      <c r="E152" s="1">
        <v>391</v>
      </c>
      <c r="F152" s="72">
        <v>0.34948604992657856</v>
      </c>
      <c r="G152" s="72">
        <v>-0.26365348399246702</v>
      </c>
      <c r="H152" s="1">
        <v>11850</v>
      </c>
      <c r="I152" s="1">
        <v>8818</v>
      </c>
      <c r="J152" s="1">
        <v>56276</v>
      </c>
      <c r="K152" s="1">
        <v>48849</v>
      </c>
      <c r="L152" s="76">
        <v>0.04</v>
      </c>
      <c r="M152" s="76">
        <v>0.56999999999999995</v>
      </c>
      <c r="N152" s="76">
        <v>0.43</v>
      </c>
      <c r="O152" s="76">
        <v>0.67</v>
      </c>
      <c r="P152" s="108">
        <v>0.99</v>
      </c>
      <c r="Q152" s="108"/>
      <c r="R152" s="108"/>
      <c r="S152" s="150">
        <v>4</v>
      </c>
    </row>
    <row r="153" spans="1:23" x14ac:dyDescent="0.35">
      <c r="A153" s="29">
        <v>44803</v>
      </c>
      <c r="B153" s="38" t="s">
        <v>50</v>
      </c>
      <c r="C153" s="111" t="s">
        <v>60</v>
      </c>
      <c r="D153" s="1">
        <v>801</v>
      </c>
      <c r="E153" s="1">
        <v>368</v>
      </c>
      <c r="F153" s="72">
        <v>0.21547799696509864</v>
      </c>
      <c r="G153" s="72">
        <v>-0.26546906187624753</v>
      </c>
      <c r="H153" s="1">
        <v>12651</v>
      </c>
      <c r="I153" s="1">
        <v>9186</v>
      </c>
      <c r="J153" s="1">
        <v>57077</v>
      </c>
      <c r="K153" s="1">
        <v>49217</v>
      </c>
      <c r="L153" s="76">
        <v>0.08</v>
      </c>
      <c r="M153" s="76">
        <v>0.54</v>
      </c>
      <c r="N153" s="76">
        <v>0.46</v>
      </c>
      <c r="O153" s="76">
        <v>0.79</v>
      </c>
      <c r="P153" s="108">
        <v>0.98</v>
      </c>
      <c r="Q153" s="108"/>
      <c r="R153" s="108"/>
      <c r="S153" s="150">
        <v>3</v>
      </c>
      <c r="V153" s="276" t="s">
        <v>96</v>
      </c>
      <c r="W153" s="276"/>
    </row>
    <row r="154" spans="1:23" x14ac:dyDescent="0.35">
      <c r="A154" s="29">
        <v>44804</v>
      </c>
      <c r="B154" s="38" t="s">
        <v>51</v>
      </c>
      <c r="C154" s="111" t="s">
        <v>60</v>
      </c>
      <c r="D154" s="1">
        <v>744</v>
      </c>
      <c r="E154" s="1">
        <v>331</v>
      </c>
      <c r="F154" s="72">
        <v>0.28055077452667815</v>
      </c>
      <c r="G154" s="72">
        <v>-0.33131313131313134</v>
      </c>
      <c r="H154" s="1">
        <v>13395</v>
      </c>
      <c r="I154" s="1">
        <v>9517</v>
      </c>
      <c r="J154" s="1">
        <v>57821</v>
      </c>
      <c r="K154" s="1">
        <v>49548</v>
      </c>
      <c r="L154" s="76">
        <v>7.0000000000000007E-2</v>
      </c>
      <c r="M154" s="76">
        <v>0.46</v>
      </c>
      <c r="N154" s="76">
        <v>0.54</v>
      </c>
      <c r="O154" s="76">
        <v>0.85</v>
      </c>
      <c r="P154" s="108">
        <v>0.98</v>
      </c>
      <c r="Q154" s="108"/>
      <c r="R154" s="108"/>
      <c r="S154" s="150">
        <v>3</v>
      </c>
      <c r="V154" t="s">
        <v>97</v>
      </c>
      <c r="W154" t="s">
        <v>98</v>
      </c>
    </row>
    <row r="155" spans="1:23" x14ac:dyDescent="0.35">
      <c r="A155" s="29">
        <v>44805</v>
      </c>
      <c r="B155" s="38" t="s">
        <v>52</v>
      </c>
      <c r="C155" s="111" t="s">
        <v>60</v>
      </c>
      <c r="D155" s="1">
        <v>715</v>
      </c>
      <c r="E155" s="1">
        <v>292</v>
      </c>
      <c r="F155" s="72">
        <v>0.19365609348914858</v>
      </c>
      <c r="G155" s="72">
        <v>-0.40163934426229508</v>
      </c>
      <c r="H155" s="1">
        <v>715</v>
      </c>
      <c r="I155" s="1">
        <v>292</v>
      </c>
      <c r="J155" s="1">
        <v>58536</v>
      </c>
      <c r="K155" s="1">
        <v>49840</v>
      </c>
      <c r="L155" s="76">
        <v>0.04</v>
      </c>
      <c r="M155" s="76">
        <v>0.59</v>
      </c>
      <c r="N155" s="76">
        <v>0.41</v>
      </c>
      <c r="O155" s="76">
        <v>0.67</v>
      </c>
      <c r="P155" s="108">
        <v>0.98</v>
      </c>
      <c r="Q155" s="108"/>
      <c r="R155" s="108"/>
      <c r="S155" s="158">
        <v>3</v>
      </c>
      <c r="V155" t="s">
        <v>99</v>
      </c>
      <c r="W155" s="219">
        <v>0</v>
      </c>
    </row>
    <row r="156" spans="1:23" x14ac:dyDescent="0.35">
      <c r="A156" s="29">
        <v>44806</v>
      </c>
      <c r="B156" s="38" t="s">
        <v>53</v>
      </c>
      <c r="C156" s="111" t="s">
        <v>60</v>
      </c>
      <c r="D156" s="1">
        <v>659</v>
      </c>
      <c r="E156" s="1">
        <v>351</v>
      </c>
      <c r="F156" s="72">
        <v>-1.0510510510510511E-2</v>
      </c>
      <c r="G156" s="72">
        <v>-0.34514925373134331</v>
      </c>
      <c r="H156" s="1">
        <v>1374</v>
      </c>
      <c r="I156" s="1">
        <v>643</v>
      </c>
      <c r="J156" s="1">
        <v>59195</v>
      </c>
      <c r="K156" s="1">
        <v>50191</v>
      </c>
      <c r="L156" s="76">
        <v>0.13</v>
      </c>
      <c r="M156" s="76">
        <v>0.47</v>
      </c>
      <c r="N156" s="76">
        <v>0.53</v>
      </c>
      <c r="O156" s="76">
        <v>0.81</v>
      </c>
      <c r="P156" s="108">
        <v>0.97</v>
      </c>
      <c r="Q156" s="108"/>
      <c r="R156" s="108"/>
      <c r="S156" s="158">
        <v>3</v>
      </c>
      <c r="V156" t="s">
        <v>100</v>
      </c>
      <c r="W156" s="219">
        <v>0.10416666666666667</v>
      </c>
    </row>
    <row r="157" spans="1:23" x14ac:dyDescent="0.35">
      <c r="A157" s="29">
        <v>44807</v>
      </c>
      <c r="B157" s="38" t="s">
        <v>54</v>
      </c>
      <c r="C157" s="111" t="s">
        <v>60</v>
      </c>
      <c r="D157" s="1">
        <v>334</v>
      </c>
      <c r="E157" s="1">
        <v>281</v>
      </c>
      <c r="F157" s="72">
        <v>-0.34251968503937008</v>
      </c>
      <c r="G157" s="72">
        <v>-7.2607260726072612E-2</v>
      </c>
      <c r="H157" s="1">
        <v>1708</v>
      </c>
      <c r="I157" s="1">
        <v>924</v>
      </c>
      <c r="J157" s="1">
        <v>59529</v>
      </c>
      <c r="K157" s="1">
        <v>50472</v>
      </c>
      <c r="L157" s="76">
        <v>0.56999999999999995</v>
      </c>
      <c r="M157" s="76">
        <v>0.16</v>
      </c>
      <c r="N157" s="76">
        <v>0.84</v>
      </c>
      <c r="O157" s="76">
        <v>0.64</v>
      </c>
      <c r="P157" s="108">
        <v>0.97</v>
      </c>
      <c r="Q157" s="108"/>
      <c r="R157" s="108"/>
      <c r="S157" s="158">
        <v>4</v>
      </c>
      <c r="V157" t="s">
        <v>101</v>
      </c>
      <c r="W157" s="219">
        <v>0.10416666666666667</v>
      </c>
    </row>
    <row r="158" spans="1:23" x14ac:dyDescent="0.35">
      <c r="A158" s="29">
        <v>44808</v>
      </c>
      <c r="B158" s="38" t="s">
        <v>48</v>
      </c>
      <c r="C158" s="111" t="s">
        <v>60</v>
      </c>
      <c r="D158" s="1">
        <v>0</v>
      </c>
      <c r="E158" s="1">
        <v>0</v>
      </c>
      <c r="F158" s="72">
        <v>0</v>
      </c>
      <c r="G158" s="72">
        <v>0</v>
      </c>
      <c r="H158" s="1">
        <v>0</v>
      </c>
      <c r="I158" s="1">
        <v>0</v>
      </c>
      <c r="J158" s="1">
        <v>0</v>
      </c>
      <c r="K158" s="1">
        <v>0</v>
      </c>
      <c r="L158" s="76">
        <v>0</v>
      </c>
      <c r="M158" s="76">
        <v>0</v>
      </c>
      <c r="N158" s="76">
        <v>0</v>
      </c>
      <c r="O158" s="76">
        <v>0</v>
      </c>
      <c r="P158" s="108">
        <v>0</v>
      </c>
      <c r="Q158" s="108"/>
      <c r="R158" s="108"/>
      <c r="S158" s="158">
        <v>0</v>
      </c>
      <c r="V158" t="s">
        <v>102</v>
      </c>
      <c r="W158" s="219">
        <v>0.20833333333333334</v>
      </c>
    </row>
    <row r="159" spans="1:23" x14ac:dyDescent="0.35">
      <c r="A159" s="29">
        <v>44809</v>
      </c>
      <c r="B159" s="38" t="s">
        <v>49</v>
      </c>
      <c r="C159" s="111" t="s">
        <v>60</v>
      </c>
      <c r="D159" s="1">
        <v>774</v>
      </c>
      <c r="E159" s="1">
        <v>502</v>
      </c>
      <c r="F159" s="72">
        <v>-0.15778019586507072</v>
      </c>
      <c r="G159" s="72">
        <v>0.28388746803069054</v>
      </c>
      <c r="H159" s="1">
        <v>2482</v>
      </c>
      <c r="I159" s="1">
        <v>1426</v>
      </c>
      <c r="J159" s="1">
        <v>60303</v>
      </c>
      <c r="K159" s="1">
        <v>50974</v>
      </c>
      <c r="L159" s="76">
        <v>0.22</v>
      </c>
      <c r="M159" s="76">
        <v>0.35</v>
      </c>
      <c r="N159" s="76">
        <v>0.65</v>
      </c>
      <c r="O159" s="76">
        <v>0.69</v>
      </c>
      <c r="P159" s="108">
        <v>0.91</v>
      </c>
      <c r="Q159" s="108"/>
      <c r="R159" s="108"/>
      <c r="S159" s="158">
        <v>5</v>
      </c>
      <c r="V159" t="s">
        <v>98</v>
      </c>
      <c r="W159" s="219" cm="1">
        <f t="array" ref="W159">AVERAGEIF(chart_ATT_BAR, "&lt;&gt;0")</f>
        <v>1.8814300411522631E-3</v>
      </c>
    </row>
    <row r="160" spans="1:23" x14ac:dyDescent="0.35">
      <c r="A160" s="29">
        <v>44810</v>
      </c>
      <c r="B160" s="38" t="s">
        <v>50</v>
      </c>
      <c r="C160" s="111" t="s">
        <v>60</v>
      </c>
      <c r="D160" s="1">
        <v>692</v>
      </c>
      <c r="E160" s="1">
        <v>342</v>
      </c>
      <c r="F160" s="72">
        <v>-0.13607990012484394</v>
      </c>
      <c r="G160" s="72">
        <v>-7.0652173913043473E-2</v>
      </c>
      <c r="H160" s="1">
        <v>3174</v>
      </c>
      <c r="I160" s="1">
        <v>1768</v>
      </c>
      <c r="J160" s="1">
        <v>60995</v>
      </c>
      <c r="K160" s="1">
        <v>51316</v>
      </c>
      <c r="L160" s="76">
        <v>0.1</v>
      </c>
      <c r="M160" s="76">
        <v>0.51</v>
      </c>
      <c r="N160" s="76">
        <v>0.49</v>
      </c>
      <c r="O160" s="76">
        <v>0.79</v>
      </c>
      <c r="P160" s="108">
        <v>1</v>
      </c>
      <c r="Q160" s="108"/>
      <c r="R160" s="108"/>
      <c r="S160" s="158">
        <v>3</v>
      </c>
    </row>
    <row r="161" spans="1:22" x14ac:dyDescent="0.35">
      <c r="A161" s="29">
        <v>44811</v>
      </c>
      <c r="B161" s="38" t="s">
        <v>51</v>
      </c>
      <c r="C161" s="111" t="s">
        <v>60</v>
      </c>
      <c r="D161" s="1">
        <v>847</v>
      </c>
      <c r="E161" s="1">
        <v>293</v>
      </c>
      <c r="F161" s="72">
        <v>0.13844086021505375</v>
      </c>
      <c r="G161" s="72">
        <v>-0.11480362537764351</v>
      </c>
      <c r="H161" s="1">
        <v>4021</v>
      </c>
      <c r="I161" s="1">
        <v>2061</v>
      </c>
      <c r="J161" s="1">
        <v>61842</v>
      </c>
      <c r="K161" s="1">
        <v>51609</v>
      </c>
      <c r="L161" s="76">
        <v>0.04</v>
      </c>
      <c r="M161" s="76">
        <v>0.65</v>
      </c>
      <c r="N161" s="76">
        <v>0.35</v>
      </c>
      <c r="O161" s="76">
        <v>0.67</v>
      </c>
      <c r="P161" s="108">
        <v>0.99</v>
      </c>
      <c r="Q161" s="108"/>
      <c r="R161" s="108"/>
      <c r="S161" s="158">
        <v>3</v>
      </c>
    </row>
    <row r="162" spans="1:22" x14ac:dyDescent="0.35">
      <c r="A162" s="29">
        <v>44812</v>
      </c>
      <c r="B162" s="38" t="s">
        <v>52</v>
      </c>
      <c r="C162" s="111" t="s">
        <v>60</v>
      </c>
      <c r="D162" s="1">
        <v>595</v>
      </c>
      <c r="E162" s="1">
        <v>387</v>
      </c>
      <c r="F162" s="72">
        <v>-0.16783216783216784</v>
      </c>
      <c r="G162" s="72">
        <v>0.32534246575342468</v>
      </c>
      <c r="H162" s="1">
        <v>4616</v>
      </c>
      <c r="I162" s="1">
        <v>2448</v>
      </c>
      <c r="J162" s="1">
        <v>62437</v>
      </c>
      <c r="K162" s="1">
        <v>51996</v>
      </c>
      <c r="L162" s="76">
        <v>0.22</v>
      </c>
      <c r="M162" s="76">
        <v>0.35</v>
      </c>
      <c r="N162" s="76">
        <v>0.65</v>
      </c>
      <c r="O162" s="76">
        <v>0.88</v>
      </c>
      <c r="P162" s="108">
        <v>0.99</v>
      </c>
      <c r="Q162" s="108"/>
      <c r="R162" s="108"/>
      <c r="S162" s="158">
        <v>4</v>
      </c>
    </row>
    <row r="163" spans="1:22" x14ac:dyDescent="0.35">
      <c r="A163" s="29">
        <v>44813</v>
      </c>
      <c r="B163" s="38" t="s">
        <v>53</v>
      </c>
      <c r="C163" s="111" t="s">
        <v>60</v>
      </c>
      <c r="D163" s="1">
        <v>602</v>
      </c>
      <c r="E163" s="1">
        <v>392</v>
      </c>
      <c r="F163" s="72">
        <v>-8.6494688922610016E-2</v>
      </c>
      <c r="G163" s="72">
        <v>0.11680911680911681</v>
      </c>
      <c r="H163" s="1">
        <v>5218</v>
      </c>
      <c r="I163" s="1">
        <v>2840</v>
      </c>
      <c r="J163" s="1">
        <v>63039</v>
      </c>
      <c r="K163" s="1">
        <v>52388</v>
      </c>
      <c r="L163" s="76">
        <v>0.24</v>
      </c>
      <c r="M163" s="76">
        <v>0.5</v>
      </c>
      <c r="N163" s="76">
        <v>0.5</v>
      </c>
      <c r="O163" s="76">
        <v>0.9</v>
      </c>
      <c r="P163" s="108">
        <v>1</v>
      </c>
      <c r="Q163" s="108"/>
      <c r="R163" s="108"/>
      <c r="S163" s="158">
        <v>3</v>
      </c>
    </row>
    <row r="164" spans="1:22" x14ac:dyDescent="0.35">
      <c r="A164" s="29">
        <v>44814</v>
      </c>
      <c r="B164" s="38" t="s">
        <v>54</v>
      </c>
      <c r="C164" s="111" t="s">
        <v>60</v>
      </c>
      <c r="D164" s="1">
        <v>277</v>
      </c>
      <c r="E164" s="1">
        <v>242</v>
      </c>
      <c r="F164" s="72">
        <v>-0.17065868263473055</v>
      </c>
      <c r="G164" s="72">
        <v>-0.13879003558718861</v>
      </c>
      <c r="H164" s="1">
        <v>5495</v>
      </c>
      <c r="I164" s="1">
        <v>3082</v>
      </c>
      <c r="J164" s="1">
        <v>63316</v>
      </c>
      <c r="K164" s="1">
        <v>52630</v>
      </c>
      <c r="L164" s="76">
        <v>0.64</v>
      </c>
      <c r="M164" s="76">
        <v>0.13</v>
      </c>
      <c r="N164" s="76">
        <v>0.87</v>
      </c>
      <c r="O164" s="76">
        <v>0.42</v>
      </c>
      <c r="P164" s="108">
        <v>1</v>
      </c>
      <c r="Q164" s="108"/>
      <c r="R164" s="108"/>
      <c r="S164" s="158">
        <v>4</v>
      </c>
      <c r="V164" t="s">
        <v>72</v>
      </c>
    </row>
    <row r="165" spans="1:22" x14ac:dyDescent="0.35">
      <c r="A165" s="29">
        <v>44815</v>
      </c>
      <c r="B165" s="38" t="s">
        <v>48</v>
      </c>
      <c r="C165" s="111" t="s">
        <v>60</v>
      </c>
      <c r="D165" s="1">
        <v>0</v>
      </c>
      <c r="E165" s="1">
        <v>0</v>
      </c>
      <c r="F165" s="72">
        <v>0</v>
      </c>
      <c r="G165" s="72">
        <v>0</v>
      </c>
      <c r="H165" s="1">
        <v>0</v>
      </c>
      <c r="I165" s="1">
        <v>0</v>
      </c>
      <c r="J165" s="1">
        <v>0</v>
      </c>
      <c r="K165" s="1">
        <v>0</v>
      </c>
      <c r="L165" s="76">
        <v>0</v>
      </c>
      <c r="M165" s="76">
        <v>0</v>
      </c>
      <c r="N165" s="76">
        <v>0</v>
      </c>
      <c r="O165" s="76">
        <v>0</v>
      </c>
      <c r="P165" s="108">
        <v>0</v>
      </c>
      <c r="Q165" s="108"/>
      <c r="R165" s="108"/>
      <c r="S165" s="158">
        <v>0</v>
      </c>
    </row>
    <row r="166" spans="1:22" x14ac:dyDescent="0.35">
      <c r="A166" s="29">
        <v>44816</v>
      </c>
      <c r="B166" s="38" t="s">
        <v>49</v>
      </c>
      <c r="C166" s="111" t="s">
        <v>60</v>
      </c>
      <c r="D166" s="1">
        <v>648</v>
      </c>
      <c r="E166" s="1">
        <v>410</v>
      </c>
      <c r="F166" s="72">
        <v>-0.16279069767441862</v>
      </c>
      <c r="G166" s="72">
        <v>-0.18326693227091634</v>
      </c>
      <c r="H166" s="1">
        <v>6143</v>
      </c>
      <c r="I166" s="1">
        <v>3492</v>
      </c>
      <c r="J166" s="1">
        <v>63964</v>
      </c>
      <c r="K166" s="1">
        <v>53040</v>
      </c>
      <c r="L166" s="76">
        <v>0.25</v>
      </c>
      <c r="M166" s="76">
        <v>0.37</v>
      </c>
      <c r="N166" s="76">
        <v>0.63</v>
      </c>
      <c r="O166" s="76">
        <v>0.71</v>
      </c>
      <c r="P166" s="108">
        <v>0.97</v>
      </c>
      <c r="Q166" s="108"/>
      <c r="R166" s="108"/>
      <c r="S166" s="162">
        <v>4</v>
      </c>
    </row>
    <row r="167" spans="1:22" x14ac:dyDescent="0.35">
      <c r="A167" s="29">
        <v>44817</v>
      </c>
      <c r="B167" s="38" t="s">
        <v>50</v>
      </c>
      <c r="C167" s="111" t="s">
        <v>60</v>
      </c>
      <c r="D167" s="1">
        <v>516</v>
      </c>
      <c r="E167" s="1">
        <v>367</v>
      </c>
      <c r="F167" s="72">
        <v>-0.25433526011560692</v>
      </c>
      <c r="G167" s="72">
        <v>7.3099415204678359E-2</v>
      </c>
      <c r="H167" s="1">
        <v>6659</v>
      </c>
      <c r="I167" s="1">
        <v>3859</v>
      </c>
      <c r="J167" s="1">
        <v>64480</v>
      </c>
      <c r="K167" s="1">
        <v>53407</v>
      </c>
      <c r="L167" s="76">
        <v>0.34</v>
      </c>
      <c r="M167" s="76">
        <v>0.28999999999999998</v>
      </c>
      <c r="N167" s="76">
        <v>0.71</v>
      </c>
      <c r="O167" s="76">
        <v>0.63</v>
      </c>
      <c r="P167" s="108">
        <v>0.99</v>
      </c>
      <c r="Q167" s="108"/>
      <c r="R167" s="108"/>
      <c r="S167" s="162">
        <v>4</v>
      </c>
    </row>
    <row r="168" spans="1:22" x14ac:dyDescent="0.35">
      <c r="A168" s="29">
        <v>44818</v>
      </c>
      <c r="B168" s="38" t="s">
        <v>51</v>
      </c>
      <c r="C168" s="111" t="s">
        <v>60</v>
      </c>
      <c r="D168" s="1">
        <v>548</v>
      </c>
      <c r="E168" s="1">
        <v>401</v>
      </c>
      <c r="F168" s="72">
        <v>-0.35301062573789849</v>
      </c>
      <c r="G168" s="72">
        <v>0.36860068259385664</v>
      </c>
      <c r="H168" s="1">
        <v>7207</v>
      </c>
      <c r="I168" s="1">
        <v>4260</v>
      </c>
      <c r="J168" s="1">
        <v>65028</v>
      </c>
      <c r="K168" s="1">
        <v>53808</v>
      </c>
      <c r="L168" s="76">
        <v>0.38</v>
      </c>
      <c r="M168" s="76">
        <v>0.27</v>
      </c>
      <c r="N168" s="76">
        <v>0.73</v>
      </c>
      <c r="O168" s="76">
        <v>0.69</v>
      </c>
      <c r="P168" s="108">
        <v>0.98</v>
      </c>
      <c r="Q168" s="108"/>
      <c r="R168" s="108"/>
      <c r="S168" s="162">
        <v>4</v>
      </c>
    </row>
    <row r="169" spans="1:22" x14ac:dyDescent="0.35">
      <c r="A169" s="29">
        <v>44819</v>
      </c>
      <c r="B169" s="38" t="s">
        <v>52</v>
      </c>
      <c r="C169" s="111" t="s">
        <v>60</v>
      </c>
      <c r="D169" s="1">
        <v>629</v>
      </c>
      <c r="E169" s="1">
        <v>356</v>
      </c>
      <c r="F169" s="72">
        <v>5.7142857142857141E-2</v>
      </c>
      <c r="G169" s="72">
        <v>-8.0103359173126609E-2</v>
      </c>
      <c r="H169" s="1">
        <v>7836</v>
      </c>
      <c r="I169" s="1">
        <v>4616</v>
      </c>
      <c r="J169" s="1">
        <v>65657</v>
      </c>
      <c r="K169" s="1">
        <v>54164</v>
      </c>
      <c r="L169" s="76">
        <v>0.22</v>
      </c>
      <c r="M169" s="76">
        <v>0.43</v>
      </c>
      <c r="N169" s="76">
        <v>0.57000000000000006</v>
      </c>
      <c r="O169" s="76">
        <v>0.61</v>
      </c>
      <c r="P169" s="108">
        <v>0.98</v>
      </c>
      <c r="Q169" s="108"/>
      <c r="R169" s="108"/>
      <c r="S169" s="162">
        <v>4</v>
      </c>
    </row>
    <row r="170" spans="1:22" x14ac:dyDescent="0.35">
      <c r="A170" s="29">
        <v>44820</v>
      </c>
      <c r="B170" s="38" t="s">
        <v>53</v>
      </c>
      <c r="C170" s="111" t="s">
        <v>60</v>
      </c>
      <c r="D170" s="1">
        <v>560</v>
      </c>
      <c r="E170" s="1">
        <v>342</v>
      </c>
      <c r="F170" s="72">
        <v>-6.9767441860465115E-2</v>
      </c>
      <c r="G170" s="72">
        <v>-0.12755102040816327</v>
      </c>
      <c r="H170" s="1">
        <v>8396</v>
      </c>
      <c r="I170" s="1">
        <v>4958</v>
      </c>
      <c r="J170" s="1">
        <v>66217</v>
      </c>
      <c r="K170" s="1">
        <v>54506</v>
      </c>
      <c r="L170" s="76">
        <v>0.24</v>
      </c>
      <c r="M170" s="76">
        <v>0.39</v>
      </c>
      <c r="N170" s="76">
        <v>0.61</v>
      </c>
      <c r="O170" s="76">
        <v>0.79</v>
      </c>
      <c r="P170" s="108">
        <v>0.99</v>
      </c>
      <c r="Q170" s="108"/>
      <c r="R170" s="108"/>
      <c r="S170" s="162">
        <v>3</v>
      </c>
    </row>
    <row r="171" spans="1:22" x14ac:dyDescent="0.35">
      <c r="A171" s="29">
        <v>44821</v>
      </c>
      <c r="B171" s="38" t="s">
        <v>54</v>
      </c>
      <c r="C171" s="111" t="s">
        <v>60</v>
      </c>
      <c r="D171" s="1">
        <v>282</v>
      </c>
      <c r="E171" s="1">
        <v>208</v>
      </c>
      <c r="F171" s="72">
        <v>1.8050541516245487E-2</v>
      </c>
      <c r="G171" s="72">
        <v>-0.14049586776859505</v>
      </c>
      <c r="H171" s="1">
        <v>8678</v>
      </c>
      <c r="I171" s="1">
        <v>5166</v>
      </c>
      <c r="J171" s="1">
        <v>66499</v>
      </c>
      <c r="K171" s="1">
        <v>54714</v>
      </c>
      <c r="L171" s="76">
        <v>0.46</v>
      </c>
      <c r="M171" s="76">
        <v>0.26</v>
      </c>
      <c r="N171" s="76">
        <v>0.74</v>
      </c>
      <c r="O171" s="76">
        <v>0.65</v>
      </c>
      <c r="P171" s="108">
        <v>0.97</v>
      </c>
      <c r="Q171" s="108"/>
      <c r="R171" s="108"/>
      <c r="S171" s="162">
        <v>4</v>
      </c>
    </row>
    <row r="172" spans="1:22" x14ac:dyDescent="0.35">
      <c r="A172" s="29">
        <v>44822</v>
      </c>
      <c r="B172" s="38" t="s">
        <v>48</v>
      </c>
      <c r="C172" s="111" t="s">
        <v>60</v>
      </c>
      <c r="D172" s="1">
        <v>0</v>
      </c>
      <c r="E172" s="1">
        <v>0</v>
      </c>
      <c r="F172" s="72">
        <v>0</v>
      </c>
      <c r="G172" s="72">
        <v>0</v>
      </c>
      <c r="H172" s="1">
        <v>0</v>
      </c>
      <c r="I172" s="1">
        <v>0</v>
      </c>
      <c r="J172" s="1">
        <v>0</v>
      </c>
      <c r="K172" s="1">
        <v>0</v>
      </c>
      <c r="L172" s="76">
        <v>0</v>
      </c>
      <c r="M172" s="76">
        <v>0</v>
      </c>
      <c r="N172" s="76">
        <v>0</v>
      </c>
      <c r="O172" s="76">
        <v>0</v>
      </c>
      <c r="P172" s="108">
        <v>0</v>
      </c>
      <c r="Q172" s="113"/>
      <c r="R172" s="113"/>
      <c r="S172" s="163">
        <v>0</v>
      </c>
    </row>
    <row r="173" spans="1:22" x14ac:dyDescent="0.35">
      <c r="A173" s="29">
        <v>44823</v>
      </c>
      <c r="B173" s="38" t="s">
        <v>49</v>
      </c>
      <c r="C173" s="111" t="s">
        <v>60</v>
      </c>
      <c r="D173" s="1">
        <v>474</v>
      </c>
      <c r="E173" s="1">
        <v>387</v>
      </c>
      <c r="F173" s="72">
        <v>-0.26851851851851855</v>
      </c>
      <c r="G173" s="72">
        <v>-5.6097560975609757E-2</v>
      </c>
      <c r="H173" s="1">
        <v>9152</v>
      </c>
      <c r="I173" s="1">
        <v>5553</v>
      </c>
      <c r="J173" s="1">
        <v>66973</v>
      </c>
      <c r="K173" s="1">
        <v>55101</v>
      </c>
      <c r="L173" s="76">
        <v>0.51</v>
      </c>
      <c r="M173" s="76">
        <v>0.18</v>
      </c>
      <c r="N173" s="76">
        <v>0.82000000000000006</v>
      </c>
      <c r="O173" s="76">
        <v>0.67</v>
      </c>
      <c r="P173" s="108">
        <v>0.96</v>
      </c>
      <c r="Q173" s="108"/>
      <c r="R173" s="108"/>
      <c r="S173" s="162">
        <v>4</v>
      </c>
    </row>
    <row r="174" spans="1:22" x14ac:dyDescent="0.35">
      <c r="A174" s="29">
        <v>44824</v>
      </c>
      <c r="B174" s="38" t="s">
        <v>50</v>
      </c>
      <c r="C174" s="111" t="s">
        <v>60</v>
      </c>
      <c r="D174" s="1">
        <v>479</v>
      </c>
      <c r="E174" s="1">
        <v>368</v>
      </c>
      <c r="F174" s="72">
        <v>-7.170542635658915E-2</v>
      </c>
      <c r="G174" s="72">
        <v>2.7247956403269754E-3</v>
      </c>
      <c r="H174" s="1">
        <v>9631</v>
      </c>
      <c r="I174" s="1">
        <v>5921</v>
      </c>
      <c r="J174" s="1">
        <v>67452</v>
      </c>
      <c r="K174" s="1">
        <v>55469</v>
      </c>
      <c r="L174" s="76">
        <v>0.44</v>
      </c>
      <c r="M174" s="76">
        <v>0.23</v>
      </c>
      <c r="N174" s="76">
        <v>0.77</v>
      </c>
      <c r="O174" s="76">
        <v>0.63</v>
      </c>
      <c r="P174" s="108">
        <v>0.97</v>
      </c>
      <c r="Q174" s="108"/>
      <c r="R174" s="108"/>
      <c r="S174" s="162">
        <v>4</v>
      </c>
      <c r="V174">
        <f>AVERAGEIF(L342:L348,"&lt;&gt;0")</f>
        <v>0.85499999999999998</v>
      </c>
    </row>
    <row r="175" spans="1:22" x14ac:dyDescent="0.35">
      <c r="A175" s="29">
        <v>44825</v>
      </c>
      <c r="B175" s="38" t="s">
        <v>51</v>
      </c>
      <c r="C175" s="111" t="s">
        <v>60</v>
      </c>
      <c r="D175" s="1">
        <v>395</v>
      </c>
      <c r="E175" s="1">
        <v>316</v>
      </c>
      <c r="F175" s="72">
        <v>-0.27919708029197082</v>
      </c>
      <c r="G175" s="72">
        <v>-0.21197007481296759</v>
      </c>
      <c r="H175" s="1">
        <v>10026</v>
      </c>
      <c r="I175" s="1">
        <v>6237</v>
      </c>
      <c r="J175" s="1">
        <v>67768</v>
      </c>
      <c r="K175" s="1">
        <v>55785</v>
      </c>
      <c r="L175" s="76">
        <v>0.56000000000000005</v>
      </c>
      <c r="M175" s="76">
        <v>0.2</v>
      </c>
      <c r="N175" s="76">
        <v>0.8</v>
      </c>
      <c r="O175" s="76">
        <v>0.73</v>
      </c>
      <c r="P175" s="108">
        <v>0.96</v>
      </c>
      <c r="Q175" s="108"/>
      <c r="R175" s="108"/>
      <c r="S175" s="162">
        <v>4</v>
      </c>
    </row>
    <row r="176" spans="1:22" x14ac:dyDescent="0.35">
      <c r="A176" s="29">
        <v>44826</v>
      </c>
      <c r="B176" s="38" t="s">
        <v>52</v>
      </c>
      <c r="C176" s="111" t="s">
        <v>60</v>
      </c>
      <c r="D176" s="1">
        <v>462</v>
      </c>
      <c r="E176" s="1">
        <v>366</v>
      </c>
      <c r="F176" s="72">
        <v>-0.26550079491255962</v>
      </c>
      <c r="G176" s="72">
        <v>2.8089887640449437E-2</v>
      </c>
      <c r="H176" s="1">
        <v>10488</v>
      </c>
      <c r="I176" s="1">
        <v>6603</v>
      </c>
      <c r="J176" s="1">
        <v>68230</v>
      </c>
      <c r="K176" s="1">
        <v>56151</v>
      </c>
      <c r="L176" s="76">
        <v>0.5</v>
      </c>
      <c r="M176" s="76">
        <v>0.21</v>
      </c>
      <c r="N176" s="76">
        <v>0.79</v>
      </c>
      <c r="O176" s="76">
        <v>0.63</v>
      </c>
      <c r="P176" s="108">
        <v>0.98</v>
      </c>
      <c r="Q176" s="108"/>
      <c r="R176" s="108"/>
      <c r="S176" s="162">
        <v>4</v>
      </c>
    </row>
    <row r="177" spans="1:19" x14ac:dyDescent="0.35">
      <c r="A177" s="29">
        <v>44827</v>
      </c>
      <c r="B177" s="38" t="s">
        <v>53</v>
      </c>
      <c r="C177" s="111" t="s">
        <v>60</v>
      </c>
      <c r="D177" s="1">
        <v>498</v>
      </c>
      <c r="E177" s="1">
        <v>281</v>
      </c>
      <c r="F177" s="72">
        <v>-0.11071428571428571</v>
      </c>
      <c r="G177" s="72">
        <v>-0.17836257309941519</v>
      </c>
      <c r="H177" s="1">
        <v>10986</v>
      </c>
      <c r="I177" s="1">
        <v>6884</v>
      </c>
      <c r="J177" s="1">
        <v>68728</v>
      </c>
      <c r="K177" s="1">
        <v>56432</v>
      </c>
      <c r="L177" s="76">
        <v>0.46</v>
      </c>
      <c r="M177" s="76">
        <v>0.28999999999999998</v>
      </c>
      <c r="N177" s="76">
        <v>0.71</v>
      </c>
      <c r="O177" s="76">
        <v>0.81</v>
      </c>
      <c r="P177" s="108">
        <v>0.95</v>
      </c>
      <c r="Q177" s="108"/>
      <c r="R177" s="108"/>
      <c r="S177" s="162">
        <v>3</v>
      </c>
    </row>
    <row r="178" spans="1:19" x14ac:dyDescent="0.35">
      <c r="A178" s="29">
        <v>44828</v>
      </c>
      <c r="B178" s="38" t="s">
        <v>54</v>
      </c>
      <c r="C178" s="111" t="s">
        <v>60</v>
      </c>
      <c r="D178" s="1">
        <v>353</v>
      </c>
      <c r="E178" s="1">
        <v>210</v>
      </c>
      <c r="F178" s="72">
        <v>0.25177304964539005</v>
      </c>
      <c r="G178" s="72">
        <v>9.6153846153846159E-3</v>
      </c>
      <c r="H178" s="1">
        <v>11339</v>
      </c>
      <c r="I178" s="1">
        <v>7094</v>
      </c>
      <c r="J178" s="1">
        <v>69081</v>
      </c>
      <c r="K178" s="1">
        <v>56642</v>
      </c>
      <c r="L178" s="76">
        <v>0.41</v>
      </c>
      <c r="M178" s="76">
        <v>0.25</v>
      </c>
      <c r="N178" s="76">
        <v>0.75</v>
      </c>
      <c r="O178" s="76">
        <v>0.48</v>
      </c>
      <c r="P178" s="108">
        <v>0.98</v>
      </c>
      <c r="Q178" s="108"/>
      <c r="R178" s="108"/>
      <c r="S178" s="162">
        <v>3</v>
      </c>
    </row>
    <row r="179" spans="1:19" x14ac:dyDescent="0.35">
      <c r="A179" s="29">
        <v>44829</v>
      </c>
      <c r="B179" s="38" t="s">
        <v>48</v>
      </c>
      <c r="C179" s="111" t="s">
        <v>60</v>
      </c>
      <c r="D179" s="1">
        <v>0</v>
      </c>
      <c r="E179" s="1">
        <v>0</v>
      </c>
      <c r="F179" s="72">
        <v>0</v>
      </c>
      <c r="G179" s="72">
        <v>0</v>
      </c>
      <c r="H179" s="1">
        <v>0</v>
      </c>
      <c r="I179" s="1">
        <v>0</v>
      </c>
      <c r="J179" s="1">
        <v>0</v>
      </c>
      <c r="K179" s="1">
        <v>0</v>
      </c>
      <c r="L179" s="76">
        <v>0</v>
      </c>
      <c r="M179" s="76">
        <v>0</v>
      </c>
      <c r="N179" s="76">
        <v>0</v>
      </c>
      <c r="O179" s="76">
        <v>0</v>
      </c>
      <c r="P179" s="108">
        <v>0</v>
      </c>
      <c r="Q179" s="113"/>
      <c r="R179" s="113"/>
      <c r="S179" s="163">
        <v>0</v>
      </c>
    </row>
    <row r="180" spans="1:19" x14ac:dyDescent="0.35">
      <c r="A180" s="29">
        <v>44830</v>
      </c>
      <c r="B180" s="38" t="s">
        <v>49</v>
      </c>
      <c r="C180" s="111" t="s">
        <v>60</v>
      </c>
      <c r="D180" s="1">
        <v>561</v>
      </c>
      <c r="E180" s="1">
        <v>448</v>
      </c>
      <c r="F180" s="72">
        <v>0.18354430379746836</v>
      </c>
      <c r="G180" s="72">
        <v>0.15762273901808785</v>
      </c>
      <c r="H180" s="1">
        <v>11900</v>
      </c>
      <c r="I180" s="1">
        <v>7542</v>
      </c>
      <c r="J180" s="1">
        <v>69642</v>
      </c>
      <c r="K180" s="1">
        <v>57090</v>
      </c>
      <c r="L180" s="76">
        <v>0.47</v>
      </c>
      <c r="M180" s="76">
        <v>0.2</v>
      </c>
      <c r="N180" s="76">
        <v>0.8</v>
      </c>
      <c r="O180" s="76">
        <v>0.77</v>
      </c>
      <c r="P180" s="108">
        <v>0.98</v>
      </c>
      <c r="Q180" s="108"/>
      <c r="R180" s="108"/>
      <c r="S180" s="162">
        <v>5</v>
      </c>
    </row>
    <row r="181" spans="1:19" x14ac:dyDescent="0.35">
      <c r="A181" s="29">
        <v>44831</v>
      </c>
      <c r="B181" s="38" t="s">
        <v>50</v>
      </c>
      <c r="C181" s="111" t="s">
        <v>60</v>
      </c>
      <c r="D181" s="1">
        <v>518</v>
      </c>
      <c r="E181" s="1">
        <v>375</v>
      </c>
      <c r="F181" s="72">
        <v>8.1419624217118999E-2</v>
      </c>
      <c r="G181" s="72">
        <v>1.9021739130434784E-2</v>
      </c>
      <c r="H181" s="1">
        <v>12418</v>
      </c>
      <c r="I181" s="1">
        <v>7917</v>
      </c>
      <c r="J181" s="1">
        <v>70160</v>
      </c>
      <c r="K181" s="1">
        <v>57465</v>
      </c>
      <c r="L181" s="76">
        <v>0.43</v>
      </c>
      <c r="M181" s="76">
        <v>0.28000000000000003</v>
      </c>
      <c r="N181" s="76">
        <v>0.72</v>
      </c>
      <c r="O181" s="76">
        <v>0.65</v>
      </c>
      <c r="P181" s="108">
        <v>0.96</v>
      </c>
      <c r="Q181" s="108"/>
      <c r="R181" s="108"/>
      <c r="S181" s="162">
        <v>4</v>
      </c>
    </row>
    <row r="182" spans="1:19" x14ac:dyDescent="0.35">
      <c r="A182" s="29">
        <v>44832</v>
      </c>
      <c r="B182" s="38" t="s">
        <v>51</v>
      </c>
      <c r="C182" s="111" t="s">
        <v>60</v>
      </c>
      <c r="D182" s="1">
        <v>731</v>
      </c>
      <c r="E182" s="1">
        <v>349</v>
      </c>
      <c r="F182" s="72">
        <v>0.85063291139240504</v>
      </c>
      <c r="G182" s="72">
        <v>0.10443037974683544</v>
      </c>
      <c r="H182" s="1">
        <v>13149</v>
      </c>
      <c r="I182" s="1">
        <v>8266</v>
      </c>
      <c r="J182" s="1">
        <v>70891</v>
      </c>
      <c r="K182" s="1">
        <v>57814</v>
      </c>
      <c r="L182" s="76">
        <v>0.11</v>
      </c>
      <c r="M182" s="76">
        <v>0.52</v>
      </c>
      <c r="N182" s="76">
        <v>0.48</v>
      </c>
      <c r="O182" s="76">
        <v>0.8</v>
      </c>
      <c r="P182" s="108">
        <v>0.96</v>
      </c>
      <c r="Q182" s="108"/>
      <c r="R182" s="108"/>
      <c r="S182" s="162">
        <v>3</v>
      </c>
    </row>
    <row r="183" spans="1:19" x14ac:dyDescent="0.35">
      <c r="A183" s="29">
        <v>44833</v>
      </c>
      <c r="B183" s="38" t="s">
        <v>52</v>
      </c>
      <c r="C183" s="111" t="s">
        <v>60</v>
      </c>
      <c r="D183" s="1">
        <v>714</v>
      </c>
      <c r="E183" s="1">
        <v>350</v>
      </c>
      <c r="F183" s="72">
        <v>0.54545454545454541</v>
      </c>
      <c r="G183" s="72">
        <v>-4.3715846994535519E-2</v>
      </c>
      <c r="H183" s="1">
        <v>13863</v>
      </c>
      <c r="I183" s="1">
        <v>8616</v>
      </c>
      <c r="J183" s="1">
        <v>71605</v>
      </c>
      <c r="K183" s="1">
        <v>58164</v>
      </c>
      <c r="L183" s="76">
        <v>0.11</v>
      </c>
      <c r="M183" s="76">
        <v>0.51</v>
      </c>
      <c r="N183" s="76">
        <v>0.49</v>
      </c>
      <c r="O183" s="76">
        <v>0.7</v>
      </c>
      <c r="P183" s="108">
        <v>0.98</v>
      </c>
      <c r="Q183" s="108"/>
      <c r="R183" s="108"/>
      <c r="S183" s="162">
        <v>4</v>
      </c>
    </row>
    <row r="184" spans="1:19" x14ac:dyDescent="0.35">
      <c r="A184" s="29">
        <v>44834</v>
      </c>
      <c r="B184" s="38" t="s">
        <v>53</v>
      </c>
      <c r="C184" s="111" t="s">
        <v>60</v>
      </c>
      <c r="D184" s="1">
        <v>816</v>
      </c>
      <c r="E184" s="1">
        <v>304</v>
      </c>
      <c r="F184" s="72">
        <v>0.63855421686746983</v>
      </c>
      <c r="G184" s="72">
        <v>8.1850533807829182E-2</v>
      </c>
      <c r="H184" s="1">
        <v>14679</v>
      </c>
      <c r="I184" s="1">
        <v>8920</v>
      </c>
      <c r="J184" s="1">
        <v>72421</v>
      </c>
      <c r="K184" s="1">
        <v>58468</v>
      </c>
      <c r="L184" s="76">
        <v>0.04</v>
      </c>
      <c r="M184" s="76">
        <v>0.63</v>
      </c>
      <c r="N184" s="76">
        <v>0.37</v>
      </c>
      <c r="O184" s="76">
        <v>0.7</v>
      </c>
      <c r="P184" s="108">
        <v>0.96</v>
      </c>
      <c r="Q184" s="108"/>
      <c r="R184" s="108"/>
      <c r="S184" s="162">
        <v>3</v>
      </c>
    </row>
    <row r="185" spans="1:19" x14ac:dyDescent="0.35">
      <c r="A185" s="29">
        <v>44835</v>
      </c>
      <c r="B185" s="38" t="s">
        <v>54</v>
      </c>
      <c r="C185" s="111" t="s">
        <v>60</v>
      </c>
      <c r="D185" s="1">
        <v>400</v>
      </c>
      <c r="E185" s="1">
        <v>230</v>
      </c>
      <c r="F185" s="72">
        <v>0.13314447592067988</v>
      </c>
      <c r="G185" s="72">
        <v>9.5238095238095233E-2</v>
      </c>
      <c r="H185" s="1">
        <v>400</v>
      </c>
      <c r="I185" s="1">
        <v>230</v>
      </c>
      <c r="J185" s="1">
        <v>72821</v>
      </c>
      <c r="K185" s="1">
        <v>58698</v>
      </c>
      <c r="L185" s="76">
        <v>0.16</v>
      </c>
      <c r="M185" s="76">
        <v>0.43</v>
      </c>
      <c r="N185" s="76">
        <v>0.56999999999999995</v>
      </c>
      <c r="O185" s="76">
        <v>0.53</v>
      </c>
      <c r="P185" s="108">
        <v>0.98</v>
      </c>
      <c r="Q185" s="108"/>
      <c r="R185" s="108"/>
      <c r="S185" s="162">
        <v>3</v>
      </c>
    </row>
    <row r="186" spans="1:19" x14ac:dyDescent="0.35">
      <c r="A186" s="29">
        <v>44836</v>
      </c>
      <c r="B186" s="38" t="s">
        <v>48</v>
      </c>
      <c r="C186" s="111" t="s">
        <v>60</v>
      </c>
      <c r="D186" s="1">
        <v>0</v>
      </c>
      <c r="E186" s="1">
        <v>0</v>
      </c>
      <c r="F186" s="72">
        <v>0</v>
      </c>
      <c r="G186" s="72">
        <v>0</v>
      </c>
      <c r="H186" s="1">
        <v>0</v>
      </c>
      <c r="I186" s="1">
        <v>0</v>
      </c>
      <c r="J186" s="1">
        <v>0</v>
      </c>
      <c r="K186" s="1">
        <v>0</v>
      </c>
      <c r="L186" s="76">
        <v>0</v>
      </c>
      <c r="M186" s="76">
        <v>0</v>
      </c>
      <c r="N186" s="76">
        <v>0</v>
      </c>
      <c r="O186" s="76">
        <v>0</v>
      </c>
      <c r="P186" s="108">
        <v>0</v>
      </c>
      <c r="Q186" s="113"/>
      <c r="R186" s="113"/>
      <c r="S186" s="163">
        <v>0</v>
      </c>
    </row>
    <row r="187" spans="1:19" x14ac:dyDescent="0.35">
      <c r="A187" s="29">
        <v>44837</v>
      </c>
      <c r="B187" s="38" t="s">
        <v>49</v>
      </c>
      <c r="C187" s="111" t="s">
        <v>60</v>
      </c>
      <c r="D187" s="1">
        <v>605</v>
      </c>
      <c r="E187" s="1">
        <v>316</v>
      </c>
      <c r="F187" s="72">
        <v>7.8431372549019607E-2</v>
      </c>
      <c r="G187" s="72">
        <v>-0.29464285714285715</v>
      </c>
      <c r="H187" s="1">
        <v>1005</v>
      </c>
      <c r="I187" s="1">
        <v>546</v>
      </c>
      <c r="J187" s="1">
        <v>73426</v>
      </c>
      <c r="K187" s="1">
        <v>59014</v>
      </c>
      <c r="L187" s="76">
        <v>0.13</v>
      </c>
      <c r="M187" s="76">
        <v>0.47768595041322315</v>
      </c>
      <c r="N187" s="76">
        <v>0.52231404958677685</v>
      </c>
      <c r="O187" s="76">
        <v>0.54</v>
      </c>
      <c r="P187" s="108">
        <v>0.97</v>
      </c>
      <c r="Q187" s="108"/>
      <c r="R187" s="108"/>
      <c r="S187" s="162">
        <v>4</v>
      </c>
    </row>
    <row r="188" spans="1:19" x14ac:dyDescent="0.35">
      <c r="A188" s="29">
        <v>44838</v>
      </c>
      <c r="B188" s="38" t="s">
        <v>50</v>
      </c>
      <c r="C188" s="111" t="s">
        <v>60</v>
      </c>
      <c r="D188" s="1">
        <v>663</v>
      </c>
      <c r="E188" s="1">
        <v>350</v>
      </c>
      <c r="F188" s="72">
        <v>0.27992277992277992</v>
      </c>
      <c r="G188" s="72">
        <v>-6.6666666666666666E-2</v>
      </c>
      <c r="H188" s="1">
        <v>1668</v>
      </c>
      <c r="I188" s="1">
        <v>896</v>
      </c>
      <c r="J188" s="1">
        <v>74089</v>
      </c>
      <c r="K188" s="1">
        <v>59364</v>
      </c>
      <c r="L188" s="76">
        <v>0.21</v>
      </c>
      <c r="M188" s="76">
        <v>0.47209653092006032</v>
      </c>
      <c r="N188" s="76">
        <v>0.52790346907993968</v>
      </c>
      <c r="O188" s="76">
        <v>0.6</v>
      </c>
      <c r="P188" s="108">
        <v>0.96</v>
      </c>
      <c r="Q188" s="108"/>
      <c r="R188" s="108"/>
      <c r="S188" s="162">
        <v>4</v>
      </c>
    </row>
    <row r="189" spans="1:19" x14ac:dyDescent="0.35">
      <c r="A189" s="29">
        <v>44839</v>
      </c>
      <c r="B189" s="38" t="s">
        <v>51</v>
      </c>
      <c r="C189" s="111" t="s">
        <v>60</v>
      </c>
      <c r="D189" s="1">
        <v>615</v>
      </c>
      <c r="E189" s="1">
        <v>456</v>
      </c>
      <c r="F189" s="72">
        <v>-0.15868673050615595</v>
      </c>
      <c r="G189" s="72">
        <v>0.30659025787965616</v>
      </c>
      <c r="H189" s="1">
        <v>2283</v>
      </c>
      <c r="I189" s="1">
        <v>1352</v>
      </c>
      <c r="J189" s="1">
        <v>74704</v>
      </c>
      <c r="K189" s="1">
        <v>59820</v>
      </c>
      <c r="L189" s="76">
        <v>0.37</v>
      </c>
      <c r="M189" s="76">
        <v>0.25853658536585367</v>
      </c>
      <c r="N189" s="76">
        <v>0.74146341463414633</v>
      </c>
      <c r="O189" s="76">
        <v>0.79</v>
      </c>
      <c r="P189" s="108">
        <v>0.98</v>
      </c>
      <c r="Q189" s="108"/>
      <c r="R189" s="108"/>
      <c r="S189" s="162">
        <v>4</v>
      </c>
    </row>
    <row r="190" spans="1:19" x14ac:dyDescent="0.35">
      <c r="A190" s="29">
        <v>44840</v>
      </c>
      <c r="B190" s="38" t="s">
        <v>52</v>
      </c>
      <c r="C190" s="111" t="s">
        <v>60</v>
      </c>
      <c r="D190" s="1">
        <v>588</v>
      </c>
      <c r="E190" s="1">
        <v>403</v>
      </c>
      <c r="F190" s="72">
        <v>-0.17647058823529413</v>
      </c>
      <c r="G190" s="72">
        <v>0.15142857142857144</v>
      </c>
      <c r="H190" s="1">
        <v>2871</v>
      </c>
      <c r="I190" s="1">
        <v>1755</v>
      </c>
      <c r="J190" s="1">
        <v>75292</v>
      </c>
      <c r="K190" s="1">
        <v>60223</v>
      </c>
      <c r="L190" s="76">
        <v>0.28999999999999998</v>
      </c>
      <c r="M190" s="76">
        <v>0.31462585034013607</v>
      </c>
      <c r="N190" s="76">
        <v>0.68537414965986398</v>
      </c>
      <c r="O190" s="76">
        <v>0.69</v>
      </c>
      <c r="P190" s="108">
        <v>0.97</v>
      </c>
      <c r="Q190" s="108"/>
      <c r="R190" s="108"/>
      <c r="S190" s="162">
        <v>4</v>
      </c>
    </row>
    <row r="191" spans="1:19" x14ac:dyDescent="0.35">
      <c r="A191" s="29">
        <v>44841</v>
      </c>
      <c r="B191" s="38" t="s">
        <v>53</v>
      </c>
      <c r="C191" s="111" t="s">
        <v>60</v>
      </c>
      <c r="D191" s="1">
        <v>601</v>
      </c>
      <c r="E191" s="1">
        <v>361</v>
      </c>
      <c r="F191" s="72">
        <v>-0.26348039215686275</v>
      </c>
      <c r="G191" s="72">
        <v>0.1875</v>
      </c>
      <c r="H191" s="1">
        <v>3472</v>
      </c>
      <c r="I191" s="1">
        <v>2116</v>
      </c>
      <c r="J191" s="1">
        <v>75893</v>
      </c>
      <c r="K191" s="1">
        <v>60584</v>
      </c>
      <c r="L191" s="76">
        <v>0.2</v>
      </c>
      <c r="M191" s="76">
        <v>0.39933444259567386</v>
      </c>
      <c r="N191" s="76">
        <v>0.60066555740432614</v>
      </c>
      <c r="O191" s="76">
        <v>0.62</v>
      </c>
      <c r="P191" s="108">
        <v>0.95</v>
      </c>
      <c r="Q191" s="108"/>
      <c r="R191" s="108"/>
      <c r="S191" s="162">
        <v>4</v>
      </c>
    </row>
    <row r="192" spans="1:19" x14ac:dyDescent="0.35">
      <c r="A192" s="29">
        <v>44842</v>
      </c>
      <c r="B192" s="38" t="s">
        <v>54</v>
      </c>
      <c r="C192" s="111" t="s">
        <v>60</v>
      </c>
      <c r="D192" s="1">
        <v>569</v>
      </c>
      <c r="E192" s="1">
        <v>156</v>
      </c>
      <c r="F192" s="72">
        <v>0.42249999999999999</v>
      </c>
      <c r="G192" s="72">
        <v>-0.32173913043478258</v>
      </c>
      <c r="H192" s="1">
        <v>4041</v>
      </c>
      <c r="I192" s="1">
        <v>2272</v>
      </c>
      <c r="J192" s="1">
        <v>76462</v>
      </c>
      <c r="K192" s="1">
        <v>60740</v>
      </c>
      <c r="L192" s="76">
        <v>0.02</v>
      </c>
      <c r="M192" s="76">
        <v>0.72583479789103689</v>
      </c>
      <c r="N192" s="76">
        <v>0.27416520210896311</v>
      </c>
      <c r="O192" s="76">
        <v>0.71</v>
      </c>
      <c r="P192" s="108">
        <v>0.98</v>
      </c>
      <c r="Q192" s="108"/>
      <c r="R192" s="108"/>
      <c r="S192" s="162">
        <v>2</v>
      </c>
    </row>
    <row r="193" spans="1:19" x14ac:dyDescent="0.35">
      <c r="A193" s="29">
        <v>44843</v>
      </c>
      <c r="B193" s="38" t="s">
        <v>48</v>
      </c>
      <c r="C193" s="111" t="s">
        <v>60</v>
      </c>
      <c r="D193" s="1">
        <v>0</v>
      </c>
      <c r="E193" s="1">
        <v>0</v>
      </c>
      <c r="F193" s="72">
        <v>0</v>
      </c>
      <c r="G193" s="72">
        <v>0</v>
      </c>
      <c r="H193" s="1">
        <v>0</v>
      </c>
      <c r="I193" s="1">
        <v>0</v>
      </c>
      <c r="J193" s="1">
        <v>0</v>
      </c>
      <c r="K193" s="1">
        <v>0</v>
      </c>
      <c r="L193" s="76">
        <v>0</v>
      </c>
      <c r="M193" s="76">
        <v>0</v>
      </c>
      <c r="N193" s="76">
        <v>0</v>
      </c>
      <c r="O193" s="76">
        <v>0</v>
      </c>
      <c r="P193" s="108">
        <v>0</v>
      </c>
      <c r="Q193" s="113"/>
      <c r="R193" s="113"/>
      <c r="S193" s="163">
        <v>0</v>
      </c>
    </row>
    <row r="194" spans="1:19" x14ac:dyDescent="0.35">
      <c r="A194" s="29">
        <v>44844</v>
      </c>
      <c r="B194" s="38" t="s">
        <v>49</v>
      </c>
      <c r="C194" s="111" t="s">
        <v>60</v>
      </c>
      <c r="D194" s="1">
        <v>856</v>
      </c>
      <c r="E194" s="1">
        <v>424</v>
      </c>
      <c r="F194" s="72">
        <v>0.41487603305785126</v>
      </c>
      <c r="G194" s="72">
        <v>0.34177215189873417</v>
      </c>
      <c r="H194" s="1">
        <v>4897</v>
      </c>
      <c r="I194" s="1">
        <v>2696</v>
      </c>
      <c r="J194" s="1">
        <v>77318</v>
      </c>
      <c r="K194" s="1">
        <v>61164</v>
      </c>
      <c r="L194" s="76">
        <v>0.1</v>
      </c>
      <c r="M194" s="76">
        <v>0.5</v>
      </c>
      <c r="N194" s="76">
        <v>0.5</v>
      </c>
      <c r="O194" s="76">
        <v>0.49</v>
      </c>
      <c r="P194" s="108">
        <v>0.93</v>
      </c>
      <c r="Q194" s="108"/>
      <c r="R194" s="108"/>
      <c r="S194" s="162">
        <v>6</v>
      </c>
    </row>
    <row r="195" spans="1:19" x14ac:dyDescent="0.35">
      <c r="A195" s="29">
        <v>44845</v>
      </c>
      <c r="B195" s="38" t="s">
        <v>50</v>
      </c>
      <c r="C195" s="70" t="s">
        <v>60</v>
      </c>
      <c r="D195" s="1">
        <v>586</v>
      </c>
      <c r="E195" s="1">
        <v>473</v>
      </c>
      <c r="F195" s="72">
        <v>-0.11613876319758673</v>
      </c>
      <c r="G195" s="72">
        <v>0.35142857142857142</v>
      </c>
      <c r="H195" s="1">
        <v>5483</v>
      </c>
      <c r="I195" s="1">
        <v>3169</v>
      </c>
      <c r="J195" s="1">
        <v>77904</v>
      </c>
      <c r="K195" s="1">
        <v>61637</v>
      </c>
      <c r="L195" s="76">
        <v>0.48</v>
      </c>
      <c r="M195" s="76">
        <v>0.19</v>
      </c>
      <c r="N195" s="76">
        <v>0.81</v>
      </c>
      <c r="O195" s="76">
        <v>0.65</v>
      </c>
      <c r="P195" s="108">
        <v>0.96</v>
      </c>
      <c r="Q195" s="108"/>
      <c r="R195" s="108"/>
      <c r="S195" s="162">
        <v>5</v>
      </c>
    </row>
    <row r="196" spans="1:19" x14ac:dyDescent="0.35">
      <c r="A196" s="29">
        <v>44846</v>
      </c>
      <c r="B196" s="38" t="s">
        <v>51</v>
      </c>
      <c r="C196" s="70" t="s">
        <v>60</v>
      </c>
      <c r="D196" s="1">
        <v>671</v>
      </c>
      <c r="E196" s="1">
        <v>461</v>
      </c>
      <c r="F196" s="72">
        <v>9.1056910569105698E-2</v>
      </c>
      <c r="G196" s="72">
        <v>1.0964912280701754E-2</v>
      </c>
      <c r="H196" s="1">
        <v>6154</v>
      </c>
      <c r="I196" s="1">
        <v>3630</v>
      </c>
      <c r="J196" s="1">
        <v>78575</v>
      </c>
      <c r="K196" s="1">
        <v>62098</v>
      </c>
      <c r="L196" s="76">
        <v>0.3</v>
      </c>
      <c r="M196" s="76">
        <v>0.31</v>
      </c>
      <c r="N196" s="76">
        <v>0.69</v>
      </c>
      <c r="O196" s="76">
        <v>0.79</v>
      </c>
      <c r="P196" s="108">
        <v>0.97</v>
      </c>
      <c r="Q196" s="108"/>
      <c r="R196" s="108"/>
      <c r="S196" s="162">
        <v>4</v>
      </c>
    </row>
    <row r="197" spans="1:19" x14ac:dyDescent="0.35">
      <c r="A197" s="29">
        <v>44847</v>
      </c>
      <c r="B197" s="38" t="s">
        <v>52</v>
      </c>
      <c r="C197" s="70" t="s">
        <v>60</v>
      </c>
      <c r="D197" s="1">
        <v>625</v>
      </c>
      <c r="E197" s="1">
        <v>495</v>
      </c>
      <c r="F197" s="72">
        <v>6.2925170068027211E-2</v>
      </c>
      <c r="G197" s="72">
        <v>0.22828784119106699</v>
      </c>
      <c r="H197" s="1">
        <v>6779</v>
      </c>
      <c r="I197" s="1">
        <v>4125</v>
      </c>
      <c r="J197" s="1">
        <v>79200</v>
      </c>
      <c r="K197" s="1">
        <v>62593</v>
      </c>
      <c r="L197" s="76">
        <v>0.43</v>
      </c>
      <c r="M197" s="76">
        <v>0.21</v>
      </c>
      <c r="N197" s="76">
        <v>0.79</v>
      </c>
      <c r="O197" s="76">
        <v>0.9</v>
      </c>
      <c r="P197" s="108">
        <v>0.92</v>
      </c>
      <c r="Q197" s="108"/>
      <c r="R197" s="108"/>
      <c r="S197" s="162">
        <v>5</v>
      </c>
    </row>
    <row r="198" spans="1:19" x14ac:dyDescent="0.35">
      <c r="A198" s="29">
        <v>44848</v>
      </c>
      <c r="B198" s="38" t="s">
        <v>53</v>
      </c>
      <c r="C198" s="70" t="s">
        <v>60</v>
      </c>
      <c r="D198" s="1">
        <v>623</v>
      </c>
      <c r="E198" s="1">
        <v>487</v>
      </c>
      <c r="F198" s="72">
        <v>3.6605657237936774E-2</v>
      </c>
      <c r="G198" s="72">
        <v>0.34903047091412742</v>
      </c>
      <c r="H198" s="1">
        <v>7402</v>
      </c>
      <c r="I198" s="1">
        <v>4612</v>
      </c>
      <c r="J198" s="1">
        <v>79823</v>
      </c>
      <c r="K198" s="1">
        <v>63080</v>
      </c>
      <c r="L198" s="76">
        <v>0.5</v>
      </c>
      <c r="M198" s="76">
        <v>0.22</v>
      </c>
      <c r="N198" s="76">
        <v>0.78</v>
      </c>
      <c r="O198" s="76">
        <v>0.67</v>
      </c>
      <c r="P198" s="108">
        <v>0.94</v>
      </c>
      <c r="Q198" s="108"/>
      <c r="R198" s="108"/>
      <c r="S198" s="162">
        <v>5</v>
      </c>
    </row>
    <row r="199" spans="1:19" x14ac:dyDescent="0.35">
      <c r="A199" s="29">
        <v>44849</v>
      </c>
      <c r="B199" s="38" t="s">
        <v>54</v>
      </c>
      <c r="C199" s="70" t="s">
        <v>60</v>
      </c>
      <c r="D199" s="1">
        <v>464</v>
      </c>
      <c r="E199" s="1">
        <v>242</v>
      </c>
      <c r="F199" s="72">
        <v>-0.18453427065026362</v>
      </c>
      <c r="G199" s="72">
        <v>0.55128205128205132</v>
      </c>
      <c r="H199" s="1">
        <v>7866</v>
      </c>
      <c r="I199" s="1">
        <v>4854</v>
      </c>
      <c r="J199" s="1">
        <v>80287</v>
      </c>
      <c r="K199" s="1">
        <v>63322</v>
      </c>
      <c r="L199" s="76">
        <v>0.16</v>
      </c>
      <c r="M199" s="76">
        <v>0.48</v>
      </c>
      <c r="N199" s="76">
        <v>0.52</v>
      </c>
      <c r="O199" s="76">
        <v>0.42</v>
      </c>
      <c r="P199" s="108">
        <v>0.96</v>
      </c>
      <c r="Q199" s="108"/>
      <c r="R199" s="108"/>
      <c r="S199" s="162">
        <v>4</v>
      </c>
    </row>
    <row r="200" spans="1:19" x14ac:dyDescent="0.35">
      <c r="A200" s="29">
        <v>44850</v>
      </c>
      <c r="B200" s="38" t="s">
        <v>48</v>
      </c>
      <c r="C200" s="70" t="s">
        <v>60</v>
      </c>
      <c r="D200" s="1">
        <v>0</v>
      </c>
      <c r="E200" s="1">
        <v>0</v>
      </c>
      <c r="F200" s="72">
        <v>0</v>
      </c>
      <c r="G200" s="72">
        <v>0</v>
      </c>
      <c r="H200" s="1">
        <v>0</v>
      </c>
      <c r="I200" s="1">
        <v>0</v>
      </c>
      <c r="J200" s="1">
        <v>0</v>
      </c>
      <c r="K200" s="1">
        <v>0</v>
      </c>
      <c r="L200" s="76">
        <v>0</v>
      </c>
      <c r="M200" s="76">
        <v>0</v>
      </c>
      <c r="N200" s="76">
        <v>0</v>
      </c>
      <c r="O200" s="76">
        <v>0</v>
      </c>
      <c r="P200" s="108">
        <v>0</v>
      </c>
      <c r="Q200" s="113"/>
      <c r="R200" s="113"/>
      <c r="S200" s="163">
        <v>0</v>
      </c>
    </row>
    <row r="201" spans="1:19" x14ac:dyDescent="0.35">
      <c r="A201" s="29">
        <v>44851</v>
      </c>
      <c r="B201" s="38" t="s">
        <v>49</v>
      </c>
      <c r="C201" s="70" t="s">
        <v>60</v>
      </c>
      <c r="D201" s="1">
        <v>662</v>
      </c>
      <c r="E201" s="1">
        <v>495</v>
      </c>
      <c r="F201" s="72">
        <v>-0.22663551401869159</v>
      </c>
      <c r="G201" s="72">
        <v>0.16745283018867924</v>
      </c>
      <c r="H201" s="1">
        <v>8528</v>
      </c>
      <c r="I201" s="1">
        <v>5349</v>
      </c>
      <c r="J201" s="1">
        <v>80949</v>
      </c>
      <c r="K201" s="1">
        <v>63817</v>
      </c>
      <c r="L201" s="76">
        <v>0.41</v>
      </c>
      <c r="M201" s="76">
        <v>0.35</v>
      </c>
      <c r="N201" s="76">
        <v>0.65</v>
      </c>
      <c r="O201" s="76">
        <v>0.56999999999999995</v>
      </c>
      <c r="P201" s="108">
        <v>0.95</v>
      </c>
      <c r="Q201" s="108"/>
      <c r="R201" s="108"/>
      <c r="S201" s="162">
        <v>6</v>
      </c>
    </row>
    <row r="202" spans="1:19" x14ac:dyDescent="0.35">
      <c r="A202" s="29">
        <v>44852</v>
      </c>
      <c r="B202" s="38" t="s">
        <v>50</v>
      </c>
      <c r="C202" s="70" t="s">
        <v>60</v>
      </c>
      <c r="D202" s="1">
        <v>497</v>
      </c>
      <c r="E202" s="1">
        <v>447</v>
      </c>
      <c r="F202" s="72">
        <v>-0.15187713310580206</v>
      </c>
      <c r="G202" s="72">
        <v>-5.4968287526427059E-2</v>
      </c>
      <c r="H202" s="1">
        <v>9025</v>
      </c>
      <c r="I202" s="1">
        <v>5796</v>
      </c>
      <c r="J202" s="1">
        <v>81446</v>
      </c>
      <c r="K202" s="1">
        <v>64264</v>
      </c>
      <c r="L202" s="76">
        <v>0.72</v>
      </c>
      <c r="M202" s="76">
        <v>0.1</v>
      </c>
      <c r="N202" s="76">
        <v>0.9</v>
      </c>
      <c r="O202" s="76">
        <v>0.68</v>
      </c>
      <c r="P202" s="108">
        <v>0.95</v>
      </c>
      <c r="Q202" s="108"/>
      <c r="R202" s="108"/>
      <c r="S202" s="162">
        <v>6</v>
      </c>
    </row>
    <row r="203" spans="1:19" x14ac:dyDescent="0.35">
      <c r="A203" s="29">
        <v>44853</v>
      </c>
      <c r="B203" s="38" t="s">
        <v>51</v>
      </c>
      <c r="C203" s="70" t="s">
        <v>60</v>
      </c>
      <c r="D203" s="1">
        <v>589</v>
      </c>
      <c r="E203" s="1">
        <v>359</v>
      </c>
      <c r="F203" s="72">
        <v>-0.12220566318926974</v>
      </c>
      <c r="G203" s="72">
        <v>-0.22125813449023862</v>
      </c>
      <c r="H203" s="1">
        <v>9614</v>
      </c>
      <c r="I203" s="1">
        <v>6155</v>
      </c>
      <c r="J203" s="1">
        <v>82035</v>
      </c>
      <c r="K203" s="1">
        <v>64623</v>
      </c>
      <c r="L203" s="76">
        <v>0.21</v>
      </c>
      <c r="M203" s="76">
        <v>0.39</v>
      </c>
      <c r="N203" s="76">
        <v>0.61</v>
      </c>
      <c r="O203" s="76">
        <v>0.5</v>
      </c>
      <c r="P203" s="108">
        <v>0.97</v>
      </c>
      <c r="Q203" s="108"/>
      <c r="R203" s="108"/>
      <c r="S203" s="162">
        <v>5</v>
      </c>
    </row>
    <row r="204" spans="1:19" x14ac:dyDescent="0.35">
      <c r="A204" s="29">
        <v>44854</v>
      </c>
      <c r="B204" s="38" t="s">
        <v>52</v>
      </c>
      <c r="C204" s="70" t="s">
        <v>60</v>
      </c>
      <c r="D204" s="1">
        <v>602</v>
      </c>
      <c r="E204" s="1">
        <v>488</v>
      </c>
      <c r="F204" s="72">
        <v>-3.6799999999999999E-2</v>
      </c>
      <c r="G204" s="72">
        <v>-1.4141414141414142E-2</v>
      </c>
      <c r="H204" s="1">
        <v>10216</v>
      </c>
      <c r="I204" s="1">
        <v>6643</v>
      </c>
      <c r="J204" s="1">
        <v>82637</v>
      </c>
      <c r="K204" s="1">
        <v>65111</v>
      </c>
      <c r="L204" s="76">
        <v>0.51</v>
      </c>
      <c r="M204" s="76">
        <v>0.19</v>
      </c>
      <c r="N204" s="76">
        <v>0.81</v>
      </c>
      <c r="O204" s="76">
        <v>0.67</v>
      </c>
      <c r="P204" s="108">
        <v>0.98</v>
      </c>
      <c r="Q204" s="108"/>
      <c r="R204" s="108"/>
      <c r="S204" s="162">
        <v>5</v>
      </c>
    </row>
    <row r="205" spans="1:19" x14ac:dyDescent="0.35">
      <c r="A205" s="29">
        <v>44855</v>
      </c>
      <c r="B205" s="38" t="s">
        <v>53</v>
      </c>
      <c r="C205" s="70" t="s">
        <v>60</v>
      </c>
      <c r="D205" s="1">
        <v>529</v>
      </c>
      <c r="E205" s="1">
        <v>487</v>
      </c>
      <c r="F205" s="72">
        <v>-0.1508828250401284</v>
      </c>
      <c r="G205" s="72">
        <v>0</v>
      </c>
      <c r="H205" s="1">
        <v>10745</v>
      </c>
      <c r="I205" s="1">
        <v>7130</v>
      </c>
      <c r="J205" s="1">
        <v>83166</v>
      </c>
      <c r="K205" s="1">
        <v>65598</v>
      </c>
      <c r="L205" s="76">
        <v>0.75</v>
      </c>
      <c r="M205" s="76">
        <v>0.08</v>
      </c>
      <c r="N205" s="76">
        <v>0.92</v>
      </c>
      <c r="O205" s="76">
        <v>0.56000000000000005</v>
      </c>
      <c r="P205" s="108">
        <v>0.96</v>
      </c>
      <c r="Q205" s="108"/>
      <c r="R205" s="108"/>
      <c r="S205" s="162">
        <v>6</v>
      </c>
    </row>
    <row r="206" spans="1:19" x14ac:dyDescent="0.35">
      <c r="A206" s="29">
        <v>44856</v>
      </c>
      <c r="B206" s="38" t="s">
        <v>54</v>
      </c>
      <c r="C206" s="70" t="s">
        <v>60</v>
      </c>
      <c r="D206" s="1">
        <v>314</v>
      </c>
      <c r="E206" s="1">
        <v>245</v>
      </c>
      <c r="F206" s="72">
        <v>-0.32327586206896552</v>
      </c>
      <c r="G206" s="72">
        <v>1.2396694214876033E-2</v>
      </c>
      <c r="H206" s="1">
        <v>11059</v>
      </c>
      <c r="I206" s="1">
        <v>7375</v>
      </c>
      <c r="J206" s="1">
        <v>83480</v>
      </c>
      <c r="K206" s="1">
        <v>65843</v>
      </c>
      <c r="L206" s="76">
        <v>0.48</v>
      </c>
      <c r="M206" s="76">
        <v>0.22</v>
      </c>
      <c r="N206" s="76">
        <v>0.78</v>
      </c>
      <c r="O206" s="76">
        <v>0.34</v>
      </c>
      <c r="P206" s="108">
        <v>0.97</v>
      </c>
      <c r="Q206" s="108"/>
      <c r="R206" s="108"/>
      <c r="S206" s="162">
        <v>5</v>
      </c>
    </row>
    <row r="207" spans="1:19" x14ac:dyDescent="0.35">
      <c r="A207" s="29">
        <v>44857</v>
      </c>
      <c r="B207" s="38" t="s">
        <v>74</v>
      </c>
      <c r="C207" s="70" t="s">
        <v>60</v>
      </c>
      <c r="D207" s="1">
        <v>0</v>
      </c>
      <c r="E207" s="1">
        <v>0</v>
      </c>
      <c r="F207" s="72">
        <v>0</v>
      </c>
      <c r="G207" s="72">
        <v>0</v>
      </c>
      <c r="H207" s="1">
        <v>0</v>
      </c>
      <c r="I207" s="1">
        <v>0</v>
      </c>
      <c r="J207" s="1">
        <v>0</v>
      </c>
      <c r="K207" s="1">
        <v>0</v>
      </c>
      <c r="L207" s="76">
        <v>0</v>
      </c>
      <c r="M207" s="76">
        <v>0</v>
      </c>
      <c r="N207" s="76">
        <v>0</v>
      </c>
      <c r="O207" s="76">
        <v>0</v>
      </c>
      <c r="P207" s="108">
        <v>0</v>
      </c>
      <c r="Q207" s="108"/>
      <c r="R207" s="108"/>
      <c r="S207" s="162">
        <v>0</v>
      </c>
    </row>
    <row r="208" spans="1:19" x14ac:dyDescent="0.35">
      <c r="A208" s="29">
        <v>44858</v>
      </c>
      <c r="B208" s="38" t="s">
        <v>49</v>
      </c>
      <c r="C208" s="70" t="s">
        <v>60</v>
      </c>
      <c r="D208" s="1">
        <v>696</v>
      </c>
      <c r="E208" s="1">
        <v>598</v>
      </c>
      <c r="F208" s="72">
        <v>5.1359516616314202E-2</v>
      </c>
      <c r="G208" s="72">
        <v>0.20808080808080809</v>
      </c>
      <c r="H208" s="1">
        <v>11755</v>
      </c>
      <c r="I208" s="1">
        <v>7973</v>
      </c>
      <c r="J208" s="1">
        <v>84176</v>
      </c>
      <c r="K208" s="1">
        <v>66441</v>
      </c>
      <c r="L208" s="76">
        <v>0.56000000000000005</v>
      </c>
      <c r="M208" s="76">
        <v>0.14000000000000001</v>
      </c>
      <c r="N208" s="76">
        <v>0.86</v>
      </c>
      <c r="O208" s="76">
        <v>0.59</v>
      </c>
      <c r="P208" s="108">
        <v>0.95</v>
      </c>
      <c r="Q208" s="108"/>
      <c r="R208" s="108"/>
      <c r="S208" s="162">
        <v>7</v>
      </c>
    </row>
    <row r="209" spans="1:23" x14ac:dyDescent="0.35">
      <c r="A209" s="29">
        <v>44859</v>
      </c>
      <c r="B209" s="38" t="s">
        <v>50</v>
      </c>
      <c r="C209" s="70" t="s">
        <v>60</v>
      </c>
      <c r="D209" s="1">
        <v>605</v>
      </c>
      <c r="E209" s="1">
        <v>570</v>
      </c>
      <c r="F209" s="72">
        <v>0.21730382293762576</v>
      </c>
      <c r="G209" s="72">
        <v>0.27516778523489932</v>
      </c>
      <c r="H209" s="1">
        <v>12360</v>
      </c>
      <c r="I209" s="1">
        <v>8543</v>
      </c>
      <c r="J209" s="1">
        <v>84781</v>
      </c>
      <c r="K209" s="1">
        <v>67011</v>
      </c>
      <c r="L209" s="76">
        <v>0.78</v>
      </c>
      <c r="M209" s="76">
        <v>0.05</v>
      </c>
      <c r="N209" s="76">
        <v>0.95</v>
      </c>
      <c r="O209" s="76">
        <v>0.56000000000000005</v>
      </c>
      <c r="P209" s="108">
        <v>0.97</v>
      </c>
      <c r="Q209" s="108"/>
      <c r="R209" s="108"/>
      <c r="S209" s="162">
        <v>7</v>
      </c>
    </row>
    <row r="210" spans="1:23" x14ac:dyDescent="0.35">
      <c r="A210" s="29">
        <v>44860</v>
      </c>
      <c r="B210" s="38" t="s">
        <v>51</v>
      </c>
      <c r="C210" s="70" t="s">
        <v>60</v>
      </c>
      <c r="D210" s="1">
        <v>768</v>
      </c>
      <c r="E210" s="1">
        <v>586</v>
      </c>
      <c r="F210" s="72">
        <v>0.30390492359932086</v>
      </c>
      <c r="G210" s="72">
        <v>0.63231197771587744</v>
      </c>
      <c r="H210" s="1">
        <v>13128</v>
      </c>
      <c r="I210" s="1">
        <v>9129</v>
      </c>
      <c r="J210" s="1">
        <v>85549</v>
      </c>
      <c r="K210" s="1">
        <v>67597</v>
      </c>
      <c r="L210" s="76">
        <v>0.38</v>
      </c>
      <c r="M210" s="76">
        <v>0.23</v>
      </c>
      <c r="N210" s="76">
        <v>0.77</v>
      </c>
      <c r="O210" s="76">
        <v>0.67</v>
      </c>
      <c r="P210" s="108">
        <v>0.96</v>
      </c>
      <c r="Q210" s="108"/>
      <c r="R210" s="108"/>
      <c r="S210" s="162">
        <v>6</v>
      </c>
    </row>
    <row r="211" spans="1:23" x14ac:dyDescent="0.35">
      <c r="A211" s="29">
        <v>44861</v>
      </c>
      <c r="B211" s="38" t="s">
        <v>52</v>
      </c>
      <c r="C211" s="70" t="s">
        <v>60</v>
      </c>
      <c r="D211" s="1">
        <v>638</v>
      </c>
      <c r="E211" s="1">
        <v>562</v>
      </c>
      <c r="F211" s="72">
        <v>5.9800664451827246E-2</v>
      </c>
      <c r="G211" s="72">
        <v>0.15163934426229508</v>
      </c>
      <c r="H211" s="1">
        <v>13766</v>
      </c>
      <c r="I211" s="1">
        <v>9691</v>
      </c>
      <c r="J211" s="1">
        <v>86187</v>
      </c>
      <c r="K211" s="1">
        <v>68159</v>
      </c>
      <c r="L211" s="76">
        <v>0.69</v>
      </c>
      <c r="M211" s="76">
        <v>0.12</v>
      </c>
      <c r="N211" s="76">
        <v>0.88</v>
      </c>
      <c r="O211" s="76">
        <v>0.65</v>
      </c>
      <c r="P211" s="108">
        <v>0.94</v>
      </c>
      <c r="Q211" s="108"/>
      <c r="R211" s="108"/>
      <c r="S211" s="162">
        <v>6</v>
      </c>
    </row>
    <row r="212" spans="1:23" x14ac:dyDescent="0.35">
      <c r="A212" s="29">
        <v>44862</v>
      </c>
      <c r="B212" s="38" t="s">
        <v>53</v>
      </c>
      <c r="C212" s="70" t="s">
        <v>60</v>
      </c>
      <c r="D212" s="1">
        <v>538</v>
      </c>
      <c r="E212" s="1">
        <v>516</v>
      </c>
      <c r="F212" s="72">
        <v>1.7013232514177693E-2</v>
      </c>
      <c r="G212" s="72">
        <v>5.9548254620123205E-2</v>
      </c>
      <c r="H212" s="1">
        <v>14304</v>
      </c>
      <c r="I212" s="1">
        <v>10207</v>
      </c>
      <c r="J212" s="1">
        <v>86725</v>
      </c>
      <c r="K212" s="1">
        <v>68675</v>
      </c>
      <c r="L212" s="76">
        <v>0.88</v>
      </c>
      <c r="M212" s="76">
        <v>0.04</v>
      </c>
      <c r="N212" s="76">
        <v>0.96</v>
      </c>
      <c r="O212" s="76">
        <v>0.51</v>
      </c>
      <c r="P212" s="108">
        <v>0.96</v>
      </c>
      <c r="Q212" s="108"/>
      <c r="R212" s="108"/>
      <c r="S212" s="162">
        <v>7</v>
      </c>
    </row>
    <row r="213" spans="1:23" x14ac:dyDescent="0.35">
      <c r="A213" s="29">
        <v>44863</v>
      </c>
      <c r="B213" s="38" t="s">
        <v>54</v>
      </c>
      <c r="C213" s="70" t="s">
        <v>60</v>
      </c>
      <c r="D213" s="1">
        <v>348</v>
      </c>
      <c r="E213" s="1">
        <v>287</v>
      </c>
      <c r="F213" s="72">
        <v>0.10828025477707007</v>
      </c>
      <c r="G213" s="72">
        <v>0.17142857142857143</v>
      </c>
      <c r="H213" s="1">
        <v>14652</v>
      </c>
      <c r="I213" s="1">
        <v>10494</v>
      </c>
      <c r="J213" s="1">
        <v>87073</v>
      </c>
      <c r="K213" s="1">
        <v>68962</v>
      </c>
      <c r="L213" s="76">
        <v>0.55000000000000004</v>
      </c>
      <c r="M213" s="76">
        <v>0.18</v>
      </c>
      <c r="N213" s="76">
        <v>0.82</v>
      </c>
      <c r="O213" s="76">
        <v>0.4</v>
      </c>
      <c r="P213" s="108">
        <v>0.94</v>
      </c>
      <c r="Q213" s="108"/>
      <c r="R213" s="108"/>
      <c r="S213" s="162">
        <v>5</v>
      </c>
    </row>
    <row r="214" spans="1:23" x14ac:dyDescent="0.35">
      <c r="A214" s="29">
        <v>44864</v>
      </c>
      <c r="B214" s="38" t="s">
        <v>48</v>
      </c>
      <c r="C214" s="70" t="s">
        <v>60</v>
      </c>
      <c r="D214" s="1">
        <v>0</v>
      </c>
      <c r="E214" s="1">
        <v>0</v>
      </c>
      <c r="F214" s="72">
        <v>0</v>
      </c>
      <c r="G214" s="72">
        <v>0</v>
      </c>
      <c r="H214" s="1">
        <v>0</v>
      </c>
      <c r="I214" s="1">
        <v>0</v>
      </c>
      <c r="J214" s="1">
        <v>0</v>
      </c>
      <c r="K214" s="1">
        <v>0</v>
      </c>
      <c r="L214" s="76">
        <v>0</v>
      </c>
      <c r="M214" s="76">
        <v>0</v>
      </c>
      <c r="N214" s="76">
        <v>0</v>
      </c>
      <c r="O214" s="76">
        <v>0</v>
      </c>
      <c r="P214" s="108">
        <v>0</v>
      </c>
      <c r="Q214" s="108"/>
      <c r="R214" s="108"/>
      <c r="S214" s="162">
        <v>0</v>
      </c>
    </row>
    <row r="215" spans="1:23" s="54" customFormat="1" x14ac:dyDescent="0.35">
      <c r="A215" s="123">
        <v>44865</v>
      </c>
      <c r="B215" s="55" t="s">
        <v>49</v>
      </c>
      <c r="C215" s="55" t="s">
        <v>60</v>
      </c>
      <c r="D215" s="56">
        <v>725</v>
      </c>
      <c r="E215" s="56">
        <v>644</v>
      </c>
      <c r="F215" s="91">
        <v>4.1666666666666664E-2</v>
      </c>
      <c r="G215" s="91">
        <v>7.6923076923076927E-2</v>
      </c>
      <c r="H215" s="56">
        <v>15377</v>
      </c>
      <c r="I215" s="56">
        <v>11138</v>
      </c>
      <c r="J215" s="56">
        <v>87798</v>
      </c>
      <c r="K215" s="56">
        <v>69606</v>
      </c>
      <c r="L215" s="125">
        <v>0.7</v>
      </c>
      <c r="M215" s="125">
        <v>0.11</v>
      </c>
      <c r="N215" s="125">
        <v>0.89</v>
      </c>
      <c r="O215" s="125">
        <v>0.56000000000000005</v>
      </c>
      <c r="P215" s="126">
        <v>0.96</v>
      </c>
      <c r="Q215" s="126"/>
      <c r="R215" s="126"/>
      <c r="S215" s="171">
        <v>8</v>
      </c>
      <c r="U215"/>
      <c r="V215"/>
      <c r="W215"/>
    </row>
    <row r="216" spans="1:23" x14ac:dyDescent="0.35">
      <c r="A216" s="35">
        <v>44866</v>
      </c>
      <c r="B216" s="110" t="s">
        <v>50</v>
      </c>
      <c r="C216" s="70" t="s">
        <v>60</v>
      </c>
      <c r="D216" s="42">
        <v>712</v>
      </c>
      <c r="E216" s="42">
        <v>599</v>
      </c>
      <c r="F216" s="72">
        <v>0.17685950413223139</v>
      </c>
      <c r="G216" s="72">
        <v>5.0877192982456139E-2</v>
      </c>
      <c r="H216" s="1">
        <v>712</v>
      </c>
      <c r="I216" s="1">
        <v>599</v>
      </c>
      <c r="J216" s="1">
        <v>88510</v>
      </c>
      <c r="K216" s="1">
        <v>70205</v>
      </c>
      <c r="L216" s="112">
        <v>0.6</v>
      </c>
      <c r="M216" s="112">
        <v>0.15</v>
      </c>
      <c r="N216" s="112">
        <v>0.85</v>
      </c>
      <c r="O216" s="112">
        <v>0.69</v>
      </c>
      <c r="P216" s="113">
        <v>0.96</v>
      </c>
      <c r="Q216" s="113"/>
      <c r="R216" s="113"/>
      <c r="S216" s="162">
        <v>6</v>
      </c>
    </row>
    <row r="217" spans="1:23" x14ac:dyDescent="0.35">
      <c r="A217" s="35">
        <v>44867</v>
      </c>
      <c r="B217" s="38" t="s">
        <v>51</v>
      </c>
      <c r="C217" s="70" t="s">
        <v>60</v>
      </c>
      <c r="D217" s="1">
        <v>597</v>
      </c>
      <c r="E217" s="1">
        <v>550</v>
      </c>
      <c r="F217" s="72">
        <v>-0.22265625</v>
      </c>
      <c r="G217" s="72">
        <v>-6.1433447098976107E-2</v>
      </c>
      <c r="H217" s="1">
        <v>1309</v>
      </c>
      <c r="I217" s="1">
        <v>1149</v>
      </c>
      <c r="J217" s="1">
        <v>89107</v>
      </c>
      <c r="K217" s="1">
        <v>70755</v>
      </c>
      <c r="L217" s="76">
        <v>0.78</v>
      </c>
      <c r="M217" s="76">
        <v>0.08</v>
      </c>
      <c r="N217" s="76">
        <v>0.92</v>
      </c>
      <c r="O217" s="76">
        <v>0.63</v>
      </c>
      <c r="P217" s="108">
        <v>0.93</v>
      </c>
      <c r="Q217" s="108"/>
      <c r="R217" s="108"/>
      <c r="S217" s="162">
        <v>6</v>
      </c>
    </row>
    <row r="218" spans="1:23" x14ac:dyDescent="0.35">
      <c r="A218" s="35">
        <v>44868</v>
      </c>
      <c r="B218" s="38" t="s">
        <v>52</v>
      </c>
      <c r="C218" s="70" t="s">
        <v>60</v>
      </c>
      <c r="D218" s="1">
        <v>555</v>
      </c>
      <c r="E218" s="1">
        <v>482</v>
      </c>
      <c r="F218" s="72">
        <v>-0.13009404388714735</v>
      </c>
      <c r="G218" s="72">
        <v>-0.14234875444839859</v>
      </c>
      <c r="H218" s="1">
        <v>1864</v>
      </c>
      <c r="I218" s="1">
        <v>1631</v>
      </c>
      <c r="J218" s="1">
        <v>89662</v>
      </c>
      <c r="K218" s="1">
        <v>71237</v>
      </c>
      <c r="L218" s="76">
        <v>0.66</v>
      </c>
      <c r="M218" s="76">
        <v>0.13</v>
      </c>
      <c r="N218" s="76">
        <v>0.87</v>
      </c>
      <c r="O218" s="76">
        <v>0.66</v>
      </c>
      <c r="P218" s="108">
        <v>0.94</v>
      </c>
      <c r="Q218" s="108"/>
      <c r="R218" s="108"/>
      <c r="S218" s="162">
        <v>5</v>
      </c>
    </row>
    <row r="219" spans="1:23" x14ac:dyDescent="0.35">
      <c r="A219" s="35">
        <v>44869</v>
      </c>
      <c r="B219" s="38" t="s">
        <v>53</v>
      </c>
      <c r="C219" s="70" t="s">
        <v>60</v>
      </c>
      <c r="D219" s="1">
        <v>685</v>
      </c>
      <c r="E219" s="1">
        <v>539</v>
      </c>
      <c r="F219" s="72">
        <v>0.27323420074349442</v>
      </c>
      <c r="G219" s="72">
        <v>4.4573643410852716E-2</v>
      </c>
      <c r="H219" s="1">
        <v>2549</v>
      </c>
      <c r="I219" s="1">
        <v>2170</v>
      </c>
      <c r="J219" s="1">
        <v>90347</v>
      </c>
      <c r="K219" s="1">
        <v>71776</v>
      </c>
      <c r="L219" s="76">
        <v>0.45</v>
      </c>
      <c r="M219" s="76">
        <v>0.21</v>
      </c>
      <c r="N219" s="76">
        <v>0.79</v>
      </c>
      <c r="O219" s="76">
        <v>0.62</v>
      </c>
      <c r="P219" s="108">
        <v>0.99</v>
      </c>
      <c r="Q219" s="108"/>
      <c r="R219" s="108"/>
      <c r="S219" s="162">
        <v>6</v>
      </c>
    </row>
    <row r="220" spans="1:23" x14ac:dyDescent="0.35">
      <c r="A220" s="35">
        <v>44870</v>
      </c>
      <c r="B220" s="38" t="s">
        <v>54</v>
      </c>
      <c r="C220" s="70" t="s">
        <v>60</v>
      </c>
      <c r="D220" s="1">
        <v>386</v>
      </c>
      <c r="E220" s="1">
        <v>279</v>
      </c>
      <c r="F220" s="72">
        <v>0.10919540229885058</v>
      </c>
      <c r="G220" s="72">
        <v>-2.7874564459930314E-2</v>
      </c>
      <c r="H220" s="1">
        <v>2935</v>
      </c>
      <c r="I220" s="1">
        <v>2449</v>
      </c>
      <c r="J220" s="1">
        <v>90733</v>
      </c>
      <c r="K220" s="1">
        <v>72055</v>
      </c>
      <c r="L220" s="76">
        <v>0.39</v>
      </c>
      <c r="M220" s="108">
        <v>0.27</v>
      </c>
      <c r="N220" s="76">
        <v>0.73</v>
      </c>
      <c r="O220" s="76">
        <v>0.38</v>
      </c>
      <c r="P220" s="108">
        <v>0.98</v>
      </c>
      <c r="Q220" s="108"/>
      <c r="R220" s="108"/>
      <c r="S220" s="162">
        <v>5</v>
      </c>
    </row>
    <row r="221" spans="1:23" x14ac:dyDescent="0.35">
      <c r="A221" s="35">
        <v>44871</v>
      </c>
      <c r="B221" s="38" t="s">
        <v>48</v>
      </c>
      <c r="C221" s="70" t="s">
        <v>60</v>
      </c>
      <c r="D221" s="1">
        <v>0</v>
      </c>
      <c r="E221" s="1">
        <v>0</v>
      </c>
      <c r="F221" s="72">
        <v>0</v>
      </c>
      <c r="G221" s="72">
        <v>0</v>
      </c>
      <c r="H221" s="1">
        <v>0</v>
      </c>
      <c r="I221" s="1">
        <v>0</v>
      </c>
      <c r="J221" s="1">
        <v>0</v>
      </c>
      <c r="K221" s="1">
        <v>0</v>
      </c>
      <c r="L221" s="76">
        <v>0</v>
      </c>
      <c r="M221" s="76">
        <v>0</v>
      </c>
      <c r="N221" s="76">
        <v>0</v>
      </c>
      <c r="O221" s="76">
        <v>0</v>
      </c>
      <c r="P221" s="108">
        <v>0</v>
      </c>
      <c r="Q221" s="108"/>
      <c r="R221" s="108"/>
      <c r="S221" s="162">
        <v>0</v>
      </c>
    </row>
    <row r="222" spans="1:23" x14ac:dyDescent="0.35">
      <c r="A222" s="35">
        <v>44872</v>
      </c>
      <c r="B222" s="38" t="s">
        <v>49</v>
      </c>
      <c r="C222" s="70" t="s">
        <v>60</v>
      </c>
      <c r="D222" s="1">
        <v>763</v>
      </c>
      <c r="E222" s="1">
        <v>573</v>
      </c>
      <c r="F222" s="72">
        <v>5.2413793103448278E-2</v>
      </c>
      <c r="G222" s="72">
        <v>-0.11024844720496894</v>
      </c>
      <c r="H222" s="1">
        <v>3698</v>
      </c>
      <c r="I222" s="1">
        <v>3022</v>
      </c>
      <c r="J222" s="1">
        <v>91496</v>
      </c>
      <c r="K222" s="1">
        <v>72628</v>
      </c>
      <c r="L222" s="76">
        <v>0.31</v>
      </c>
      <c r="M222" s="76">
        <v>0.25</v>
      </c>
      <c r="N222" s="76">
        <v>0.75</v>
      </c>
      <c r="O222" s="76">
        <v>0.56000000000000005</v>
      </c>
      <c r="P222" s="108">
        <v>0.97</v>
      </c>
      <c r="Q222" s="108"/>
      <c r="R222" s="108"/>
      <c r="S222" s="162">
        <v>7</v>
      </c>
    </row>
    <row r="223" spans="1:23" x14ac:dyDescent="0.35">
      <c r="A223" s="35">
        <v>44873</v>
      </c>
      <c r="B223" s="38" t="s">
        <v>50</v>
      </c>
      <c r="C223" s="70" t="s">
        <v>60</v>
      </c>
      <c r="D223" s="1">
        <v>668</v>
      </c>
      <c r="E223" s="1">
        <v>448</v>
      </c>
      <c r="F223" s="72">
        <v>-6.1797752808988762E-2</v>
      </c>
      <c r="G223" s="72">
        <v>-0.25208681135225375</v>
      </c>
      <c r="H223" s="1">
        <v>4366</v>
      </c>
      <c r="I223" s="1">
        <v>3470</v>
      </c>
      <c r="J223" s="1">
        <v>92164</v>
      </c>
      <c r="K223" s="1">
        <v>73076</v>
      </c>
      <c r="L223" s="76">
        <v>0.27</v>
      </c>
      <c r="M223" s="76">
        <v>0.33</v>
      </c>
      <c r="N223" s="76">
        <v>0.67</v>
      </c>
      <c r="O223" s="76">
        <v>0.51</v>
      </c>
      <c r="P223" s="108">
        <v>0.97</v>
      </c>
      <c r="Q223" s="108"/>
      <c r="R223" s="108"/>
      <c r="S223" s="162">
        <v>6</v>
      </c>
    </row>
    <row r="224" spans="1:23" x14ac:dyDescent="0.35">
      <c r="A224" s="35">
        <v>44874</v>
      </c>
      <c r="B224" s="38" t="s">
        <v>51</v>
      </c>
      <c r="C224" s="70" t="s">
        <v>60</v>
      </c>
      <c r="D224" s="1">
        <v>635</v>
      </c>
      <c r="E224" s="1">
        <v>500</v>
      </c>
      <c r="F224" s="72">
        <v>6.3651591289782247E-2</v>
      </c>
      <c r="G224" s="72">
        <v>-9.0909090909090912E-2</v>
      </c>
      <c r="H224" s="1">
        <v>5001</v>
      </c>
      <c r="I224" s="1">
        <v>3970</v>
      </c>
      <c r="J224" s="1">
        <v>92799</v>
      </c>
      <c r="K224" s="1">
        <v>73576</v>
      </c>
      <c r="L224" s="76">
        <v>0.49</v>
      </c>
      <c r="M224" s="76">
        <v>0.21</v>
      </c>
      <c r="N224" s="76">
        <v>0.79</v>
      </c>
      <c r="O224" s="76">
        <v>0.56999999999999995</v>
      </c>
      <c r="P224" s="108">
        <v>0.96</v>
      </c>
      <c r="Q224" s="108"/>
      <c r="R224" s="108"/>
      <c r="S224" s="162">
        <v>6</v>
      </c>
    </row>
    <row r="225" spans="1:23" x14ac:dyDescent="0.35">
      <c r="A225" s="35">
        <v>44875</v>
      </c>
      <c r="B225" s="38" t="s">
        <v>52</v>
      </c>
      <c r="C225" s="70" t="s">
        <v>60</v>
      </c>
      <c r="D225" s="1">
        <v>485</v>
      </c>
      <c r="E225" s="1">
        <v>471</v>
      </c>
      <c r="F225" s="72">
        <v>-0.12612612612612611</v>
      </c>
      <c r="G225" s="72">
        <v>-2.2821576763485476E-2</v>
      </c>
      <c r="H225" s="1">
        <v>5486</v>
      </c>
      <c r="I225" s="1">
        <v>4441</v>
      </c>
      <c r="J225" s="1">
        <v>93284</v>
      </c>
      <c r="K225" s="1">
        <v>74047</v>
      </c>
      <c r="L225" s="76">
        <v>0.87</v>
      </c>
      <c r="M225" s="76">
        <v>0.03</v>
      </c>
      <c r="N225" s="76">
        <v>0.97</v>
      </c>
      <c r="O225" s="76">
        <v>0.46</v>
      </c>
      <c r="P225" s="108">
        <v>0.96</v>
      </c>
      <c r="Q225" s="108"/>
      <c r="R225" s="108"/>
      <c r="S225" s="162">
        <v>7</v>
      </c>
    </row>
    <row r="226" spans="1:23" x14ac:dyDescent="0.35">
      <c r="A226" s="35">
        <v>44876</v>
      </c>
      <c r="B226" s="38" t="s">
        <v>53</v>
      </c>
      <c r="C226" s="70" t="s">
        <v>60</v>
      </c>
      <c r="D226" s="1">
        <v>790</v>
      </c>
      <c r="E226" s="1">
        <v>588</v>
      </c>
      <c r="F226" s="72">
        <v>0.15328467153284672</v>
      </c>
      <c r="G226" s="72">
        <v>9.0909090909090912E-2</v>
      </c>
      <c r="H226" s="1">
        <v>6276</v>
      </c>
      <c r="I226" s="1">
        <v>5029</v>
      </c>
      <c r="J226" s="1">
        <v>94074</v>
      </c>
      <c r="K226" s="1">
        <v>74635</v>
      </c>
      <c r="L226" s="76">
        <v>0.37</v>
      </c>
      <c r="M226" s="76">
        <v>0.28999999999999998</v>
      </c>
      <c r="N226" s="76">
        <v>0.71</v>
      </c>
      <c r="O226" s="76">
        <v>0.55000000000000004</v>
      </c>
      <c r="P226" s="108">
        <v>0.95</v>
      </c>
      <c r="Q226" s="108"/>
      <c r="R226" s="108"/>
      <c r="S226" s="162">
        <v>7</v>
      </c>
    </row>
    <row r="227" spans="1:23" x14ac:dyDescent="0.35">
      <c r="A227" s="35">
        <v>44877</v>
      </c>
      <c r="B227" s="38" t="s">
        <v>54</v>
      </c>
      <c r="C227" s="70" t="s">
        <v>60</v>
      </c>
      <c r="D227" s="1">
        <v>463</v>
      </c>
      <c r="E227" s="1">
        <v>276</v>
      </c>
      <c r="F227" s="72">
        <v>0.19948186528497408</v>
      </c>
      <c r="G227" s="72">
        <v>-1.0752688172043012E-2</v>
      </c>
      <c r="H227" s="1">
        <v>6739</v>
      </c>
      <c r="I227" s="1">
        <v>5305</v>
      </c>
      <c r="J227" s="1">
        <v>94537</v>
      </c>
      <c r="K227" s="1">
        <v>74911</v>
      </c>
      <c r="L227" s="76">
        <v>0.21</v>
      </c>
      <c r="M227" s="76">
        <v>0.4</v>
      </c>
      <c r="N227" s="76">
        <v>0.6</v>
      </c>
      <c r="O227" s="76">
        <v>0.38</v>
      </c>
      <c r="P227" s="108">
        <v>0.95</v>
      </c>
      <c r="Q227" s="108"/>
      <c r="R227" s="108"/>
      <c r="S227" s="162">
        <v>5</v>
      </c>
    </row>
    <row r="228" spans="1:23" x14ac:dyDescent="0.35">
      <c r="A228" s="35">
        <v>44878</v>
      </c>
      <c r="B228" s="38" t="s">
        <v>48</v>
      </c>
      <c r="C228" s="70" t="s">
        <v>60</v>
      </c>
      <c r="D228" s="1">
        <v>0</v>
      </c>
      <c r="E228" s="1">
        <v>0</v>
      </c>
      <c r="F228" s="72">
        <v>0</v>
      </c>
      <c r="G228" s="72">
        <v>0</v>
      </c>
      <c r="H228" s="1">
        <v>0</v>
      </c>
      <c r="I228" s="1">
        <v>0</v>
      </c>
      <c r="J228" s="1">
        <v>0</v>
      </c>
      <c r="K228" s="1">
        <v>0</v>
      </c>
      <c r="L228" s="76">
        <v>0</v>
      </c>
      <c r="M228" s="76">
        <v>0</v>
      </c>
      <c r="N228" s="76">
        <v>0</v>
      </c>
      <c r="O228" s="76">
        <v>0</v>
      </c>
      <c r="P228" s="108">
        <v>0</v>
      </c>
      <c r="Q228" s="108"/>
      <c r="R228" s="108"/>
      <c r="S228" s="162">
        <v>0</v>
      </c>
    </row>
    <row r="229" spans="1:23" x14ac:dyDescent="0.35">
      <c r="A229" s="35">
        <v>44879</v>
      </c>
      <c r="B229" s="38" t="s">
        <v>49</v>
      </c>
      <c r="C229" s="70" t="s">
        <v>60</v>
      </c>
      <c r="D229" s="1">
        <v>671</v>
      </c>
      <c r="E229" s="1">
        <v>613</v>
      </c>
      <c r="F229" s="72">
        <v>-0.12057667103538663</v>
      </c>
      <c r="G229" s="72">
        <v>6.9808027923211169E-2</v>
      </c>
      <c r="H229" s="1">
        <v>7410</v>
      </c>
      <c r="I229" s="1">
        <v>5918</v>
      </c>
      <c r="J229" s="1">
        <v>95208</v>
      </c>
      <c r="K229" s="1">
        <v>75524</v>
      </c>
      <c r="L229" s="76">
        <v>0.76</v>
      </c>
      <c r="M229" s="76">
        <v>0.09</v>
      </c>
      <c r="N229" s="76">
        <v>0.91</v>
      </c>
      <c r="O229" s="76">
        <v>0.53</v>
      </c>
      <c r="P229" s="108">
        <v>0.96</v>
      </c>
      <c r="Q229" s="108"/>
      <c r="R229" s="108"/>
      <c r="S229" s="162">
        <v>8</v>
      </c>
    </row>
    <row r="230" spans="1:23" x14ac:dyDescent="0.35">
      <c r="A230" s="35">
        <v>44880</v>
      </c>
      <c r="B230" s="38" t="s">
        <v>50</v>
      </c>
      <c r="C230" s="70" t="s">
        <v>60</v>
      </c>
      <c r="D230" s="1">
        <v>580</v>
      </c>
      <c r="E230" s="1">
        <v>532</v>
      </c>
      <c r="F230" s="72">
        <v>-0.1317365269461078</v>
      </c>
      <c r="G230" s="72">
        <v>0.1875</v>
      </c>
      <c r="H230" s="1">
        <v>7990</v>
      </c>
      <c r="I230" s="1">
        <v>6450</v>
      </c>
      <c r="J230" s="1">
        <v>95788</v>
      </c>
      <c r="K230" s="1">
        <v>76056</v>
      </c>
      <c r="L230" s="76">
        <v>0.73</v>
      </c>
      <c r="M230" s="76">
        <v>0.08</v>
      </c>
      <c r="N230" s="76">
        <v>0.92</v>
      </c>
      <c r="O230" s="76">
        <v>0.81</v>
      </c>
      <c r="P230" s="108">
        <v>0.9</v>
      </c>
      <c r="Q230" s="108"/>
      <c r="R230" s="108"/>
      <c r="S230" s="162">
        <v>6</v>
      </c>
    </row>
    <row r="231" spans="1:23" x14ac:dyDescent="0.35">
      <c r="A231" s="35">
        <v>44881</v>
      </c>
      <c r="B231" s="38" t="s">
        <v>51</v>
      </c>
      <c r="C231" s="70" t="s">
        <v>60</v>
      </c>
      <c r="D231" s="1">
        <v>630</v>
      </c>
      <c r="E231" s="1">
        <v>600</v>
      </c>
      <c r="F231" s="72">
        <v>-7.874015748031496E-3</v>
      </c>
      <c r="G231" s="72">
        <v>0.2</v>
      </c>
      <c r="H231" s="1">
        <v>8620</v>
      </c>
      <c r="I231" s="1">
        <v>7050</v>
      </c>
      <c r="J231" s="1">
        <v>96418</v>
      </c>
      <c r="K231" s="1">
        <v>76656</v>
      </c>
      <c r="L231" s="76">
        <v>0.86</v>
      </c>
      <c r="M231" s="76">
        <v>0.04</v>
      </c>
      <c r="N231" s="76">
        <v>0.96</v>
      </c>
      <c r="O231" s="76">
        <v>0.73</v>
      </c>
      <c r="P231" s="108">
        <v>0.95</v>
      </c>
      <c r="Q231" s="108"/>
      <c r="R231" s="108"/>
      <c r="S231" s="162">
        <v>7</v>
      </c>
    </row>
    <row r="232" spans="1:23" x14ac:dyDescent="0.35">
      <c r="A232" s="35">
        <v>44882</v>
      </c>
      <c r="B232" s="38" t="s">
        <v>52</v>
      </c>
      <c r="C232" s="70" t="s">
        <v>60</v>
      </c>
      <c r="D232" s="1">
        <v>582</v>
      </c>
      <c r="E232" s="1">
        <v>554</v>
      </c>
      <c r="F232" s="72">
        <v>0.2</v>
      </c>
      <c r="G232" s="72">
        <v>0.17622080679405519</v>
      </c>
      <c r="H232" s="1">
        <v>9202</v>
      </c>
      <c r="I232" s="1">
        <v>7604</v>
      </c>
      <c r="J232" s="1">
        <v>97000</v>
      </c>
      <c r="K232" s="1">
        <v>77210</v>
      </c>
      <c r="L232" s="76">
        <v>0.86</v>
      </c>
      <c r="M232" s="76">
        <v>0.04</v>
      </c>
      <c r="N232" s="76">
        <v>0.96</v>
      </c>
      <c r="O232" s="76">
        <v>0.55000000000000004</v>
      </c>
      <c r="P232" s="108">
        <v>0.96</v>
      </c>
      <c r="Q232" s="108"/>
      <c r="R232" s="108"/>
      <c r="S232" s="162">
        <v>7</v>
      </c>
    </row>
    <row r="233" spans="1:23" x14ac:dyDescent="0.35">
      <c r="A233" s="35">
        <v>44883</v>
      </c>
      <c r="B233" s="38" t="s">
        <v>53</v>
      </c>
      <c r="C233" s="70" t="s">
        <v>60</v>
      </c>
      <c r="D233" s="1">
        <v>621</v>
      </c>
      <c r="E233" s="1">
        <v>601</v>
      </c>
      <c r="F233" s="72">
        <v>-0.21392405063291139</v>
      </c>
      <c r="G233" s="72">
        <v>2.2108843537414966E-2</v>
      </c>
      <c r="H233" s="1">
        <v>9823</v>
      </c>
      <c r="I233" s="1">
        <v>8205</v>
      </c>
      <c r="J233" s="1">
        <v>97621</v>
      </c>
      <c r="K233" s="1">
        <v>77811</v>
      </c>
      <c r="L233" s="76">
        <v>0.93</v>
      </c>
      <c r="M233" s="76">
        <v>0.03</v>
      </c>
      <c r="N233" s="76">
        <v>0.97</v>
      </c>
      <c r="O233" s="76">
        <v>0.68</v>
      </c>
      <c r="P233" s="108">
        <v>0.96</v>
      </c>
      <c r="Q233" s="108"/>
      <c r="R233" s="108"/>
      <c r="S233" s="162">
        <v>8</v>
      </c>
    </row>
    <row r="234" spans="1:23" x14ac:dyDescent="0.35">
      <c r="A234" s="35">
        <v>44884</v>
      </c>
      <c r="B234" s="38" t="s">
        <v>54</v>
      </c>
      <c r="C234" s="70" t="s">
        <v>60</v>
      </c>
      <c r="D234" s="1">
        <v>311</v>
      </c>
      <c r="E234" s="1">
        <v>293</v>
      </c>
      <c r="F234" s="72">
        <v>-0.3282937365010799</v>
      </c>
      <c r="G234" s="72">
        <v>6.1594202898550728E-2</v>
      </c>
      <c r="H234" s="1">
        <v>10134</v>
      </c>
      <c r="I234" s="1">
        <v>8498</v>
      </c>
      <c r="J234" s="1">
        <v>97932</v>
      </c>
      <c r="K234" s="1">
        <v>78104</v>
      </c>
      <c r="L234" s="76">
        <v>0.82</v>
      </c>
      <c r="M234" s="76">
        <v>0.05</v>
      </c>
      <c r="N234" s="76">
        <v>0.95</v>
      </c>
      <c r="O234" s="76">
        <v>0.53</v>
      </c>
      <c r="P234" s="108">
        <v>0.97</v>
      </c>
      <c r="Q234" s="108"/>
      <c r="R234" s="108"/>
      <c r="S234" s="162">
        <v>5</v>
      </c>
    </row>
    <row r="235" spans="1:23" x14ac:dyDescent="0.35">
      <c r="A235" s="35">
        <v>44885</v>
      </c>
      <c r="B235" s="38" t="s">
        <v>48</v>
      </c>
      <c r="C235" s="70" t="s">
        <v>60</v>
      </c>
      <c r="D235" s="1">
        <v>0</v>
      </c>
      <c r="E235" s="1">
        <v>0</v>
      </c>
      <c r="F235" s="72">
        <v>0</v>
      </c>
      <c r="G235" s="72">
        <v>0</v>
      </c>
      <c r="H235" s="1">
        <v>0</v>
      </c>
      <c r="I235" s="1">
        <v>0</v>
      </c>
      <c r="J235" s="1">
        <v>0</v>
      </c>
      <c r="K235" s="1">
        <v>0</v>
      </c>
      <c r="L235" s="76">
        <v>0</v>
      </c>
      <c r="M235" s="76">
        <v>0</v>
      </c>
      <c r="N235" s="76">
        <v>0</v>
      </c>
      <c r="O235" s="76">
        <v>0</v>
      </c>
      <c r="P235" s="108">
        <v>0</v>
      </c>
      <c r="Q235" s="108"/>
      <c r="R235" s="108"/>
      <c r="S235" s="162">
        <v>0</v>
      </c>
    </row>
    <row r="236" spans="1:23" x14ac:dyDescent="0.35">
      <c r="A236" s="35">
        <v>44886</v>
      </c>
      <c r="B236" s="38" t="s">
        <v>49</v>
      </c>
      <c r="C236" s="70" t="s">
        <v>60</v>
      </c>
      <c r="D236" s="1">
        <v>719</v>
      </c>
      <c r="E236" s="1">
        <v>676</v>
      </c>
      <c r="F236" s="72">
        <v>7.1535022354694486E-2</v>
      </c>
      <c r="G236" s="72">
        <v>0.10277324632952692</v>
      </c>
      <c r="H236" s="1">
        <v>10853</v>
      </c>
      <c r="I236" s="1">
        <v>9174</v>
      </c>
      <c r="J236" s="1">
        <v>98651</v>
      </c>
      <c r="K236" s="1">
        <v>78780</v>
      </c>
      <c r="L236" s="76">
        <v>0.8</v>
      </c>
      <c r="M236" s="76">
        <v>0.06</v>
      </c>
      <c r="N236" s="76">
        <v>0.94</v>
      </c>
      <c r="O236" s="76">
        <v>0.77</v>
      </c>
      <c r="P236" s="108">
        <v>0.96</v>
      </c>
      <c r="Q236" s="108"/>
      <c r="R236" s="108"/>
      <c r="S236" s="162">
        <v>8</v>
      </c>
    </row>
    <row r="237" spans="1:23" x14ac:dyDescent="0.35">
      <c r="A237" s="35">
        <v>44887</v>
      </c>
      <c r="B237" s="38" t="s">
        <v>50</v>
      </c>
      <c r="C237" s="70" t="s">
        <v>60</v>
      </c>
      <c r="D237" s="1">
        <v>717</v>
      </c>
      <c r="E237" s="1">
        <v>685</v>
      </c>
      <c r="F237" s="72">
        <v>0.23620689655172414</v>
      </c>
      <c r="G237" s="72">
        <v>0.28759398496240601</v>
      </c>
      <c r="H237" s="1">
        <v>11570</v>
      </c>
      <c r="I237" s="1">
        <v>9859</v>
      </c>
      <c r="J237" s="1">
        <v>99368</v>
      </c>
      <c r="K237" s="1">
        <v>79465</v>
      </c>
      <c r="L237" s="76">
        <v>0.84</v>
      </c>
      <c r="M237" s="76">
        <v>0.04</v>
      </c>
      <c r="N237" s="76">
        <v>0.96</v>
      </c>
      <c r="O237" s="76">
        <v>0.67</v>
      </c>
      <c r="P237" s="108">
        <v>0.96</v>
      </c>
      <c r="Q237" s="108"/>
      <c r="R237" s="108"/>
      <c r="S237" s="162">
        <v>7</v>
      </c>
      <c r="U237" s="54"/>
      <c r="V237" s="54"/>
      <c r="W237" s="54"/>
    </row>
    <row r="238" spans="1:23" x14ac:dyDescent="0.35">
      <c r="A238" s="35">
        <v>44888</v>
      </c>
      <c r="B238" s="38" t="s">
        <v>51</v>
      </c>
      <c r="C238" s="70" t="s">
        <v>60</v>
      </c>
      <c r="D238" s="1">
        <v>643</v>
      </c>
      <c r="E238" s="1">
        <v>574</v>
      </c>
      <c r="F238" s="72">
        <v>2.0634920634920634E-2</v>
      </c>
      <c r="G238" s="72">
        <v>-4.3333333333333335E-2</v>
      </c>
      <c r="H238" s="1">
        <v>12213</v>
      </c>
      <c r="I238" s="1">
        <v>10433</v>
      </c>
      <c r="J238" s="1">
        <v>100011</v>
      </c>
      <c r="K238" s="1">
        <v>80039</v>
      </c>
      <c r="L238" s="76">
        <v>0.71</v>
      </c>
      <c r="M238" s="76">
        <v>0.11</v>
      </c>
      <c r="N238" s="76">
        <v>0.89</v>
      </c>
      <c r="O238" s="76">
        <v>0.56999999999999995</v>
      </c>
      <c r="P238" s="108">
        <v>0.95</v>
      </c>
      <c r="Q238" s="108"/>
      <c r="R238" s="108"/>
      <c r="S238" s="162">
        <v>7</v>
      </c>
    </row>
    <row r="239" spans="1:23" x14ac:dyDescent="0.35">
      <c r="A239" s="35">
        <v>44889</v>
      </c>
      <c r="B239" s="38" t="s">
        <v>52</v>
      </c>
      <c r="C239" s="70" t="s">
        <v>60</v>
      </c>
      <c r="D239" s="1">
        <v>662</v>
      </c>
      <c r="E239" s="1">
        <v>593</v>
      </c>
      <c r="F239" s="72">
        <v>0.13745704467353953</v>
      </c>
      <c r="G239" s="72">
        <v>7.0397111913357402E-2</v>
      </c>
      <c r="H239" s="1">
        <v>12875</v>
      </c>
      <c r="I239" s="1">
        <v>11026</v>
      </c>
      <c r="J239" s="1">
        <v>100673</v>
      </c>
      <c r="K239" s="1">
        <v>80632</v>
      </c>
      <c r="L239" s="76">
        <v>0.7</v>
      </c>
      <c r="M239" s="76">
        <v>0.1</v>
      </c>
      <c r="N239" s="76">
        <v>0.9</v>
      </c>
      <c r="O239" s="76">
        <v>0.57999999999999996</v>
      </c>
      <c r="P239" s="108">
        <v>0.96</v>
      </c>
      <c r="Q239" s="108"/>
      <c r="R239" s="108"/>
      <c r="S239" s="162">
        <v>7</v>
      </c>
    </row>
    <row r="240" spans="1:23" x14ac:dyDescent="0.35">
      <c r="A240" s="35">
        <v>44890</v>
      </c>
      <c r="B240" s="38" t="s">
        <v>53</v>
      </c>
      <c r="C240" s="70" t="s">
        <v>60</v>
      </c>
      <c r="D240" s="1">
        <v>1098</v>
      </c>
      <c r="E240" s="1">
        <v>1026</v>
      </c>
      <c r="F240" s="72">
        <v>0.76811594202898548</v>
      </c>
      <c r="G240" s="72">
        <v>0.70715474209650586</v>
      </c>
      <c r="H240" s="1">
        <v>13973</v>
      </c>
      <c r="I240" s="1">
        <v>12052</v>
      </c>
      <c r="J240" s="1">
        <v>101771</v>
      </c>
      <c r="K240" s="1">
        <v>81658</v>
      </c>
      <c r="L240" s="76">
        <v>0.78</v>
      </c>
      <c r="M240" s="76">
        <v>7.0000000000000007E-2</v>
      </c>
      <c r="N240" s="76">
        <v>0.93</v>
      </c>
      <c r="O240" s="76">
        <v>0.71</v>
      </c>
      <c r="P240" s="108">
        <v>0.97</v>
      </c>
      <c r="Q240" s="108"/>
      <c r="R240" s="108"/>
      <c r="S240" s="162">
        <v>10</v>
      </c>
    </row>
    <row r="241" spans="1:21" x14ac:dyDescent="0.35">
      <c r="A241" s="35">
        <v>44891</v>
      </c>
      <c r="B241" s="38" t="s">
        <v>54</v>
      </c>
      <c r="C241" s="70" t="s">
        <v>60</v>
      </c>
      <c r="D241" s="1">
        <v>692</v>
      </c>
      <c r="E241" s="1">
        <v>394</v>
      </c>
      <c r="F241" s="72">
        <v>1.22508038585209</v>
      </c>
      <c r="G241" s="72">
        <v>0.34470989761092152</v>
      </c>
      <c r="H241" s="1">
        <v>14665</v>
      </c>
      <c r="I241" s="1">
        <v>12446</v>
      </c>
      <c r="J241" s="1">
        <v>102463</v>
      </c>
      <c r="K241" s="1">
        <v>82052</v>
      </c>
      <c r="L241" s="76">
        <v>0.14000000000000001</v>
      </c>
      <c r="M241" s="76">
        <v>0.43</v>
      </c>
      <c r="N241" s="76">
        <v>0.56999999999999995</v>
      </c>
      <c r="O241" s="76">
        <v>0.54</v>
      </c>
      <c r="P241" s="108">
        <v>0.97</v>
      </c>
      <c r="Q241" s="108"/>
      <c r="R241" s="108"/>
      <c r="S241" s="162">
        <v>5</v>
      </c>
    </row>
    <row r="242" spans="1:21" x14ac:dyDescent="0.35">
      <c r="A242" s="35">
        <v>44892</v>
      </c>
      <c r="B242" s="38" t="s">
        <v>48</v>
      </c>
      <c r="C242" s="70" t="s">
        <v>60</v>
      </c>
      <c r="D242" s="1">
        <v>0</v>
      </c>
      <c r="E242" s="1">
        <v>0</v>
      </c>
      <c r="F242" s="72">
        <v>0</v>
      </c>
      <c r="G242" s="72">
        <v>0</v>
      </c>
      <c r="H242" s="1">
        <v>0</v>
      </c>
      <c r="I242" s="1">
        <v>0</v>
      </c>
      <c r="J242" s="1">
        <v>0</v>
      </c>
      <c r="K242" s="1">
        <v>0</v>
      </c>
      <c r="L242" s="76">
        <v>0</v>
      </c>
      <c r="M242" s="76">
        <v>0</v>
      </c>
      <c r="N242" s="76">
        <v>0</v>
      </c>
      <c r="O242" s="76">
        <v>0</v>
      </c>
      <c r="P242" s="108">
        <v>0</v>
      </c>
      <c r="Q242" s="108"/>
      <c r="R242" s="108"/>
      <c r="S242" s="162">
        <v>0</v>
      </c>
      <c r="U242">
        <f>AVERAGEIF(P1:P366,"&lt;&gt;0")</f>
        <v>0.96140410958904077</v>
      </c>
    </row>
    <row r="243" spans="1:21" x14ac:dyDescent="0.35">
      <c r="A243" s="35">
        <v>44893</v>
      </c>
      <c r="B243" s="38" t="s">
        <v>49</v>
      </c>
      <c r="C243" s="70" t="s">
        <v>60</v>
      </c>
      <c r="D243" s="1">
        <v>1267</v>
      </c>
      <c r="E243" s="1">
        <v>833</v>
      </c>
      <c r="F243" s="72">
        <v>0.76216968011126562</v>
      </c>
      <c r="G243" s="72">
        <v>0.23224852071005916</v>
      </c>
      <c r="H243" s="1">
        <v>15932</v>
      </c>
      <c r="I243" s="1">
        <v>13279</v>
      </c>
      <c r="J243" s="1">
        <v>103730</v>
      </c>
      <c r="K243" s="1">
        <v>82885</v>
      </c>
      <c r="L243" s="76">
        <v>0.12</v>
      </c>
      <c r="M243" s="76">
        <v>0.34</v>
      </c>
      <c r="N243" s="76">
        <v>0.66</v>
      </c>
      <c r="O243" s="76">
        <v>0.72</v>
      </c>
      <c r="P243" s="108">
        <v>0.94</v>
      </c>
      <c r="Q243" s="108"/>
      <c r="R243" s="108"/>
      <c r="S243" s="150">
        <v>8</v>
      </c>
    </row>
    <row r="244" spans="1:21" x14ac:dyDescent="0.35">
      <c r="A244" s="35">
        <v>44894</v>
      </c>
      <c r="B244" s="38" t="s">
        <v>50</v>
      </c>
      <c r="C244" s="70" t="s">
        <v>60</v>
      </c>
      <c r="D244" s="1">
        <v>869</v>
      </c>
      <c r="E244" s="1">
        <v>747</v>
      </c>
      <c r="F244" s="72">
        <v>0.21199442119944212</v>
      </c>
      <c r="G244" s="72">
        <v>9.0510948905109495E-2</v>
      </c>
      <c r="H244" s="1">
        <v>16801</v>
      </c>
      <c r="I244" s="1">
        <v>14026</v>
      </c>
      <c r="J244" s="1">
        <v>104599</v>
      </c>
      <c r="K244" s="1">
        <v>83632</v>
      </c>
      <c r="L244" s="76">
        <v>0.63</v>
      </c>
      <c r="M244" s="76">
        <v>0.14000000000000001</v>
      </c>
      <c r="N244" s="76">
        <v>0.86</v>
      </c>
      <c r="O244" s="76">
        <v>0.64</v>
      </c>
      <c r="P244" s="108">
        <v>0.94</v>
      </c>
      <c r="Q244" s="108"/>
      <c r="R244" s="108"/>
      <c r="S244" s="150">
        <v>8</v>
      </c>
    </row>
    <row r="245" spans="1:21" x14ac:dyDescent="0.35">
      <c r="A245" s="35">
        <v>44895</v>
      </c>
      <c r="B245" s="38" t="s">
        <v>51</v>
      </c>
      <c r="C245" s="70" t="s">
        <v>60</v>
      </c>
      <c r="D245" s="1">
        <v>0</v>
      </c>
      <c r="E245" s="1">
        <v>0</v>
      </c>
      <c r="F245" s="72">
        <v>0</v>
      </c>
      <c r="G245" s="72">
        <v>0</v>
      </c>
      <c r="H245" s="1">
        <v>0</v>
      </c>
      <c r="I245" s="1">
        <v>0</v>
      </c>
      <c r="J245" s="1">
        <v>0</v>
      </c>
      <c r="K245" s="1">
        <v>0</v>
      </c>
      <c r="L245" s="76">
        <v>0</v>
      </c>
      <c r="M245" s="76">
        <v>0</v>
      </c>
      <c r="N245" s="76">
        <v>0</v>
      </c>
      <c r="O245" s="76">
        <v>0</v>
      </c>
      <c r="P245" s="108">
        <v>0</v>
      </c>
      <c r="Q245" s="108"/>
      <c r="R245" s="108"/>
      <c r="S245" s="150">
        <v>0</v>
      </c>
    </row>
    <row r="246" spans="1:21" x14ac:dyDescent="0.35">
      <c r="A246" s="35">
        <v>44896</v>
      </c>
      <c r="B246" s="38" t="s">
        <v>52</v>
      </c>
      <c r="C246" s="70" t="s">
        <v>60</v>
      </c>
      <c r="D246" s="1">
        <v>936</v>
      </c>
      <c r="E246" s="1">
        <v>719</v>
      </c>
      <c r="F246" s="72">
        <v>0.41389728096676737</v>
      </c>
      <c r="G246" s="72">
        <v>0.21247892074198987</v>
      </c>
      <c r="H246" s="1">
        <v>936</v>
      </c>
      <c r="I246" s="1">
        <v>719</v>
      </c>
      <c r="J246" s="1">
        <v>105535</v>
      </c>
      <c r="K246" s="1">
        <v>84351</v>
      </c>
      <c r="L246" s="76">
        <v>0.36</v>
      </c>
      <c r="M246" s="76">
        <v>0.23</v>
      </c>
      <c r="N246" s="76">
        <v>0.77</v>
      </c>
      <c r="O246" s="76">
        <v>0.62</v>
      </c>
      <c r="P246" s="108">
        <v>0.93</v>
      </c>
      <c r="Q246" s="108"/>
      <c r="R246" s="108"/>
      <c r="S246" s="150">
        <v>8</v>
      </c>
    </row>
    <row r="247" spans="1:21" x14ac:dyDescent="0.35">
      <c r="A247" s="35">
        <v>44897</v>
      </c>
      <c r="B247" s="38" t="s">
        <v>53</v>
      </c>
      <c r="C247" s="70" t="s">
        <v>60</v>
      </c>
      <c r="D247" s="1">
        <v>734</v>
      </c>
      <c r="E247" s="1">
        <v>694</v>
      </c>
      <c r="F247" s="72">
        <v>-0.33151183970856102</v>
      </c>
      <c r="G247" s="72">
        <v>-0.3235867446393762</v>
      </c>
      <c r="H247" s="1">
        <v>1670</v>
      </c>
      <c r="I247" s="1">
        <v>1413</v>
      </c>
      <c r="J247" s="1">
        <v>106269</v>
      </c>
      <c r="K247" s="1">
        <v>85045</v>
      </c>
      <c r="L247" s="76">
        <v>0.84</v>
      </c>
      <c r="M247" s="76">
        <v>0.05</v>
      </c>
      <c r="N247" s="76">
        <v>0.95</v>
      </c>
      <c r="O247" s="76">
        <v>0.53</v>
      </c>
      <c r="P247" s="108">
        <v>0.94</v>
      </c>
      <c r="Q247" s="108"/>
      <c r="R247" s="108"/>
      <c r="S247" s="150">
        <v>9</v>
      </c>
    </row>
    <row r="248" spans="1:21" x14ac:dyDescent="0.35">
      <c r="A248" s="35">
        <v>44898</v>
      </c>
      <c r="B248" s="38" t="s">
        <v>54</v>
      </c>
      <c r="C248" s="70" t="s">
        <v>60</v>
      </c>
      <c r="D248" s="1">
        <v>579</v>
      </c>
      <c r="E248" s="1">
        <v>412</v>
      </c>
      <c r="F248" s="72">
        <v>-0.16329479768786126</v>
      </c>
      <c r="G248" s="72">
        <v>4.5685279187817257E-2</v>
      </c>
      <c r="H248" s="1">
        <v>2249</v>
      </c>
      <c r="I248" s="1">
        <v>1825</v>
      </c>
      <c r="J248" s="1">
        <v>106848</v>
      </c>
      <c r="K248" s="1">
        <v>85457</v>
      </c>
      <c r="L248" s="76">
        <v>0.3</v>
      </c>
      <c r="M248" s="76">
        <v>0.28999999999999998</v>
      </c>
      <c r="N248" s="76">
        <v>0.71</v>
      </c>
      <c r="O248" s="76">
        <v>0.75</v>
      </c>
      <c r="P248" s="108">
        <v>0.97</v>
      </c>
      <c r="Q248" s="108"/>
      <c r="R248" s="108"/>
      <c r="S248" s="150">
        <v>5</v>
      </c>
    </row>
    <row r="249" spans="1:21" x14ac:dyDescent="0.35">
      <c r="A249" s="35">
        <v>44899</v>
      </c>
      <c r="B249" s="38" t="s">
        <v>48</v>
      </c>
      <c r="C249" s="70" t="s">
        <v>60</v>
      </c>
      <c r="D249" s="1">
        <v>168</v>
      </c>
      <c r="E249" s="1">
        <v>157</v>
      </c>
      <c r="F249" s="72">
        <v>0</v>
      </c>
      <c r="G249" s="72">
        <v>0</v>
      </c>
      <c r="H249" s="1">
        <v>2417</v>
      </c>
      <c r="I249" s="1">
        <v>1982</v>
      </c>
      <c r="J249" s="1">
        <v>107016</v>
      </c>
      <c r="K249" s="1">
        <v>85614</v>
      </c>
      <c r="L249" s="76">
        <v>0.86</v>
      </c>
      <c r="M249" s="76">
        <v>7.0000000000000007E-2</v>
      </c>
      <c r="N249" s="76">
        <v>0.93</v>
      </c>
      <c r="O249" s="76">
        <v>0.36</v>
      </c>
      <c r="P249" s="108">
        <v>0.96</v>
      </c>
      <c r="Q249" s="108"/>
      <c r="R249" s="108"/>
      <c r="S249" s="150">
        <v>4</v>
      </c>
    </row>
    <row r="250" spans="1:21" x14ac:dyDescent="0.35">
      <c r="A250" s="35">
        <v>44900</v>
      </c>
      <c r="B250" s="38" t="s">
        <v>49</v>
      </c>
      <c r="C250" s="70" t="s">
        <v>60</v>
      </c>
      <c r="D250" s="1">
        <v>1036</v>
      </c>
      <c r="E250" s="1">
        <v>725</v>
      </c>
      <c r="F250" s="72">
        <v>-0.18232044198895028</v>
      </c>
      <c r="G250" s="72">
        <v>-0.12965186074429771</v>
      </c>
      <c r="H250" s="1">
        <v>3453</v>
      </c>
      <c r="I250" s="1">
        <v>2707</v>
      </c>
      <c r="J250" s="1">
        <v>108052</v>
      </c>
      <c r="K250" s="1">
        <v>86339</v>
      </c>
      <c r="L250" s="76">
        <v>0.25</v>
      </c>
      <c r="M250" s="76">
        <v>0.3</v>
      </c>
      <c r="N250" s="76">
        <v>0.7</v>
      </c>
      <c r="O250" s="76">
        <v>0.82</v>
      </c>
      <c r="P250" s="108">
        <v>0.97</v>
      </c>
      <c r="Q250" s="108"/>
      <c r="R250" s="108"/>
      <c r="S250" s="150">
        <v>8</v>
      </c>
    </row>
    <row r="251" spans="1:21" x14ac:dyDescent="0.35">
      <c r="A251" s="35">
        <v>44901</v>
      </c>
      <c r="B251" s="38" t="s">
        <v>50</v>
      </c>
      <c r="C251" s="70" t="s">
        <v>60</v>
      </c>
      <c r="D251" s="1">
        <v>974</v>
      </c>
      <c r="E251" s="1">
        <v>664</v>
      </c>
      <c r="F251" s="72">
        <v>0.12082853855005754</v>
      </c>
      <c r="G251" s="72">
        <v>-0.1111111111111111</v>
      </c>
      <c r="H251" s="1">
        <v>4427</v>
      </c>
      <c r="I251" s="1">
        <v>3371</v>
      </c>
      <c r="J251" s="1">
        <v>109026</v>
      </c>
      <c r="K251" s="1">
        <v>87003</v>
      </c>
      <c r="L251" s="76">
        <v>0.21</v>
      </c>
      <c r="M251" s="76">
        <v>0.31</v>
      </c>
      <c r="N251" s="76">
        <v>0.69</v>
      </c>
      <c r="O251" s="76">
        <v>0.65</v>
      </c>
      <c r="P251" s="108">
        <v>0.93</v>
      </c>
      <c r="Q251" s="108"/>
      <c r="R251" s="108"/>
      <c r="S251" s="150">
        <v>7</v>
      </c>
    </row>
    <row r="252" spans="1:21" x14ac:dyDescent="0.35">
      <c r="A252" s="35">
        <v>44902</v>
      </c>
      <c r="B252" s="38" t="s">
        <v>51</v>
      </c>
      <c r="C252" s="70" t="s">
        <v>60</v>
      </c>
      <c r="D252" s="1">
        <v>727</v>
      </c>
      <c r="E252" s="1">
        <v>674</v>
      </c>
      <c r="F252" s="72">
        <v>0</v>
      </c>
      <c r="G252" s="72">
        <v>0</v>
      </c>
      <c r="H252" s="1">
        <v>5154</v>
      </c>
      <c r="I252" s="1">
        <v>4045</v>
      </c>
      <c r="J252" s="1">
        <v>109753</v>
      </c>
      <c r="K252" s="1">
        <v>87677</v>
      </c>
      <c r="L252" s="76">
        <v>0.7</v>
      </c>
      <c r="M252" s="76">
        <v>7.0000000000000007E-2</v>
      </c>
      <c r="N252" s="76">
        <v>0.93</v>
      </c>
      <c r="O252" s="76">
        <v>0.57999999999999996</v>
      </c>
      <c r="P252" s="108">
        <v>0.96</v>
      </c>
      <c r="Q252" s="108"/>
      <c r="R252" s="108"/>
      <c r="S252" s="150">
        <v>8</v>
      </c>
    </row>
    <row r="253" spans="1:21" x14ac:dyDescent="0.35">
      <c r="A253" s="35">
        <v>44903</v>
      </c>
      <c r="B253" s="38" t="s">
        <v>52</v>
      </c>
      <c r="C253" s="70" t="s">
        <v>60</v>
      </c>
      <c r="D253" s="1">
        <v>802</v>
      </c>
      <c r="E253" s="1">
        <v>628</v>
      </c>
      <c r="F253" s="72">
        <v>-0.14316239316239315</v>
      </c>
      <c r="G253" s="72">
        <v>-0.12656467315716272</v>
      </c>
      <c r="H253" s="1">
        <v>5956</v>
      </c>
      <c r="I253" s="1">
        <v>4673</v>
      </c>
      <c r="J253" s="1">
        <v>110555</v>
      </c>
      <c r="K253" s="1">
        <v>88305</v>
      </c>
      <c r="L253" s="76">
        <v>0.44</v>
      </c>
      <c r="M253" s="76">
        <v>0.21</v>
      </c>
      <c r="N253" s="76">
        <v>0.79</v>
      </c>
      <c r="O253" s="76">
        <v>0.82</v>
      </c>
      <c r="P253" s="108">
        <v>0.97</v>
      </c>
      <c r="Q253" s="108"/>
      <c r="R253" s="108"/>
      <c r="S253" s="150">
        <v>7</v>
      </c>
    </row>
    <row r="254" spans="1:21" x14ac:dyDescent="0.35">
      <c r="A254" s="35">
        <v>44904</v>
      </c>
      <c r="B254" s="38" t="s">
        <v>53</v>
      </c>
      <c r="C254" s="70" t="s">
        <v>60</v>
      </c>
      <c r="D254" s="1">
        <v>662</v>
      </c>
      <c r="E254" s="1">
        <v>565</v>
      </c>
      <c r="F254" s="72">
        <v>-9.8092643051771122E-2</v>
      </c>
      <c r="G254" s="72">
        <v>-0.18587896253602307</v>
      </c>
      <c r="H254" s="1">
        <v>6618</v>
      </c>
      <c r="I254" s="1">
        <v>5238</v>
      </c>
      <c r="J254" s="1">
        <v>111217</v>
      </c>
      <c r="K254" s="1">
        <v>88870</v>
      </c>
      <c r="L254" s="76">
        <v>0.54</v>
      </c>
      <c r="M254" s="76">
        <v>0.15</v>
      </c>
      <c r="N254" s="76">
        <v>0.85</v>
      </c>
      <c r="O254" s="76">
        <v>0.49</v>
      </c>
      <c r="P254" s="108">
        <v>0.96</v>
      </c>
      <c r="Q254" s="108"/>
      <c r="R254" s="108"/>
      <c r="S254" s="150">
        <v>8</v>
      </c>
    </row>
    <row r="255" spans="1:21" x14ac:dyDescent="0.35">
      <c r="A255" s="35">
        <v>44905</v>
      </c>
      <c r="B255" s="38" t="s">
        <v>54</v>
      </c>
      <c r="C255" s="70" t="s">
        <v>60</v>
      </c>
      <c r="D255" s="1">
        <v>479</v>
      </c>
      <c r="E255" s="1">
        <v>420</v>
      </c>
      <c r="F255" s="72">
        <v>-0.17271157167530224</v>
      </c>
      <c r="G255" s="72">
        <v>1.9417475728155338E-2</v>
      </c>
      <c r="H255" s="1">
        <v>7097</v>
      </c>
      <c r="I255" s="1">
        <v>5658</v>
      </c>
      <c r="J255" s="1">
        <v>111696</v>
      </c>
      <c r="K255" s="1">
        <v>89290</v>
      </c>
      <c r="L255" s="76">
        <v>0.71</v>
      </c>
      <c r="M255" s="76">
        <v>0.12</v>
      </c>
      <c r="N255" s="76">
        <v>0.88</v>
      </c>
      <c r="O255" s="76">
        <v>0.64</v>
      </c>
      <c r="P255" s="108">
        <v>0.98</v>
      </c>
      <c r="Q255" s="108"/>
      <c r="R255" s="108"/>
      <c r="S255" s="150">
        <v>6</v>
      </c>
    </row>
    <row r="256" spans="1:21" x14ac:dyDescent="0.35">
      <c r="A256" s="35">
        <v>44906</v>
      </c>
      <c r="B256" s="38" t="s">
        <v>48</v>
      </c>
      <c r="C256" s="70" t="s">
        <v>60</v>
      </c>
      <c r="D256" s="1">
        <v>191</v>
      </c>
      <c r="E256" s="1">
        <v>176</v>
      </c>
      <c r="F256" s="72">
        <v>0.13690476190476192</v>
      </c>
      <c r="G256" s="72">
        <v>0.12101910828025478</v>
      </c>
      <c r="H256" s="1">
        <v>7288</v>
      </c>
      <c r="I256" s="1">
        <v>5834</v>
      </c>
      <c r="J256" s="1">
        <v>111887</v>
      </c>
      <c r="K256" s="1">
        <v>89466</v>
      </c>
      <c r="L256" s="76">
        <v>0.81</v>
      </c>
      <c r="M256" s="76">
        <v>0.08</v>
      </c>
      <c r="N256" s="76">
        <v>0.92</v>
      </c>
      <c r="O256" s="76">
        <v>0.4</v>
      </c>
      <c r="P256" s="108">
        <v>0.98</v>
      </c>
      <c r="Q256" s="108"/>
      <c r="R256" s="108"/>
      <c r="S256" s="150">
        <v>3</v>
      </c>
    </row>
    <row r="257" spans="1:21" x14ac:dyDescent="0.35">
      <c r="A257" s="35">
        <v>44907</v>
      </c>
      <c r="B257" s="38" t="s">
        <v>49</v>
      </c>
      <c r="C257" s="70" t="s">
        <v>60</v>
      </c>
      <c r="D257" s="1">
        <v>840</v>
      </c>
      <c r="E257" s="1">
        <v>693</v>
      </c>
      <c r="F257" s="72">
        <v>-0.1891891891891892</v>
      </c>
      <c r="G257" s="72">
        <v>-4.4137931034482755E-2</v>
      </c>
      <c r="H257" s="1">
        <v>8128</v>
      </c>
      <c r="I257" s="1">
        <v>6527</v>
      </c>
      <c r="J257" s="1">
        <v>112727</v>
      </c>
      <c r="K257" s="1">
        <v>90159</v>
      </c>
      <c r="L257" s="76">
        <v>0.48</v>
      </c>
      <c r="M257" s="76">
        <v>0.17</v>
      </c>
      <c r="N257" s="76">
        <v>0.83</v>
      </c>
      <c r="O257" s="76">
        <v>0.53</v>
      </c>
      <c r="P257" s="108">
        <v>0.96</v>
      </c>
      <c r="Q257" s="108"/>
      <c r="R257" s="108"/>
      <c r="S257" s="150">
        <v>9</v>
      </c>
    </row>
    <row r="258" spans="1:21" x14ac:dyDescent="0.35">
      <c r="A258" s="35">
        <v>44908</v>
      </c>
      <c r="B258" s="38" t="s">
        <v>50</v>
      </c>
      <c r="C258" s="70" t="s">
        <v>60</v>
      </c>
      <c r="D258" s="1">
        <v>690</v>
      </c>
      <c r="E258" s="1">
        <v>575</v>
      </c>
      <c r="F258" s="72">
        <v>-0.29158110882956878</v>
      </c>
      <c r="G258" s="72">
        <v>-0.13403614457831325</v>
      </c>
      <c r="H258" s="1">
        <v>8818</v>
      </c>
      <c r="I258" s="1">
        <v>7102</v>
      </c>
      <c r="J258" s="1">
        <v>113417</v>
      </c>
      <c r="K258" s="1">
        <v>90734</v>
      </c>
      <c r="L258" s="76">
        <v>0.55000000000000004</v>
      </c>
      <c r="M258" s="76">
        <v>0.16</v>
      </c>
      <c r="N258" s="76">
        <v>0.84</v>
      </c>
      <c r="O258" s="76">
        <v>0.56999999999999995</v>
      </c>
      <c r="P258" s="108">
        <v>0.94</v>
      </c>
      <c r="Q258" s="108"/>
      <c r="R258" s="108"/>
      <c r="S258" s="150">
        <v>7</v>
      </c>
    </row>
    <row r="259" spans="1:21" x14ac:dyDescent="0.35">
      <c r="A259" s="35">
        <v>44909</v>
      </c>
      <c r="B259" s="38" t="s">
        <v>51</v>
      </c>
      <c r="C259" s="70" t="s">
        <v>60</v>
      </c>
      <c r="D259" s="1">
        <v>725</v>
      </c>
      <c r="E259" s="1">
        <v>680</v>
      </c>
      <c r="F259" s="72">
        <v>-2.751031636863824E-3</v>
      </c>
      <c r="G259" s="72">
        <v>8.9020771513353119E-3</v>
      </c>
      <c r="H259" s="1">
        <v>9543</v>
      </c>
      <c r="I259" s="1">
        <v>7782</v>
      </c>
      <c r="J259" s="1">
        <v>114142</v>
      </c>
      <c r="K259" s="1">
        <v>91414</v>
      </c>
      <c r="L259" s="76">
        <v>0.79</v>
      </c>
      <c r="M259" s="76">
        <v>0.06</v>
      </c>
      <c r="N259" s="76">
        <v>0.94</v>
      </c>
      <c r="O259" s="76">
        <v>0.52</v>
      </c>
      <c r="P259" s="108">
        <v>0.96</v>
      </c>
      <c r="Q259" s="108"/>
      <c r="R259" s="108"/>
      <c r="S259" s="150">
        <v>9</v>
      </c>
    </row>
    <row r="260" spans="1:21" x14ac:dyDescent="0.35">
      <c r="A260" s="35">
        <v>44910</v>
      </c>
      <c r="B260" s="38" t="s">
        <v>52</v>
      </c>
      <c r="C260" s="70" t="s">
        <v>60</v>
      </c>
      <c r="D260" s="1">
        <v>821</v>
      </c>
      <c r="E260" s="1">
        <v>547</v>
      </c>
      <c r="F260" s="72">
        <f>IFERROR((Table3[[#This Row],[Calls Off]]-D253)/D253,0)</f>
        <v>2.369077306733167E-2</v>
      </c>
      <c r="G260" s="72">
        <f>IFERROR((Table3[[#This Row],[Calls Ans]]-E253)/E253,0)</f>
        <v>-0.12898089171974522</v>
      </c>
      <c r="H260" s="1">
        <f>H259+Table3[[#This Row],[Calls Off]]</f>
        <v>10364</v>
      </c>
      <c r="I260" s="1">
        <f>I259+Table3[[#This Row],[Calls Ans]]</f>
        <v>8329</v>
      </c>
      <c r="J260" s="1">
        <f>J259+Table3[[#This Row],[Calls Off]]</f>
        <v>114963</v>
      </c>
      <c r="K260" s="1">
        <f>K259+Table3[[#This Row],[Calls Ans]]</f>
        <v>91961</v>
      </c>
      <c r="L260" s="76">
        <v>0.39</v>
      </c>
      <c r="M260" s="76">
        <v>0.33</v>
      </c>
      <c r="N260" s="76">
        <v>0.67</v>
      </c>
      <c r="O260" s="76">
        <v>0.57999999999999996</v>
      </c>
      <c r="P260" s="108">
        <v>0.97</v>
      </c>
      <c r="Q260" s="108"/>
      <c r="R260" s="108"/>
      <c r="S260" s="150">
        <v>7</v>
      </c>
    </row>
    <row r="261" spans="1:21" x14ac:dyDescent="0.35">
      <c r="A261" s="35">
        <v>44911</v>
      </c>
      <c r="B261" s="38" t="s">
        <v>53</v>
      </c>
      <c r="C261" s="70" t="s">
        <v>60</v>
      </c>
      <c r="D261" s="1">
        <v>829</v>
      </c>
      <c r="E261" s="1">
        <v>597</v>
      </c>
      <c r="F261" s="72">
        <f>IFERROR((Table3[[#This Row],[Calls Off]]-D254)/D254,0)</f>
        <v>0.25226586102719034</v>
      </c>
      <c r="G261" s="72">
        <f>IFERROR((Table3[[#This Row],[Calls Ans]]-E254)/E254,0)</f>
        <v>5.663716814159292E-2</v>
      </c>
      <c r="H261" s="1">
        <f>H260+Table3[[#This Row],[Calls Off]]</f>
        <v>11193</v>
      </c>
      <c r="I261" s="1">
        <f>I260+Table3[[#This Row],[Calls Ans]]</f>
        <v>8926</v>
      </c>
      <c r="J261" s="1">
        <f>J260+Table3[[#This Row],[Calls Off]]</f>
        <v>115792</v>
      </c>
      <c r="K261" s="1">
        <f>K260+Table3[[#This Row],[Calls Ans]]</f>
        <v>92558</v>
      </c>
      <c r="L261" s="76">
        <v>0.41</v>
      </c>
      <c r="M261" s="76">
        <v>0.28000000000000003</v>
      </c>
      <c r="N261" s="76">
        <v>0.72</v>
      </c>
      <c r="O261" s="76">
        <v>0.68</v>
      </c>
      <c r="P261" s="108">
        <v>0.97</v>
      </c>
      <c r="Q261" s="108"/>
      <c r="R261" s="108"/>
      <c r="S261" s="149">
        <v>8</v>
      </c>
    </row>
    <row r="262" spans="1:21" x14ac:dyDescent="0.35">
      <c r="A262" s="35">
        <v>44912</v>
      </c>
      <c r="B262" s="38" t="s">
        <v>54</v>
      </c>
      <c r="C262" s="70" t="s">
        <v>60</v>
      </c>
      <c r="D262" s="1">
        <v>671</v>
      </c>
      <c r="E262" s="1">
        <v>473</v>
      </c>
      <c r="F262" s="72">
        <f>IFERROR((Table3[[#This Row],[Calls Off]]-D255)/D255,0)</f>
        <v>0.40083507306889354</v>
      </c>
      <c r="G262" s="72">
        <f>IFERROR((Table3[[#This Row],[Calls Ans]]-E255)/E255,0)</f>
        <v>0.12619047619047619</v>
      </c>
      <c r="H262" s="1">
        <f>H261+Table3[[#This Row],[Calls Off]]</f>
        <v>11864</v>
      </c>
      <c r="I262" s="1">
        <f>I261+Table3[[#This Row],[Calls Ans]]</f>
        <v>9399</v>
      </c>
      <c r="J262" s="1">
        <f>J261+Table3[[#This Row],[Calls Off]]</f>
        <v>116463</v>
      </c>
      <c r="K262" s="1">
        <f>K261+Table3[[#This Row],[Calls Ans]]</f>
        <v>93031</v>
      </c>
      <c r="L262" s="76">
        <v>0.41</v>
      </c>
      <c r="M262" s="76">
        <v>0.28999999999999998</v>
      </c>
      <c r="N262" s="76">
        <v>0.71</v>
      </c>
      <c r="O262" s="76">
        <v>0.47</v>
      </c>
      <c r="P262" s="108">
        <v>0.97</v>
      </c>
      <c r="Q262" s="108"/>
      <c r="R262" s="108"/>
      <c r="S262" s="149">
        <v>7</v>
      </c>
    </row>
    <row r="263" spans="1:21" x14ac:dyDescent="0.35">
      <c r="A263" s="35">
        <v>44913</v>
      </c>
      <c r="B263" s="38" t="s">
        <v>48</v>
      </c>
      <c r="C263" s="70" t="s">
        <v>60</v>
      </c>
      <c r="D263" s="1">
        <v>313</v>
      </c>
      <c r="E263" s="1">
        <v>267</v>
      </c>
      <c r="F263" s="72">
        <f>IFERROR((Table3[[#This Row],[Calls Off]]-D256)/D256,0)</f>
        <v>0.63874345549738221</v>
      </c>
      <c r="G263" s="72">
        <f>IFERROR((Table3[[#This Row],[Calls Ans]]-E256)/E256,0)</f>
        <v>0.51704545454545459</v>
      </c>
      <c r="H263" s="1">
        <f>H262+Table3[[#This Row],[Calls Off]]</f>
        <v>12177</v>
      </c>
      <c r="I263" s="1">
        <f>I262+Table3[[#This Row],[Calls Ans]]</f>
        <v>9666</v>
      </c>
      <c r="J263" s="1">
        <f>J262+Table3[[#This Row],[Calls Off]]</f>
        <v>116776</v>
      </c>
      <c r="K263" s="1">
        <f>K262+Table3[[#This Row],[Calls Ans]]</f>
        <v>93298</v>
      </c>
      <c r="L263" s="76">
        <v>0.72</v>
      </c>
      <c r="M263" s="76">
        <v>0.15</v>
      </c>
      <c r="N263" s="76">
        <v>0.85</v>
      </c>
      <c r="O263" s="76">
        <v>0.37</v>
      </c>
      <c r="P263" s="108">
        <v>0.97</v>
      </c>
      <c r="Q263" s="108"/>
      <c r="R263" s="108"/>
      <c r="S263" s="149">
        <v>5</v>
      </c>
      <c r="U263" t="s">
        <v>64</v>
      </c>
    </row>
    <row r="264" spans="1:21" x14ac:dyDescent="0.35">
      <c r="A264" s="35">
        <v>44914</v>
      </c>
      <c r="B264" s="38" t="s">
        <v>49</v>
      </c>
      <c r="C264" s="70" t="s">
        <v>60</v>
      </c>
      <c r="D264" s="1">
        <v>1147</v>
      </c>
      <c r="E264" s="1">
        <v>802</v>
      </c>
      <c r="F264" s="72">
        <f>IFERROR((Table3[[#This Row],[Calls Off]]-D257)/D257,0)</f>
        <v>0.36547619047619045</v>
      </c>
      <c r="G264" s="72">
        <f>IFERROR((Table3[[#This Row],[Calls Ans]]-E257)/E257,0)</f>
        <v>0.15728715728715728</v>
      </c>
      <c r="H264" s="1">
        <f>H263+Table3[[#This Row],[Calls Off]]</f>
        <v>13324</v>
      </c>
      <c r="I264" s="1">
        <f>I263+Table3[[#This Row],[Calls Ans]]</f>
        <v>10468</v>
      </c>
      <c r="J264" s="1">
        <f>J263+Table3[[#This Row],[Calls Off]]</f>
        <v>117923</v>
      </c>
      <c r="K264" s="1">
        <f>K263+Table3[[#This Row],[Calls Ans]]</f>
        <v>94100</v>
      </c>
      <c r="L264" s="76">
        <v>0.3</v>
      </c>
      <c r="M264" s="76">
        <v>0.3</v>
      </c>
      <c r="N264" s="76">
        <v>0.7</v>
      </c>
      <c r="O264" s="76">
        <v>0.69</v>
      </c>
      <c r="P264" s="108">
        <v>0.94</v>
      </c>
      <c r="Q264" s="108"/>
      <c r="R264" s="108"/>
      <c r="S264" s="149">
        <v>8</v>
      </c>
    </row>
    <row r="265" spans="1:21" x14ac:dyDescent="0.35">
      <c r="A265" s="35">
        <v>44915</v>
      </c>
      <c r="B265" s="38" t="s">
        <v>50</v>
      </c>
      <c r="C265" s="70" t="s">
        <v>60</v>
      </c>
      <c r="D265" s="1">
        <v>1157</v>
      </c>
      <c r="E265" s="1">
        <v>658</v>
      </c>
      <c r="F265" s="72">
        <f>IFERROR((Table3[[#This Row],[Calls Off]]-D258)/D258,0)</f>
        <v>0.6768115942028986</v>
      </c>
      <c r="G265" s="72">
        <f>IFERROR((Table3[[#This Row],[Calls Ans]]-E258)/E258,0)</f>
        <v>0.14434782608695651</v>
      </c>
      <c r="H265" s="1">
        <f>H264+Table3[[#This Row],[Calls Off]]</f>
        <v>14481</v>
      </c>
      <c r="I265" s="1">
        <f>I264+Table3[[#This Row],[Calls Ans]]</f>
        <v>11126</v>
      </c>
      <c r="J265" s="1">
        <f>J264+Table3[[#This Row],[Calls Off]]</f>
        <v>119080</v>
      </c>
      <c r="K265" s="1">
        <f>K264+Table3[[#This Row],[Calls Ans]]</f>
        <v>94758</v>
      </c>
      <c r="L265" s="76">
        <v>0.15</v>
      </c>
      <c r="M265" s="76">
        <v>0.43</v>
      </c>
      <c r="N265" s="76">
        <v>0.56999999999999995</v>
      </c>
      <c r="O265" s="76">
        <v>0.56999999999999995</v>
      </c>
      <c r="P265" s="108">
        <v>0.97</v>
      </c>
      <c r="Q265" s="108"/>
      <c r="R265" s="108"/>
      <c r="S265" s="149">
        <v>8</v>
      </c>
    </row>
    <row r="266" spans="1:21" x14ac:dyDescent="0.35">
      <c r="A266" s="35">
        <v>44916</v>
      </c>
      <c r="B266" s="38" t="s">
        <v>51</v>
      </c>
      <c r="C266" s="70" t="s">
        <v>60</v>
      </c>
      <c r="D266" s="1">
        <v>1412</v>
      </c>
      <c r="E266" s="1">
        <v>784</v>
      </c>
      <c r="F266" s="72">
        <f>IFERROR((Table3[[#This Row],[Calls Off]]-D259)/D259,0)</f>
        <v>0.94758620689655171</v>
      </c>
      <c r="G266" s="72">
        <f>IFERROR((Table3[[#This Row],[Calls Ans]]-E259)/E259,0)</f>
        <v>0.15294117647058825</v>
      </c>
      <c r="H266" s="1">
        <f>H265+Table3[[#This Row],[Calls Off]]</f>
        <v>15893</v>
      </c>
      <c r="I266" s="1">
        <f>I265+Table3[[#This Row],[Calls Ans]]</f>
        <v>11910</v>
      </c>
      <c r="J266" s="1">
        <f>J265+Table3[[#This Row],[Calls Off]]</f>
        <v>120492</v>
      </c>
      <c r="K266" s="1">
        <f>K265+Table3[[#This Row],[Calls Ans]]</f>
        <v>95542</v>
      </c>
      <c r="L266" s="76">
        <v>0.13</v>
      </c>
      <c r="M266" s="76">
        <v>0.44</v>
      </c>
      <c r="N266" s="76">
        <v>0.56000000000000005</v>
      </c>
      <c r="O266" s="76">
        <v>0.77</v>
      </c>
      <c r="P266" s="108">
        <v>0.97</v>
      </c>
      <c r="Q266" s="108"/>
      <c r="R266" s="108"/>
      <c r="S266" s="149">
        <v>8</v>
      </c>
    </row>
    <row r="267" spans="1:21" x14ac:dyDescent="0.35">
      <c r="A267" s="35">
        <v>44917</v>
      </c>
      <c r="B267" s="38" t="s">
        <v>52</v>
      </c>
      <c r="C267" s="70" t="s">
        <v>60</v>
      </c>
      <c r="D267" s="1">
        <v>1163</v>
      </c>
      <c r="E267" s="1">
        <v>554</v>
      </c>
      <c r="F267" s="72">
        <f>IFERROR((Table3[[#This Row],[Calls Off]]-D260)/D260,0)</f>
        <v>0.41656516443361752</v>
      </c>
      <c r="G267" s="72">
        <f>IFERROR((Table3[[#This Row],[Calls Ans]]-E260)/E260,0)</f>
        <v>1.2797074954296161E-2</v>
      </c>
      <c r="H267" s="1">
        <f>H266+Table3[[#This Row],[Calls Off]]</f>
        <v>17056</v>
      </c>
      <c r="I267" s="1">
        <f>I266+Table3[[#This Row],[Calls Ans]]</f>
        <v>12464</v>
      </c>
      <c r="J267" s="1">
        <f>J266+Table3[[#This Row],[Calls Off]]</f>
        <v>121655</v>
      </c>
      <c r="K267" s="1">
        <f>K266+Table3[[#This Row],[Calls Ans]]</f>
        <v>96096</v>
      </c>
      <c r="L267" s="76">
        <v>7.0000000000000007E-2</v>
      </c>
      <c r="M267" s="76">
        <v>0.52</v>
      </c>
      <c r="N267" s="76">
        <v>0.48</v>
      </c>
      <c r="O267" s="76">
        <v>0.14000000000000001</v>
      </c>
      <c r="P267" s="108">
        <v>0.96</v>
      </c>
      <c r="Q267" s="108"/>
      <c r="R267" s="108"/>
      <c r="S267" s="149">
        <v>7</v>
      </c>
    </row>
    <row r="268" spans="1:21" x14ac:dyDescent="0.35">
      <c r="A268" s="35">
        <v>44918</v>
      </c>
      <c r="B268" s="38" t="s">
        <v>53</v>
      </c>
      <c r="C268" s="70" t="s">
        <v>60</v>
      </c>
      <c r="D268" s="1">
        <v>1141</v>
      </c>
      <c r="E268" s="1">
        <v>598</v>
      </c>
      <c r="F268" s="72">
        <f>IFERROR((Table3[[#This Row],[Calls Off]]-D261)/D261,0)</f>
        <v>0.37635705669481301</v>
      </c>
      <c r="G268" s="72">
        <f>IFERROR((Table3[[#This Row],[Calls Ans]]-E261)/E261,0)</f>
        <v>1.6750418760469012E-3</v>
      </c>
      <c r="H268" s="1">
        <f>H267+Table3[[#This Row],[Calls Off]]</f>
        <v>18197</v>
      </c>
      <c r="I268" s="1">
        <f>I267+Table3[[#This Row],[Calls Ans]]</f>
        <v>13062</v>
      </c>
      <c r="J268" s="1">
        <f>J267+Table3[[#This Row],[Calls Off]]</f>
        <v>122796</v>
      </c>
      <c r="K268" s="1">
        <f>K267+Table3[[#This Row],[Calls Ans]]</f>
        <v>96694</v>
      </c>
      <c r="L268" s="76">
        <v>0.14000000000000001</v>
      </c>
      <c r="M268" s="76">
        <v>0.48</v>
      </c>
      <c r="N268" s="76">
        <v>0.52</v>
      </c>
      <c r="O268" s="76">
        <v>0.52</v>
      </c>
      <c r="P268" s="108">
        <v>0.96</v>
      </c>
      <c r="Q268" s="108"/>
      <c r="R268" s="108"/>
      <c r="S268" s="149">
        <v>8</v>
      </c>
    </row>
    <row r="269" spans="1:21" x14ac:dyDescent="0.35">
      <c r="A269" s="35">
        <v>44919</v>
      </c>
      <c r="B269" s="38" t="s">
        <v>54</v>
      </c>
      <c r="C269" s="70" t="s">
        <v>60</v>
      </c>
      <c r="D269" s="1">
        <v>836</v>
      </c>
      <c r="E269" s="1">
        <v>641</v>
      </c>
      <c r="F269" s="72">
        <f>IFERROR((Table3[[#This Row],[Calls Off]]-D262)/D262,0)</f>
        <v>0.24590163934426229</v>
      </c>
      <c r="G269" s="72">
        <f>IFERROR((Table3[[#This Row],[Calls Ans]]-E262)/E262,0)</f>
        <v>0.35517970401691334</v>
      </c>
      <c r="H269" s="1">
        <f>H268+Table3[[#This Row],[Calls Off]]</f>
        <v>19033</v>
      </c>
      <c r="I269" s="1">
        <f>I268+Table3[[#This Row],[Calls Ans]]</f>
        <v>13703</v>
      </c>
      <c r="J269" s="1">
        <f>J268+Table3[[#This Row],[Calls Off]]</f>
        <v>123632</v>
      </c>
      <c r="K269" s="1">
        <f>K268+Table3[[#This Row],[Calls Ans]]</f>
        <v>97335</v>
      </c>
      <c r="L269" s="76">
        <v>0.21</v>
      </c>
      <c r="M269" s="76">
        <v>0.28000000000000003</v>
      </c>
      <c r="N269" s="76">
        <v>0.72</v>
      </c>
      <c r="O269" s="76">
        <v>0.56999999999999995</v>
      </c>
      <c r="P269" s="108">
        <v>0.97</v>
      </c>
      <c r="Q269" s="108"/>
      <c r="R269" s="108"/>
      <c r="S269" s="149">
        <v>9</v>
      </c>
    </row>
    <row r="270" spans="1:21" x14ac:dyDescent="0.35">
      <c r="A270" s="35">
        <v>44920</v>
      </c>
      <c r="B270" s="38" t="s">
        <v>48</v>
      </c>
      <c r="C270" s="70" t="s">
        <v>60</v>
      </c>
      <c r="D270" s="1">
        <v>0</v>
      </c>
      <c r="E270" s="1">
        <v>0</v>
      </c>
      <c r="F270" s="72">
        <v>0</v>
      </c>
      <c r="G270" s="72">
        <v>0</v>
      </c>
      <c r="H270" s="1">
        <v>0</v>
      </c>
      <c r="I270" s="1">
        <v>0</v>
      </c>
      <c r="J270" s="1">
        <v>0</v>
      </c>
      <c r="K270" s="1">
        <v>0</v>
      </c>
      <c r="L270" s="76">
        <v>0</v>
      </c>
      <c r="M270" s="76">
        <v>0</v>
      </c>
      <c r="N270" s="76">
        <v>0</v>
      </c>
      <c r="O270" s="76">
        <v>0</v>
      </c>
      <c r="P270" s="108">
        <v>0</v>
      </c>
      <c r="Q270" s="108"/>
      <c r="R270" s="108"/>
      <c r="S270" s="149">
        <v>0</v>
      </c>
    </row>
    <row r="271" spans="1:21" x14ac:dyDescent="0.35">
      <c r="A271" s="35">
        <v>44921</v>
      </c>
      <c r="B271" s="38" t="s">
        <v>49</v>
      </c>
      <c r="C271" s="70" t="s">
        <v>60</v>
      </c>
      <c r="D271" s="1">
        <v>0</v>
      </c>
      <c r="E271" s="1">
        <v>0</v>
      </c>
      <c r="F271" s="72">
        <v>0</v>
      </c>
      <c r="G271" s="72">
        <v>0</v>
      </c>
      <c r="H271" s="1">
        <v>0</v>
      </c>
      <c r="I271" s="1">
        <v>0</v>
      </c>
      <c r="J271" s="1">
        <v>0</v>
      </c>
      <c r="K271" s="1">
        <v>0</v>
      </c>
      <c r="L271" s="76">
        <v>0</v>
      </c>
      <c r="M271" s="76">
        <v>0</v>
      </c>
      <c r="N271" s="76">
        <v>0</v>
      </c>
      <c r="O271" s="76">
        <v>0</v>
      </c>
      <c r="P271" s="108">
        <v>0</v>
      </c>
      <c r="Q271" s="108"/>
      <c r="R271" s="108"/>
      <c r="S271" s="149">
        <v>0</v>
      </c>
    </row>
    <row r="272" spans="1:21" x14ac:dyDescent="0.35">
      <c r="A272" s="35">
        <v>44922</v>
      </c>
      <c r="B272" s="38" t="s">
        <v>50</v>
      </c>
      <c r="C272" s="70" t="s">
        <v>60</v>
      </c>
      <c r="D272" s="1">
        <v>0</v>
      </c>
      <c r="E272" s="1">
        <v>0</v>
      </c>
      <c r="F272" s="72">
        <v>0</v>
      </c>
      <c r="G272" s="72">
        <v>0</v>
      </c>
      <c r="H272" s="1">
        <v>0</v>
      </c>
      <c r="I272" s="1">
        <v>0</v>
      </c>
      <c r="J272" s="1">
        <v>0</v>
      </c>
      <c r="K272" s="1">
        <v>0</v>
      </c>
      <c r="L272" s="76">
        <v>0</v>
      </c>
      <c r="M272" s="76">
        <v>0</v>
      </c>
      <c r="N272" s="76">
        <v>0</v>
      </c>
      <c r="O272" s="76">
        <v>0</v>
      </c>
      <c r="P272" s="108">
        <v>0</v>
      </c>
      <c r="Q272" s="108"/>
      <c r="R272" s="108"/>
      <c r="S272" s="149">
        <v>0</v>
      </c>
    </row>
    <row r="273" spans="1:23" x14ac:dyDescent="0.35">
      <c r="A273" s="35">
        <v>44923</v>
      </c>
      <c r="B273" s="38" t="s">
        <v>51</v>
      </c>
      <c r="C273" s="70" t="s">
        <v>60</v>
      </c>
      <c r="D273" s="1">
        <v>1036</v>
      </c>
      <c r="E273" s="1">
        <v>745</v>
      </c>
      <c r="F273" s="72">
        <f>IFERROR((Table3[[#This Row],[Calls Off]]-D266)/D266,0)</f>
        <v>-0.26628895184135976</v>
      </c>
      <c r="G273" s="72">
        <f>IFERROR((Table3[[#This Row],[Calls Ans]]-E266)/E266,0)</f>
        <v>-4.9744897959183673E-2</v>
      </c>
      <c r="H273" s="1">
        <f>H269+Table3[[#This Row],[Calls Off]]</f>
        <v>20069</v>
      </c>
      <c r="I273" s="1">
        <f>I269+Table3[[#This Row],[Calls Ans]]</f>
        <v>14448</v>
      </c>
      <c r="J273" s="1">
        <f>J269+Table3[[#This Row],[Calls Off]]</f>
        <v>124668</v>
      </c>
      <c r="K273" s="1">
        <f>K269+Table3[[#This Row],[Calls Ans]]</f>
        <v>98080</v>
      </c>
      <c r="L273" s="76">
        <v>0.21</v>
      </c>
      <c r="M273" s="76">
        <v>0.28000000000000003</v>
      </c>
      <c r="N273" s="76">
        <v>0.72</v>
      </c>
      <c r="O273" s="76">
        <v>0.56999999999999995</v>
      </c>
      <c r="P273" s="108">
        <v>0.97</v>
      </c>
      <c r="Q273" s="108"/>
      <c r="R273" s="108"/>
      <c r="S273" s="149">
        <v>9</v>
      </c>
    </row>
    <row r="274" spans="1:23" x14ac:dyDescent="0.35">
      <c r="A274" s="35">
        <v>44924</v>
      </c>
      <c r="B274" s="38" t="s">
        <v>52</v>
      </c>
      <c r="C274" s="70" t="s">
        <v>60</v>
      </c>
      <c r="D274" s="1">
        <v>753</v>
      </c>
      <c r="E274" s="1">
        <v>643</v>
      </c>
      <c r="F274" s="72">
        <f>IFERROR((Table3[[#This Row],[Calls Off]]-D267)/D267,0)</f>
        <v>-0.35253654342218399</v>
      </c>
      <c r="G274" s="72">
        <f>IFERROR((Table3[[#This Row],[Calls Ans]]-E267)/E267,0)</f>
        <v>0.16064981949458484</v>
      </c>
      <c r="H274" s="1">
        <f>H273+Table3[[#This Row],[Calls Off]]</f>
        <v>20822</v>
      </c>
      <c r="I274" s="1">
        <f>I273+Table3[[#This Row],[Calls Ans]]</f>
        <v>15091</v>
      </c>
      <c r="J274" s="1">
        <f>J273+Table3[[#This Row],[Calls Off]]</f>
        <v>125421</v>
      </c>
      <c r="K274" s="1">
        <f>K273+Table3[[#This Row],[Calls Ans]]</f>
        <v>98723</v>
      </c>
      <c r="L274" s="76">
        <v>0.53</v>
      </c>
      <c r="M274" s="76">
        <v>0.15</v>
      </c>
      <c r="N274" s="76">
        <v>0.85</v>
      </c>
      <c r="O274" s="76">
        <v>0.44</v>
      </c>
      <c r="P274" s="108">
        <v>0.94</v>
      </c>
      <c r="Q274" s="108"/>
      <c r="R274" s="108"/>
      <c r="S274" s="149">
        <v>10</v>
      </c>
    </row>
    <row r="275" spans="1:23" x14ac:dyDescent="0.35">
      <c r="A275" s="35">
        <v>44925</v>
      </c>
      <c r="B275" s="38" t="s">
        <v>53</v>
      </c>
      <c r="C275" s="70" t="s">
        <v>60</v>
      </c>
      <c r="D275" s="1">
        <v>733</v>
      </c>
      <c r="E275" s="1">
        <v>673</v>
      </c>
      <c r="F275" s="72">
        <f>IFERROR((Table3[[#This Row],[Calls Off]]-D268)/D268,0)</f>
        <v>-0.35758106923751093</v>
      </c>
      <c r="G275" s="72">
        <f>IFERROR((Table3[[#This Row],[Calls Ans]]-E268)/E268,0)</f>
        <v>0.1254180602006689</v>
      </c>
      <c r="H275" s="1">
        <f>H274+Table3[[#This Row],[Calls Off]]</f>
        <v>21555</v>
      </c>
      <c r="I275" s="1">
        <f>I274+Table3[[#This Row],[Calls Ans]]</f>
        <v>15764</v>
      </c>
      <c r="J275" s="1">
        <f>J274+Table3[[#This Row],[Calls Off]]</f>
        <v>126154</v>
      </c>
      <c r="K275" s="1">
        <f>K274+Table3[[#This Row],[Calls Ans]]</f>
        <v>99396</v>
      </c>
      <c r="L275" s="76">
        <v>0.7</v>
      </c>
      <c r="M275" s="76">
        <v>0.08</v>
      </c>
      <c r="N275" s="76">
        <v>0.92</v>
      </c>
      <c r="O275" s="76">
        <v>0.52</v>
      </c>
      <c r="P275" s="108">
        <v>0.96</v>
      </c>
      <c r="Q275" s="108"/>
      <c r="R275" s="108"/>
      <c r="S275" s="149">
        <v>9</v>
      </c>
    </row>
    <row r="276" spans="1:23" x14ac:dyDescent="0.35">
      <c r="A276" s="35">
        <v>44926</v>
      </c>
      <c r="B276" s="38" t="s">
        <v>54</v>
      </c>
      <c r="C276" s="70" t="s">
        <v>60</v>
      </c>
      <c r="D276" s="1">
        <v>367</v>
      </c>
      <c r="E276" s="1">
        <v>351</v>
      </c>
      <c r="F276" s="72">
        <f>IFERROR((Table3[[#This Row],[Calls Off]]-D269)/D269,0)</f>
        <v>-0.56100478468899517</v>
      </c>
      <c r="G276" s="72">
        <f>IFERROR((Table3[[#This Row],[Calls Ans]]-E269)/E269,0)</f>
        <v>-0.45241809672386896</v>
      </c>
      <c r="H276" s="1">
        <f>H275+Table3[[#This Row],[Calls Off]]</f>
        <v>21922</v>
      </c>
      <c r="I276" s="1">
        <f>I275+Table3[[#This Row],[Calls Ans]]</f>
        <v>16115</v>
      </c>
      <c r="J276" s="1">
        <f>J275+Table3[[#This Row],[Calls Off]]</f>
        <v>126521</v>
      </c>
      <c r="K276" s="1">
        <f>K275+Table3[[#This Row],[Calls Ans]]</f>
        <v>99747</v>
      </c>
      <c r="L276" s="76">
        <v>0.91</v>
      </c>
      <c r="M276" s="76">
        <v>0.04</v>
      </c>
      <c r="N276" s="76">
        <v>0.96</v>
      </c>
      <c r="O276" s="76">
        <v>0.27</v>
      </c>
      <c r="P276" s="108">
        <v>0.96</v>
      </c>
      <c r="Q276" s="108"/>
      <c r="R276" s="108"/>
      <c r="S276" s="149">
        <v>9</v>
      </c>
    </row>
    <row r="277" spans="1:23" s="53" customFormat="1" x14ac:dyDescent="0.35">
      <c r="A277" s="89">
        <v>44927</v>
      </c>
      <c r="B277" s="88" t="s">
        <v>48</v>
      </c>
      <c r="C277" s="88" t="s">
        <v>60</v>
      </c>
      <c r="D277" s="74">
        <v>0</v>
      </c>
      <c r="E277" s="74">
        <v>0</v>
      </c>
      <c r="F277" s="95">
        <v>0</v>
      </c>
      <c r="G277" s="95">
        <v>0</v>
      </c>
      <c r="H277" s="74">
        <v>0</v>
      </c>
      <c r="I277" s="74">
        <v>0</v>
      </c>
      <c r="J277" s="74">
        <v>0</v>
      </c>
      <c r="K277" s="74">
        <v>0</v>
      </c>
      <c r="L277" s="189">
        <v>0</v>
      </c>
      <c r="M277" s="189">
        <v>0</v>
      </c>
      <c r="N277" s="189">
        <v>0</v>
      </c>
      <c r="O277" s="189">
        <v>0</v>
      </c>
      <c r="P277" s="193">
        <v>0</v>
      </c>
      <c r="Q277" s="193"/>
      <c r="R277" s="193"/>
      <c r="S277" s="194">
        <v>0</v>
      </c>
      <c r="U277"/>
      <c r="V277"/>
      <c r="W277"/>
    </row>
    <row r="278" spans="1:23" x14ac:dyDescent="0.35">
      <c r="A278" s="35">
        <v>44928</v>
      </c>
      <c r="B278" s="38" t="s">
        <v>49</v>
      </c>
      <c r="C278" s="70" t="s">
        <v>60</v>
      </c>
      <c r="D278" s="1">
        <v>0</v>
      </c>
      <c r="E278" s="1">
        <v>0</v>
      </c>
      <c r="F278" s="72">
        <v>0</v>
      </c>
      <c r="G278" s="72">
        <v>0</v>
      </c>
      <c r="H278" s="1">
        <v>0</v>
      </c>
      <c r="I278" s="1">
        <v>0</v>
      </c>
      <c r="J278" s="1">
        <v>0</v>
      </c>
      <c r="K278" s="1">
        <v>0</v>
      </c>
      <c r="L278" s="76">
        <v>0</v>
      </c>
      <c r="M278" s="76">
        <v>0</v>
      </c>
      <c r="N278" s="76">
        <v>0</v>
      </c>
      <c r="O278" s="76">
        <v>0</v>
      </c>
      <c r="P278" s="108">
        <v>0</v>
      </c>
      <c r="Q278" s="108"/>
      <c r="R278" s="108"/>
      <c r="S278" s="149">
        <v>0</v>
      </c>
    </row>
    <row r="279" spans="1:23" x14ac:dyDescent="0.35">
      <c r="A279" s="35">
        <v>44929</v>
      </c>
      <c r="B279" s="38" t="s">
        <v>50</v>
      </c>
      <c r="C279" s="70" t="s">
        <v>60</v>
      </c>
      <c r="D279" s="1">
        <v>719</v>
      </c>
      <c r="E279" s="1">
        <v>452</v>
      </c>
      <c r="F279" s="72">
        <f>IFERROR((Table3[[#This Row],[Calls Off]]-D272)/D272,0)</f>
        <v>0</v>
      </c>
      <c r="G279" s="72">
        <f>IFERROR((Table3[[#This Row],[Calls Ans]]-E272)/E272,0)</f>
        <v>0</v>
      </c>
      <c r="H279" s="1">
        <f>Table3[[#This Row],[Calls Off]]</f>
        <v>719</v>
      </c>
      <c r="I279" s="1">
        <f>Table3[[#This Row],[Calls Ans]]</f>
        <v>452</v>
      </c>
      <c r="J279" s="1">
        <f>J276+Table3[[#This Row],[Calls Off]]</f>
        <v>127240</v>
      </c>
      <c r="K279" s="1">
        <f>K276+Table3[[#This Row],[Calls Ans]]</f>
        <v>100199</v>
      </c>
      <c r="L279" s="76">
        <v>0.22</v>
      </c>
      <c r="M279" s="76">
        <v>0.37</v>
      </c>
      <c r="N279" s="76">
        <v>0.63</v>
      </c>
      <c r="O279" s="76">
        <v>0.62</v>
      </c>
      <c r="P279" s="108">
        <v>0.98</v>
      </c>
      <c r="Q279" s="108"/>
      <c r="R279" s="108"/>
      <c r="S279" s="149">
        <v>5</v>
      </c>
    </row>
    <row r="280" spans="1:23" x14ac:dyDescent="0.35">
      <c r="A280" s="35">
        <v>44930</v>
      </c>
      <c r="B280" s="38" t="s">
        <v>51</v>
      </c>
      <c r="C280" s="70" t="s">
        <v>60</v>
      </c>
      <c r="D280" s="1">
        <v>574</v>
      </c>
      <c r="E280" s="1">
        <v>476</v>
      </c>
      <c r="F280" s="72">
        <f>IFERROR((Table3[[#This Row],[Calls Off]]-D273)/D273,0)</f>
        <v>-0.44594594594594594</v>
      </c>
      <c r="G280" s="72">
        <f>IFERROR((Table3[[#This Row],[Calls Ans]]-E273)/E273,0)</f>
        <v>-0.36107382550335571</v>
      </c>
      <c r="H280" s="1">
        <f>Table3[[#This Row],[Calls Off]]+H279</f>
        <v>1293</v>
      </c>
      <c r="I280" s="1">
        <f>Table3[[#This Row],[Calls Ans]]+I279</f>
        <v>928</v>
      </c>
      <c r="J280" s="1">
        <f>J279+Table3[[#This Row],[Calls Off]]</f>
        <v>127814</v>
      </c>
      <c r="K280" s="1">
        <f>K279+Table3[[#This Row],[Calls Ans]]</f>
        <v>100675</v>
      </c>
      <c r="L280" s="76">
        <v>0.45</v>
      </c>
      <c r="M280" s="76">
        <v>0.17</v>
      </c>
      <c r="N280" s="76">
        <v>0.83</v>
      </c>
      <c r="O280" s="76">
        <v>0.55000000000000004</v>
      </c>
      <c r="P280" s="108">
        <v>0.93</v>
      </c>
      <c r="Q280" s="108"/>
      <c r="R280" s="108"/>
      <c r="S280" s="149">
        <v>6</v>
      </c>
    </row>
    <row r="281" spans="1:23" x14ac:dyDescent="0.35">
      <c r="A281" s="35">
        <v>44931</v>
      </c>
      <c r="B281" s="38" t="s">
        <v>52</v>
      </c>
      <c r="C281" s="70" t="s">
        <v>60</v>
      </c>
      <c r="D281" s="1">
        <v>479</v>
      </c>
      <c r="E281" s="1">
        <v>402</v>
      </c>
      <c r="F281" s="72">
        <f>IFERROR((Table3[[#This Row],[Calls Off]]-D274)/D274,0)</f>
        <v>-0.36387782204515273</v>
      </c>
      <c r="G281" s="72">
        <f>IFERROR((Table3[[#This Row],[Calls Ans]]-E274)/E274,0)</f>
        <v>-0.37480559875583203</v>
      </c>
      <c r="H281" s="1">
        <f>Table3[[#This Row],[Calls Off]]+H280</f>
        <v>1772</v>
      </c>
      <c r="I281" s="1">
        <f>Table3[[#This Row],[Calls Ans]]+I280</f>
        <v>1330</v>
      </c>
      <c r="J281" s="1">
        <f>J280+Table3[[#This Row],[Calls Off]]</f>
        <v>128293</v>
      </c>
      <c r="K281" s="1">
        <f>K280+Table3[[#This Row],[Calls Ans]]</f>
        <v>101077</v>
      </c>
      <c r="L281" s="76">
        <v>0.57999999999999996</v>
      </c>
      <c r="M281" s="76">
        <v>0.16</v>
      </c>
      <c r="N281" s="76">
        <v>0.84</v>
      </c>
      <c r="O281" s="76">
        <v>0.46</v>
      </c>
      <c r="P281" s="108">
        <v>0.95</v>
      </c>
      <c r="Q281" s="108"/>
      <c r="R281" s="108"/>
      <c r="S281" s="149">
        <v>6</v>
      </c>
    </row>
    <row r="282" spans="1:23" x14ac:dyDescent="0.35">
      <c r="A282" s="35">
        <v>44932</v>
      </c>
      <c r="B282" s="38" t="s">
        <v>53</v>
      </c>
      <c r="C282" s="70" t="s">
        <v>60</v>
      </c>
      <c r="D282" s="1">
        <v>430</v>
      </c>
      <c r="E282" s="1">
        <v>388</v>
      </c>
      <c r="F282" s="72">
        <f>IFERROR((Table3[[#This Row],[Calls Off]]-D275)/D275,0)</f>
        <v>-0.41336971350613916</v>
      </c>
      <c r="G282" s="72">
        <f>IFERROR((Table3[[#This Row],[Calls Ans]]-E275)/E275,0)</f>
        <v>-0.42347696879643387</v>
      </c>
      <c r="H282" s="1">
        <f>Table3[[#This Row],[Calls Off]]+H281</f>
        <v>2202</v>
      </c>
      <c r="I282" s="1">
        <f>Table3[[#This Row],[Calls Ans]]+I281</f>
        <v>1718</v>
      </c>
      <c r="J282" s="1">
        <f>J281+Table3[[#This Row],[Calls Off]]</f>
        <v>128723</v>
      </c>
      <c r="K282" s="1">
        <f>K281+Table3[[#This Row],[Calls Ans]]</f>
        <v>101465</v>
      </c>
      <c r="L282" s="76">
        <v>0.69</v>
      </c>
      <c r="M282" s="76">
        <v>0.1</v>
      </c>
      <c r="N282" s="76">
        <v>0.9</v>
      </c>
      <c r="O282" s="76">
        <v>0.45</v>
      </c>
      <c r="P282" s="108">
        <v>0.96</v>
      </c>
      <c r="Q282" s="108"/>
      <c r="R282" s="108"/>
      <c r="S282" s="149">
        <v>6</v>
      </c>
    </row>
    <row r="283" spans="1:23" x14ac:dyDescent="0.35">
      <c r="A283" s="35">
        <v>44933</v>
      </c>
      <c r="B283" s="38" t="s">
        <v>54</v>
      </c>
      <c r="C283" s="70" t="s">
        <v>60</v>
      </c>
      <c r="D283" s="1">
        <v>278</v>
      </c>
      <c r="E283" s="1">
        <v>255</v>
      </c>
      <c r="F283" s="72">
        <f>IFERROR((Table3[[#This Row],[Calls Off]]-D276)/D276,0)</f>
        <v>-0.24250681198910082</v>
      </c>
      <c r="G283" s="72">
        <f>IFERROR((Table3[[#This Row],[Calls Ans]]-E276)/E276,0)</f>
        <v>-0.27350427350427353</v>
      </c>
      <c r="H283" s="1">
        <f>Table3[[#This Row],[Calls Off]]+H282</f>
        <v>2480</v>
      </c>
      <c r="I283" s="1">
        <f>Table3[[#This Row],[Calls Ans]]+I282</f>
        <v>1973</v>
      </c>
      <c r="J283" s="1">
        <f>J282+Table3[[#This Row],[Calls Off]]</f>
        <v>129001</v>
      </c>
      <c r="K283" s="1">
        <f>K282+Table3[[#This Row],[Calls Ans]]</f>
        <v>101720</v>
      </c>
      <c r="L283" s="76">
        <v>0.76</v>
      </c>
      <c r="M283" s="76">
        <v>0.08</v>
      </c>
      <c r="N283" s="76">
        <v>0.92</v>
      </c>
      <c r="O283" s="76">
        <v>0.44</v>
      </c>
      <c r="P283" s="108">
        <v>0.95</v>
      </c>
      <c r="Q283" s="108"/>
      <c r="R283" s="108"/>
      <c r="S283" s="149">
        <v>4</v>
      </c>
    </row>
    <row r="284" spans="1:23" x14ac:dyDescent="0.35">
      <c r="A284" s="35">
        <v>44934</v>
      </c>
      <c r="B284" s="38" t="s">
        <v>48</v>
      </c>
      <c r="C284" s="70" t="s">
        <v>60</v>
      </c>
      <c r="D284" s="1">
        <v>0</v>
      </c>
      <c r="E284" s="1">
        <v>0</v>
      </c>
      <c r="F284" s="72">
        <v>0</v>
      </c>
      <c r="G284" s="72">
        <v>0</v>
      </c>
      <c r="H284" s="1">
        <v>0</v>
      </c>
      <c r="I284" s="1">
        <v>0</v>
      </c>
      <c r="J284" s="1">
        <v>0</v>
      </c>
      <c r="K284" s="1">
        <v>0</v>
      </c>
      <c r="L284" s="76">
        <v>0</v>
      </c>
      <c r="M284" s="76">
        <v>0</v>
      </c>
      <c r="N284" s="76">
        <v>0</v>
      </c>
      <c r="O284" s="76">
        <v>0</v>
      </c>
      <c r="P284" s="108">
        <v>0</v>
      </c>
      <c r="Q284" s="108"/>
      <c r="R284" s="108"/>
      <c r="S284" s="149">
        <v>0</v>
      </c>
    </row>
    <row r="285" spans="1:23" x14ac:dyDescent="0.35">
      <c r="A285" s="35">
        <v>44935</v>
      </c>
      <c r="B285" s="38" t="s">
        <v>49</v>
      </c>
      <c r="C285" s="70" t="s">
        <v>60</v>
      </c>
      <c r="D285" s="1">
        <v>546</v>
      </c>
      <c r="E285" s="1">
        <v>473</v>
      </c>
      <c r="F285" s="72">
        <v>0</v>
      </c>
      <c r="G285" s="72">
        <v>0</v>
      </c>
      <c r="H285" s="1">
        <v>3026</v>
      </c>
      <c r="I285" s="1">
        <v>2446</v>
      </c>
      <c r="J285" s="1">
        <v>129547</v>
      </c>
      <c r="K285" s="1">
        <v>102193</v>
      </c>
      <c r="L285" s="76">
        <v>0.68</v>
      </c>
      <c r="M285" s="76">
        <v>0.13</v>
      </c>
      <c r="N285" s="76">
        <v>0.87</v>
      </c>
      <c r="O285" s="76">
        <v>0.47</v>
      </c>
      <c r="P285" s="108">
        <v>0.95</v>
      </c>
      <c r="Q285" s="108"/>
      <c r="R285" s="108"/>
      <c r="S285" s="149">
        <v>7</v>
      </c>
    </row>
    <row r="286" spans="1:23" x14ac:dyDescent="0.35">
      <c r="A286" s="35">
        <v>44936</v>
      </c>
      <c r="B286" s="38" t="s">
        <v>50</v>
      </c>
      <c r="C286" s="70" t="s">
        <v>60</v>
      </c>
      <c r="D286" s="1">
        <v>442</v>
      </c>
      <c r="E286" s="1">
        <v>424</v>
      </c>
      <c r="F286" s="72">
        <f>IFERROR((Table3[[#This Row],[Calls Off]]-D279)/D279,0)</f>
        <v>-0.38525730180806678</v>
      </c>
      <c r="G286" s="72">
        <f>IFERROR((Table3[[#This Row],[Calls Ans]]-E279)/E279,0)</f>
        <v>-6.1946902654867256E-2</v>
      </c>
      <c r="H286" s="1">
        <f>Table3[[#This Row],[Calls Off]]+H285</f>
        <v>3468</v>
      </c>
      <c r="I286" s="1">
        <f>Table3[[#This Row],[Calls Ans]]+I285</f>
        <v>2870</v>
      </c>
      <c r="J286" s="1">
        <f>J285+Table3[[#This Row],[Calls Off]]</f>
        <v>129989</v>
      </c>
      <c r="K286" s="1">
        <f>K285+Table3[[#This Row],[Calls Ans]]</f>
        <v>102617</v>
      </c>
      <c r="L286" s="76">
        <v>0.86</v>
      </c>
      <c r="M286" s="76">
        <v>0.04</v>
      </c>
      <c r="N286" s="76">
        <v>0.96</v>
      </c>
      <c r="O286" s="76">
        <v>0.49</v>
      </c>
      <c r="P286" s="108">
        <v>0.96</v>
      </c>
      <c r="Q286" s="108"/>
      <c r="R286" s="108"/>
      <c r="S286" s="149">
        <v>6</v>
      </c>
    </row>
    <row r="287" spans="1:23" x14ac:dyDescent="0.35">
      <c r="A287" s="35">
        <v>44937</v>
      </c>
      <c r="B287" s="38" t="s">
        <v>51</v>
      </c>
      <c r="C287" s="70" t="s">
        <v>60</v>
      </c>
      <c r="D287" s="1">
        <v>374</v>
      </c>
      <c r="E287" s="1">
        <v>340</v>
      </c>
      <c r="F287" s="72">
        <f>IFERROR((Table3[[#This Row],[Calls Off]]-D280)/D280,0)</f>
        <v>-0.34843205574912894</v>
      </c>
      <c r="G287" s="72">
        <f>IFERROR((Table3[[#This Row],[Calls Ans]]-E280)/E280,0)</f>
        <v>-0.2857142857142857</v>
      </c>
      <c r="H287" s="1">
        <f>Table3[[#This Row],[Calls Off]]+H286</f>
        <v>3842</v>
      </c>
      <c r="I287" s="1">
        <f>Table3[[#This Row],[Calls Ans]]+I286</f>
        <v>3210</v>
      </c>
      <c r="J287" s="1">
        <f>J286+Table3[[#This Row],[Calls Off]]</f>
        <v>130363</v>
      </c>
      <c r="K287" s="1">
        <f>K286+Table3[[#This Row],[Calls Ans]]</f>
        <v>102957</v>
      </c>
      <c r="L287" s="76">
        <v>0.74</v>
      </c>
      <c r="M287" s="76">
        <v>0.09</v>
      </c>
      <c r="N287" s="76">
        <v>0.91</v>
      </c>
      <c r="O287" s="76">
        <v>0.47</v>
      </c>
      <c r="P287" s="108">
        <v>0.97</v>
      </c>
      <c r="Q287" s="108"/>
      <c r="R287" s="108"/>
      <c r="S287" s="149">
        <v>5</v>
      </c>
    </row>
    <row r="288" spans="1:23" x14ac:dyDescent="0.35">
      <c r="A288" s="35">
        <v>44938</v>
      </c>
      <c r="B288" s="38" t="s">
        <v>52</v>
      </c>
      <c r="C288" s="70" t="s">
        <v>60</v>
      </c>
      <c r="D288" s="1">
        <v>347</v>
      </c>
      <c r="E288" s="1">
        <v>333</v>
      </c>
      <c r="F288" s="72">
        <f>IFERROR((Table3[[#This Row],[Calls Off]]-D281)/D281,0)</f>
        <v>-0.27557411273486432</v>
      </c>
      <c r="G288" s="72">
        <f>IFERROR((Table3[[#This Row],[Calls Ans]]-E281)/E281,0)</f>
        <v>-0.17164179104477612</v>
      </c>
      <c r="H288" s="1">
        <f>Table3[[#This Row],[Calls Off]]+H287</f>
        <v>4189</v>
      </c>
      <c r="I288" s="1">
        <f>Table3[[#This Row],[Calls Ans]]+I287</f>
        <v>3543</v>
      </c>
      <c r="J288" s="1">
        <f>J287+Table3[[#This Row],[Calls Off]]</f>
        <v>130710</v>
      </c>
      <c r="K288" s="1">
        <f>K287+Table3[[#This Row],[Calls Ans]]</f>
        <v>103290</v>
      </c>
      <c r="L288" s="76">
        <v>0.91</v>
      </c>
      <c r="M288" s="76">
        <v>0.04</v>
      </c>
      <c r="N288" s="76">
        <v>0.96</v>
      </c>
      <c r="O288" s="76">
        <v>0.46</v>
      </c>
      <c r="P288" s="108">
        <v>0.97</v>
      </c>
      <c r="Q288" s="108"/>
      <c r="R288" s="108"/>
      <c r="S288" s="149">
        <v>5</v>
      </c>
    </row>
    <row r="289" spans="1:23" x14ac:dyDescent="0.35">
      <c r="A289" s="35">
        <v>44939</v>
      </c>
      <c r="B289" s="38" t="s">
        <v>53</v>
      </c>
      <c r="C289" s="70" t="s">
        <v>60</v>
      </c>
      <c r="D289" s="1">
        <v>437</v>
      </c>
      <c r="E289" s="1">
        <v>419</v>
      </c>
      <c r="F289" s="72">
        <f>IFERROR((Table3[[#This Row],[Calls Off]]-D282)/D282,0)</f>
        <v>1.627906976744186E-2</v>
      </c>
      <c r="G289" s="72">
        <f>IFERROR((Table3[[#This Row],[Calls Ans]]-E282)/E282,0)</f>
        <v>7.9896907216494839E-2</v>
      </c>
      <c r="H289" s="1">
        <f>Table3[[#This Row],[Calls Off]]+H288</f>
        <v>4626</v>
      </c>
      <c r="I289" s="1">
        <f>Table3[[#This Row],[Calls Ans]]+I288</f>
        <v>3962</v>
      </c>
      <c r="J289" s="1">
        <f>J288+Table3[[#This Row],[Calls Off]]</f>
        <v>131147</v>
      </c>
      <c r="K289" s="1">
        <f>K288+Table3[[#This Row],[Calls Ans]]</f>
        <v>103709</v>
      </c>
      <c r="L289" s="76">
        <v>0.85</v>
      </c>
      <c r="M289" s="76">
        <v>0.04</v>
      </c>
      <c r="N289" s="76">
        <v>0.96</v>
      </c>
      <c r="O289" s="76">
        <v>0.63</v>
      </c>
      <c r="P289" s="108">
        <v>0.95</v>
      </c>
      <c r="Q289" s="108"/>
      <c r="R289" s="108"/>
      <c r="S289" s="149">
        <v>6</v>
      </c>
    </row>
    <row r="290" spans="1:23" x14ac:dyDescent="0.35">
      <c r="A290" s="35">
        <v>44940</v>
      </c>
      <c r="B290" s="38" t="s">
        <v>54</v>
      </c>
      <c r="C290" s="70" t="s">
        <v>60</v>
      </c>
      <c r="D290" s="1">
        <v>0</v>
      </c>
      <c r="E290" s="1">
        <v>0</v>
      </c>
      <c r="F290" s="72">
        <v>0</v>
      </c>
      <c r="G290" s="72">
        <v>0</v>
      </c>
      <c r="H290" s="1">
        <v>0</v>
      </c>
      <c r="I290" s="1">
        <v>0</v>
      </c>
      <c r="J290" s="1">
        <v>0</v>
      </c>
      <c r="K290" s="1">
        <v>0</v>
      </c>
      <c r="L290" s="76">
        <v>0</v>
      </c>
      <c r="M290" s="76">
        <v>0</v>
      </c>
      <c r="N290" s="76">
        <v>0</v>
      </c>
      <c r="O290" s="76"/>
      <c r="P290" s="108">
        <v>0</v>
      </c>
      <c r="Q290" s="108"/>
      <c r="R290" s="108"/>
      <c r="S290" s="149">
        <v>0</v>
      </c>
    </row>
    <row r="291" spans="1:23" x14ac:dyDescent="0.35">
      <c r="A291" s="35">
        <v>44941</v>
      </c>
      <c r="B291" s="38" t="s">
        <v>48</v>
      </c>
      <c r="C291" s="70" t="s">
        <v>60</v>
      </c>
      <c r="D291" s="1">
        <v>0</v>
      </c>
      <c r="E291" s="1">
        <v>0</v>
      </c>
      <c r="F291" s="72">
        <v>0</v>
      </c>
      <c r="G291" s="72">
        <v>0</v>
      </c>
      <c r="H291" s="1">
        <v>0</v>
      </c>
      <c r="I291" s="1">
        <v>0</v>
      </c>
      <c r="J291" s="1">
        <v>0</v>
      </c>
      <c r="K291" s="1">
        <v>0</v>
      </c>
      <c r="L291" s="76">
        <v>0</v>
      </c>
      <c r="M291" s="76">
        <v>0</v>
      </c>
      <c r="N291" s="76">
        <v>0</v>
      </c>
      <c r="O291" s="76">
        <v>0</v>
      </c>
      <c r="P291" s="108">
        <v>0</v>
      </c>
      <c r="Q291" s="108"/>
      <c r="R291" s="108"/>
      <c r="S291" s="149">
        <v>0</v>
      </c>
    </row>
    <row r="292" spans="1:23" x14ac:dyDescent="0.35">
      <c r="A292" s="35">
        <v>44942</v>
      </c>
      <c r="B292" s="38" t="s">
        <v>49</v>
      </c>
      <c r="C292" s="70" t="s">
        <v>60</v>
      </c>
      <c r="D292" s="1">
        <v>466</v>
      </c>
      <c r="E292" s="1">
        <v>367</v>
      </c>
      <c r="F292" s="72">
        <f>IFERROR((Table3[[#This Row],[Calls Off]]-D285)/D285,0)</f>
        <v>-0.14652014652014653</v>
      </c>
      <c r="G292" s="72">
        <f>IFERROR((Table3[[#This Row],[Calls Ans]]-E285)/E285,0)</f>
        <v>-0.22410147991543342</v>
      </c>
      <c r="H292" s="1">
        <f>Table3[[#This Row],[Calls Off]]+H289</f>
        <v>5092</v>
      </c>
      <c r="I292" s="1">
        <f>Table3[[#This Row],[Calls Ans]]+I289</f>
        <v>4329</v>
      </c>
      <c r="J292" s="1">
        <f>J289+Table3[[#This Row],[Calls Off]]</f>
        <v>131613</v>
      </c>
      <c r="K292" s="1">
        <f>K289+Table3[[#This Row],[Calls Ans]]</f>
        <v>104076</v>
      </c>
      <c r="L292" s="76">
        <v>0.45</v>
      </c>
      <c r="M292" s="76">
        <v>0.21</v>
      </c>
      <c r="N292" s="76">
        <v>0.79</v>
      </c>
      <c r="O292" s="76">
        <v>0.51</v>
      </c>
      <c r="P292" s="108">
        <v>0.97</v>
      </c>
      <c r="Q292" s="108"/>
      <c r="R292" s="108"/>
      <c r="S292" s="149">
        <v>5</v>
      </c>
    </row>
    <row r="293" spans="1:23" x14ac:dyDescent="0.35">
      <c r="A293" s="35">
        <v>44943</v>
      </c>
      <c r="B293" s="38" t="s">
        <v>50</v>
      </c>
      <c r="C293" s="70" t="s">
        <v>60</v>
      </c>
      <c r="D293" s="1">
        <v>418</v>
      </c>
      <c r="E293" s="1">
        <v>337</v>
      </c>
      <c r="F293" s="72">
        <f>IFERROR((Table3[[#This Row],[Calls Off]]-D286)/D286,0)</f>
        <v>-5.4298642533936653E-2</v>
      </c>
      <c r="G293" s="72">
        <f>IFERROR((Table3[[#This Row],[Calls Ans]]-E286)/E286,0)</f>
        <v>-0.20518867924528303</v>
      </c>
      <c r="H293" s="1">
        <f>Table3[[#This Row],[Calls Off]]+H292</f>
        <v>5510</v>
      </c>
      <c r="I293" s="1">
        <f>Table3[[#This Row],[Calls Ans]]+I292</f>
        <v>4666</v>
      </c>
      <c r="J293" s="1">
        <f>J292+Table3[[#This Row],[Calls Off]]</f>
        <v>132031</v>
      </c>
      <c r="K293" s="1">
        <f>K292+Table3[[#This Row],[Calls Ans]]</f>
        <v>104413</v>
      </c>
      <c r="L293" s="76">
        <v>0.45</v>
      </c>
      <c r="M293" s="76">
        <v>0.19</v>
      </c>
      <c r="N293" s="76">
        <v>0.81</v>
      </c>
      <c r="O293" s="76">
        <v>0.57999999999999996</v>
      </c>
      <c r="P293" s="108">
        <v>0.96</v>
      </c>
      <c r="Q293" s="108"/>
      <c r="R293" s="108"/>
      <c r="S293" s="149">
        <v>4</v>
      </c>
      <c r="U293" s="53"/>
      <c r="V293" s="53"/>
      <c r="W293" s="53"/>
    </row>
    <row r="294" spans="1:23" x14ac:dyDescent="0.35">
      <c r="A294" s="35">
        <v>44944</v>
      </c>
      <c r="B294" s="38" t="s">
        <v>51</v>
      </c>
      <c r="C294" s="70" t="s">
        <v>60</v>
      </c>
      <c r="D294" s="1">
        <v>549</v>
      </c>
      <c r="E294" s="1">
        <v>403</v>
      </c>
      <c r="F294" s="72">
        <f>IFERROR((Table3[[#This Row],[Calls Off]]-D287)/D287,0)</f>
        <v>0.46791443850267378</v>
      </c>
      <c r="G294" s="72">
        <f>IFERROR((Table3[[#This Row],[Calls Ans]]-E287)/E287,0)</f>
        <v>0.18529411764705883</v>
      </c>
      <c r="H294" s="1">
        <f>Table3[[#This Row],[Calls Off]]+H293</f>
        <v>6059</v>
      </c>
      <c r="I294" s="1">
        <f>Table3[[#This Row],[Calls Ans]]+I293</f>
        <v>5069</v>
      </c>
      <c r="J294" s="1">
        <f>J293+Table3[[#This Row],[Calls Off]]</f>
        <v>132580</v>
      </c>
      <c r="K294" s="1">
        <f>K293+Table3[[#This Row],[Calls Ans]]</f>
        <v>104816</v>
      </c>
      <c r="L294" s="76">
        <v>0.4</v>
      </c>
      <c r="M294" s="76">
        <v>0.27</v>
      </c>
      <c r="N294" s="76">
        <v>0.73</v>
      </c>
      <c r="O294" s="76">
        <v>0.69</v>
      </c>
      <c r="P294" s="108">
        <v>0.98</v>
      </c>
      <c r="Q294" s="108"/>
      <c r="R294" s="108"/>
      <c r="S294" s="149">
        <v>4</v>
      </c>
    </row>
    <row r="295" spans="1:23" x14ac:dyDescent="0.35">
      <c r="A295" s="35">
        <v>44945</v>
      </c>
      <c r="B295" s="38" t="s">
        <v>52</v>
      </c>
      <c r="C295" s="70" t="s">
        <v>60</v>
      </c>
      <c r="D295" s="1">
        <v>439</v>
      </c>
      <c r="E295" s="1">
        <v>391</v>
      </c>
      <c r="F295" s="72">
        <f>IFERROR((Table3[[#This Row],[Calls Off]]-D288)/D288,0)</f>
        <v>0.26512968299711814</v>
      </c>
      <c r="G295" s="72">
        <f>IFERROR((Table3[[#This Row],[Calls Ans]]-E288)/E288,0)</f>
        <v>0.17417417417417416</v>
      </c>
      <c r="H295" s="1">
        <f>Table3[[#This Row],[Calls Off]]+H294</f>
        <v>6498</v>
      </c>
      <c r="I295" s="1">
        <f>Table3[[#This Row],[Calls Ans]]+I294</f>
        <v>5460</v>
      </c>
      <c r="J295" s="1">
        <f>J294+Table3[[#This Row],[Calls Off]]</f>
        <v>133019</v>
      </c>
      <c r="K295" s="1">
        <f>K294+Table3[[#This Row],[Calls Ans]]</f>
        <v>105207</v>
      </c>
      <c r="L295" s="76">
        <v>0.68</v>
      </c>
      <c r="M295" s="76">
        <v>0.11</v>
      </c>
      <c r="N295" s="76">
        <v>0.89</v>
      </c>
      <c r="O295" s="76">
        <v>0.71</v>
      </c>
      <c r="P295" s="108">
        <v>0.97</v>
      </c>
      <c r="Q295" s="108"/>
      <c r="R295" s="108"/>
      <c r="S295" s="149">
        <v>5</v>
      </c>
    </row>
    <row r="296" spans="1:23" x14ac:dyDescent="0.35">
      <c r="A296" s="35">
        <v>44946</v>
      </c>
      <c r="B296" s="38" t="s">
        <v>53</v>
      </c>
      <c r="C296" s="70" t="s">
        <v>60</v>
      </c>
      <c r="D296" s="1">
        <v>499</v>
      </c>
      <c r="E296" s="1">
        <v>443</v>
      </c>
      <c r="F296" s="72">
        <f>IFERROR((Table3[[#This Row],[Calls Off]]-D289)/D289,0)</f>
        <v>0.14187643020594964</v>
      </c>
      <c r="G296" s="72">
        <f>IFERROR((Table3[[#This Row],[Calls Ans]]-E289)/E289,0)</f>
        <v>5.7279236276849645E-2</v>
      </c>
      <c r="H296" s="1">
        <f>Table3[[#This Row],[Calls Off]]+H295</f>
        <v>6997</v>
      </c>
      <c r="I296" s="1">
        <f>Table3[[#This Row],[Calls Ans]]+I295</f>
        <v>5903</v>
      </c>
      <c r="J296" s="1">
        <f>J295+Table3[[#This Row],[Calls Off]]</f>
        <v>133518</v>
      </c>
      <c r="K296" s="1">
        <f>K295+Table3[[#This Row],[Calls Ans]]</f>
        <v>105650</v>
      </c>
      <c r="L296" s="76">
        <v>0.62</v>
      </c>
      <c r="M296" s="76">
        <v>0.11</v>
      </c>
      <c r="N296" s="76">
        <v>0.89</v>
      </c>
      <c r="O296" s="76">
        <v>0.61</v>
      </c>
      <c r="P296" s="108">
        <v>0.95</v>
      </c>
      <c r="Q296" s="108"/>
      <c r="R296" s="108"/>
      <c r="S296" s="149">
        <v>5</v>
      </c>
    </row>
    <row r="297" spans="1:23" x14ac:dyDescent="0.35">
      <c r="A297" s="35">
        <v>44947</v>
      </c>
      <c r="B297" s="38" t="s">
        <v>54</v>
      </c>
      <c r="C297" s="70" t="s">
        <v>60</v>
      </c>
      <c r="D297" s="1">
        <v>0</v>
      </c>
      <c r="E297" s="1">
        <v>0</v>
      </c>
      <c r="F297" s="72">
        <v>0</v>
      </c>
      <c r="G297" s="72">
        <v>0</v>
      </c>
      <c r="H297" s="1">
        <v>0</v>
      </c>
      <c r="I297" s="1">
        <v>0</v>
      </c>
      <c r="J297" s="1">
        <v>0</v>
      </c>
      <c r="K297" s="1">
        <v>0</v>
      </c>
      <c r="L297" s="76">
        <v>0</v>
      </c>
      <c r="M297" s="76">
        <v>0</v>
      </c>
      <c r="N297" s="76">
        <v>0</v>
      </c>
      <c r="O297" s="76">
        <v>0</v>
      </c>
      <c r="P297" s="108">
        <v>0</v>
      </c>
      <c r="Q297" s="108"/>
      <c r="R297" s="108"/>
      <c r="S297" s="149">
        <v>0</v>
      </c>
    </row>
    <row r="298" spans="1:23" x14ac:dyDescent="0.35">
      <c r="A298" s="35">
        <v>44948</v>
      </c>
      <c r="B298" s="38" t="s">
        <v>48</v>
      </c>
      <c r="C298" s="70" t="s">
        <v>60</v>
      </c>
      <c r="D298" s="1">
        <v>0</v>
      </c>
      <c r="E298" s="1">
        <v>0</v>
      </c>
      <c r="F298" s="72">
        <v>0</v>
      </c>
      <c r="G298" s="72">
        <v>0</v>
      </c>
      <c r="H298" s="1">
        <v>0</v>
      </c>
      <c r="I298" s="1">
        <v>0</v>
      </c>
      <c r="J298" s="1">
        <v>0</v>
      </c>
      <c r="K298" s="1">
        <v>0</v>
      </c>
      <c r="L298" s="76">
        <v>0</v>
      </c>
      <c r="M298" s="76">
        <v>0</v>
      </c>
      <c r="N298" s="76">
        <v>0</v>
      </c>
      <c r="O298" s="76">
        <v>0</v>
      </c>
      <c r="P298" s="108">
        <v>0</v>
      </c>
      <c r="Q298" s="108"/>
      <c r="R298" s="108"/>
      <c r="S298" s="149">
        <v>0</v>
      </c>
    </row>
    <row r="299" spans="1:23" x14ac:dyDescent="0.35">
      <c r="A299" s="35">
        <v>44949</v>
      </c>
      <c r="B299" s="38" t="s">
        <v>49</v>
      </c>
      <c r="C299" s="70" t="s">
        <v>60</v>
      </c>
      <c r="D299" s="1">
        <v>475</v>
      </c>
      <c r="E299" s="1">
        <v>443</v>
      </c>
      <c r="F299" s="72">
        <f>IFERROR((Table3[[#This Row],[Calls Off]]-D292)/D292,0)</f>
        <v>1.9313304721030045E-2</v>
      </c>
      <c r="G299" s="72">
        <f>IFERROR((Table3[[#This Row],[Calls Ans]]-E292)/E292,0)</f>
        <v>0.20708446866485014</v>
      </c>
      <c r="H299" s="1">
        <f>Table3[[#This Row],[Calls Off]]+H296</f>
        <v>7472</v>
      </c>
      <c r="I299" s="1">
        <f>Table3[[#This Row],[Calls Ans]]+I296</f>
        <v>6346</v>
      </c>
      <c r="J299" s="1">
        <f>J296+Table3[[#This Row],[Calls Off]]</f>
        <v>133993</v>
      </c>
      <c r="K299" s="1">
        <f>K296+Table3[[#This Row],[Calls Ans]]</f>
        <v>106093</v>
      </c>
      <c r="L299" s="76">
        <v>0.76</v>
      </c>
      <c r="M299" s="76">
        <v>0.09</v>
      </c>
      <c r="N299" s="76">
        <v>0.91</v>
      </c>
      <c r="O299" s="76">
        <v>0.43</v>
      </c>
      <c r="P299" s="108">
        <v>0.97</v>
      </c>
      <c r="Q299" s="108"/>
      <c r="R299" s="108"/>
      <c r="S299" s="149">
        <v>7</v>
      </c>
    </row>
    <row r="300" spans="1:23" x14ac:dyDescent="0.35">
      <c r="A300" s="35">
        <v>44950</v>
      </c>
      <c r="B300" s="38" t="s">
        <v>50</v>
      </c>
      <c r="C300" s="70" t="s">
        <v>60</v>
      </c>
      <c r="D300" s="1">
        <v>386</v>
      </c>
      <c r="E300" s="1">
        <v>363</v>
      </c>
      <c r="F300" s="72">
        <f>IFERROR((Table3[[#This Row],[Calls Off]]-D293)/D293,0)</f>
        <v>-7.6555023923444973E-2</v>
      </c>
      <c r="G300" s="72">
        <f>IFERROR((Table3[[#This Row],[Calls Ans]]-E293)/E293,0)</f>
        <v>7.71513353115727E-2</v>
      </c>
      <c r="H300" s="1">
        <f>Table3[[#This Row],[Calls Off]]+H299</f>
        <v>7858</v>
      </c>
      <c r="I300" s="1">
        <f>Table3[[#This Row],[Calls Ans]]+I299</f>
        <v>6709</v>
      </c>
      <c r="J300" s="1">
        <f>J299+Table3[[#This Row],[Calls Off]]</f>
        <v>134379</v>
      </c>
      <c r="K300" s="1">
        <f>K299+Table3[[#This Row],[Calls Ans]]</f>
        <v>106456</v>
      </c>
      <c r="L300" s="76">
        <v>0.81</v>
      </c>
      <c r="M300" s="76">
        <v>0.06</v>
      </c>
      <c r="N300" s="76">
        <v>0.94</v>
      </c>
      <c r="O300" s="76">
        <v>0.5</v>
      </c>
      <c r="P300" s="108">
        <v>0.99</v>
      </c>
      <c r="Q300" s="266">
        <v>2.2106481481481482E-3</v>
      </c>
      <c r="R300" s="210"/>
      <c r="S300" s="149">
        <v>5</v>
      </c>
    </row>
    <row r="301" spans="1:23" x14ac:dyDescent="0.35">
      <c r="A301" s="35">
        <v>44951</v>
      </c>
      <c r="B301" s="38" t="s">
        <v>51</v>
      </c>
      <c r="C301" s="70" t="s">
        <v>60</v>
      </c>
      <c r="D301" s="1">
        <v>469</v>
      </c>
      <c r="E301" s="1">
        <v>425</v>
      </c>
      <c r="F301" s="72">
        <f>IFERROR((Table3[[#This Row],[Calls Off]]-D294)/D294,0)</f>
        <v>-0.14571948998178508</v>
      </c>
      <c r="G301" s="72">
        <f>IFERROR((Table3[[#This Row],[Calls Ans]]-E294)/E294,0)</f>
        <v>5.4590570719602979E-2</v>
      </c>
      <c r="H301" s="1">
        <f>Table3[[#This Row],[Calls Off]]+H300</f>
        <v>8327</v>
      </c>
      <c r="I301" s="1">
        <f>Table3[[#This Row],[Calls Ans]]+I300</f>
        <v>7134</v>
      </c>
      <c r="J301" s="1">
        <f>J300+Table3[[#This Row],[Calls Off]]</f>
        <v>134848</v>
      </c>
      <c r="K301" s="1">
        <f>K300+Table3[[#This Row],[Calls Ans]]</f>
        <v>106881</v>
      </c>
      <c r="L301" s="76">
        <v>0.74</v>
      </c>
      <c r="M301" s="76">
        <v>0.09</v>
      </c>
      <c r="N301" s="76">
        <v>0.91</v>
      </c>
      <c r="O301" s="76">
        <v>0.49</v>
      </c>
      <c r="P301" s="108">
        <v>0.97</v>
      </c>
      <c r="Q301" s="266">
        <v>2.0023148148148148E-3</v>
      </c>
      <c r="R301" s="210"/>
      <c r="S301" s="149">
        <v>6</v>
      </c>
    </row>
    <row r="302" spans="1:23" x14ac:dyDescent="0.35">
      <c r="A302" s="35">
        <v>44952</v>
      </c>
      <c r="B302" s="38" t="s">
        <v>52</v>
      </c>
      <c r="C302" s="70" t="s">
        <v>60</v>
      </c>
      <c r="D302" s="1">
        <v>481</v>
      </c>
      <c r="E302" s="1">
        <v>467</v>
      </c>
      <c r="F302" s="72">
        <f>IFERROR((Table3[[#This Row],[Calls Off]]-D295)/D295,0)</f>
        <v>9.5671981776765377E-2</v>
      </c>
      <c r="G302" s="72">
        <f>IFERROR((Table3[[#This Row],[Calls Ans]]-E295)/E295,0)</f>
        <v>0.19437340153452684</v>
      </c>
      <c r="H302" s="1">
        <f>Table3[[#This Row],[Calls Off]]+H299</f>
        <v>7953</v>
      </c>
      <c r="I302" s="1">
        <f>Table3[[#This Row],[Calls Ans]]+I299</f>
        <v>6813</v>
      </c>
      <c r="J302" s="1">
        <f>J299+Table3[[#This Row],[Calls Off]]</f>
        <v>134474</v>
      </c>
      <c r="K302" s="1">
        <f>K299+Table3[[#This Row],[Calls Ans]]</f>
        <v>106560</v>
      </c>
      <c r="L302" s="76">
        <v>0.91</v>
      </c>
      <c r="M302" s="76">
        <v>0.03</v>
      </c>
      <c r="N302" s="76">
        <v>0.97</v>
      </c>
      <c r="O302" s="76">
        <v>0.54</v>
      </c>
      <c r="P302" s="108">
        <v>0.97</v>
      </c>
      <c r="Q302" s="266">
        <v>1.7592592592592592E-3</v>
      </c>
      <c r="R302" s="210"/>
      <c r="S302" s="149">
        <v>6</v>
      </c>
    </row>
    <row r="303" spans="1:23" x14ac:dyDescent="0.35">
      <c r="A303" s="35">
        <v>44953</v>
      </c>
      <c r="B303" s="38" t="s">
        <v>53</v>
      </c>
      <c r="C303" s="70" t="s">
        <v>60</v>
      </c>
      <c r="D303" s="1">
        <v>410</v>
      </c>
      <c r="E303" s="1">
        <v>396</v>
      </c>
      <c r="F303" s="72">
        <f>IFERROR((Table3[[#This Row],[Calls Off]]-D296)/D296,0)</f>
        <v>-0.17835671342685372</v>
      </c>
      <c r="G303" s="72">
        <f>IFERROR((Table3[[#This Row],[Calls Ans]]-E296)/E296,0)</f>
        <v>-0.10609480812641084</v>
      </c>
      <c r="H303" s="1">
        <f>Table3[[#This Row],[Calls Off]]+H302</f>
        <v>8363</v>
      </c>
      <c r="I303" s="1">
        <f>Table3[[#This Row],[Calls Ans]]+I302</f>
        <v>7209</v>
      </c>
      <c r="J303" s="1">
        <f>J302+Table3[[#This Row],[Calls Off]]</f>
        <v>134884</v>
      </c>
      <c r="K303" s="1">
        <f>K302+Table3[[#This Row],[Calls Ans]]</f>
        <v>106956</v>
      </c>
      <c r="L303" s="76">
        <v>0.9</v>
      </c>
      <c r="M303" s="76">
        <v>0.03</v>
      </c>
      <c r="N303" s="76">
        <v>0.97</v>
      </c>
      <c r="O303" s="76">
        <v>0.46</v>
      </c>
      <c r="P303" s="108">
        <v>0.95</v>
      </c>
      <c r="Q303" s="266">
        <v>1.9907407407407408E-3</v>
      </c>
      <c r="R303" s="210"/>
      <c r="S303" s="149">
        <v>6</v>
      </c>
    </row>
    <row r="304" spans="1:23" x14ac:dyDescent="0.35">
      <c r="A304" s="35">
        <v>44954</v>
      </c>
      <c r="B304" s="38" t="s">
        <v>54</v>
      </c>
      <c r="C304" s="70" t="s">
        <v>60</v>
      </c>
      <c r="D304" s="1">
        <v>221</v>
      </c>
      <c r="E304" s="1">
        <v>208</v>
      </c>
      <c r="F304" s="72">
        <f>IFERROR((Table3[[#This Row],[Calls Off]]-D297)/D297,0)</f>
        <v>0</v>
      </c>
      <c r="G304" s="72">
        <f>IFERROR((Table3[[#This Row],[Calls Ans]]-E297)/E297,0)</f>
        <v>0</v>
      </c>
      <c r="H304" s="1">
        <f>Table3[[#This Row],[Calls Off]]+H303</f>
        <v>8584</v>
      </c>
      <c r="I304" s="1">
        <f>Table3[[#This Row],[Calls Ans]]+I303</f>
        <v>7417</v>
      </c>
      <c r="J304" s="1">
        <f>J303+Table3[[#This Row],[Calls Off]]</f>
        <v>135105</v>
      </c>
      <c r="K304" s="1">
        <f>K303+Table3[[#This Row],[Calls Ans]]</f>
        <v>107164</v>
      </c>
      <c r="L304" s="76">
        <v>0.84</v>
      </c>
      <c r="M304" s="76">
        <v>0.06</v>
      </c>
      <c r="N304" s="76">
        <v>0.94</v>
      </c>
      <c r="O304" s="76">
        <v>0.48</v>
      </c>
      <c r="P304" s="108">
        <v>0.98</v>
      </c>
      <c r="Q304" s="266">
        <v>1.8634259259259259E-3</v>
      </c>
      <c r="R304" s="210"/>
      <c r="S304" s="149">
        <v>3</v>
      </c>
    </row>
    <row r="305" spans="1:19" x14ac:dyDescent="0.35">
      <c r="A305" s="35">
        <v>44955</v>
      </c>
      <c r="B305" s="38" t="s">
        <v>48</v>
      </c>
      <c r="C305" s="70" t="s">
        <v>60</v>
      </c>
      <c r="D305" s="1">
        <v>0</v>
      </c>
      <c r="E305" s="1">
        <v>0</v>
      </c>
      <c r="F305" s="72">
        <f>IFERROR((Table3[[#This Row],[Calls Off]]-D298)/D298,0)</f>
        <v>0</v>
      </c>
      <c r="G305" s="72">
        <f>IFERROR((Table3[[#This Row],[Calls Ans]]-E298)/E298,0)</f>
        <v>0</v>
      </c>
      <c r="H305" s="1">
        <v>0</v>
      </c>
      <c r="I305" s="1">
        <v>0</v>
      </c>
      <c r="J305" s="1">
        <v>0</v>
      </c>
      <c r="K305" s="1">
        <v>0</v>
      </c>
      <c r="L305" s="76">
        <v>0</v>
      </c>
      <c r="M305" s="76">
        <v>0</v>
      </c>
      <c r="N305" s="76">
        <v>0</v>
      </c>
      <c r="O305" s="76">
        <v>0</v>
      </c>
      <c r="P305" s="108">
        <v>0</v>
      </c>
      <c r="Q305" s="266">
        <v>0</v>
      </c>
      <c r="R305" s="210"/>
      <c r="S305" s="149">
        <v>0</v>
      </c>
    </row>
    <row r="306" spans="1:19" x14ac:dyDescent="0.35">
      <c r="A306" s="35">
        <v>44956</v>
      </c>
      <c r="B306" s="38" t="s">
        <v>49</v>
      </c>
      <c r="C306" s="70" t="s">
        <v>60</v>
      </c>
      <c r="D306" s="1">
        <v>0</v>
      </c>
      <c r="E306" s="1">
        <v>0</v>
      </c>
      <c r="F306" s="72">
        <v>0</v>
      </c>
      <c r="G306" s="72">
        <v>0</v>
      </c>
      <c r="H306" s="1">
        <f>Table3[[#This Row],[Calls Off]]+H305</f>
        <v>0</v>
      </c>
      <c r="I306" s="1">
        <f>Table3[[#This Row],[Calls Ans]]+I305</f>
        <v>0</v>
      </c>
      <c r="J306" s="1">
        <f>J305+Table3[[#This Row],[Calls Off]]</f>
        <v>0</v>
      </c>
      <c r="K306" s="1">
        <f>K305+Table3[[#This Row],[Calls Ans]]</f>
        <v>0</v>
      </c>
      <c r="L306" s="76">
        <v>0</v>
      </c>
      <c r="M306" s="76">
        <v>0</v>
      </c>
      <c r="N306" s="76">
        <v>0</v>
      </c>
      <c r="O306" s="76">
        <v>0</v>
      </c>
      <c r="P306" s="108">
        <v>0</v>
      </c>
      <c r="Q306" s="266">
        <v>0</v>
      </c>
      <c r="R306" s="210"/>
      <c r="S306" s="149">
        <v>0</v>
      </c>
    </row>
    <row r="307" spans="1:19" x14ac:dyDescent="0.35">
      <c r="A307" s="35">
        <v>44957</v>
      </c>
      <c r="B307" s="38" t="s">
        <v>50</v>
      </c>
      <c r="C307" s="70" t="s">
        <v>60</v>
      </c>
      <c r="D307" s="1">
        <v>0</v>
      </c>
      <c r="E307" s="1">
        <v>0</v>
      </c>
      <c r="F307" s="72">
        <v>0</v>
      </c>
      <c r="G307" s="72">
        <v>0</v>
      </c>
      <c r="H307" s="1">
        <v>0</v>
      </c>
      <c r="I307" s="1">
        <v>0</v>
      </c>
      <c r="J307" s="1">
        <v>0</v>
      </c>
      <c r="K307" s="1">
        <v>0</v>
      </c>
      <c r="L307" s="76">
        <v>0</v>
      </c>
      <c r="M307" s="76">
        <v>0</v>
      </c>
      <c r="N307" s="76">
        <v>0</v>
      </c>
      <c r="O307" s="76">
        <v>0</v>
      </c>
      <c r="P307" s="108">
        <v>0</v>
      </c>
      <c r="Q307" s="266">
        <v>0</v>
      </c>
      <c r="R307" s="210"/>
      <c r="S307" s="149">
        <v>0</v>
      </c>
    </row>
    <row r="308" spans="1:19" x14ac:dyDescent="0.35">
      <c r="A308" s="35">
        <v>44958</v>
      </c>
      <c r="B308" s="38" t="s">
        <v>51</v>
      </c>
      <c r="C308" s="70" t="s">
        <v>60</v>
      </c>
      <c r="D308" s="1">
        <v>0</v>
      </c>
      <c r="E308" s="1">
        <v>0</v>
      </c>
      <c r="F308" s="72">
        <v>0</v>
      </c>
      <c r="G308" s="72">
        <v>0</v>
      </c>
      <c r="H308" s="1">
        <v>0</v>
      </c>
      <c r="I308" s="1">
        <v>0</v>
      </c>
      <c r="J308" s="1">
        <v>0</v>
      </c>
      <c r="K308" s="1">
        <v>0</v>
      </c>
      <c r="L308" s="76">
        <v>0</v>
      </c>
      <c r="M308" s="76">
        <v>0</v>
      </c>
      <c r="N308" s="76">
        <v>0</v>
      </c>
      <c r="O308" s="76">
        <v>0</v>
      </c>
      <c r="P308" s="108">
        <v>0</v>
      </c>
      <c r="Q308" s="266">
        <v>0</v>
      </c>
      <c r="R308" s="210"/>
      <c r="S308" s="149">
        <v>0</v>
      </c>
    </row>
    <row r="309" spans="1:19" x14ac:dyDescent="0.35">
      <c r="A309" s="35">
        <v>44959</v>
      </c>
      <c r="B309" s="38" t="s">
        <v>52</v>
      </c>
      <c r="C309" s="70" t="s">
        <v>60</v>
      </c>
      <c r="D309" s="1">
        <v>0</v>
      </c>
      <c r="E309" s="1">
        <v>0</v>
      </c>
      <c r="F309" s="72">
        <v>0</v>
      </c>
      <c r="G309" s="72">
        <v>0</v>
      </c>
      <c r="H309" s="1">
        <f>Table3[[#This Row],[Calls Off]]+H308</f>
        <v>0</v>
      </c>
      <c r="I309" s="1">
        <f>Table3[[#This Row],[Calls Ans]]+I308</f>
        <v>0</v>
      </c>
      <c r="J309" s="1">
        <f>J308+Table3[[#This Row],[Calls Off]]</f>
        <v>0</v>
      </c>
      <c r="K309" s="1">
        <f>K308+Table3[[#This Row],[Calls Ans]]</f>
        <v>0</v>
      </c>
      <c r="L309" s="76">
        <v>0</v>
      </c>
      <c r="M309" s="76">
        <v>0</v>
      </c>
      <c r="N309" s="76">
        <v>0</v>
      </c>
      <c r="O309" s="76">
        <v>0</v>
      </c>
      <c r="P309" s="108">
        <v>0</v>
      </c>
      <c r="Q309" s="266">
        <v>0</v>
      </c>
      <c r="R309" s="210"/>
      <c r="S309" s="149">
        <v>0</v>
      </c>
    </row>
    <row r="310" spans="1:19" x14ac:dyDescent="0.35">
      <c r="A310" s="35">
        <v>44960</v>
      </c>
      <c r="B310" s="38" t="s">
        <v>53</v>
      </c>
      <c r="C310" s="70" t="s">
        <v>60</v>
      </c>
      <c r="D310" s="1">
        <v>0</v>
      </c>
      <c r="E310" s="1">
        <v>0</v>
      </c>
      <c r="F310" s="72">
        <v>0</v>
      </c>
      <c r="G310" s="72">
        <v>0</v>
      </c>
      <c r="H310" s="1">
        <v>0</v>
      </c>
      <c r="I310" s="1">
        <v>0</v>
      </c>
      <c r="J310" s="1">
        <v>0</v>
      </c>
      <c r="K310" s="1">
        <v>0</v>
      </c>
      <c r="L310" s="76">
        <v>0</v>
      </c>
      <c r="M310" s="76">
        <v>0</v>
      </c>
      <c r="N310" s="76">
        <v>0</v>
      </c>
      <c r="O310" s="76">
        <v>0</v>
      </c>
      <c r="P310" s="108">
        <v>0</v>
      </c>
      <c r="Q310" s="266">
        <v>0</v>
      </c>
      <c r="R310" s="210"/>
      <c r="S310" s="149">
        <v>0</v>
      </c>
    </row>
    <row r="311" spans="1:19" x14ac:dyDescent="0.35">
      <c r="A311" s="35">
        <v>44961</v>
      </c>
      <c r="B311" s="38" t="s">
        <v>54</v>
      </c>
      <c r="C311" s="70" t="s">
        <v>60</v>
      </c>
      <c r="D311" s="1">
        <v>0</v>
      </c>
      <c r="E311" s="1">
        <v>0</v>
      </c>
      <c r="F311" s="72">
        <v>0</v>
      </c>
      <c r="G311" s="72">
        <v>0</v>
      </c>
      <c r="H311" s="1">
        <v>0</v>
      </c>
      <c r="I311" s="1">
        <v>0</v>
      </c>
      <c r="J311" s="1">
        <v>0</v>
      </c>
      <c r="K311" s="1">
        <v>0</v>
      </c>
      <c r="L311" s="76">
        <v>0</v>
      </c>
      <c r="M311" s="76">
        <v>0</v>
      </c>
      <c r="N311" s="76">
        <v>0</v>
      </c>
      <c r="O311" s="76">
        <v>0</v>
      </c>
      <c r="P311" s="108">
        <v>0</v>
      </c>
      <c r="Q311" s="266">
        <v>0</v>
      </c>
      <c r="R311" s="210"/>
      <c r="S311" s="149">
        <v>0</v>
      </c>
    </row>
    <row r="312" spans="1:19" x14ac:dyDescent="0.35">
      <c r="A312" s="35">
        <v>44962</v>
      </c>
      <c r="B312" s="38" t="s">
        <v>48</v>
      </c>
      <c r="C312" s="70" t="s">
        <v>60</v>
      </c>
      <c r="D312" s="1">
        <v>0</v>
      </c>
      <c r="E312" s="1">
        <v>0</v>
      </c>
      <c r="F312" s="72">
        <v>0</v>
      </c>
      <c r="G312" s="72">
        <v>0</v>
      </c>
      <c r="H312" s="1">
        <f>Table3[[#This Row],[Calls Off]]+H311</f>
        <v>0</v>
      </c>
      <c r="I312" s="1">
        <f>Table3[[#This Row],[Calls Ans]]+I311</f>
        <v>0</v>
      </c>
      <c r="J312" s="1">
        <f>J311+Table3[[#This Row],[Calls Off]]</f>
        <v>0</v>
      </c>
      <c r="K312" s="1">
        <f>K311+Table3[[#This Row],[Calls Ans]]</f>
        <v>0</v>
      </c>
      <c r="L312" s="76">
        <v>0</v>
      </c>
      <c r="M312" s="76">
        <v>0</v>
      </c>
      <c r="N312" s="76">
        <v>0</v>
      </c>
      <c r="O312" s="76">
        <v>0</v>
      </c>
      <c r="P312" s="108">
        <v>0</v>
      </c>
      <c r="Q312" s="266">
        <v>0</v>
      </c>
      <c r="R312" s="210"/>
      <c r="S312" s="149">
        <v>0</v>
      </c>
    </row>
    <row r="313" spans="1:19" x14ac:dyDescent="0.35">
      <c r="A313" s="35">
        <v>44963</v>
      </c>
      <c r="B313" s="38" t="s">
        <v>49</v>
      </c>
      <c r="C313" s="70" t="s">
        <v>60</v>
      </c>
      <c r="D313" s="1">
        <v>0</v>
      </c>
      <c r="E313" s="1">
        <v>0</v>
      </c>
      <c r="F313" s="72">
        <v>0</v>
      </c>
      <c r="G313" s="72">
        <v>0</v>
      </c>
      <c r="H313" s="1">
        <v>0</v>
      </c>
      <c r="I313" s="1">
        <v>0</v>
      </c>
      <c r="J313" s="1">
        <v>0</v>
      </c>
      <c r="K313" s="1">
        <v>0</v>
      </c>
      <c r="L313" s="76">
        <v>0</v>
      </c>
      <c r="M313" s="76">
        <v>0</v>
      </c>
      <c r="N313" s="76">
        <v>0</v>
      </c>
      <c r="O313" s="76">
        <v>0</v>
      </c>
      <c r="P313" s="108">
        <v>0</v>
      </c>
      <c r="Q313" s="266">
        <v>0</v>
      </c>
      <c r="R313" s="210"/>
      <c r="S313" s="149">
        <v>0</v>
      </c>
    </row>
    <row r="314" spans="1:19" x14ac:dyDescent="0.35">
      <c r="A314" s="35">
        <v>44964</v>
      </c>
      <c r="B314" s="38" t="s">
        <v>50</v>
      </c>
      <c r="C314" s="70" t="s">
        <v>60</v>
      </c>
      <c r="D314" s="1">
        <v>0</v>
      </c>
      <c r="E314" s="1">
        <v>0</v>
      </c>
      <c r="F314" s="72">
        <v>0</v>
      </c>
      <c r="G314" s="72">
        <v>0</v>
      </c>
      <c r="H314" s="1">
        <v>0</v>
      </c>
      <c r="I314" s="1">
        <v>0</v>
      </c>
      <c r="J314" s="1">
        <v>0</v>
      </c>
      <c r="K314" s="1">
        <v>0</v>
      </c>
      <c r="L314" s="76">
        <v>0</v>
      </c>
      <c r="M314" s="76">
        <v>0</v>
      </c>
      <c r="N314" s="76">
        <v>0</v>
      </c>
      <c r="O314" s="76">
        <v>0</v>
      </c>
      <c r="P314" s="108">
        <v>0</v>
      </c>
      <c r="Q314" s="266">
        <v>0</v>
      </c>
      <c r="R314" s="210"/>
      <c r="S314" s="149">
        <v>0</v>
      </c>
    </row>
    <row r="315" spans="1:19" x14ac:dyDescent="0.35">
      <c r="A315" s="35">
        <v>44965</v>
      </c>
      <c r="B315" s="38" t="s">
        <v>51</v>
      </c>
      <c r="C315" s="70" t="s">
        <v>60</v>
      </c>
      <c r="D315" s="1">
        <v>403</v>
      </c>
      <c r="E315" s="1">
        <v>342</v>
      </c>
      <c r="F315" s="72">
        <f>IFERROR((Table3[[#This Row],[Calls Off]]-D308)/D308,0)</f>
        <v>0</v>
      </c>
      <c r="G315" s="72">
        <f>IFERROR((Table3[[#This Row],[Calls Ans]]-E308)/E308,0)</f>
        <v>0</v>
      </c>
      <c r="H315" s="1">
        <f>Table3[[#This Row],[Calls Off]]</f>
        <v>403</v>
      </c>
      <c r="I315" s="1">
        <f>Table3[[#This Row],[Calls Ans]]</f>
        <v>342</v>
      </c>
      <c r="J315" s="1">
        <f>J304+Table3[[#This Row],[Calls Off]]</f>
        <v>135508</v>
      </c>
      <c r="K315" s="1">
        <f>K304+Table3[[#This Row],[Calls Ans]]</f>
        <v>107506</v>
      </c>
      <c r="L315" s="76">
        <v>0.64</v>
      </c>
      <c r="M315" s="76">
        <v>0.15</v>
      </c>
      <c r="N315" s="76">
        <v>0.85</v>
      </c>
      <c r="O315" s="76">
        <v>0.59</v>
      </c>
      <c r="P315" s="108">
        <v>0.98</v>
      </c>
      <c r="Q315" s="266">
        <v>2.2337962962962962E-3</v>
      </c>
      <c r="R315" s="210">
        <v>7.9861111111111105E-2</v>
      </c>
      <c r="S315" s="149">
        <v>4</v>
      </c>
    </row>
    <row r="316" spans="1:19" x14ac:dyDescent="0.35">
      <c r="A316" s="35">
        <v>44966</v>
      </c>
      <c r="B316" s="38" t="s">
        <v>52</v>
      </c>
      <c r="C316" s="70" t="s">
        <v>60</v>
      </c>
      <c r="D316" s="1">
        <v>419</v>
      </c>
      <c r="E316" s="1">
        <v>289</v>
      </c>
      <c r="F316" s="72">
        <f>IFERROR((Table3[[#This Row],[Calls Off]]-D309)/D309,0)</f>
        <v>0</v>
      </c>
      <c r="G316" s="72">
        <f>IFERROR((Table3[[#This Row],[Calls Ans]]-E309)/E309,0)</f>
        <v>0</v>
      </c>
      <c r="H316" s="1">
        <f>Table3[[#This Row],[Calls Off]]+H315</f>
        <v>822</v>
      </c>
      <c r="I316" s="1">
        <f>Table3[[#This Row],[Calls Ans]]+I315</f>
        <v>631</v>
      </c>
      <c r="J316" s="1">
        <f>J315+Table3[[#This Row],[Calls Off]]</f>
        <v>135927</v>
      </c>
      <c r="K316" s="1">
        <f>K315+Table3[[#This Row],[Calls Ans]]</f>
        <v>107795</v>
      </c>
      <c r="L316" s="76">
        <v>0.38</v>
      </c>
      <c r="M316" s="76">
        <v>0.31</v>
      </c>
      <c r="N316" s="76">
        <v>0.69</v>
      </c>
      <c r="O316" s="76">
        <v>0.66</v>
      </c>
      <c r="P316" s="108">
        <v>0.98</v>
      </c>
      <c r="Q316" s="266">
        <v>2.1412037037037038E-3</v>
      </c>
      <c r="R316" s="210">
        <v>0.1875</v>
      </c>
      <c r="S316" s="149">
        <v>3</v>
      </c>
    </row>
    <row r="317" spans="1:19" x14ac:dyDescent="0.35">
      <c r="A317" s="35">
        <v>44967</v>
      </c>
      <c r="B317" s="38" t="s">
        <v>53</v>
      </c>
      <c r="C317" s="70" t="s">
        <v>60</v>
      </c>
      <c r="D317" s="1">
        <v>417</v>
      </c>
      <c r="E317" s="1">
        <v>352</v>
      </c>
      <c r="F317" s="72">
        <f>IFERROR((Table3[[#This Row],[Calls Off]]-D310)/D310,0)</f>
        <v>0</v>
      </c>
      <c r="G317" s="72">
        <f>IFERROR((Table3[[#This Row],[Calls Ans]]-E310)/E310,0)</f>
        <v>0</v>
      </c>
      <c r="H317" s="1">
        <f>Table3[[#This Row],[Calls Off]]+H316</f>
        <v>1239</v>
      </c>
      <c r="I317" s="1">
        <f>Table3[[#This Row],[Calls Ans]]+I316</f>
        <v>983</v>
      </c>
      <c r="J317" s="1">
        <f>J316+Table3[[#This Row],[Calls Off]]</f>
        <v>136344</v>
      </c>
      <c r="K317" s="1">
        <f>K316+Table3[[#This Row],[Calls Ans]]</f>
        <v>108147</v>
      </c>
      <c r="L317" s="76">
        <v>0.64</v>
      </c>
      <c r="M317" s="76">
        <v>0.15</v>
      </c>
      <c r="N317" s="76">
        <v>0.85</v>
      </c>
      <c r="O317" s="76">
        <v>0.61</v>
      </c>
      <c r="P317" s="108">
        <v>0.97</v>
      </c>
      <c r="Q317" s="266">
        <v>1.8171296296296297E-3</v>
      </c>
      <c r="R317" s="210">
        <v>0.12847222222222224</v>
      </c>
      <c r="S317" s="149">
        <v>4</v>
      </c>
    </row>
    <row r="318" spans="1:19" x14ac:dyDescent="0.35">
      <c r="A318" s="35">
        <v>44968</v>
      </c>
      <c r="B318" s="38" t="s">
        <v>54</v>
      </c>
      <c r="C318" s="70" t="s">
        <v>60</v>
      </c>
      <c r="D318" s="1">
        <v>251</v>
      </c>
      <c r="E318" s="1">
        <v>230</v>
      </c>
      <c r="F318" s="72">
        <f>IFERROR((Table3[[#This Row],[Calls Off]]-D311)/D311,0)</f>
        <v>0</v>
      </c>
      <c r="G318" s="72">
        <f>IFERROR((Table3[[#This Row],[Calls Ans]]-E311)/E311,0)</f>
        <v>0</v>
      </c>
      <c r="H318" s="1">
        <f>Table3[[#This Row],[Calls Off]]+H317</f>
        <v>1490</v>
      </c>
      <c r="I318" s="1">
        <f>Table3[[#This Row],[Calls Ans]]+I317</f>
        <v>1213</v>
      </c>
      <c r="J318" s="1">
        <f>J317+Table3[[#This Row],[Calls Off]]</f>
        <v>136595</v>
      </c>
      <c r="K318" s="1">
        <f>K317+Table3[[#This Row],[Calls Ans]]</f>
        <v>108377</v>
      </c>
      <c r="L318" s="76">
        <v>0.78</v>
      </c>
      <c r="M318" s="76">
        <v>0.08</v>
      </c>
      <c r="N318" s="76">
        <v>0.92</v>
      </c>
      <c r="O318" s="76">
        <v>0.53</v>
      </c>
      <c r="P318" s="108">
        <v>0.97</v>
      </c>
      <c r="Q318" s="266">
        <v>1.8981481481481482E-3</v>
      </c>
      <c r="R318" s="210">
        <v>4.9305555555555554E-2</v>
      </c>
      <c r="S318" s="149">
        <v>3</v>
      </c>
    </row>
    <row r="319" spans="1:19" x14ac:dyDescent="0.35">
      <c r="A319" s="35">
        <v>44969</v>
      </c>
      <c r="B319" s="38" t="s">
        <v>48</v>
      </c>
      <c r="C319" s="70" t="s">
        <v>60</v>
      </c>
      <c r="D319" s="1">
        <v>0</v>
      </c>
      <c r="E319" s="1">
        <v>0</v>
      </c>
      <c r="F319" s="72">
        <v>0</v>
      </c>
      <c r="G319" s="72">
        <v>0</v>
      </c>
      <c r="H319" s="1">
        <v>0</v>
      </c>
      <c r="I319" s="1">
        <v>0</v>
      </c>
      <c r="J319" s="1">
        <v>0</v>
      </c>
      <c r="K319" s="1">
        <v>0</v>
      </c>
      <c r="L319" s="76">
        <v>0</v>
      </c>
      <c r="M319" s="76">
        <v>0</v>
      </c>
      <c r="N319" s="76">
        <v>0</v>
      </c>
      <c r="O319" s="76">
        <v>0</v>
      </c>
      <c r="P319" s="108">
        <v>0</v>
      </c>
      <c r="Q319" s="266">
        <v>0</v>
      </c>
      <c r="R319" s="210">
        <v>0</v>
      </c>
      <c r="S319" s="149">
        <v>0</v>
      </c>
    </row>
    <row r="320" spans="1:19" x14ac:dyDescent="0.35">
      <c r="A320" s="35">
        <v>44970</v>
      </c>
      <c r="B320" s="38" t="s">
        <v>49</v>
      </c>
      <c r="C320" s="70" t="s">
        <v>60</v>
      </c>
      <c r="D320" s="1">
        <v>528</v>
      </c>
      <c r="E320" s="1">
        <v>368</v>
      </c>
      <c r="F320" s="72">
        <f>IFERROR((Table3[[#This Row],[Calls Off]]-D313)/D313,0)</f>
        <v>0</v>
      </c>
      <c r="G320" s="72">
        <f>IFERROR((Table3[[#This Row],[Calls Ans]]-E313)/E313,0)</f>
        <v>0</v>
      </c>
      <c r="H320" s="1">
        <f>Table3[[#This Row],[Calls Off]]+H318</f>
        <v>2018</v>
      </c>
      <c r="I320" s="1">
        <f>Table3[[#This Row],[Calls Ans]]+I318</f>
        <v>1581</v>
      </c>
      <c r="J320" s="1">
        <f>J318+Table3[[#This Row],[Calls Off]]</f>
        <v>137123</v>
      </c>
      <c r="K320" s="1">
        <f>K318+Table3[[#This Row],[Calls Ans]]</f>
        <v>108745</v>
      </c>
      <c r="L320" s="76">
        <v>0.36</v>
      </c>
      <c r="M320" s="76">
        <v>0.3</v>
      </c>
      <c r="N320" s="76">
        <v>0.7</v>
      </c>
      <c r="O320" s="76">
        <v>0.84</v>
      </c>
      <c r="P320" s="108">
        <v>0.97</v>
      </c>
      <c r="Q320" s="266">
        <v>2.2337962962962962E-3</v>
      </c>
      <c r="R320" s="210">
        <v>0.20416666666666669</v>
      </c>
      <c r="S320" s="149">
        <v>4</v>
      </c>
    </row>
    <row r="321" spans="1:23" x14ac:dyDescent="0.35">
      <c r="A321" s="35">
        <v>44971</v>
      </c>
      <c r="B321" s="38" t="s">
        <v>50</v>
      </c>
      <c r="C321" s="70" t="s">
        <v>60</v>
      </c>
      <c r="D321" s="1">
        <v>365</v>
      </c>
      <c r="E321" s="1">
        <v>328</v>
      </c>
      <c r="F321" s="72">
        <v>0</v>
      </c>
      <c r="G321" s="72">
        <v>0</v>
      </c>
      <c r="H321" s="1">
        <f>Table3[[#This Row],[Calls Off]]+H320</f>
        <v>2383</v>
      </c>
      <c r="I321" s="1">
        <f>Table3[[#This Row],[Calls Ans]]+I320</f>
        <v>1909</v>
      </c>
      <c r="J321" s="1">
        <f>J320+Table3[[#This Row],[Calls Off]]</f>
        <v>137488</v>
      </c>
      <c r="K321" s="1">
        <f>K320+Table3[[#This Row],[Calls Ans]]</f>
        <v>109073</v>
      </c>
      <c r="L321" s="76">
        <v>0.68</v>
      </c>
      <c r="M321" s="76">
        <v>0.1</v>
      </c>
      <c r="N321" s="76">
        <v>0.9</v>
      </c>
      <c r="O321" s="76">
        <v>0.56999999999999995</v>
      </c>
      <c r="P321" s="108">
        <v>0.96</v>
      </c>
      <c r="Q321" s="266">
        <v>2.3148148148148151E-3</v>
      </c>
      <c r="R321" s="210">
        <v>9.8611111111111108E-2</v>
      </c>
      <c r="S321" s="149">
        <v>4</v>
      </c>
    </row>
    <row r="322" spans="1:23" x14ac:dyDescent="0.35">
      <c r="A322" s="35">
        <v>44972</v>
      </c>
      <c r="B322" s="38" t="s">
        <v>51</v>
      </c>
      <c r="C322" s="70" t="s">
        <v>60</v>
      </c>
      <c r="D322" s="1">
        <v>381</v>
      </c>
      <c r="E322" s="1">
        <v>355</v>
      </c>
      <c r="F322" s="72">
        <f>IFERROR((Table3[[#This Row],[Calls Off]]-D315)/D315,0)</f>
        <v>-5.4590570719602979E-2</v>
      </c>
      <c r="G322" s="72">
        <f>IFERROR((Table3[[#This Row],[Calls Ans]]-E315)/E315,0)</f>
        <v>3.8011695906432746E-2</v>
      </c>
      <c r="H322" s="1">
        <f>Table3[[#This Row],[Calls Off]]+H311</f>
        <v>381</v>
      </c>
      <c r="I322" s="1">
        <f>Table3[[#This Row],[Calls Ans]]+I311</f>
        <v>355</v>
      </c>
      <c r="J322" s="1">
        <f>J321+Table3[[#This Row],[Calls Off]]</f>
        <v>137869</v>
      </c>
      <c r="K322" s="1">
        <f>K321+Table3[[#This Row],[Calls Ans]]</f>
        <v>109428</v>
      </c>
      <c r="L322" s="76">
        <v>0.82</v>
      </c>
      <c r="M322" s="76">
        <v>7.0000000000000007E-2</v>
      </c>
      <c r="N322" s="76">
        <v>0.93</v>
      </c>
      <c r="O322" s="76">
        <v>0.61</v>
      </c>
      <c r="P322" s="108">
        <v>0.97</v>
      </c>
      <c r="Q322" s="266">
        <v>2.1875000000000002E-3</v>
      </c>
      <c r="R322" s="210">
        <v>3.8194444444444441E-2</v>
      </c>
      <c r="S322" s="149">
        <v>4</v>
      </c>
    </row>
    <row r="323" spans="1:23" x14ac:dyDescent="0.35">
      <c r="A323" s="35">
        <v>44973</v>
      </c>
      <c r="B323" s="38" t="s">
        <v>52</v>
      </c>
      <c r="C323" s="70" t="s">
        <v>60</v>
      </c>
      <c r="D323" s="1">
        <v>325</v>
      </c>
      <c r="E323" s="1">
        <v>308</v>
      </c>
      <c r="F323" s="72">
        <f>IFERROR((Table3[[#This Row],[Calls Off]]-D316)/D316,0)</f>
        <v>-0.22434367541766109</v>
      </c>
      <c r="G323" s="72">
        <f>IFERROR((Table3[[#This Row],[Calls Ans]]-E316)/E316,0)</f>
        <v>6.5743944636678195E-2</v>
      </c>
      <c r="H323" s="1">
        <f>Table3[[#This Row],[Calls Off]]+H322</f>
        <v>706</v>
      </c>
      <c r="I323" s="1">
        <f>Table3[[#This Row],[Calls Ans]]+I322</f>
        <v>663</v>
      </c>
      <c r="J323" s="1">
        <f>J322+Table3[[#This Row],[Calls Off]]</f>
        <v>138194</v>
      </c>
      <c r="K323" s="1">
        <f>K322+Table3[[#This Row],[Calls Ans]]</f>
        <v>109736</v>
      </c>
      <c r="L323" s="76">
        <v>0.86</v>
      </c>
      <c r="M323" s="76">
        <v>0.05</v>
      </c>
      <c r="N323" s="76">
        <v>0.95</v>
      </c>
      <c r="O323" s="76">
        <v>0.42</v>
      </c>
      <c r="P323" s="108">
        <v>0.96</v>
      </c>
      <c r="Q323" s="266">
        <v>2.1527777777777782E-3</v>
      </c>
      <c r="R323" s="210">
        <v>2.2222222222222223E-2</v>
      </c>
      <c r="S323" s="149">
        <v>5</v>
      </c>
    </row>
    <row r="324" spans="1:23" x14ac:dyDescent="0.35">
      <c r="A324" s="35">
        <v>44974</v>
      </c>
      <c r="B324" s="38" t="s">
        <v>53</v>
      </c>
      <c r="C324" s="70" t="s">
        <v>60</v>
      </c>
      <c r="D324" s="1">
        <v>416</v>
      </c>
      <c r="E324" s="1">
        <v>360</v>
      </c>
      <c r="F324" s="72">
        <f>IFERROR((Table3[[#This Row],[Calls Off]]-D317)/D317,0)</f>
        <v>-2.3980815347721821E-3</v>
      </c>
      <c r="G324" s="72">
        <f>IFERROR((Table3[[#This Row],[Calls Ans]]-E317)/E317,0)</f>
        <v>2.2727272727272728E-2</v>
      </c>
      <c r="H324" s="1">
        <f>Table3[[#This Row],[Calls Off]]+H323</f>
        <v>1122</v>
      </c>
      <c r="I324" s="1">
        <f>Table3[[#This Row],[Calls Ans]]+I323</f>
        <v>1023</v>
      </c>
      <c r="J324" s="1">
        <f>J323+Table3[[#This Row],[Calls Off]]</f>
        <v>138610</v>
      </c>
      <c r="K324" s="1">
        <f>K323+Table3[[#This Row],[Calls Ans]]</f>
        <v>110096</v>
      </c>
      <c r="L324" s="76">
        <v>0.65</v>
      </c>
      <c r="M324" s="76">
        <v>0.13</v>
      </c>
      <c r="N324" s="76">
        <v>0.87</v>
      </c>
      <c r="O324" s="76">
        <v>0.5</v>
      </c>
      <c r="P324" s="108">
        <v>0.97</v>
      </c>
      <c r="Q324" s="266">
        <v>2.3379629629629631E-3</v>
      </c>
      <c r="R324" s="210">
        <v>8.9583333333333334E-2</v>
      </c>
      <c r="S324" s="149">
        <v>5</v>
      </c>
    </row>
    <row r="325" spans="1:23" x14ac:dyDescent="0.35">
      <c r="A325" s="35">
        <v>44975</v>
      </c>
      <c r="B325" s="38" t="s">
        <v>54</v>
      </c>
      <c r="C325" s="70" t="s">
        <v>60</v>
      </c>
      <c r="D325" s="1">
        <v>260</v>
      </c>
      <c r="E325" s="1">
        <v>231</v>
      </c>
      <c r="F325" s="72">
        <f>IFERROR((Table3[[#This Row],[Calls Off]]-D318)/D318,0)</f>
        <v>3.5856573705179286E-2</v>
      </c>
      <c r="G325" s="72">
        <f>IFERROR((Table3[[#This Row],[Calls Ans]]-E318)/E318,0)</f>
        <v>4.3478260869565218E-3</v>
      </c>
      <c r="H325" s="1">
        <f>Table3[[#This Row],[Calls Off]]+H324</f>
        <v>1382</v>
      </c>
      <c r="I325" s="1">
        <f>Table3[[#This Row],[Calls Ans]]+I324</f>
        <v>1254</v>
      </c>
      <c r="J325" s="1">
        <f>J324+Table3[[#This Row],[Calls Off]]</f>
        <v>138870</v>
      </c>
      <c r="K325" s="1">
        <f>K324+Table3[[#This Row],[Calls Ans]]</f>
        <v>110327</v>
      </c>
      <c r="L325" s="76">
        <v>0.7</v>
      </c>
      <c r="M325" s="76">
        <v>0.11</v>
      </c>
      <c r="N325" s="76">
        <v>0.89</v>
      </c>
      <c r="O325" s="76">
        <v>0.53</v>
      </c>
      <c r="P325" s="108">
        <v>0.97</v>
      </c>
      <c r="Q325" s="266">
        <v>1.7245370370370372E-3</v>
      </c>
      <c r="R325" s="210">
        <v>6.7361111111111108E-2</v>
      </c>
      <c r="S325" s="149">
        <v>3</v>
      </c>
    </row>
    <row r="326" spans="1:23" x14ac:dyDescent="0.35">
      <c r="A326" s="35">
        <v>44976</v>
      </c>
      <c r="B326" s="38" t="s">
        <v>48</v>
      </c>
      <c r="C326" s="70" t="s">
        <v>60</v>
      </c>
      <c r="D326" s="1">
        <v>0</v>
      </c>
      <c r="E326" s="1">
        <v>0</v>
      </c>
      <c r="F326" s="72">
        <v>0</v>
      </c>
      <c r="G326" s="72">
        <v>0</v>
      </c>
      <c r="H326" s="1">
        <v>0</v>
      </c>
      <c r="I326" s="1">
        <v>0</v>
      </c>
      <c r="J326" s="1">
        <v>0</v>
      </c>
      <c r="K326" s="1">
        <v>0</v>
      </c>
      <c r="L326" s="76">
        <v>0</v>
      </c>
      <c r="M326" s="76">
        <v>0</v>
      </c>
      <c r="N326" s="76">
        <v>0</v>
      </c>
      <c r="O326" s="76">
        <v>0</v>
      </c>
      <c r="P326" s="108">
        <v>0</v>
      </c>
      <c r="Q326" s="266">
        <v>0</v>
      </c>
      <c r="R326" s="210">
        <v>0</v>
      </c>
      <c r="S326" s="149">
        <v>0</v>
      </c>
    </row>
    <row r="327" spans="1:23" x14ac:dyDescent="0.35">
      <c r="A327" s="35">
        <v>44977</v>
      </c>
      <c r="B327" s="38" t="s">
        <v>49</v>
      </c>
      <c r="C327" s="70" t="s">
        <v>60</v>
      </c>
      <c r="D327" s="1">
        <v>395</v>
      </c>
      <c r="E327" s="1">
        <v>368</v>
      </c>
      <c r="F327" s="72">
        <f>IFERROR((Table3[[#This Row],[Calls Off]]-D320)/D320,0)</f>
        <v>-0.25189393939393939</v>
      </c>
      <c r="G327" s="72">
        <f>IFERROR((Table3[[#This Row],[Calls Ans]]-E320)/E320,0)</f>
        <v>0</v>
      </c>
      <c r="H327" s="1">
        <f>Table3[[#This Row],[Calls Off]]+H325</f>
        <v>1777</v>
      </c>
      <c r="I327" s="1">
        <f>Table3[[#This Row],[Calls Ans]]+I325</f>
        <v>1622</v>
      </c>
      <c r="J327" s="1">
        <f>J325+Table3[[#This Row],[Calls Off]]</f>
        <v>139265</v>
      </c>
      <c r="K327" s="1">
        <f>K325+Table3[[#This Row],[Calls Ans]]</f>
        <v>110695</v>
      </c>
      <c r="L327" s="76">
        <v>0.84</v>
      </c>
      <c r="M327" s="76">
        <v>7.0000000000000007E-2</v>
      </c>
      <c r="N327" s="76">
        <v>0.93</v>
      </c>
      <c r="O327" s="76">
        <v>0.48</v>
      </c>
      <c r="P327" s="108">
        <v>0.95</v>
      </c>
      <c r="Q327" s="266">
        <v>2.1759259259259262E-3</v>
      </c>
      <c r="R327" s="210">
        <v>3.3333333333333333E-2</v>
      </c>
      <c r="S327" s="149">
        <v>7</v>
      </c>
    </row>
    <row r="328" spans="1:23" x14ac:dyDescent="0.35">
      <c r="A328" s="35">
        <v>44978</v>
      </c>
      <c r="B328" s="38" t="s">
        <v>50</v>
      </c>
      <c r="C328" s="70" t="s">
        <v>60</v>
      </c>
      <c r="D328" s="1">
        <v>435</v>
      </c>
      <c r="E328" s="1">
        <v>393</v>
      </c>
      <c r="F328" s="72">
        <f>IFERROR((Table3[[#This Row],[Calls Off]]-D321)/D321,0)</f>
        <v>0.19178082191780821</v>
      </c>
      <c r="G328" s="72">
        <f>IFERROR((Table3[[#This Row],[Calls Ans]]-E321)/E321,0)</f>
        <v>0.19817073170731708</v>
      </c>
      <c r="H328" s="1">
        <f>Table3[[#This Row],[Calls Off]]+H327</f>
        <v>2212</v>
      </c>
      <c r="I328" s="1">
        <f>Table3[[#This Row],[Calls Ans]]+I327</f>
        <v>2015</v>
      </c>
      <c r="J328" s="1">
        <f>J327+Table3[[#This Row],[Calls Off]]</f>
        <v>139700</v>
      </c>
      <c r="K328" s="1">
        <f>K327+Table3[[#This Row],[Calls Ans]]</f>
        <v>111088</v>
      </c>
      <c r="L328" s="76">
        <v>0.72</v>
      </c>
      <c r="M328" s="76">
        <v>0.1</v>
      </c>
      <c r="N328" s="76">
        <v>0.9</v>
      </c>
      <c r="O328" s="76">
        <v>0.45</v>
      </c>
      <c r="P328" s="108">
        <v>0.96</v>
      </c>
      <c r="Q328" s="266">
        <v>2.0370370370370373E-3</v>
      </c>
      <c r="R328" s="210">
        <v>5.486111111111111E-2</v>
      </c>
      <c r="S328" s="149">
        <v>6</v>
      </c>
    </row>
    <row r="329" spans="1:23" x14ac:dyDescent="0.35">
      <c r="A329" s="35">
        <v>44979</v>
      </c>
      <c r="B329" s="38" t="s">
        <v>51</v>
      </c>
      <c r="C329" s="70" t="s">
        <v>60</v>
      </c>
      <c r="D329" s="1">
        <v>403</v>
      </c>
      <c r="E329" s="1">
        <v>367</v>
      </c>
      <c r="F329" s="72">
        <f>IFERROR((Table3[[#This Row],[Calls Off]]-D322)/D322,0)</f>
        <v>5.774278215223097E-2</v>
      </c>
      <c r="G329" s="72">
        <f>IFERROR((Table3[[#This Row],[Calls Ans]]-E322)/E322,0)</f>
        <v>3.3802816901408447E-2</v>
      </c>
      <c r="H329" s="1">
        <f>Table3[[#This Row],[Calls Off]]+H328</f>
        <v>2615</v>
      </c>
      <c r="I329" s="1">
        <f>Table3[[#This Row],[Calls Ans]]+I328</f>
        <v>2382</v>
      </c>
      <c r="J329" s="1">
        <f>J328+Table3[[#This Row],[Calls Off]]</f>
        <v>140103</v>
      </c>
      <c r="K329" s="1">
        <f>K328+Table3[[#This Row],[Calls Ans]]</f>
        <v>111455</v>
      </c>
      <c r="L329" s="76">
        <v>0.76</v>
      </c>
      <c r="M329" s="76">
        <v>0.09</v>
      </c>
      <c r="N329" s="76">
        <v>0.91</v>
      </c>
      <c r="O329" s="76">
        <v>0.51</v>
      </c>
      <c r="P329" s="108">
        <v>0.96</v>
      </c>
      <c r="Q329" s="266">
        <v>1.9444444444444442E-3</v>
      </c>
      <c r="R329" s="210">
        <v>5.4166666666666669E-2</v>
      </c>
      <c r="S329" s="149">
        <v>5</v>
      </c>
    </row>
    <row r="330" spans="1:23" x14ac:dyDescent="0.35">
      <c r="A330" s="35">
        <v>44980</v>
      </c>
      <c r="B330" s="38" t="s">
        <v>52</v>
      </c>
      <c r="C330" s="70" t="s">
        <v>60</v>
      </c>
      <c r="D330" s="1">
        <v>409</v>
      </c>
      <c r="E330" s="1">
        <v>384</v>
      </c>
      <c r="F330" s="72">
        <f>IFERROR((Table3[[#This Row],[Calls Off]]-D323)/D323,0)</f>
        <v>0.25846153846153846</v>
      </c>
      <c r="G330" s="72">
        <f>IFERROR((Table3[[#This Row],[Calls Ans]]-E323)/E323,0)</f>
        <v>0.24675324675324675</v>
      </c>
      <c r="H330" s="1">
        <f>Table3[[#This Row],[Calls Off]]+H329</f>
        <v>3024</v>
      </c>
      <c r="I330" s="1">
        <f>Table3[[#This Row],[Calls Ans]]+I329</f>
        <v>2766</v>
      </c>
      <c r="J330" s="1">
        <f>J329+Table3[[#This Row],[Calls Off]]</f>
        <v>140512</v>
      </c>
      <c r="K330" s="1">
        <f>K329+Table3[[#This Row],[Calls Ans]]</f>
        <v>111839</v>
      </c>
      <c r="L330" s="76">
        <v>0.8</v>
      </c>
      <c r="M330" s="76">
        <v>0.06</v>
      </c>
      <c r="N330" s="76">
        <v>0.94</v>
      </c>
      <c r="O330" s="76">
        <v>0.44</v>
      </c>
      <c r="P330" s="108">
        <v>0.95</v>
      </c>
      <c r="Q330" s="266">
        <v>1.8055555555555557E-3</v>
      </c>
      <c r="R330" s="210">
        <v>5.0694444444444452E-2</v>
      </c>
      <c r="S330" s="149">
        <v>6</v>
      </c>
    </row>
    <row r="331" spans="1:23" x14ac:dyDescent="0.35">
      <c r="A331" s="35">
        <v>44981</v>
      </c>
      <c r="B331" s="38" t="s">
        <v>53</v>
      </c>
      <c r="C331" s="70" t="s">
        <v>60</v>
      </c>
      <c r="D331" s="1">
        <v>365</v>
      </c>
      <c r="E331" s="1">
        <v>344</v>
      </c>
      <c r="F331" s="72">
        <f>IFERROR((Table3[[#This Row],[Calls Off]]-D324)/D324,0)</f>
        <v>-0.12259615384615384</v>
      </c>
      <c r="G331" s="72">
        <f>IFERROR((Table3[[#This Row],[Calls Ans]]-E324)/E324,0)</f>
        <v>-4.4444444444444446E-2</v>
      </c>
      <c r="H331" s="1">
        <f>Table3[[#This Row],[Calls Off]]+H330</f>
        <v>3389</v>
      </c>
      <c r="I331" s="1">
        <f>Table3[[#This Row],[Calls Ans]]+I330</f>
        <v>3110</v>
      </c>
      <c r="J331" s="1">
        <f>J330+Table3[[#This Row],[Calls Off]]</f>
        <v>140877</v>
      </c>
      <c r="K331" s="1">
        <f>K330+Table3[[#This Row],[Calls Ans]]</f>
        <v>112183</v>
      </c>
      <c r="L331" s="76">
        <v>0.8</v>
      </c>
      <c r="M331" s="76">
        <v>0.06</v>
      </c>
      <c r="N331" s="76">
        <v>0.94</v>
      </c>
      <c r="O331" s="76">
        <v>0.47</v>
      </c>
      <c r="P331" s="108">
        <v>0.96</v>
      </c>
      <c r="Q331" s="266">
        <v>2.1643518518518522E-3</v>
      </c>
      <c r="R331" s="210">
        <v>5.4166666666666669E-2</v>
      </c>
      <c r="S331" s="149">
        <v>5</v>
      </c>
    </row>
    <row r="332" spans="1:23" x14ac:dyDescent="0.35">
      <c r="A332" s="35">
        <v>44982</v>
      </c>
      <c r="B332" s="38" t="s">
        <v>54</v>
      </c>
      <c r="C332" s="70" t="s">
        <v>60</v>
      </c>
      <c r="D332" s="1">
        <v>217</v>
      </c>
      <c r="E332" s="1">
        <v>189</v>
      </c>
      <c r="F332" s="72">
        <f>IFERROR((Table3[[#This Row],[Calls Off]]-D325)/D325,0)</f>
        <v>-0.16538461538461538</v>
      </c>
      <c r="G332" s="72">
        <f>IFERROR((Table3[[#This Row],[Calls Ans]]-E325)/E325,0)</f>
        <v>-0.18181818181818182</v>
      </c>
      <c r="H332" s="1">
        <f>Table3[[#This Row],[Calls Off]]+H331</f>
        <v>3606</v>
      </c>
      <c r="I332" s="1">
        <f>Table3[[#This Row],[Calls Ans]]+I331</f>
        <v>3299</v>
      </c>
      <c r="J332" s="1">
        <f>J331+Table3[[#This Row],[Calls Off]]</f>
        <v>141094</v>
      </c>
      <c r="K332" s="1">
        <f>K331+Table3[[#This Row],[Calls Ans]]</f>
        <v>112372</v>
      </c>
      <c r="L332" s="76">
        <v>0.62</v>
      </c>
      <c r="M332" s="76">
        <v>0.12</v>
      </c>
      <c r="N332" s="76">
        <v>0.88</v>
      </c>
      <c r="O332" s="76">
        <v>0.43</v>
      </c>
      <c r="P332" s="108">
        <v>0.96</v>
      </c>
      <c r="Q332" s="266">
        <v>2.0601851851851853E-3</v>
      </c>
      <c r="R332" s="210">
        <v>0.15347222222222223</v>
      </c>
      <c r="S332" s="149">
        <v>3</v>
      </c>
    </row>
    <row r="333" spans="1:23" x14ac:dyDescent="0.35">
      <c r="A333" s="35">
        <v>44983</v>
      </c>
      <c r="B333" s="38" t="s">
        <v>48</v>
      </c>
      <c r="C333" s="70" t="s">
        <v>60</v>
      </c>
      <c r="D333" s="1">
        <v>0</v>
      </c>
      <c r="E333" s="1">
        <v>0</v>
      </c>
      <c r="F333" s="72">
        <f>IFERROR((Table3[[#This Row],[Calls Off]]-D326)/D326,0)</f>
        <v>0</v>
      </c>
      <c r="G333" s="72">
        <f>IFERROR((Table3[[#This Row],[Calls Ans]]-E326)/E326,0)</f>
        <v>0</v>
      </c>
      <c r="H333" s="1">
        <v>0</v>
      </c>
      <c r="I333" s="1">
        <v>0</v>
      </c>
      <c r="J333" s="1">
        <v>0</v>
      </c>
      <c r="K333" s="1">
        <v>0</v>
      </c>
      <c r="L333" s="76">
        <v>0</v>
      </c>
      <c r="M333" s="76">
        <v>0</v>
      </c>
      <c r="N333" s="76">
        <v>0</v>
      </c>
      <c r="O333" s="76">
        <v>0</v>
      </c>
      <c r="P333" s="108">
        <v>0</v>
      </c>
      <c r="Q333" s="266">
        <v>0</v>
      </c>
      <c r="R333" s="210">
        <v>0</v>
      </c>
      <c r="S333" s="149">
        <v>0</v>
      </c>
    </row>
    <row r="334" spans="1:23" x14ac:dyDescent="0.35">
      <c r="A334" s="35">
        <v>44984</v>
      </c>
      <c r="B334" s="38" t="s">
        <v>49</v>
      </c>
      <c r="C334" s="70" t="s">
        <v>60</v>
      </c>
      <c r="D334" s="1">
        <v>445</v>
      </c>
      <c r="E334" s="1">
        <v>414</v>
      </c>
      <c r="F334" s="72">
        <f>IFERROR((Table3[[#This Row],[Calls Off]]-D327)/D327,0)</f>
        <v>0.12658227848101267</v>
      </c>
      <c r="G334" s="72">
        <f>IFERROR((Table3[[#This Row],[Calls Ans]]-E327)/E327,0)</f>
        <v>0.125</v>
      </c>
      <c r="H334" s="1">
        <f>Table3[[#This Row],[Calls Off]]+H332</f>
        <v>4051</v>
      </c>
      <c r="I334" s="1">
        <f>Table3[[#This Row],[Calls Ans]]+I332</f>
        <v>3713</v>
      </c>
      <c r="J334" s="1">
        <f>J332+Table3[[#This Row],[Calls Off]]</f>
        <v>141539</v>
      </c>
      <c r="K334" s="1">
        <f>K332+Table3[[#This Row],[Calls Ans]]</f>
        <v>112786</v>
      </c>
      <c r="L334" s="76">
        <v>0.87</v>
      </c>
      <c r="M334" s="76">
        <v>7.0000000000000007E-2</v>
      </c>
      <c r="N334" s="76">
        <v>0.93</v>
      </c>
      <c r="O334" s="76">
        <v>0.41</v>
      </c>
      <c r="P334" s="108">
        <v>0.95</v>
      </c>
      <c r="Q334" s="266">
        <v>1.701388888888889E-3</v>
      </c>
      <c r="R334" s="210">
        <v>3.6111111111111115E-2</v>
      </c>
      <c r="S334" s="149">
        <v>7</v>
      </c>
    </row>
    <row r="335" spans="1:23" x14ac:dyDescent="0.35">
      <c r="A335" s="35">
        <v>44985</v>
      </c>
      <c r="B335" s="38" t="s">
        <v>50</v>
      </c>
      <c r="C335" s="70" t="s">
        <v>60</v>
      </c>
      <c r="D335" s="1">
        <v>446</v>
      </c>
      <c r="E335" s="1">
        <v>391</v>
      </c>
      <c r="F335" s="72">
        <f>IFERROR((Table3[[#This Row],[Calls Off]]-D328)/D328,0)</f>
        <v>2.528735632183908E-2</v>
      </c>
      <c r="G335" s="72">
        <f>IFERROR((Table3[[#This Row],[Calls Ans]]-E328)/E328,0)</f>
        <v>-5.0890585241730284E-3</v>
      </c>
      <c r="H335" s="1">
        <f>Table3[[#This Row],[Calls Off]]+H334</f>
        <v>4497</v>
      </c>
      <c r="I335" s="1">
        <f>Table3[[#This Row],[Calls Ans]]+I334</f>
        <v>4104</v>
      </c>
      <c r="J335" s="1">
        <f>J334+Table3[[#This Row],[Calls Off]]</f>
        <v>141985</v>
      </c>
      <c r="K335" s="1">
        <f>K334+Table3[[#This Row],[Calls Ans]]</f>
        <v>113177</v>
      </c>
      <c r="L335" s="76">
        <v>0.69</v>
      </c>
      <c r="M335" s="76">
        <v>0.12</v>
      </c>
      <c r="N335" s="76">
        <v>0.88</v>
      </c>
      <c r="O335" s="76">
        <v>0.59</v>
      </c>
      <c r="P335" s="108">
        <v>0.95</v>
      </c>
      <c r="Q335" s="266">
        <v>1.6435185185185185E-3</v>
      </c>
      <c r="R335" s="210">
        <v>0.11666666666666665</v>
      </c>
      <c r="S335" s="149">
        <v>6</v>
      </c>
    </row>
    <row r="336" spans="1:23" s="54" customFormat="1" x14ac:dyDescent="0.35">
      <c r="A336" s="221">
        <v>44986</v>
      </c>
      <c r="B336" s="55" t="s">
        <v>51</v>
      </c>
      <c r="C336" s="55" t="s">
        <v>60</v>
      </c>
      <c r="D336" s="56">
        <v>415</v>
      </c>
      <c r="E336" s="56">
        <v>352</v>
      </c>
      <c r="F336" s="91">
        <f>IFERROR((Table3[[#This Row],[Calls Off]]-D329)/D329,0)</f>
        <v>2.9776674937965261E-2</v>
      </c>
      <c r="G336" s="91">
        <f>IFERROR((Table3[[#This Row],[Calls Ans]]-E329)/E329,0)</f>
        <v>-4.0871934604904632E-2</v>
      </c>
      <c r="H336" s="56">
        <f>Table3[[#This Row],[Calls Off]]</f>
        <v>415</v>
      </c>
      <c r="I336" s="56">
        <f>Table3[[#This Row],[Calls Ans]]</f>
        <v>352</v>
      </c>
      <c r="J336" s="56">
        <f>J335+Table3[[#This Row],[Calls Off]]</f>
        <v>142400</v>
      </c>
      <c r="K336" s="56">
        <f>K335+Table3[[#This Row],[Calls Ans]]</f>
        <v>113529</v>
      </c>
      <c r="L336" s="125">
        <v>0.63</v>
      </c>
      <c r="M336" s="125">
        <v>0.15</v>
      </c>
      <c r="N336" s="125">
        <v>0.85</v>
      </c>
      <c r="O336" s="125">
        <v>0.49</v>
      </c>
      <c r="P336" s="126">
        <v>0.98</v>
      </c>
      <c r="Q336" s="267">
        <v>1.7708333333333332E-3</v>
      </c>
      <c r="R336" s="222">
        <v>5.8333333333333327E-2</v>
      </c>
      <c r="S336" s="223">
        <v>5</v>
      </c>
      <c r="U336"/>
      <c r="V336"/>
      <c r="W336"/>
    </row>
    <row r="337" spans="1:23" x14ac:dyDescent="0.35">
      <c r="A337" s="35">
        <v>44987</v>
      </c>
      <c r="B337" s="38" t="s">
        <v>52</v>
      </c>
      <c r="C337" s="70" t="s">
        <v>60</v>
      </c>
      <c r="D337" s="1">
        <v>442</v>
      </c>
      <c r="E337" s="1">
        <v>416</v>
      </c>
      <c r="F337" s="72">
        <f>IFERROR((Table3[[#This Row],[Calls Off]]-D330)/D330,0)</f>
        <v>8.0684596577017112E-2</v>
      </c>
      <c r="G337" s="72">
        <f>IFERROR((Table3[[#This Row],[Calls Ans]]-E330)/E330,0)</f>
        <v>8.3333333333333329E-2</v>
      </c>
      <c r="H337" s="1">
        <f>Table3[[#This Row],[Calls Off]]+H336</f>
        <v>857</v>
      </c>
      <c r="I337" s="1">
        <f>Table3[[#This Row],[Calls Ans]]+I336</f>
        <v>768</v>
      </c>
      <c r="J337" s="1">
        <f>J336+Table3[[#This Row],[Calls Off]]</f>
        <v>142842</v>
      </c>
      <c r="K337" s="1">
        <f>K336+Table3[[#This Row],[Calls Ans]]</f>
        <v>113945</v>
      </c>
      <c r="L337" s="76">
        <v>0.84</v>
      </c>
      <c r="M337" s="76">
        <v>0.05</v>
      </c>
      <c r="N337" s="76">
        <v>0.95</v>
      </c>
      <c r="O337" s="76">
        <v>0.48</v>
      </c>
      <c r="P337" s="108">
        <v>0.97</v>
      </c>
      <c r="Q337" s="266">
        <v>1.7361111111111112E-3</v>
      </c>
      <c r="R337" s="210">
        <v>2.9166666666666664E-2</v>
      </c>
      <c r="S337" s="149">
        <v>6</v>
      </c>
    </row>
    <row r="338" spans="1:23" x14ac:dyDescent="0.35">
      <c r="A338" s="35">
        <v>44988</v>
      </c>
      <c r="B338" s="38" t="s">
        <v>53</v>
      </c>
      <c r="C338" s="70" t="s">
        <v>60</v>
      </c>
      <c r="D338" s="1">
        <v>311</v>
      </c>
      <c r="E338" s="1">
        <v>297</v>
      </c>
      <c r="F338" s="72">
        <f>IFERROR((Table3[[#This Row],[Calls Off]]-D331)/D331,0)</f>
        <v>-0.14794520547945206</v>
      </c>
      <c r="G338" s="72">
        <f>IFERROR((Table3[[#This Row],[Calls Ans]]-E331)/E331,0)</f>
        <v>-0.13662790697674418</v>
      </c>
      <c r="H338" s="1">
        <f>Table3[[#This Row],[Calls Off]]+H337</f>
        <v>1168</v>
      </c>
      <c r="I338" s="1">
        <f>Table3[[#This Row],[Calls Ans]]+I337</f>
        <v>1065</v>
      </c>
      <c r="J338" s="1">
        <f>J337+Table3[[#This Row],[Calls Off]]</f>
        <v>143153</v>
      </c>
      <c r="K338" s="1">
        <f>K337+Table3[[#This Row],[Calls Ans]]</f>
        <v>114242</v>
      </c>
      <c r="L338" s="76">
        <v>0.9</v>
      </c>
      <c r="M338" s="76">
        <v>0.04</v>
      </c>
      <c r="N338" s="76">
        <v>0.96</v>
      </c>
      <c r="O338" s="76">
        <v>0.51</v>
      </c>
      <c r="P338" s="108">
        <v>0.96</v>
      </c>
      <c r="Q338" s="266">
        <v>1.8865740740740742E-3</v>
      </c>
      <c r="R338" s="210">
        <v>2.013888888888889E-2</v>
      </c>
      <c r="S338" s="149">
        <v>5</v>
      </c>
    </row>
    <row r="339" spans="1:23" x14ac:dyDescent="0.35">
      <c r="A339" s="35">
        <v>44989</v>
      </c>
      <c r="B339" s="38" t="s">
        <v>54</v>
      </c>
      <c r="C339" s="70" t="s">
        <v>60</v>
      </c>
      <c r="D339" s="1">
        <v>230</v>
      </c>
      <c r="E339" s="1">
        <v>219</v>
      </c>
      <c r="F339" s="72">
        <f>IFERROR((Table3[[#This Row],[Calls Off]]-D332)/D332,0)</f>
        <v>5.9907834101382486E-2</v>
      </c>
      <c r="G339" s="72">
        <f>IFERROR((Table3[[#This Row],[Calls Ans]]-E332)/E332,0)</f>
        <v>0.15873015873015872</v>
      </c>
      <c r="H339" s="1">
        <f>Table3[[#This Row],[Calls Off]]+H338</f>
        <v>1398</v>
      </c>
      <c r="I339" s="1">
        <f>Table3[[#This Row],[Calls Ans]]+I338</f>
        <v>1284</v>
      </c>
      <c r="J339" s="1">
        <f>J338+Table3[[#This Row],[Calls Off]]</f>
        <v>143383</v>
      </c>
      <c r="K339" s="1">
        <f>K338+Table3[[#This Row],[Calls Ans]]</f>
        <v>114461</v>
      </c>
      <c r="L339" s="76">
        <v>0.89</v>
      </c>
      <c r="M339" s="76">
        <v>0.04</v>
      </c>
      <c r="N339" s="76">
        <v>0.96</v>
      </c>
      <c r="O339" s="76">
        <v>0.47</v>
      </c>
      <c r="P339" s="108">
        <v>0.97</v>
      </c>
      <c r="Q339" s="266">
        <v>1.4814814814814816E-3</v>
      </c>
      <c r="R339" s="210">
        <v>3.6111111111111115E-2</v>
      </c>
      <c r="S339" s="149">
        <v>3</v>
      </c>
    </row>
    <row r="340" spans="1:23" x14ac:dyDescent="0.35">
      <c r="A340" s="35">
        <v>44990</v>
      </c>
      <c r="B340" s="38" t="s">
        <v>48</v>
      </c>
      <c r="C340" s="70" t="s">
        <v>60</v>
      </c>
      <c r="D340" s="1">
        <v>0</v>
      </c>
      <c r="E340" s="1">
        <v>0</v>
      </c>
      <c r="F340" s="72">
        <f>IFERROR((Table3[[#This Row],[Calls Off]]-D333)/D333,0)</f>
        <v>0</v>
      </c>
      <c r="G340" s="72">
        <f>IFERROR((Table3[[#This Row],[Calls Ans]]-E333)/E333,0)</f>
        <v>0</v>
      </c>
      <c r="H340" s="1">
        <v>0</v>
      </c>
      <c r="I340" s="1">
        <v>0</v>
      </c>
      <c r="J340" s="1">
        <v>0</v>
      </c>
      <c r="K340" s="1">
        <v>0</v>
      </c>
      <c r="L340" s="76">
        <v>0</v>
      </c>
      <c r="M340" s="76">
        <v>0</v>
      </c>
      <c r="N340" s="76">
        <v>0</v>
      </c>
      <c r="O340" s="76">
        <v>0</v>
      </c>
      <c r="P340" s="108">
        <v>0</v>
      </c>
      <c r="Q340" s="266">
        <v>0</v>
      </c>
      <c r="R340" s="210">
        <v>0</v>
      </c>
      <c r="S340" s="149">
        <v>0</v>
      </c>
    </row>
    <row r="341" spans="1:23" x14ac:dyDescent="0.35">
      <c r="A341" s="35">
        <v>44991</v>
      </c>
      <c r="B341" s="38" t="s">
        <v>49</v>
      </c>
      <c r="C341" s="70" t="s">
        <v>60</v>
      </c>
      <c r="D341" s="1">
        <v>439</v>
      </c>
      <c r="E341" s="1">
        <v>401</v>
      </c>
      <c r="F341" s="72">
        <f>IFERROR((Table3[[#This Row],[Calls Off]]-D334)/D334,0)</f>
        <v>-1.3483146067415731E-2</v>
      </c>
      <c r="G341" s="72">
        <f>IFERROR((Table3[[#This Row],[Calls Ans]]-E334)/E334,0)</f>
        <v>-3.140096618357488E-2</v>
      </c>
      <c r="H341" s="1">
        <f>Table3[[#This Row],[Calls Off]]+H339</f>
        <v>1837</v>
      </c>
      <c r="I341" s="1">
        <f>Table3[[#This Row],[Calls Ans]]+I339</f>
        <v>1685</v>
      </c>
      <c r="J341" s="1">
        <f>J339+Table3[[#This Row],[Calls Off]]</f>
        <v>143822</v>
      </c>
      <c r="K341" s="1">
        <f>K339+Table3[[#This Row],[Calls Ans]]</f>
        <v>114862</v>
      </c>
      <c r="L341" s="76">
        <v>0.75</v>
      </c>
      <c r="M341" s="76">
        <v>0.09</v>
      </c>
      <c r="N341" s="76">
        <v>0.91</v>
      </c>
      <c r="O341" s="76">
        <v>0.53</v>
      </c>
      <c r="P341" s="108">
        <v>0.98</v>
      </c>
      <c r="Q341" s="266">
        <v>2.0949074074074073E-3</v>
      </c>
      <c r="R341" s="210">
        <v>3.7499999999999999E-2</v>
      </c>
      <c r="S341" s="149">
        <v>6</v>
      </c>
      <c r="U341" s="54"/>
      <c r="V341" s="54"/>
      <c r="W341" s="54"/>
    </row>
    <row r="342" spans="1:23" x14ac:dyDescent="0.35">
      <c r="A342" s="35">
        <v>44992</v>
      </c>
      <c r="B342" s="38" t="s">
        <v>50</v>
      </c>
      <c r="C342" s="70" t="s">
        <v>60</v>
      </c>
      <c r="D342" s="1">
        <v>402</v>
      </c>
      <c r="E342" s="1">
        <v>380</v>
      </c>
      <c r="F342" s="72">
        <f>IFERROR((Table3[[#This Row],[Calls Off]]-D335)/D335,0)</f>
        <v>-9.8654708520179366E-2</v>
      </c>
      <c r="G342" s="72">
        <f>IFERROR((Table3[[#This Row],[Calls Ans]]-E335)/E335,0)</f>
        <v>-2.8132992327365727E-2</v>
      </c>
      <c r="H342" s="1">
        <f>Table3[[#This Row],[Calls Off]]+H341</f>
        <v>2239</v>
      </c>
      <c r="I342" s="1">
        <f>Table3[[#This Row],[Calls Ans]]+I341</f>
        <v>2065</v>
      </c>
      <c r="J342" s="1">
        <f>J341+Table3[[#This Row],[Calls Off]]</f>
        <v>144224</v>
      </c>
      <c r="K342" s="1">
        <f>K341+Table3[[#This Row],[Calls Ans]]</f>
        <v>115242</v>
      </c>
      <c r="L342" s="76">
        <v>0.89</v>
      </c>
      <c r="M342" s="76">
        <v>0.05</v>
      </c>
      <c r="N342" s="76">
        <v>0.95</v>
      </c>
      <c r="O342" s="76">
        <v>0.44</v>
      </c>
      <c r="P342" s="108">
        <v>0.97</v>
      </c>
      <c r="Q342" s="266">
        <v>2.0486111111111113E-3</v>
      </c>
      <c r="R342" s="210">
        <v>2.6388888888888889E-2</v>
      </c>
      <c r="S342" s="149">
        <v>6</v>
      </c>
    </row>
    <row r="343" spans="1:23" x14ac:dyDescent="0.35">
      <c r="A343" s="35">
        <v>44993</v>
      </c>
      <c r="B343" s="38" t="s">
        <v>51</v>
      </c>
      <c r="C343" s="70" t="s">
        <v>60</v>
      </c>
      <c r="D343" s="1">
        <v>343</v>
      </c>
      <c r="E343" s="1">
        <v>335</v>
      </c>
      <c r="F343" s="72">
        <f>IFERROR((Table3[[#This Row],[Calls Off]]-D336)/D336,0)</f>
        <v>-0.17349397590361446</v>
      </c>
      <c r="G343" s="72">
        <f>IFERROR((Table3[[#This Row],[Calls Ans]]-E336)/E336,0)</f>
        <v>-4.8295454545454544E-2</v>
      </c>
      <c r="H343" s="1">
        <f>Table3[[#This Row],[Calls Off]]+H342</f>
        <v>2582</v>
      </c>
      <c r="I343" s="1">
        <f>Table3[[#This Row],[Calls Ans]]+I342</f>
        <v>2400</v>
      </c>
      <c r="J343" s="1">
        <f>J342+Table3[[#This Row],[Calls Off]]</f>
        <v>144567</v>
      </c>
      <c r="K343" s="1">
        <f>K342+Table3[[#This Row],[Calls Ans]]</f>
        <v>115577</v>
      </c>
      <c r="L343" s="76">
        <v>0.9</v>
      </c>
      <c r="M343" s="76">
        <v>0.02</v>
      </c>
      <c r="N343" s="76">
        <v>0.98</v>
      </c>
      <c r="O343" s="76">
        <v>0.46</v>
      </c>
      <c r="P343" s="108">
        <v>0.46</v>
      </c>
      <c r="Q343" s="266">
        <v>1.8750000000000001E-3</v>
      </c>
      <c r="R343" s="210">
        <v>1.7361111111111112E-2</v>
      </c>
      <c r="S343" s="149">
        <v>5</v>
      </c>
    </row>
    <row r="344" spans="1:23" x14ac:dyDescent="0.35">
      <c r="A344" s="35">
        <v>44994</v>
      </c>
      <c r="B344" s="38" t="s">
        <v>52</v>
      </c>
      <c r="C344" s="70" t="s">
        <v>60</v>
      </c>
      <c r="D344" s="1">
        <v>334</v>
      </c>
      <c r="E344" s="1">
        <v>321</v>
      </c>
      <c r="F344" s="72">
        <f>IFERROR((Table3[[#This Row],[Calls Off]]-D337)/D337,0)</f>
        <v>-0.24434389140271492</v>
      </c>
      <c r="G344" s="72">
        <f>IFERROR((Table3[[#This Row],[Calls Ans]]-E337)/E337,0)</f>
        <v>-0.22836538461538461</v>
      </c>
      <c r="H344" s="1">
        <f>Table3[[#This Row],[Calls Off]]+H343</f>
        <v>2916</v>
      </c>
      <c r="I344" s="1">
        <f>Table3[[#This Row],[Calls Ans]]+I343</f>
        <v>2721</v>
      </c>
      <c r="J344" s="1">
        <f>J343+Table3[[#This Row],[Calls Off]]</f>
        <v>144901</v>
      </c>
      <c r="K344" s="1">
        <f>K343+Table3[[#This Row],[Calls Ans]]</f>
        <v>115898</v>
      </c>
      <c r="L344" s="76">
        <v>0.91</v>
      </c>
      <c r="M344" s="76">
        <v>0.04</v>
      </c>
      <c r="N344" s="76">
        <v>0.96</v>
      </c>
      <c r="O344" s="76">
        <v>0.37</v>
      </c>
      <c r="P344" s="108">
        <v>0.97</v>
      </c>
      <c r="Q344" s="266">
        <v>1.7824074074074072E-3</v>
      </c>
      <c r="R344" s="210">
        <v>4.5138888888888888E-2</v>
      </c>
      <c r="S344" s="149">
        <v>6</v>
      </c>
    </row>
    <row r="345" spans="1:23" x14ac:dyDescent="0.35">
      <c r="A345" s="35">
        <v>44995</v>
      </c>
      <c r="B345" s="38" t="s">
        <v>53</v>
      </c>
      <c r="C345" s="70" t="s">
        <v>60</v>
      </c>
      <c r="D345" s="1">
        <v>395</v>
      </c>
      <c r="E345" s="1">
        <v>380</v>
      </c>
      <c r="F345" s="72">
        <f>IFERROR((Table3[[#This Row],[Calls Off]]-D338)/D338,0)</f>
        <v>0.27009646302250806</v>
      </c>
      <c r="G345" s="72">
        <f>IFERROR((Table3[[#This Row],[Calls Ans]]-E338)/E338,0)</f>
        <v>0.27946127946127947</v>
      </c>
      <c r="H345" s="1">
        <f>Table3[[#This Row],[Calls Off]]+H344</f>
        <v>3311</v>
      </c>
      <c r="I345" s="1">
        <f>Table3[[#This Row],[Calls Ans]]+I344</f>
        <v>3101</v>
      </c>
      <c r="J345" s="1">
        <f>J344+Table3[[#This Row],[Calls Off]]</f>
        <v>145296</v>
      </c>
      <c r="K345" s="1">
        <f>K344+Table3[[#This Row],[Calls Ans]]</f>
        <v>116278</v>
      </c>
      <c r="L345" s="76">
        <v>0.9</v>
      </c>
      <c r="M345" s="76">
        <v>0.04</v>
      </c>
      <c r="N345" s="76">
        <v>0.96</v>
      </c>
      <c r="O345" s="76">
        <v>0.44</v>
      </c>
      <c r="P345" s="108">
        <v>0.97</v>
      </c>
      <c r="Q345" s="266">
        <v>1.7476851851851852E-3</v>
      </c>
      <c r="R345" s="210">
        <v>1.6666666666666666E-2</v>
      </c>
      <c r="S345" s="149">
        <v>6</v>
      </c>
    </row>
    <row r="346" spans="1:23" x14ac:dyDescent="0.35">
      <c r="A346" s="35">
        <v>44996</v>
      </c>
      <c r="B346" s="38" t="s">
        <v>54</v>
      </c>
      <c r="C346" s="70" t="s">
        <v>60</v>
      </c>
      <c r="D346" s="1">
        <v>175</v>
      </c>
      <c r="E346" s="1">
        <v>166</v>
      </c>
      <c r="F346" s="72">
        <f>IFERROR((Table3[[#This Row],[Calls Off]]-D339)/D339,0)</f>
        <v>-0.2391304347826087</v>
      </c>
      <c r="G346" s="72">
        <f>IFERROR((Table3[[#This Row],[Calls Ans]]-E339)/E339,0)</f>
        <v>-0.24200913242009131</v>
      </c>
      <c r="H346" s="1">
        <f>Table3[[#This Row],[Calls Off]]+H344</f>
        <v>3091</v>
      </c>
      <c r="I346" s="1">
        <f>Table3[[#This Row],[Calls Ans]]+I344</f>
        <v>2887</v>
      </c>
      <c r="J346" s="1">
        <f>J344+Table3[[#This Row],[Calls Off]]</f>
        <v>145076</v>
      </c>
      <c r="K346" s="1">
        <f>K344+Table3[[#This Row],[Calls Ans]]</f>
        <v>116064</v>
      </c>
      <c r="L346" s="76">
        <v>0.87</v>
      </c>
      <c r="M346" s="76">
        <v>0.05</v>
      </c>
      <c r="N346" s="76">
        <v>0.95</v>
      </c>
      <c r="O346" s="76">
        <v>0.5</v>
      </c>
      <c r="P346" s="108">
        <v>0.96</v>
      </c>
      <c r="Q346" s="266">
        <v>1.9212962962962962E-3</v>
      </c>
      <c r="R346" s="210">
        <v>3.4722222222222224E-2</v>
      </c>
      <c r="S346" s="149">
        <v>3</v>
      </c>
    </row>
    <row r="347" spans="1:23" x14ac:dyDescent="0.35">
      <c r="A347" s="35">
        <v>44997</v>
      </c>
      <c r="B347" s="38" t="s">
        <v>48</v>
      </c>
      <c r="C347" s="70" t="s">
        <v>60</v>
      </c>
      <c r="D347" s="1">
        <v>0</v>
      </c>
      <c r="E347" s="1">
        <v>0</v>
      </c>
      <c r="F347" s="72">
        <v>0</v>
      </c>
      <c r="G347" s="72">
        <v>0</v>
      </c>
      <c r="H347" s="1">
        <v>0</v>
      </c>
      <c r="I347" s="1">
        <v>0</v>
      </c>
      <c r="J347" s="1">
        <v>0</v>
      </c>
      <c r="K347" s="1">
        <v>0</v>
      </c>
      <c r="L347" s="76">
        <v>0</v>
      </c>
      <c r="M347" s="76">
        <v>0</v>
      </c>
      <c r="N347" s="76">
        <v>0</v>
      </c>
      <c r="O347" s="76">
        <v>0</v>
      </c>
      <c r="P347" s="108">
        <v>0</v>
      </c>
      <c r="Q347" s="266">
        <v>0</v>
      </c>
      <c r="R347" s="210">
        <v>0</v>
      </c>
      <c r="S347" s="149">
        <v>0</v>
      </c>
    </row>
    <row r="348" spans="1:23" x14ac:dyDescent="0.35">
      <c r="A348" s="35">
        <v>44998</v>
      </c>
      <c r="B348" s="38" t="s">
        <v>49</v>
      </c>
      <c r="C348" s="70" t="s">
        <v>60</v>
      </c>
      <c r="D348" s="1">
        <v>434</v>
      </c>
      <c r="E348" s="1">
        <v>382</v>
      </c>
      <c r="F348" s="72">
        <f>IFERROR((Table3[[#This Row],[Calls Off]]-D341)/D341,0)</f>
        <v>-1.1389521640091117E-2</v>
      </c>
      <c r="G348" s="72">
        <f>IFERROR((Table3[[#This Row],[Calls Ans]]-E341)/E341,0)</f>
        <v>-4.738154613466334E-2</v>
      </c>
      <c r="H348" s="1">
        <f>Table3[[#This Row],[Calls Off]]+H346</f>
        <v>3525</v>
      </c>
      <c r="I348" s="1">
        <f>Table3[[#This Row],[Calls Ans]]+I346</f>
        <v>3269</v>
      </c>
      <c r="J348" s="1">
        <f>J346+Table3[[#This Row],[Calls Off]]</f>
        <v>145510</v>
      </c>
      <c r="K348" s="1">
        <f>K346+Table3[[#This Row],[Calls Ans]]</f>
        <v>116446</v>
      </c>
      <c r="L348" s="76">
        <v>0.66</v>
      </c>
      <c r="M348" s="76">
        <v>0.12</v>
      </c>
      <c r="N348" s="76">
        <v>0.88</v>
      </c>
      <c r="O348" s="76">
        <v>0.57999999999999996</v>
      </c>
      <c r="P348" s="108">
        <v>0.96</v>
      </c>
      <c r="Q348" s="266">
        <v>2.0138888888888888E-3</v>
      </c>
      <c r="R348" s="210">
        <v>7.8472222222222221E-2</v>
      </c>
      <c r="S348" s="149">
        <v>6</v>
      </c>
    </row>
    <row r="349" spans="1:23" x14ac:dyDescent="0.35">
      <c r="A349" s="35">
        <v>44999</v>
      </c>
      <c r="B349" s="38" t="s">
        <v>50</v>
      </c>
      <c r="C349" s="70" t="s">
        <v>60</v>
      </c>
      <c r="D349" s="1">
        <v>415</v>
      </c>
      <c r="E349" s="1">
        <v>353</v>
      </c>
      <c r="F349" s="72">
        <f>IFERROR((Table3[[#This Row],[Calls Off]]-D342)/D342,0)</f>
        <v>3.2338308457711441E-2</v>
      </c>
      <c r="G349" s="72">
        <f>IFERROR((Table3[[#This Row],[Calls Ans]]-E342)/E342,0)</f>
        <v>-7.1052631578947367E-2</v>
      </c>
      <c r="H349" s="1">
        <f>Table3[[#This Row],[Calls Off]]+H348</f>
        <v>3940</v>
      </c>
      <c r="I349" s="1">
        <f>Table3[[#This Row],[Calls Ans]]+I348</f>
        <v>3622</v>
      </c>
      <c r="J349" s="1">
        <f>J348+Table3[[#This Row],[Calls Off]]</f>
        <v>145925</v>
      </c>
      <c r="K349" s="1">
        <f>K348+Table3[[#This Row],[Calls Ans]]</f>
        <v>116799</v>
      </c>
      <c r="L349" s="76">
        <v>0.6</v>
      </c>
      <c r="M349" s="76">
        <v>0.15</v>
      </c>
      <c r="N349" s="76">
        <v>0.85</v>
      </c>
      <c r="O349" s="76">
        <v>0.61</v>
      </c>
      <c r="P349" s="108">
        <v>0.97</v>
      </c>
      <c r="Q349" s="266">
        <v>2.0254629629629629E-3</v>
      </c>
      <c r="R349" s="210">
        <v>9.7916666666666666E-2</v>
      </c>
      <c r="S349" s="149">
        <v>4</v>
      </c>
    </row>
    <row r="350" spans="1:23" x14ac:dyDescent="0.35">
      <c r="A350" s="35">
        <v>45000</v>
      </c>
      <c r="B350" s="38" t="s">
        <v>51</v>
      </c>
      <c r="C350" s="70" t="s">
        <v>60</v>
      </c>
      <c r="D350" s="1">
        <v>438</v>
      </c>
      <c r="E350" s="1">
        <v>406</v>
      </c>
      <c r="F350" s="72">
        <f>IFERROR((Table3[[#This Row],[Calls Off]]-D343)/D343,0)</f>
        <v>0.27696793002915454</v>
      </c>
      <c r="G350" s="72">
        <f>IFERROR((Table3[[#This Row],[Calls Ans]]-E343)/E343,0)</f>
        <v>0.21194029850746268</v>
      </c>
      <c r="H350" s="1">
        <f>Table3[[#This Row],[Calls Off]]+H349</f>
        <v>4378</v>
      </c>
      <c r="I350" s="1">
        <f>Table3[[#This Row],[Calls Ans]]+I349</f>
        <v>4028</v>
      </c>
      <c r="J350" s="1">
        <f>J349+Table3[[#This Row],[Calls Off]]</f>
        <v>146363</v>
      </c>
      <c r="K350" s="1">
        <f>K349+Table3[[#This Row],[Calls Ans]]</f>
        <v>117205</v>
      </c>
      <c r="L350" s="76">
        <v>0.77</v>
      </c>
      <c r="M350" s="76">
        <v>7.0000000000000007E-2</v>
      </c>
      <c r="N350" s="76">
        <v>0.93</v>
      </c>
      <c r="O350" s="76">
        <v>0.7</v>
      </c>
      <c r="P350" s="108">
        <v>0.97</v>
      </c>
      <c r="Q350" s="266">
        <v>1.7939814814814817E-3</v>
      </c>
      <c r="R350" s="210">
        <v>4.9305555555555554E-2</v>
      </c>
      <c r="S350" s="149">
        <v>4</v>
      </c>
    </row>
    <row r="351" spans="1:23" x14ac:dyDescent="0.35">
      <c r="A351" s="35">
        <v>45001</v>
      </c>
      <c r="B351" s="38" t="s">
        <v>52</v>
      </c>
      <c r="C351" s="70" t="s">
        <v>60</v>
      </c>
      <c r="D351" s="1">
        <v>424</v>
      </c>
      <c r="E351" s="1">
        <v>405</v>
      </c>
      <c r="F351" s="72">
        <f>IFERROR((Table3[[#This Row],[Calls Off]]-D344)/D344,0)</f>
        <v>0.26946107784431139</v>
      </c>
      <c r="G351" s="72">
        <f>IFERROR((Table3[[#This Row],[Calls Ans]]-E344)/E344,0)</f>
        <v>0.26168224299065418</v>
      </c>
      <c r="H351" s="1">
        <f>Table3[[#This Row],[Calls Off]]+H350</f>
        <v>4802</v>
      </c>
      <c r="I351" s="1">
        <f>Table3[[#This Row],[Calls Ans]]+I350</f>
        <v>4433</v>
      </c>
      <c r="J351" s="1">
        <f>J350+Table3[[#This Row],[Calls Off]]</f>
        <v>146787</v>
      </c>
      <c r="K351" s="1">
        <f>K350+Table3[[#This Row],[Calls Ans]]</f>
        <v>117610</v>
      </c>
      <c r="L351" s="76">
        <v>0.89</v>
      </c>
      <c r="M351" s="76">
        <v>0.04</v>
      </c>
      <c r="N351" s="76">
        <v>0.96</v>
      </c>
      <c r="O351" s="76">
        <v>0.7</v>
      </c>
      <c r="P351" s="108">
        <v>0.96</v>
      </c>
      <c r="Q351" s="266">
        <v>1.4583333333333334E-3</v>
      </c>
      <c r="R351" s="210">
        <v>1.8749999999999999E-2</v>
      </c>
      <c r="S351" s="149">
        <v>4</v>
      </c>
    </row>
    <row r="352" spans="1:23" x14ac:dyDescent="0.35">
      <c r="A352" s="35">
        <v>45002</v>
      </c>
      <c r="B352" s="38" t="s">
        <v>53</v>
      </c>
      <c r="C352" s="70" t="s">
        <v>60</v>
      </c>
      <c r="D352" s="1">
        <v>400</v>
      </c>
      <c r="E352" s="1">
        <v>381</v>
      </c>
      <c r="F352" s="72">
        <f>IFERROR((Table3[[#This Row],[Calls Off]]-D345)/D345,0)</f>
        <v>1.2658227848101266E-2</v>
      </c>
      <c r="G352" s="72">
        <f>IFERROR((Table3[[#This Row],[Calls Ans]]-E345)/E345,0)</f>
        <v>2.631578947368421E-3</v>
      </c>
      <c r="H352" s="1">
        <f>Table3[[#This Row],[Calls Off]]+H351</f>
        <v>5202</v>
      </c>
      <c r="I352" s="1">
        <f>Table3[[#This Row],[Calls Ans]]+I351</f>
        <v>4814</v>
      </c>
      <c r="J352" s="1">
        <f>J351+Table3[[#This Row],[Calls Off]]</f>
        <v>147187</v>
      </c>
      <c r="K352" s="1">
        <f>K351+Table3[[#This Row],[Calls Ans]]</f>
        <v>117991</v>
      </c>
      <c r="L352" s="76">
        <v>0.85</v>
      </c>
      <c r="M352" s="76">
        <v>0.05</v>
      </c>
      <c r="N352" s="76">
        <v>0.95</v>
      </c>
      <c r="O352" s="76">
        <v>0.69</v>
      </c>
      <c r="P352" s="108">
        <v>0.96</v>
      </c>
      <c r="Q352" s="266">
        <v>1.8634259259259259E-3</v>
      </c>
      <c r="R352" s="210">
        <v>2.6388888888888889E-2</v>
      </c>
      <c r="S352" s="149">
        <v>5</v>
      </c>
    </row>
    <row r="353" spans="1:19" x14ac:dyDescent="0.35">
      <c r="A353" s="35">
        <v>45003</v>
      </c>
      <c r="B353" s="38" t="s">
        <v>54</v>
      </c>
      <c r="C353" s="70" t="s">
        <v>60</v>
      </c>
      <c r="D353" s="1">
        <v>255</v>
      </c>
      <c r="E353" s="1">
        <v>231</v>
      </c>
      <c r="F353" s="72">
        <f>IFERROR((Table3[[#This Row],[Calls Off]]-D346)/D346,0)</f>
        <v>0.45714285714285713</v>
      </c>
      <c r="G353" s="72">
        <f>IFERROR((Table3[[#This Row],[Calls Ans]]-E346)/E346,0)</f>
        <v>0.39156626506024095</v>
      </c>
      <c r="H353" s="1">
        <f>Table3[[#This Row],[Calls Off]]+H351</f>
        <v>5057</v>
      </c>
      <c r="I353" s="1">
        <f>Table3[[#This Row],[Calls Ans]]+I351</f>
        <v>4664</v>
      </c>
      <c r="J353" s="1">
        <f>J351+Table3[[#This Row],[Calls Off]]</f>
        <v>147042</v>
      </c>
      <c r="K353" s="1">
        <f>K351+Table3[[#This Row],[Calls Ans]]</f>
        <v>117841</v>
      </c>
      <c r="L353" s="76">
        <v>0.73</v>
      </c>
      <c r="M353" s="76">
        <v>0.09</v>
      </c>
      <c r="N353" s="76">
        <v>0.91</v>
      </c>
      <c r="O353" s="76">
        <v>0.57999999999999996</v>
      </c>
      <c r="P353" s="108">
        <v>0.96</v>
      </c>
      <c r="Q353" s="266">
        <v>1.6087962962962961E-3</v>
      </c>
      <c r="R353" s="210">
        <v>9.4444444444444442E-2</v>
      </c>
      <c r="S353" s="149">
        <v>4</v>
      </c>
    </row>
    <row r="354" spans="1:19" x14ac:dyDescent="0.35">
      <c r="A354" s="35">
        <v>45004</v>
      </c>
      <c r="B354" s="38" t="s">
        <v>48</v>
      </c>
      <c r="C354" s="70" t="s">
        <v>60</v>
      </c>
      <c r="D354" s="1">
        <v>0</v>
      </c>
      <c r="E354" s="1">
        <v>0</v>
      </c>
      <c r="F354" s="72">
        <v>0</v>
      </c>
      <c r="G354" s="72">
        <v>0</v>
      </c>
      <c r="H354" s="1">
        <v>0</v>
      </c>
      <c r="I354" s="1">
        <v>0</v>
      </c>
      <c r="J354" s="1">
        <v>0</v>
      </c>
      <c r="K354" s="1">
        <v>0</v>
      </c>
      <c r="L354" s="76">
        <v>0</v>
      </c>
      <c r="M354" s="76">
        <v>0</v>
      </c>
      <c r="N354" s="76">
        <v>0</v>
      </c>
      <c r="O354" s="76">
        <v>0</v>
      </c>
      <c r="P354" s="108">
        <v>0</v>
      </c>
      <c r="Q354" s="266">
        <v>0</v>
      </c>
      <c r="R354" s="210">
        <v>0</v>
      </c>
      <c r="S354" s="149">
        <v>0</v>
      </c>
    </row>
    <row r="355" spans="1:19" x14ac:dyDescent="0.35">
      <c r="A355" s="35">
        <v>45005</v>
      </c>
      <c r="B355" s="38" t="s">
        <v>49</v>
      </c>
      <c r="C355" s="70" t="s">
        <v>60</v>
      </c>
      <c r="D355" s="1">
        <v>374</v>
      </c>
      <c r="E355" s="1">
        <v>310</v>
      </c>
      <c r="F355" s="72">
        <f>IFERROR((Table3[[#This Row],[Calls Off]]-D348)/D348,0)</f>
        <v>-0.13824884792626729</v>
      </c>
      <c r="G355" s="72">
        <f>IFERROR((Table3[[#This Row],[Calls Ans]]-E348)/E348,0)</f>
        <v>-0.18848167539267016</v>
      </c>
      <c r="H355" s="1">
        <f>Table3[[#This Row],[Calls Off]]+H353</f>
        <v>5431</v>
      </c>
      <c r="I355" s="1">
        <f>Table3[[#This Row],[Calls Ans]]+I353</f>
        <v>4974</v>
      </c>
      <c r="J355" s="1">
        <f>J353+Table3[[#This Row],[Calls Off]]</f>
        <v>147416</v>
      </c>
      <c r="K355" s="1">
        <f>K353+Table3[[#This Row],[Calls Ans]]</f>
        <v>118151</v>
      </c>
      <c r="L355" s="76">
        <v>0.66</v>
      </c>
      <c r="M355" s="76">
        <v>0.17</v>
      </c>
      <c r="N355" s="76">
        <v>0.83</v>
      </c>
      <c r="O355" s="76">
        <v>0.43</v>
      </c>
      <c r="P355" s="108">
        <v>0.98</v>
      </c>
      <c r="Q355" s="266">
        <v>2.0370370370370373E-3</v>
      </c>
      <c r="R355" s="210">
        <v>0.26111111111111113</v>
      </c>
      <c r="S355" s="149">
        <v>5</v>
      </c>
    </row>
    <row r="356" spans="1:19" x14ac:dyDescent="0.35">
      <c r="A356" s="35">
        <v>45006</v>
      </c>
      <c r="B356" s="38" t="s">
        <v>50</v>
      </c>
      <c r="C356" s="70" t="s">
        <v>60</v>
      </c>
      <c r="D356" s="1">
        <v>333</v>
      </c>
      <c r="E356" s="1">
        <v>322</v>
      </c>
      <c r="F356" s="72">
        <f>IFERROR((Table3[[#This Row],[Calls Off]]-D349)/D349,0)</f>
        <v>-0.19759036144578312</v>
      </c>
      <c r="G356" s="72">
        <f>IFERROR((Table3[[#This Row],[Calls Ans]]-E349)/E349,0)</f>
        <v>-8.7818696883852687E-2</v>
      </c>
      <c r="H356" s="1">
        <f>Table3[[#This Row],[Calls Off]]+H355</f>
        <v>5764</v>
      </c>
      <c r="I356" s="1">
        <f>Table3[[#This Row],[Calls Ans]]+I355</f>
        <v>5296</v>
      </c>
      <c r="J356" s="1">
        <f>J355+Table3[[#This Row],[Calls Off]]</f>
        <v>147749</v>
      </c>
      <c r="K356" s="1">
        <f>K355+Table3[[#This Row],[Calls Ans]]</f>
        <v>118473</v>
      </c>
      <c r="L356" s="76">
        <v>0.89</v>
      </c>
      <c r="M356" s="76">
        <v>0.03</v>
      </c>
      <c r="N356" s="76">
        <v>0.97</v>
      </c>
      <c r="O356" s="76">
        <v>0.56000000000000005</v>
      </c>
      <c r="P356" s="108">
        <v>0.97</v>
      </c>
      <c r="Q356" s="266">
        <v>1.8750000000000001E-3</v>
      </c>
      <c r="R356" s="210">
        <v>2.2222222222222223E-2</v>
      </c>
      <c r="S356" s="149">
        <v>4</v>
      </c>
    </row>
    <row r="357" spans="1:19" x14ac:dyDescent="0.35">
      <c r="A357" s="35">
        <v>45007</v>
      </c>
      <c r="B357" s="38" t="s">
        <v>51</v>
      </c>
      <c r="C357" s="70" t="s">
        <v>60</v>
      </c>
      <c r="D357" s="1">
        <v>471</v>
      </c>
      <c r="E357" s="1">
        <v>431</v>
      </c>
      <c r="F357" s="72">
        <f>IFERROR((Table3[[#This Row],[Calls Off]]-D350)/D350,0)</f>
        <v>7.5342465753424653E-2</v>
      </c>
      <c r="G357" s="72">
        <f>IFERROR((Table3[[#This Row],[Calls Ans]]-E350)/E350,0)</f>
        <v>6.1576354679802957E-2</v>
      </c>
      <c r="H357" s="1">
        <f>Table3[[#This Row],[Calls Off]]+H356</f>
        <v>6235</v>
      </c>
      <c r="I357" s="1">
        <f>Table3[[#This Row],[Calls Ans]]+I356</f>
        <v>5727</v>
      </c>
      <c r="J357" s="1">
        <f>J356+Table3[[#This Row],[Calls Off]]</f>
        <v>148220</v>
      </c>
      <c r="K357" s="1">
        <f>K356+Table3[[#This Row],[Calls Ans]]</f>
        <v>118904</v>
      </c>
      <c r="L357" s="76">
        <v>0.75</v>
      </c>
      <c r="M357" s="76">
        <v>0.08</v>
      </c>
      <c r="N357" s="76">
        <v>0.92</v>
      </c>
      <c r="O357" s="76">
        <v>0.74</v>
      </c>
      <c r="P357" s="108">
        <v>0.96</v>
      </c>
      <c r="Q357" s="266">
        <v>1.9212962962962962E-3</v>
      </c>
      <c r="R357" s="210">
        <v>5.347222222222222E-2</v>
      </c>
      <c r="S357" s="149">
        <v>4</v>
      </c>
    </row>
    <row r="358" spans="1:19" x14ac:dyDescent="0.35">
      <c r="A358" s="35">
        <v>45008</v>
      </c>
      <c r="B358" s="38" t="s">
        <v>52</v>
      </c>
      <c r="C358" s="70" t="s">
        <v>60</v>
      </c>
      <c r="D358" s="1">
        <v>355</v>
      </c>
      <c r="E358" s="1">
        <v>340</v>
      </c>
      <c r="F358" s="72">
        <f>IFERROR((Table3[[#This Row],[Calls Off]]-D351)/D351,0)</f>
        <v>-0.16273584905660377</v>
      </c>
      <c r="G358" s="72">
        <f>IFERROR((Table3[[#This Row],[Calls Ans]]-E351)/E351,0)</f>
        <v>-0.16049382716049382</v>
      </c>
      <c r="H358" s="1">
        <f>Table3[[#This Row],[Calls Off]]+H357</f>
        <v>6590</v>
      </c>
      <c r="I358" s="1">
        <f>Table3[[#This Row],[Calls Ans]]+I357</f>
        <v>6067</v>
      </c>
      <c r="J358" s="1">
        <f>J357+Table3[[#This Row],[Calls Off]]</f>
        <v>148575</v>
      </c>
      <c r="K358" s="1">
        <f>K357+Table3[[#This Row],[Calls Ans]]</f>
        <v>119244</v>
      </c>
      <c r="L358" s="76">
        <v>0.85</v>
      </c>
      <c r="M358" s="76">
        <v>0.04</v>
      </c>
      <c r="N358" s="76">
        <v>0.96</v>
      </c>
      <c r="O358" s="76">
        <v>0.59</v>
      </c>
      <c r="P358" s="108">
        <v>0.99</v>
      </c>
      <c r="Q358" s="266">
        <v>2.0717592592592593E-3</v>
      </c>
      <c r="R358" s="210">
        <v>2.7777777777777776E-2</v>
      </c>
      <c r="S358" s="149">
        <v>4</v>
      </c>
    </row>
    <row r="359" spans="1:19" x14ac:dyDescent="0.35">
      <c r="A359" s="35">
        <v>45009</v>
      </c>
      <c r="B359" s="38" t="s">
        <v>53</v>
      </c>
      <c r="C359" s="70" t="s">
        <v>60</v>
      </c>
      <c r="D359" s="1">
        <v>328</v>
      </c>
      <c r="E359" s="1">
        <v>313</v>
      </c>
      <c r="F359" s="72">
        <f>IFERROR((Table3[[#This Row],[Calls Off]]-D352)/D352,0)</f>
        <v>-0.18</v>
      </c>
      <c r="G359" s="72">
        <f>IFERROR((Table3[[#This Row],[Calls Ans]]-E352)/E352,0)</f>
        <v>-0.17847769028871391</v>
      </c>
      <c r="H359" s="1">
        <f>Table3[[#This Row],[Calls Off]]+H358</f>
        <v>6918</v>
      </c>
      <c r="I359" s="1">
        <f>Table3[[#This Row],[Calls Ans]]+I358</f>
        <v>6380</v>
      </c>
      <c r="J359" s="1">
        <f>J358+Table3[[#This Row],[Calls Off]]</f>
        <v>148903</v>
      </c>
      <c r="K359" s="1">
        <f>K358+Table3[[#This Row],[Calls Ans]]</f>
        <v>119557</v>
      </c>
      <c r="L359" s="76">
        <v>0.92</v>
      </c>
      <c r="M359" s="76">
        <v>0.04</v>
      </c>
      <c r="N359" s="76">
        <v>0.96</v>
      </c>
      <c r="O359" s="76">
        <v>0.43</v>
      </c>
      <c r="P359" s="108">
        <v>0.95</v>
      </c>
      <c r="Q359" s="266">
        <v>2.0486111111111113E-3</v>
      </c>
      <c r="R359" s="210">
        <v>5.8333333333333327E-2</v>
      </c>
      <c r="S359" s="149">
        <v>5</v>
      </c>
    </row>
    <row r="360" spans="1:19" x14ac:dyDescent="0.35">
      <c r="A360" s="35">
        <v>45010</v>
      </c>
      <c r="B360" s="38" t="s">
        <v>54</v>
      </c>
      <c r="C360" s="70" t="s">
        <v>60</v>
      </c>
      <c r="D360" s="1">
        <v>297</v>
      </c>
      <c r="E360" s="1">
        <v>247</v>
      </c>
      <c r="F360" s="72">
        <f>IFERROR((Table3[[#This Row],[Calls Off]]-D353)/D353,0)</f>
        <v>0.16470588235294117</v>
      </c>
      <c r="G360" s="72">
        <f>IFERROR((Table3[[#This Row],[Calls Ans]]-E353)/E353,0)</f>
        <v>6.9264069264069264E-2</v>
      </c>
      <c r="H360" s="1">
        <f>Table3[[#This Row],[Calls Off]]+H358</f>
        <v>6887</v>
      </c>
      <c r="I360" s="1">
        <f>Table3[[#This Row],[Calls Ans]]+I358</f>
        <v>6314</v>
      </c>
      <c r="J360" s="1">
        <f>J358+Table3[[#This Row],[Calls Off]]</f>
        <v>148872</v>
      </c>
      <c r="K360" s="1">
        <f>K358+Table3[[#This Row],[Calls Ans]]</f>
        <v>119491</v>
      </c>
      <c r="L360" s="76">
        <v>0.56000000000000005</v>
      </c>
      <c r="M360" s="76">
        <v>0.17</v>
      </c>
      <c r="N360" s="76">
        <v>0.83</v>
      </c>
      <c r="O360" s="76">
        <v>0.56999999999999995</v>
      </c>
      <c r="P360" s="108">
        <v>0.96</v>
      </c>
      <c r="Q360" s="266">
        <v>1.9328703703703702E-3</v>
      </c>
      <c r="R360" s="210">
        <v>0.11388888888888889</v>
      </c>
      <c r="S360" s="149">
        <v>3</v>
      </c>
    </row>
    <row r="361" spans="1:19" x14ac:dyDescent="0.35">
      <c r="A361" s="35">
        <v>45011</v>
      </c>
      <c r="B361" s="38" t="s">
        <v>48</v>
      </c>
      <c r="C361" s="70" t="s">
        <v>60</v>
      </c>
      <c r="D361" s="1">
        <v>0</v>
      </c>
      <c r="E361" s="1">
        <v>0</v>
      </c>
      <c r="F361" s="72">
        <v>0</v>
      </c>
      <c r="G361" s="72">
        <v>0</v>
      </c>
      <c r="H361" s="1">
        <v>0</v>
      </c>
      <c r="I361" s="1">
        <v>0</v>
      </c>
      <c r="J361" s="1">
        <v>0</v>
      </c>
      <c r="K361" s="1">
        <v>0</v>
      </c>
      <c r="L361" s="76">
        <v>0</v>
      </c>
      <c r="M361" s="76">
        <v>0</v>
      </c>
      <c r="N361" s="76">
        <v>0</v>
      </c>
      <c r="O361" s="76">
        <v>0</v>
      </c>
      <c r="P361" s="108">
        <v>0</v>
      </c>
      <c r="Q361" s="266">
        <v>0</v>
      </c>
      <c r="R361" s="210">
        <v>0</v>
      </c>
      <c r="S361" s="149">
        <v>0</v>
      </c>
    </row>
    <row r="362" spans="1:19" x14ac:dyDescent="0.35">
      <c r="A362" s="35">
        <v>45012</v>
      </c>
      <c r="B362" s="38" t="s">
        <v>49</v>
      </c>
      <c r="C362" s="70" t="s">
        <v>60</v>
      </c>
      <c r="D362" s="1">
        <v>450</v>
      </c>
      <c r="E362" s="1">
        <v>406</v>
      </c>
      <c r="F362" s="72">
        <f>IFERROR((Table3[[#This Row],[Calls Off]]-D355)/D355,0)</f>
        <v>0.20320855614973263</v>
      </c>
      <c r="G362" s="72">
        <f>IFERROR((Table3[[#This Row],[Calls Ans]]-E355)/E355,0)</f>
        <v>0.30967741935483872</v>
      </c>
      <c r="H362" s="1">
        <f>Table3[[#This Row],[Calls Off]]+H360</f>
        <v>7337</v>
      </c>
      <c r="I362" s="1">
        <f>Table3[[#This Row],[Calls Ans]]+I360</f>
        <v>6720</v>
      </c>
      <c r="J362" s="1">
        <f>J360+Table3[[#This Row],[Calls Off]]</f>
        <v>149322</v>
      </c>
      <c r="K362" s="1">
        <f>K360+Table3[[#This Row],[Calls Ans]]</f>
        <v>119897</v>
      </c>
      <c r="L362" s="76">
        <v>0.82</v>
      </c>
      <c r="M362" s="76">
        <v>0.1</v>
      </c>
      <c r="N362" s="76">
        <v>0.9</v>
      </c>
      <c r="O362" s="76">
        <v>0.47</v>
      </c>
      <c r="P362" s="108">
        <v>0.96</v>
      </c>
      <c r="Q362" s="266">
        <v>2.1064814814814813E-3</v>
      </c>
      <c r="R362" s="210">
        <v>6.0416666666666667E-2</v>
      </c>
      <c r="S362" s="149">
        <v>6</v>
      </c>
    </row>
    <row r="363" spans="1:19" x14ac:dyDescent="0.35">
      <c r="A363" s="35">
        <v>45013</v>
      </c>
      <c r="B363" s="38" t="s">
        <v>50</v>
      </c>
      <c r="C363" s="70" t="s">
        <v>60</v>
      </c>
      <c r="D363" s="1">
        <v>420</v>
      </c>
      <c r="E363" s="1">
        <v>395</v>
      </c>
      <c r="F363" s="72">
        <f>IFERROR((Table3[[#This Row],[Calls Off]]-D356)/D356,0)</f>
        <v>0.26126126126126126</v>
      </c>
      <c r="G363" s="72">
        <f>IFERROR((Table3[[#This Row],[Calls Ans]]-E356)/E356,0)</f>
        <v>0.2267080745341615</v>
      </c>
      <c r="H363" s="1">
        <f>Table3[[#This Row],[Calls Off]]+H362</f>
        <v>7757</v>
      </c>
      <c r="I363" s="1">
        <f>Table3[[#This Row],[Calls Ans]]+I362</f>
        <v>7115</v>
      </c>
      <c r="J363" s="1">
        <f>J362+Table3[[#This Row],[Calls Off]]</f>
        <v>149742</v>
      </c>
      <c r="K363" s="1">
        <f>K362+Table3[[#This Row],[Calls Ans]]</f>
        <v>120292</v>
      </c>
      <c r="L363" s="76">
        <v>0.78</v>
      </c>
      <c r="M363" s="76">
        <v>0.06</v>
      </c>
      <c r="N363" s="76">
        <v>0.94</v>
      </c>
      <c r="O363" s="76">
        <v>0.68</v>
      </c>
      <c r="P363" s="108">
        <v>0.98</v>
      </c>
      <c r="Q363" s="266">
        <v>1.9791666666666668E-3</v>
      </c>
      <c r="R363" s="210">
        <v>6.6666666666666666E-2</v>
      </c>
      <c r="S363" s="149">
        <v>4</v>
      </c>
    </row>
    <row r="364" spans="1:19" x14ac:dyDescent="0.35">
      <c r="A364" s="35">
        <v>45014</v>
      </c>
      <c r="B364" s="38" t="s">
        <v>51</v>
      </c>
      <c r="C364" s="70" t="s">
        <v>60</v>
      </c>
      <c r="D364" s="1">
        <v>416</v>
      </c>
      <c r="E364" s="1">
        <v>388</v>
      </c>
      <c r="F364" s="72">
        <f>IFERROR((Table3[[#This Row],[Calls Off]]-D357)/D357,0)</f>
        <v>-0.11677282377919321</v>
      </c>
      <c r="G364" s="72">
        <f>IFERROR((Table3[[#This Row],[Calls Ans]]-E357)/E357,0)</f>
        <v>-9.9767981438515077E-2</v>
      </c>
      <c r="H364" s="1">
        <f>Table3[[#This Row],[Calls Off]]+H363</f>
        <v>8173</v>
      </c>
      <c r="I364" s="1">
        <f>Table3[[#This Row],[Calls Ans]]+I363</f>
        <v>7503</v>
      </c>
      <c r="J364" s="1">
        <f>J363+Table3[[#This Row],[Calls Off]]</f>
        <v>150158</v>
      </c>
      <c r="K364" s="1">
        <f>K363+Table3[[#This Row],[Calls Ans]]</f>
        <v>120680</v>
      </c>
      <c r="L364" s="76">
        <v>0.79</v>
      </c>
      <c r="M364" s="76">
        <v>0.06</v>
      </c>
      <c r="N364" s="76">
        <v>0.94</v>
      </c>
      <c r="O364" s="76">
        <v>0.67</v>
      </c>
      <c r="P364" s="108">
        <v>0.97</v>
      </c>
      <c r="Q364" s="266">
        <v>1.9791666666666668E-3</v>
      </c>
      <c r="R364" s="210">
        <v>3.888888888888889E-2</v>
      </c>
      <c r="S364" s="149">
        <v>4</v>
      </c>
    </row>
    <row r="365" spans="1:19" x14ac:dyDescent="0.35">
      <c r="A365" s="35">
        <v>45015</v>
      </c>
      <c r="B365" s="38" t="s">
        <v>52</v>
      </c>
      <c r="C365" s="70" t="s">
        <v>60</v>
      </c>
      <c r="D365" s="1">
        <v>341</v>
      </c>
      <c r="E365" s="1">
        <v>328</v>
      </c>
      <c r="F365" s="72">
        <f>IFERROR((Table3[[#This Row],[Calls Off]]-D358)/D358,0)</f>
        <v>-3.9436619718309862E-2</v>
      </c>
      <c r="G365" s="72">
        <f>IFERROR((Table3[[#This Row],[Calls Ans]]-E358)/E358,0)</f>
        <v>-3.5294117647058823E-2</v>
      </c>
      <c r="H365" s="1">
        <f>Table3[[#This Row],[Calls Off]]+H364</f>
        <v>8514</v>
      </c>
      <c r="I365" s="1">
        <f>Table3[[#This Row],[Calls Ans]]+I364</f>
        <v>7831</v>
      </c>
      <c r="J365" s="1">
        <f>J364+Table3[[#This Row],[Calls Off]]</f>
        <v>150499</v>
      </c>
      <c r="K365" s="1">
        <f>K364+Table3[[#This Row],[Calls Ans]]</f>
        <v>121008</v>
      </c>
      <c r="L365" s="76">
        <v>0.89</v>
      </c>
      <c r="M365" s="76">
        <v>0.04</v>
      </c>
      <c r="N365" s="76">
        <v>0.96</v>
      </c>
      <c r="O365" s="76">
        <v>0.45</v>
      </c>
      <c r="P365" s="108">
        <v>0.96</v>
      </c>
      <c r="Q365" s="266">
        <v>2.0138888888888888E-3</v>
      </c>
      <c r="R365" s="210">
        <v>2.7083333333333334E-2</v>
      </c>
      <c r="S365" s="149">
        <v>5</v>
      </c>
    </row>
    <row r="366" spans="1:19" x14ac:dyDescent="0.35">
      <c r="A366" s="35">
        <v>45016</v>
      </c>
      <c r="B366" s="38" t="s">
        <v>53</v>
      </c>
      <c r="C366" s="70" t="s">
        <v>60</v>
      </c>
      <c r="D366" s="1">
        <v>278</v>
      </c>
      <c r="E366" s="1">
        <v>273</v>
      </c>
      <c r="F366" s="72">
        <f>IFERROR((Table3[[#This Row],[Calls Off]]-D359)/D359,0)</f>
        <v>-0.1524390243902439</v>
      </c>
      <c r="G366" s="72">
        <f>IFERROR((Table3[[#This Row],[Calls Ans]]-E359)/E359,0)</f>
        <v>-0.12779552715654952</v>
      </c>
      <c r="H366" s="1">
        <f>Table3[[#This Row],[Calls Off]]+H365</f>
        <v>8792</v>
      </c>
      <c r="I366" s="1">
        <f>Table3[[#This Row],[Calls Ans]]+I365</f>
        <v>8104</v>
      </c>
      <c r="J366" s="1">
        <f>J365+Table3[[#This Row],[Calls Off]]</f>
        <v>150777</v>
      </c>
      <c r="K366" s="1">
        <f>K365+Table3[[#This Row],[Calls Ans]]</f>
        <v>121281</v>
      </c>
      <c r="L366" s="76">
        <v>0.96</v>
      </c>
      <c r="M366" s="76">
        <v>0.02</v>
      </c>
      <c r="N366" s="76">
        <v>0.98</v>
      </c>
      <c r="O366" s="76">
        <v>0.38</v>
      </c>
      <c r="P366" s="108">
        <v>0.96</v>
      </c>
      <c r="Q366" s="266">
        <v>1.7245370370370372E-3</v>
      </c>
      <c r="R366" s="210">
        <v>1.3194444444444444E-2</v>
      </c>
      <c r="S366" s="149">
        <v>5</v>
      </c>
    </row>
  </sheetData>
  <mergeCells count="1">
    <mergeCell ref="V153:W153"/>
  </mergeCells>
  <phoneticPr fontId="8" type="noConversion"/>
  <dataValidations count="2">
    <dataValidation type="list" allowBlank="1" showInputMessage="1" showErrorMessage="1" sqref="V111:V112" xr:uid="{950C7D0C-962F-4C65-9342-74196066FA34}">
      <formula1>period_BAR</formula1>
    </dataValidation>
    <dataValidation type="list" allowBlank="1" showInputMessage="1" showErrorMessage="1" sqref="AF3:AF4" xr:uid="{EC6F4C2C-364F-4AEE-A8B8-414469FA02EE}">
      <formula1>WoW_dates_BAR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8B04-035F-4139-A1A3-8F10DB044943}">
  <sheetPr codeName="Sheet4"/>
  <dimension ref="E1:M3"/>
  <sheetViews>
    <sheetView workbookViewId="0">
      <selection activeCell="E1" sqref="E1:M3"/>
    </sheetView>
  </sheetViews>
  <sheetFormatPr defaultRowHeight="14.5" x14ac:dyDescent="0.35"/>
  <sheetData>
    <row r="1" spans="5:13" s="211" customFormat="1" ht="14.5" customHeight="1" x14ac:dyDescent="0.35">
      <c r="E1" s="277" t="s">
        <v>85</v>
      </c>
      <c r="F1" s="277"/>
      <c r="G1" s="277"/>
      <c r="H1" s="277"/>
      <c r="I1" s="277"/>
      <c r="J1" s="277"/>
      <c r="K1" s="277"/>
      <c r="L1" s="277"/>
      <c r="M1" s="277"/>
    </row>
    <row r="2" spans="5:13" s="211" customFormat="1" ht="14.5" customHeight="1" x14ac:dyDescent="0.35">
      <c r="E2" s="277"/>
      <c r="F2" s="277"/>
      <c r="G2" s="277"/>
      <c r="H2" s="277"/>
      <c r="I2" s="277"/>
      <c r="J2" s="277"/>
      <c r="K2" s="277"/>
      <c r="L2" s="277"/>
      <c r="M2" s="277"/>
    </row>
    <row r="3" spans="5:13" s="211" customFormat="1" ht="14.5" customHeight="1" x14ac:dyDescent="0.35">
      <c r="E3" s="277"/>
      <c r="F3" s="277"/>
      <c r="G3" s="277"/>
      <c r="H3" s="277"/>
      <c r="I3" s="277"/>
      <c r="J3" s="277"/>
      <c r="K3" s="277"/>
      <c r="L3" s="277"/>
      <c r="M3" s="277"/>
    </row>
  </sheetData>
  <mergeCells count="1">
    <mergeCell ref="E1:M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84DC-8565-4FE9-AF44-80DC4178234A}">
  <sheetPr codeName="Sheet5"/>
  <dimension ref="A1:A6"/>
  <sheetViews>
    <sheetView workbookViewId="0">
      <selection activeCell="F20" sqref="F20"/>
    </sheetView>
  </sheetViews>
  <sheetFormatPr defaultRowHeight="14.5" x14ac:dyDescent="0.35"/>
  <cols>
    <col min="1" max="1" width="18.1796875" bestFit="1" customWidth="1"/>
  </cols>
  <sheetData>
    <row r="1" spans="1:1" x14ac:dyDescent="0.35">
      <c r="A1" t="s">
        <v>44</v>
      </c>
    </row>
    <row r="2" spans="1:1" x14ac:dyDescent="0.35">
      <c r="A2" t="s">
        <v>45</v>
      </c>
    </row>
    <row r="3" spans="1:1" x14ac:dyDescent="0.35">
      <c r="A3" t="s">
        <v>46</v>
      </c>
    </row>
    <row r="4" spans="1:1" x14ac:dyDescent="0.35">
      <c r="A4" t="s">
        <v>47</v>
      </c>
    </row>
    <row r="5" spans="1:1" x14ac:dyDescent="0.35">
      <c r="A5" t="s">
        <v>11</v>
      </c>
    </row>
    <row r="6" spans="1:1" x14ac:dyDescent="0.35">
      <c r="A6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27F9-F37D-4B78-8486-8214A2C4AEFA}">
  <sheetPr codeName="Sheet12"/>
  <dimension ref="B2:O21"/>
  <sheetViews>
    <sheetView topLeftCell="A14" workbookViewId="0">
      <selection activeCell="J17" sqref="J17"/>
    </sheetView>
  </sheetViews>
  <sheetFormatPr defaultRowHeight="14.5" x14ac:dyDescent="0.35"/>
  <cols>
    <col min="2" max="2" width="18.1796875" bestFit="1" customWidth="1"/>
    <col min="3" max="3" width="13.81640625" bestFit="1" customWidth="1"/>
    <col min="7" max="7" width="6.26953125" customWidth="1"/>
    <col min="8" max="8" width="16.36328125" customWidth="1"/>
    <col min="9" max="9" width="13.453125" bestFit="1" customWidth="1"/>
    <col min="10" max="10" width="12.90625" bestFit="1" customWidth="1"/>
    <col min="11" max="11" width="10.6328125" bestFit="1" customWidth="1"/>
    <col min="12" max="12" width="11" customWidth="1"/>
    <col min="13" max="13" width="9" bestFit="1" customWidth="1"/>
    <col min="14" max="15" width="12.90625" bestFit="1" customWidth="1"/>
  </cols>
  <sheetData>
    <row r="2" spans="2:15" ht="15" thickBot="1" x14ac:dyDescent="0.4"/>
    <row r="3" spans="2:15" ht="30.5" customHeight="1" thickBot="1" x14ac:dyDescent="0.4">
      <c r="B3" s="213" t="s">
        <v>86</v>
      </c>
      <c r="C3" s="214" t="s">
        <v>94</v>
      </c>
      <c r="H3" s="278" t="s">
        <v>142</v>
      </c>
      <c r="I3" s="278"/>
      <c r="J3" s="278"/>
      <c r="K3" s="278"/>
      <c r="L3" s="278"/>
      <c r="M3" s="278"/>
    </row>
    <row r="4" spans="2:15" ht="15" thickBot="1" x14ac:dyDescent="0.4">
      <c r="B4" s="215" t="s">
        <v>87</v>
      </c>
      <c r="C4" s="216">
        <v>444</v>
      </c>
      <c r="H4" s="235" t="s">
        <v>86</v>
      </c>
      <c r="I4" s="235" t="s">
        <v>3</v>
      </c>
      <c r="J4" s="235" t="s">
        <v>4</v>
      </c>
      <c r="K4" s="235" t="s">
        <v>5</v>
      </c>
      <c r="L4" s="235" t="s">
        <v>6</v>
      </c>
      <c r="M4" s="235" t="s">
        <v>7</v>
      </c>
    </row>
    <row r="5" spans="2:15" ht="15" thickBot="1" x14ac:dyDescent="0.4">
      <c r="B5" s="217" t="s">
        <v>46</v>
      </c>
      <c r="C5" s="218">
        <v>639</v>
      </c>
      <c r="H5" s="235" t="s">
        <v>8</v>
      </c>
      <c r="I5" s="236">
        <v>0.86</v>
      </c>
      <c r="J5" s="236">
        <v>0.94</v>
      </c>
      <c r="K5" s="236">
        <v>0.06</v>
      </c>
      <c r="L5" s="236">
        <v>0.65</v>
      </c>
      <c r="M5" s="236">
        <v>0.95</v>
      </c>
    </row>
    <row r="6" spans="2:15" ht="15" thickBot="1" x14ac:dyDescent="0.4">
      <c r="B6" s="215" t="s">
        <v>30</v>
      </c>
      <c r="C6" s="216">
        <v>1233</v>
      </c>
      <c r="H6" s="1" t="s">
        <v>9</v>
      </c>
      <c r="I6" s="237">
        <v>0.48</v>
      </c>
      <c r="J6" s="237">
        <v>0.74</v>
      </c>
      <c r="K6" s="237">
        <v>0.26</v>
      </c>
      <c r="L6" s="237">
        <v>0.6</v>
      </c>
      <c r="M6" s="237">
        <v>0.75</v>
      </c>
    </row>
    <row r="7" spans="2:15" ht="15" thickBot="1" x14ac:dyDescent="0.4">
      <c r="B7" s="217" t="s">
        <v>88</v>
      </c>
      <c r="C7" s="218">
        <v>490</v>
      </c>
      <c r="H7" s="1" t="s">
        <v>143</v>
      </c>
      <c r="I7" s="237">
        <v>0.52</v>
      </c>
      <c r="J7" s="237">
        <v>0.79</v>
      </c>
      <c r="K7" s="237">
        <v>0.21</v>
      </c>
      <c r="L7" s="237">
        <v>0.73</v>
      </c>
      <c r="M7" s="233" t="s">
        <v>16</v>
      </c>
    </row>
    <row r="8" spans="2:15" ht="15" thickBot="1" x14ac:dyDescent="0.4">
      <c r="B8" s="215" t="s">
        <v>89</v>
      </c>
      <c r="C8" s="216">
        <v>444</v>
      </c>
      <c r="H8" s="1" t="s">
        <v>11</v>
      </c>
      <c r="I8" s="237">
        <v>0.82</v>
      </c>
      <c r="J8" s="238">
        <v>0.94</v>
      </c>
      <c r="K8" s="238">
        <v>0.06</v>
      </c>
      <c r="L8" s="237">
        <v>0.62</v>
      </c>
      <c r="M8" s="238">
        <v>1</v>
      </c>
    </row>
    <row r="9" spans="2:15" ht="15" thickBot="1" x14ac:dyDescent="0.4">
      <c r="B9" s="217" t="s">
        <v>90</v>
      </c>
      <c r="C9" s="218">
        <v>465</v>
      </c>
      <c r="H9" s="1" t="s">
        <v>13</v>
      </c>
      <c r="I9" s="237">
        <v>0.61</v>
      </c>
      <c r="J9" s="237">
        <v>0.83</v>
      </c>
      <c r="K9" s="237">
        <v>0.17</v>
      </c>
      <c r="L9" s="237">
        <v>0.64</v>
      </c>
      <c r="M9" s="238">
        <v>0.96</v>
      </c>
    </row>
    <row r="10" spans="2:15" ht="15" thickBot="1" x14ac:dyDescent="0.4">
      <c r="B10" s="215" t="s">
        <v>47</v>
      </c>
      <c r="C10" s="216">
        <v>1281</v>
      </c>
      <c r="E10" t="s">
        <v>95</v>
      </c>
      <c r="H10" s="1" t="s">
        <v>10</v>
      </c>
      <c r="I10" s="237">
        <v>0.72</v>
      </c>
      <c r="J10" s="237">
        <v>0.93</v>
      </c>
      <c r="K10" s="237">
        <v>7.0000000000000007E-2</v>
      </c>
      <c r="L10" s="238">
        <v>0.77</v>
      </c>
      <c r="M10" s="238">
        <v>1</v>
      </c>
    </row>
    <row r="11" spans="2:15" ht="15" thickBot="1" x14ac:dyDescent="0.4">
      <c r="B11" s="217" t="s">
        <v>45</v>
      </c>
      <c r="C11" s="218">
        <v>936</v>
      </c>
      <c r="H11" s="1" t="s">
        <v>144</v>
      </c>
      <c r="I11" s="234"/>
      <c r="J11" s="234"/>
      <c r="K11" s="234"/>
      <c r="L11" s="234"/>
      <c r="M11" s="234"/>
    </row>
    <row r="12" spans="2:15" ht="15" thickBot="1" x14ac:dyDescent="0.4">
      <c r="B12" s="215" t="s">
        <v>91</v>
      </c>
      <c r="C12" s="216">
        <v>494</v>
      </c>
      <c r="H12" s="1" t="s">
        <v>0</v>
      </c>
      <c r="I12" s="239">
        <f>AVERAGE(I6:I10)</f>
        <v>0.62999999999999989</v>
      </c>
      <c r="J12" s="239">
        <f t="shared" ref="J12:M12" si="0">AVERAGE(J6:J10)</f>
        <v>0.84599999999999986</v>
      </c>
      <c r="K12" s="239">
        <f t="shared" si="0"/>
        <v>0.154</v>
      </c>
      <c r="L12" s="240">
        <f t="shared" si="0"/>
        <v>0.67200000000000004</v>
      </c>
      <c r="M12" s="239">
        <f t="shared" si="0"/>
        <v>0.92749999999999999</v>
      </c>
    </row>
    <row r="13" spans="2:15" ht="15" thickBot="1" x14ac:dyDescent="0.4">
      <c r="B13" s="217" t="s">
        <v>92</v>
      </c>
      <c r="C13" s="218">
        <v>447</v>
      </c>
    </row>
    <row r="14" spans="2:15" ht="15" thickBot="1" x14ac:dyDescent="0.4">
      <c r="B14" s="215" t="s">
        <v>93</v>
      </c>
      <c r="C14" s="216">
        <v>385</v>
      </c>
    </row>
    <row r="15" spans="2:15" ht="15" thickBot="1" x14ac:dyDescent="0.4">
      <c r="B15" s="217" t="s">
        <v>44</v>
      </c>
      <c r="C15" s="218">
        <v>1311</v>
      </c>
    </row>
    <row r="16" spans="2:15" ht="15" thickBot="1" x14ac:dyDescent="0.4">
      <c r="H16" s="279" t="s">
        <v>151</v>
      </c>
      <c r="I16" s="280"/>
      <c r="J16" s="280"/>
      <c r="K16" s="280"/>
      <c r="L16" s="280"/>
      <c r="M16" s="280"/>
      <c r="N16" s="280"/>
      <c r="O16" s="281"/>
    </row>
    <row r="17" spans="8:15" ht="47" thickBot="1" x14ac:dyDescent="0.4">
      <c r="H17" s="241" t="s">
        <v>145</v>
      </c>
      <c r="I17" s="242" t="s">
        <v>146</v>
      </c>
      <c r="J17" s="242" t="s">
        <v>45</v>
      </c>
      <c r="K17" s="242" t="s">
        <v>11</v>
      </c>
      <c r="L17" s="242" t="s">
        <v>46</v>
      </c>
      <c r="M17" s="242" t="s">
        <v>30</v>
      </c>
      <c r="N17" s="242" t="s">
        <v>47</v>
      </c>
      <c r="O17" s="242" t="s">
        <v>0</v>
      </c>
    </row>
    <row r="18" spans="8:15" ht="16" thickBot="1" x14ac:dyDescent="0.4">
      <c r="H18" s="243"/>
      <c r="I18" s="244" t="s">
        <v>147</v>
      </c>
      <c r="J18" s="244" t="s">
        <v>147</v>
      </c>
      <c r="K18" s="244" t="s">
        <v>147</v>
      </c>
      <c r="L18" s="244" t="s">
        <v>147</v>
      </c>
      <c r="M18" s="244" t="s">
        <v>147</v>
      </c>
      <c r="N18" s="244" t="s">
        <v>147</v>
      </c>
      <c r="O18" s="244" t="s">
        <v>147</v>
      </c>
    </row>
    <row r="19" spans="8:15" ht="16" thickBot="1" x14ac:dyDescent="0.4">
      <c r="H19" s="245" t="s">
        <v>148</v>
      </c>
      <c r="I19" s="246"/>
      <c r="J19" s="246">
        <f>114000000/150.986</f>
        <v>755036.89083756111</v>
      </c>
      <c r="K19" s="246">
        <f>6116000/2.7</f>
        <v>2265185.1851851852</v>
      </c>
      <c r="L19" s="246"/>
      <c r="M19" s="246"/>
      <c r="N19" s="246"/>
      <c r="O19" s="246"/>
    </row>
    <row r="20" spans="8:15" ht="16" thickBot="1" x14ac:dyDescent="0.4">
      <c r="H20" s="247" t="s">
        <v>149</v>
      </c>
      <c r="I20" s="251">
        <f>3261930.64/7.165</f>
        <v>455258.98674110259</v>
      </c>
      <c r="J20" s="248">
        <f>(106783009.78+19850522.73+19023249.48+12194156.65+8945027)/150.986</f>
        <v>1104711.4675532833</v>
      </c>
      <c r="K20" s="248">
        <f>7589198/2.7</f>
        <v>2810814.0740740737</v>
      </c>
      <c r="L20" s="248">
        <f>(379251-24164.58)/2</f>
        <v>177543.21</v>
      </c>
      <c r="M20" s="248">
        <f>(560236.49-12845.4+6551.81-59.33)/2.015</f>
        <v>274880.1836228288</v>
      </c>
      <c r="N20" s="248">
        <f>(324945766-39338326)/211.171</f>
        <v>1352493.6662704633</v>
      </c>
      <c r="O20" s="248">
        <f>SUM(I20:N20)</f>
        <v>6175701.5882617515</v>
      </c>
    </row>
    <row r="21" spans="8:15" ht="16" thickBot="1" x14ac:dyDescent="0.4">
      <c r="H21" s="249" t="s">
        <v>150</v>
      </c>
      <c r="I21" s="250"/>
      <c r="J21" s="250">
        <f>J20/J19</f>
        <v>1.4631225056140353</v>
      </c>
      <c r="K21" s="250">
        <f>K20/K19</f>
        <v>1.2408760627861346</v>
      </c>
      <c r="L21" s="250"/>
      <c r="M21" s="250"/>
      <c r="N21" s="250"/>
      <c r="O21" s="250"/>
    </row>
  </sheetData>
  <mergeCells count="2">
    <mergeCell ref="H3:M3"/>
    <mergeCell ref="H16:O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108</vt:i4>
      </vt:variant>
    </vt:vector>
  </HeadingPairs>
  <TitlesOfParts>
    <vt:vector size="120" baseType="lpstr">
      <vt:lpstr>Live Chat KPIs - Weekly</vt:lpstr>
      <vt:lpstr>Live Chat KPIs - Monthly</vt:lpstr>
      <vt:lpstr>Weekly_Regional</vt:lpstr>
      <vt:lpstr>Monthly_Regional</vt:lpstr>
      <vt:lpstr>Jamaica</vt:lpstr>
      <vt:lpstr>OECS</vt:lpstr>
      <vt:lpstr>Guyana</vt:lpstr>
      <vt:lpstr>Trinidad and Tobago</vt:lpstr>
      <vt:lpstr>Barbados</vt:lpstr>
      <vt:lpstr>Dashboard</vt:lpstr>
      <vt:lpstr>Country_List</vt:lpstr>
      <vt:lpstr>Sheet1</vt:lpstr>
      <vt:lpstr>'Live Chat KPIs - Monthly'!ABR_BAR</vt:lpstr>
      <vt:lpstr>ABR_BAR</vt:lpstr>
      <vt:lpstr>'Live Chat KPIs - Monthly'!ABR_GUY</vt:lpstr>
      <vt:lpstr>ABR_GUY</vt:lpstr>
      <vt:lpstr>'Live Chat KPIs - Monthly'!ABR_JAM</vt:lpstr>
      <vt:lpstr>ABR_JAM</vt:lpstr>
      <vt:lpstr>'Live Chat KPIs - Monthly'!ABR_OECS</vt:lpstr>
      <vt:lpstr>ABR_OECS</vt:lpstr>
      <vt:lpstr>'Live Chat KPIs - Monthly'!ABR_TT</vt:lpstr>
      <vt:lpstr>ABR_TT</vt:lpstr>
      <vt:lpstr>ATT_BAR</vt:lpstr>
      <vt:lpstr>ATT_GUY</vt:lpstr>
      <vt:lpstr>ATT_JAM</vt:lpstr>
      <vt:lpstr>ATT_OECS</vt:lpstr>
      <vt:lpstr>ATT_TT</vt:lpstr>
      <vt:lpstr>'Live Chat KPIs - Monthly'!AU_BAR</vt:lpstr>
      <vt:lpstr>AU_BAR</vt:lpstr>
      <vt:lpstr>'Live Chat KPIs - Monthly'!AU_GUY</vt:lpstr>
      <vt:lpstr>AU_GUY</vt:lpstr>
      <vt:lpstr>'Live Chat KPIs - Monthly'!AU_JAM</vt:lpstr>
      <vt:lpstr>AU_JAM</vt:lpstr>
      <vt:lpstr>'Live Chat KPIs - Monthly'!AU_OECS</vt:lpstr>
      <vt:lpstr>AU_OECS</vt:lpstr>
      <vt:lpstr>'Live Chat KPIs - Monthly'!AU_TT</vt:lpstr>
      <vt:lpstr>AU_TT</vt:lpstr>
      <vt:lpstr>'Live Chat KPIs - Monthly'!calls_ans_BAR</vt:lpstr>
      <vt:lpstr>calls_ans_BAR</vt:lpstr>
      <vt:lpstr>'Live Chat KPIs - Monthly'!calls_ans_GUY</vt:lpstr>
      <vt:lpstr>calls_ans_GUY</vt:lpstr>
      <vt:lpstr>'Live Chat KPIs - Monthly'!calls_ans_JAM</vt:lpstr>
      <vt:lpstr>calls_ans_JAM</vt:lpstr>
      <vt:lpstr>'Live Chat KPIs - Monthly'!calls_ans_OECS</vt:lpstr>
      <vt:lpstr>calls_ans_OECS</vt:lpstr>
      <vt:lpstr>'Live Chat KPIs - Monthly'!calls_ans_TT</vt:lpstr>
      <vt:lpstr>calls_ans_TT</vt:lpstr>
      <vt:lpstr>'Live Chat KPIs - Monthly'!calls_off_BAR</vt:lpstr>
      <vt:lpstr>calls_off_BAR</vt:lpstr>
      <vt:lpstr>'Live Chat KPIs - Monthly'!calls_off_GUY</vt:lpstr>
      <vt:lpstr>calls_off_GUY</vt:lpstr>
      <vt:lpstr>'Live Chat KPIs - Monthly'!calls_off_JAM</vt:lpstr>
      <vt:lpstr>calls_off_JAM</vt:lpstr>
      <vt:lpstr>'Live Chat KPIs - Monthly'!calls_off_OECS</vt:lpstr>
      <vt:lpstr>calls_off_OECS</vt:lpstr>
      <vt:lpstr>'Live Chat KPIs - Monthly'!calls_off_TT</vt:lpstr>
      <vt:lpstr>calls_off_TT</vt:lpstr>
      <vt:lpstr>'Live Chat KPIs - Monthly'!percent_WoW_ans_BAR</vt:lpstr>
      <vt:lpstr>percent_WoW_ans_BAR</vt:lpstr>
      <vt:lpstr>'Live Chat KPIs - Monthly'!percent_WoW_ans_GUY</vt:lpstr>
      <vt:lpstr>percent_WoW_ans_GUY</vt:lpstr>
      <vt:lpstr>'Live Chat KPIs - Monthly'!percent_WoW_ans_JAM</vt:lpstr>
      <vt:lpstr>percent_WoW_ans_JAM</vt:lpstr>
      <vt:lpstr>'Live Chat KPIs - Monthly'!percent_WoW_ans_OECS</vt:lpstr>
      <vt:lpstr>percent_WoW_ans_OECS</vt:lpstr>
      <vt:lpstr>'Live Chat KPIs - Monthly'!percent_WoW_ans_TT</vt:lpstr>
      <vt:lpstr>percent_WoW_ans_TT</vt:lpstr>
      <vt:lpstr>'Live Chat KPIs - Monthly'!percent_WoW_off_BAR</vt:lpstr>
      <vt:lpstr>percent_WoW_off_BAR</vt:lpstr>
      <vt:lpstr>'Live Chat KPIs - Monthly'!percent_WoW_off_GUY</vt:lpstr>
      <vt:lpstr>percent_WoW_off_GUY</vt:lpstr>
      <vt:lpstr>'Live Chat KPIs - Monthly'!percent_WoW_off_JAM</vt:lpstr>
      <vt:lpstr>percent_WoW_off_JAM</vt:lpstr>
      <vt:lpstr>'Live Chat KPIs - Monthly'!percent_WoW_off_OECS</vt:lpstr>
      <vt:lpstr>percent_WoW_off_OECS</vt:lpstr>
      <vt:lpstr>'Live Chat KPIs - Monthly'!percent_WoW_off_TT</vt:lpstr>
      <vt:lpstr>percent_WoW_off_TT</vt:lpstr>
      <vt:lpstr>'Live Chat KPIs - Monthly'!period_BAR</vt:lpstr>
      <vt:lpstr>period_BAR</vt:lpstr>
      <vt:lpstr>'Live Chat KPIs - Monthly'!period_BAR_WFM</vt:lpstr>
      <vt:lpstr>period_BAR_WFM</vt:lpstr>
      <vt:lpstr>'Live Chat KPIs - Monthly'!period_GUY</vt:lpstr>
      <vt:lpstr>period_GUY</vt:lpstr>
      <vt:lpstr>'Live Chat KPIs - Monthly'!period_GUY_WF</vt:lpstr>
      <vt:lpstr>period_GUY_WF</vt:lpstr>
      <vt:lpstr>'Live Chat KPIs - Monthly'!period_JAM</vt:lpstr>
      <vt:lpstr>period_JAM</vt:lpstr>
      <vt:lpstr>'Live Chat KPIs - Monthly'!period_JAM_WFM</vt:lpstr>
      <vt:lpstr>period_JAM_WFM</vt:lpstr>
      <vt:lpstr>'Live Chat KPIs - Monthly'!period_OECS</vt:lpstr>
      <vt:lpstr>period_OECS</vt:lpstr>
      <vt:lpstr>period_OECS_WF</vt:lpstr>
      <vt:lpstr>'Live Chat KPIs - Monthly'!period_TT</vt:lpstr>
      <vt:lpstr>period_TT</vt:lpstr>
      <vt:lpstr>'Live Chat KPIs - Monthly'!period_TT_WFM</vt:lpstr>
      <vt:lpstr>period_TT_WFM</vt:lpstr>
      <vt:lpstr>'Live Chat KPIs - Monthly'!SL_BAR</vt:lpstr>
      <vt:lpstr>SL_BAR</vt:lpstr>
      <vt:lpstr>'Live Chat KPIs - Monthly'!SL_GUY</vt:lpstr>
      <vt:lpstr>SL_GUY</vt:lpstr>
      <vt:lpstr>'Live Chat KPIs - Monthly'!SL_JAM</vt:lpstr>
      <vt:lpstr>SL_JAM</vt:lpstr>
      <vt:lpstr>'Live Chat KPIs - Monthly'!SL_OECS</vt:lpstr>
      <vt:lpstr>SL_OECS</vt:lpstr>
      <vt:lpstr>'Live Chat KPIs - Monthly'!SL_TT</vt:lpstr>
      <vt:lpstr>SL_TT</vt:lpstr>
      <vt:lpstr>'Live Chat KPIs - Monthly'!WoW_calls_ans</vt:lpstr>
      <vt:lpstr>WoW_calls_ans</vt:lpstr>
      <vt:lpstr>'Live Chat KPIs - Monthly'!WoW_calls_off</vt:lpstr>
      <vt:lpstr>WoW_calls_off</vt:lpstr>
      <vt:lpstr>'Live Chat KPIs - Monthly'!WoW_dates_BAR</vt:lpstr>
      <vt:lpstr>WoW_dates_BAR</vt:lpstr>
      <vt:lpstr>'Live Chat KPIs - Monthly'!WoW_dates_GUY</vt:lpstr>
      <vt:lpstr>WoW_dates_GUY</vt:lpstr>
      <vt:lpstr>'Live Chat KPIs - Monthly'!WoW_dates_JAM</vt:lpstr>
      <vt:lpstr>WoW_dates_JAM</vt:lpstr>
      <vt:lpstr>'Live Chat KPIs - Monthly'!WoW_dates_OECS</vt:lpstr>
      <vt:lpstr>WoW_dates_OECS</vt:lpstr>
      <vt:lpstr>'Live Chat KPIs - Monthly'!WoW_dates_TT</vt:lpstr>
      <vt:lpstr>WoW_dates_TT</vt:lpstr>
    </vt:vector>
  </TitlesOfParts>
  <Company>Unicomer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Shaw</dc:creator>
  <cp:lastModifiedBy>Roy Shaw</cp:lastModifiedBy>
  <dcterms:created xsi:type="dcterms:W3CDTF">2021-11-19T18:50:18Z</dcterms:created>
  <dcterms:modified xsi:type="dcterms:W3CDTF">2023-06-30T13:59:29Z</dcterms:modified>
</cp:coreProperties>
</file>