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Desktop\Completed Reports\CC KPI_and_Live Chat\"/>
    </mc:Choice>
  </mc:AlternateContent>
  <xr:revisionPtr revIDLastSave="0" documentId="13_ncr:1_{8A59CEAB-B6DE-434A-A963-E6761F9DE2D7}" xr6:coauthVersionLast="47" xr6:coauthVersionMax="47" xr10:uidLastSave="{00000000-0000-0000-0000-000000000000}"/>
  <bookViews>
    <workbookView xWindow="-24120" yWindow="-6915" windowWidth="24240" windowHeight="13140" firstSheet="2" activeTab="7" xr2:uid="{83609B99-848E-40A6-A0EE-BB7496E8433D}"/>
  </bookViews>
  <sheets>
    <sheet name="Live Chat KPIs - Weekly" sheetId="2" r:id="rId1"/>
    <sheet name="Live Chat KPIs - Monthly" sheetId="16" r:id="rId2"/>
    <sheet name="Weekly_Regional" sheetId="13" r:id="rId3"/>
    <sheet name="Monthly_Regional" sheetId="15" r:id="rId4"/>
    <sheet name="Quarter_Regional" sheetId="18" r:id="rId5"/>
    <sheet name="OECS" sheetId="12" r:id="rId6"/>
    <sheet name="Guyana" sheetId="11" r:id="rId7"/>
    <sheet name="Jamaica" sheetId="9" r:id="rId8"/>
    <sheet name="Trinidad and Tobago" sheetId="8" r:id="rId9"/>
    <sheet name="Barbados" sheetId="10" r:id="rId10"/>
    <sheet name="Country_List" sheetId="7" r:id="rId11"/>
    <sheet name="Dashboard" sheetId="17" r:id="rId12"/>
  </sheets>
  <definedNames>
    <definedName name="_xlnm._FilterDatabase" localSheetId="9" hidden="1">Barbados!$A$1:$P$96</definedName>
    <definedName name="ABR_BAR" localSheetId="1">Table3[ABR]</definedName>
    <definedName name="ABR_BAR" localSheetId="4">Table3[ABR]</definedName>
    <definedName name="ABR_BAR">Table3[ABR]</definedName>
    <definedName name="ABR_GUY" localSheetId="1">Table9[ABR]</definedName>
    <definedName name="ABR_GUY" localSheetId="4">Table9[ABR]</definedName>
    <definedName name="ABR_GUY">Table9[ABR]</definedName>
    <definedName name="ABR_JAM" localSheetId="1">Table6[ABR]</definedName>
    <definedName name="ABR_JAM" localSheetId="4">Table6[ABR]</definedName>
    <definedName name="ABR_JAM">Table6[ABR]</definedName>
    <definedName name="ABR_OECS" localSheetId="1">Table2[ABR]</definedName>
    <definedName name="ABR_OECS" localSheetId="4">Table2[ABR]</definedName>
    <definedName name="ABR_OECS">Table2[ABR]</definedName>
    <definedName name="ABR_TT" localSheetId="1">Table7[ABR]</definedName>
    <definedName name="ABR_TT" localSheetId="4">Table7[ABR]</definedName>
    <definedName name="ABR_TT">Table7[ABR]</definedName>
    <definedName name="ATT_BAR" localSheetId="4">Table3[AHT]</definedName>
    <definedName name="ATT_BAR">Table3[AHT]</definedName>
    <definedName name="ATT_GUY" localSheetId="4">Table9[AHT]</definedName>
    <definedName name="ATT_GUY">Table9[AHT]</definedName>
    <definedName name="ATT_JAM" localSheetId="4">Table6[AHT]</definedName>
    <definedName name="ATT_JAM">Table6[AHT]</definedName>
    <definedName name="ATT_OECS" localSheetId="4">Table2[AHT]</definedName>
    <definedName name="ATT_OECS">Table2[AHT]</definedName>
    <definedName name="ATT_TT" localSheetId="4">Table7[AHT]</definedName>
    <definedName name="ATT_TT">Table7[AHT]</definedName>
    <definedName name="AU_BAR" localSheetId="1">Table3[AO/AU]</definedName>
    <definedName name="AU_BAR" localSheetId="4">Table3[AO/AU]</definedName>
    <definedName name="AU_BAR">Table3[AO/AU]</definedName>
    <definedName name="AU_GUY" localSheetId="1">Table9[AO/AU]</definedName>
    <definedName name="AU_GUY" localSheetId="4">Table9[AO/AU]</definedName>
    <definedName name="AU_GUY">Table9[AO/AU]</definedName>
    <definedName name="AU_JAM" localSheetId="1">Table6[AO/AU]</definedName>
    <definedName name="AU_JAM" localSheetId="4">Table6[AO/AU]</definedName>
    <definedName name="AU_JAM">Table6[AO/AU]</definedName>
    <definedName name="AU_OECS" localSheetId="1">Table2[AO/AU]</definedName>
    <definedName name="AU_OECS" localSheetId="4">Table2[AO/AU]</definedName>
    <definedName name="AU_OECS">Table2[AO/AU]</definedName>
    <definedName name="AU_TT" localSheetId="1">Table7[AO/AU]</definedName>
    <definedName name="AU_TT" localSheetId="4">Table7[AO/AU]</definedName>
    <definedName name="AU_TT">Table7[AO/AU]</definedName>
    <definedName name="avg_chart_ATT_JAM" localSheetId="4">AVG(Quarter_Regional!chart_ATT_JAM)</definedName>
    <definedName name="avg_chart_ATT_JAM">AVG([0]!chart_ATT_JAM)</definedName>
    <definedName name="calls_ans_BAR" localSheetId="1">Table3[Calls Ans]</definedName>
    <definedName name="calls_ans_BAR" localSheetId="4">Table3[Calls Ans]</definedName>
    <definedName name="calls_ans_BAR">Table3[Calls Ans]</definedName>
    <definedName name="calls_ans_GUY" localSheetId="1">Table9[Calls Ans]</definedName>
    <definedName name="calls_ans_GUY" localSheetId="4">Table9[Calls Ans]</definedName>
    <definedName name="calls_ans_GUY">Table9[Calls Ans]</definedName>
    <definedName name="calls_ans_JAM" localSheetId="1">Table6[Calls Ans]</definedName>
    <definedName name="calls_ans_JAM" localSheetId="4">Table6[Calls Ans]</definedName>
    <definedName name="calls_ans_JAM">Table6[Calls Ans]</definedName>
    <definedName name="calls_ans_OECS" localSheetId="1">Table2[Calls Ans]</definedName>
    <definedName name="calls_ans_OECS" localSheetId="4">Table2[Calls Ans]</definedName>
    <definedName name="calls_ans_OECS">Table2[Calls Ans]</definedName>
    <definedName name="calls_ans_TT" localSheetId="1">Table7[Calls Ans]</definedName>
    <definedName name="calls_ans_TT" localSheetId="4">Table7[Calls Ans]</definedName>
    <definedName name="calls_ans_TT">Table7[Calls Ans]</definedName>
    <definedName name="calls_off_BAR" localSheetId="1">Table3[Calls Off]</definedName>
    <definedName name="calls_off_BAR" localSheetId="4">Table3[Calls Off]</definedName>
    <definedName name="calls_off_BAR">Table3[Calls Off]</definedName>
    <definedName name="calls_off_GUY" localSheetId="1">Table9[Calls Off]</definedName>
    <definedName name="calls_off_GUY" localSheetId="4">Table9[Calls Off]</definedName>
    <definedName name="calls_off_GUY">Table9[Calls Off]</definedName>
    <definedName name="calls_off_JAM" localSheetId="1">Table6[Calls Off]</definedName>
    <definedName name="calls_off_JAM" localSheetId="4">Table6[Calls Off]</definedName>
    <definedName name="calls_off_JAM">Table6[Calls Off]</definedName>
    <definedName name="calls_off_OECS" localSheetId="1">Table2[Calls Off]</definedName>
    <definedName name="calls_off_OECS" localSheetId="4">Table2[Calls Off]</definedName>
    <definedName name="calls_off_OECS">Table2[Calls Off]</definedName>
    <definedName name="calls_off_TT" localSheetId="1">Table7[Calls Off]</definedName>
    <definedName name="calls_off_TT" localSheetId="4">Table7[Calls Off]</definedName>
    <definedName name="calls_off_TT">Table7[Calls Off]</definedName>
    <definedName name="chart_ABR_BAR" localSheetId="1">INDEX('Live Chat KPIs - Monthly'!ABR_BAR,MATCH(Barbados!$V$110,'Live Chat KPIs - Monthly'!period_BAR,0)):INDEX('Live Chat KPIs - Monthly'!ABR_BAR,MATCH(Barbados!$V$111,'Live Chat KPIs - Monthly'!period_BAR,0))</definedName>
    <definedName name="chart_ABR_GUY" localSheetId="1">INDEX('Live Chat KPIs - Monthly'!ABR_GUY,MATCH(Guyana!$U$110,'Live Chat KPIs - Monthly'!period_GUY,0)):INDEX('Live Chat KPIs - Monthly'!ABR_GUY,MATCH(Guyana!$U$111,'Live Chat KPIs - Monthly'!period_GUY,0))</definedName>
    <definedName name="chart_ABR_JAM" localSheetId="1">INDEX('Live Chat KPIs - Monthly'!ABR_JAM,MATCH(Jamaica!$V$107,'Live Chat KPIs - Monthly'!period_JAM,0)):INDEX('Live Chat KPIs - Monthly'!ABR_JAM,MATCH(Jamaica!$V$108,'Live Chat KPIs - Monthly'!period_JAM,0))</definedName>
    <definedName name="chart_ABR_OECS" localSheetId="1">INDEX('Live Chat KPIs - Monthly'!ABR_OECS,MATCH(OECS!$U$127,'Live Chat KPIs - Monthly'!period_OECS,0)):INDEX('Live Chat KPIs - Monthly'!ABR_OECS,MATCH(OECS!$U$128,'Live Chat KPIs - Monthly'!period_OECS,0))</definedName>
    <definedName name="chart_ABR_TT" localSheetId="1">INDEX('Live Chat KPIs - Monthly'!ABR_TT,MATCH('Trinidad and Tobago'!$W$120,'Live Chat KPIs - Monthly'!period_TT,0)):INDEX('Live Chat KPIs - Monthly'!ABR_TT,MATCH('Trinidad and Tobago'!$W$121,'Live Chat KPIs - Monthly'!period_TT,0))</definedName>
    <definedName name="chart_ATT" localSheetId="4">INDEX(Quarter_Regional!ATT_JAM,MATCH(Jamaica!$AA$5,Quarter_Regional!WoW_dates_JAM,0)):INDEX(Quarter_Regional!WoW_dates_JAM,MATCH(Jamaica!$AA$6,Quarter_Regional!WoW_dates_JAM,0))</definedName>
    <definedName name="chart_ATT">INDEX(ATT_JAM,MATCH(Jamaica!$AA$5,WoW_dates_JAM,0)):INDEX(WoW_dates_JAM,MATCH(Jamaica!$AA$6,WoW_dates_JAM,0))</definedName>
    <definedName name="chart_ATT_BAR" localSheetId="4">#N/A</definedName>
    <definedName name="chart_ATT_BAR">INDEX([0]!ATT_BAR,MATCH(Barbados!$V$110,'Live Chat KPIs - Monthly'!period_BAR,0)):INDEX([0]!ATT_BAR,MATCH(Barbados!$V$111,'Live Chat KPIs - Monthly'!period_BAR,0))</definedName>
    <definedName name="chart_ATT_GUY" localSheetId="4">#N/A</definedName>
    <definedName name="chart_ATT_GUY">INDEX([0]!ATT_GUY,MATCH(Guyana!$U$110,'Live Chat KPIs - Monthly'!period_GUY,0)):INDEX([0]!ATT_GUY,MATCH(Guyana!$U$111,'Live Chat KPIs - Monthly'!period_GUY,0))</definedName>
    <definedName name="chart_ATT_JAM" localSheetId="4">#N/A</definedName>
    <definedName name="chart_ATT_JAM">INDEX([0]!ATT_JAM,MATCH(Jamaica!$V$107,'Live Chat KPIs - Monthly'!period_JAM,0)):INDEX([0]!ATT_JAM,MATCH(Jamaica!$V$108,'Live Chat KPIs - Monthly'!period_JAM,0))</definedName>
    <definedName name="chart_ATT_OECS" localSheetId="4">#N/A</definedName>
    <definedName name="chart_ATT_OECS">INDEX([0]!ATT_OECS,MATCH(OECS!$U$127,'Live Chat KPIs - Monthly'!period_OECS,0)):INDEX([0]!ATT_OECS,MATCH(OECS!$U$128,'Live Chat KPIs - Monthly'!period_OECS,0))</definedName>
    <definedName name="chart_ATT_TT" localSheetId="4">#N/A</definedName>
    <definedName name="chart_ATT_TT">INDEX([0]!ATT_TT,MATCH('Trinidad and Tobago'!$W$120,'Live Chat KPIs - Monthly'!period_TT,0)):INDEX([0]!ATT_TT,MATCH('Trinidad and Tobago'!$W$121,'Live Chat KPIs - Monthly'!period_TT,0))</definedName>
    <definedName name="chart_AU_BAR" localSheetId="1">INDEX('Live Chat KPIs - Monthly'!AU_BAR,MATCH(Barbados!$V$110,'Live Chat KPIs - Monthly'!period_BAR,0)):INDEX('Live Chat KPIs - Monthly'!AU_BAR,MATCH(Barbados!$V$111,'Live Chat KPIs - Monthly'!period_BAR,0))</definedName>
    <definedName name="chart_AU_GUY" localSheetId="1">INDEX('Live Chat KPIs - Monthly'!AU_GUY,MATCH(Guyana!$U$110,'Live Chat KPIs - Monthly'!period_GUY,0)):INDEX('Live Chat KPIs - Monthly'!AU_GUY,MATCH(Guyana!$U$111,'Live Chat KPIs - Monthly'!period_GUY,0))</definedName>
    <definedName name="chart_AU_JAM" localSheetId="1">INDEX('Live Chat KPIs - Monthly'!AU_JAM,MATCH(Jamaica!$V$107,'Live Chat KPIs - Monthly'!period_JAM,0)):INDEX('Live Chat KPIs - Monthly'!AU_JAM,MATCH(Jamaica!$V$108,'Live Chat KPIs - Monthly'!period_JAM,0))</definedName>
    <definedName name="chart_AU_OECS" localSheetId="1">INDEX('Live Chat KPIs - Monthly'!AU_OECS,MATCH(OECS!$U$127,'Live Chat KPIs - Monthly'!period_OECS,0)):INDEX('Live Chat KPIs - Monthly'!AU_OECS,MATCH(OECS!$U$128,'Live Chat KPIs - Monthly'!period_OECS,0))</definedName>
    <definedName name="chart_AU_TT" localSheetId="1">INDEX('Live Chat KPIs - Monthly'!AU_TT,MATCH('Trinidad and Tobago'!$W$120,'Live Chat KPIs - Monthly'!period_TT,0)):INDEX('Live Chat KPIs - Monthly'!AU_TT,MATCH('Trinidad and Tobago'!$W$121,'Live Chat KPIs - Monthly'!period_TT,0))</definedName>
    <definedName name="chart_calls_ans_BAR" localSheetId="1">INDEX('Live Chat KPIs - Monthly'!calls_ans_BAR,MATCH(Barbados!$V$110,'Live Chat KPIs - Monthly'!period_BAR,0)):INDEX('Live Chat KPIs - Monthly'!calls_ans_BAR,MATCH(Barbados!$V$111,'Live Chat KPIs - Monthly'!period_BAR,0))</definedName>
    <definedName name="chart_calls_ans_GUY" localSheetId="1">INDEX('Live Chat KPIs - Monthly'!calls_ans_GUY,MATCH(Guyana!$U$110,'Live Chat KPIs - Monthly'!period_GUY,0)):INDEX('Live Chat KPIs - Monthly'!calls_ans_GUY,MATCH(Guyana!$U$111,'Live Chat KPIs - Monthly'!period_GUY,0))</definedName>
    <definedName name="chart_calls_ans_JAM" localSheetId="1">INDEX('Live Chat KPIs - Monthly'!calls_ans_JAM,MATCH(Jamaica!$V$107,'Live Chat KPIs - Monthly'!period_JAM,0)):INDEX('Live Chat KPIs - Monthly'!calls_ans_JAM,MATCH(Jamaica!$V$108,'Live Chat KPIs - Monthly'!period_JAM,0))</definedName>
    <definedName name="chart_calls_ans_OECS" localSheetId="1">INDEX('Live Chat KPIs - Monthly'!calls_ans_OECS,MATCH(OECS!$U$127,'Live Chat KPIs - Monthly'!period_OECS,0)):INDEX('Live Chat KPIs - Monthly'!calls_ans_OECS,MATCH(OECS!$U$128,'Live Chat KPIs - Monthly'!period_OECS,0))</definedName>
    <definedName name="chart_calls_ans_TT" localSheetId="1">INDEX('Live Chat KPIs - Monthly'!calls_ans_TT,MATCH('Trinidad and Tobago'!$W$120,'Live Chat KPIs - Monthly'!period_TT,0)):INDEX('Live Chat KPIs - Monthly'!calls_ans_TT,MATCH('Trinidad and Tobago'!$W$121,'Live Chat KPIs - Monthly'!period_TT,0))</definedName>
    <definedName name="chart_calls_off_BAR" localSheetId="1">INDEX('Live Chat KPIs - Monthly'!calls_off_BAR,MATCH(Barbados!$V$110,'Live Chat KPIs - Monthly'!period_BAR,0)):INDEX('Live Chat KPIs - Monthly'!calls_off_BAR,MATCH(Barbados!$V$111,'Live Chat KPIs - Monthly'!period_BAR,0))</definedName>
    <definedName name="chart_calls_off_GUY" localSheetId="1">INDEX('Live Chat KPIs - Monthly'!calls_off_GUY,MATCH(Guyana!$U$110,'Live Chat KPIs - Monthly'!period_GUY,0)):INDEX('Live Chat KPIs - Monthly'!calls_off_GUY,MATCH(Guyana!$U$111,'Live Chat KPIs - Monthly'!period_GUY,0))</definedName>
    <definedName name="chart_calls_off_JAM" localSheetId="1">INDEX('Live Chat KPIs - Monthly'!calls_off_JAM,MATCH(Jamaica!$V$107,'Live Chat KPIs - Monthly'!period_JAM,0)):INDEX('Live Chat KPIs - Monthly'!calls_off_JAM,MATCH(Jamaica!$V$108,'Live Chat KPIs - Monthly'!period_JAM,0))</definedName>
    <definedName name="chart_calls_off_OECS" localSheetId="1">INDEX('Live Chat KPIs - Monthly'!calls_off_OECS,MATCH(OECS!$U$127,'Live Chat KPIs - Monthly'!period_OECS,0)):INDEX('Live Chat KPIs - Monthly'!calls_off_OECS,MATCH(OECS!$U$128,'Live Chat KPIs - Monthly'!period_OECS,0))</definedName>
    <definedName name="chart_calls_off_TT" localSheetId="1">INDEX('Live Chat KPIs - Monthly'!calls_off_TT,MATCH('Trinidad and Tobago'!$W$120,'Live Chat KPIs - Monthly'!period_TT,0)):INDEX('Live Chat KPIs - Monthly'!calls_off_TT,MATCH('Trinidad and Tobago'!$W$121,'Live Chat KPIs - Monthly'!period_TT,0))</definedName>
    <definedName name="chart_period_ATT_JAM" localSheetId="4">#N/A</definedName>
    <definedName name="chart_period_ATT_JAM">INDEX([0]!period_JAM,MATCH(Jamaica!$V$107,'Live Chat KPIs - Monthly'!period_JAM,0)):INDEX([0]!period_JAM,MATCH(Jamaica!$V$108,'Live Chat KPIs - Monthly'!period_JAM,0))</definedName>
    <definedName name="chart_period_BAR" localSheetId="1">INDEX('Live Chat KPIs - Monthly'!period_BAR,MATCH(Barbados!$V$110,'Live Chat KPIs - Monthly'!period_BAR,0)):INDEX('Live Chat KPIs - Monthly'!period_BAR,MATCH(Barbados!$V$111,'Live Chat KPIs - Monthly'!period_BAR,0))</definedName>
    <definedName name="chart_period_GUY" localSheetId="1">INDEX('Live Chat KPIs - Monthly'!period_GUY,MATCH(Guyana!$U$110,'Live Chat KPIs - Monthly'!period_GUY,0)):INDEX('Live Chat KPIs - Monthly'!period_GUY,MATCH(Guyana!$U$111,'Live Chat KPIs - Monthly'!period_GUY,0))</definedName>
    <definedName name="chart_period_JAM" localSheetId="1">INDEX('Live Chat KPIs - Monthly'!period_JAM,MATCH(Jamaica!$V$107,'Live Chat KPIs - Monthly'!period_JAM,0)):INDEX('Live Chat KPIs - Monthly'!period_JAM,MATCH(Jamaica!$V$108,'Live Chat KPIs - Monthly'!period_JAM,0))</definedName>
    <definedName name="chart_period_OECS" localSheetId="1">INDEX('Live Chat KPIs - Monthly'!period_OECS,MATCH(OECS!$U$127,'Live Chat KPIs - Monthly'!period_OECS,0)):INDEX('Live Chat KPIs - Monthly'!period_OECS,MATCH(OECS!$U$128,'Live Chat KPIs - Monthly'!period_OECS,0))</definedName>
    <definedName name="chart_period_TT" localSheetId="1">INDEX('Live Chat KPIs - Monthly'!period_TT,MATCH('Trinidad and Tobago'!$W$120,'Live Chat KPIs - Monthly'!period_TT,0)):INDEX('Live Chat KPIs - Monthly'!period_TT,MATCH('Trinidad and Tobago'!$W$121,'Live Chat KPIs - Monthly'!period_TT,0))</definedName>
    <definedName name="chart_period_WoW_BAR" localSheetId="1">INDEX('Live Chat KPIs - Monthly'!WoW_dates_BAR,MATCH(Barbados!$AF$3,'Live Chat KPIs - Monthly'!WoW_dates_BAR,0)):INDEX('Live Chat KPIs - Monthly'!WoW_dates_BAR,MATCH(Barbados!$AF$4,'Live Chat KPIs - Monthly'!WoW_dates_BAR,0))</definedName>
    <definedName name="chart_period_WoW_BAR" localSheetId="4">INDEX(Quarter_Regional!WoW_dates_BAR,MATCH(Barbados!$AF$3,Quarter_Regional!WoW_dates_BAR,0)):INDEX(Quarter_Regional!WoW_dates_BAR,MATCH(Barbados!$AF$4,Quarter_Regional!WoW_dates_BAR,0))</definedName>
    <definedName name="chart_period_WoW_BAR">INDEX(WoW_dates_BAR,MATCH(Barbados!$AF$3,WoW_dates_BAR,0)):INDEX(WoW_dates_BAR,MATCH(Barbados!$AF$4,WoW_dates_BAR,0))</definedName>
    <definedName name="chart_period_WoW_GUY" localSheetId="1">INDEX('Live Chat KPIs - Monthly'!WoW_dates_GUY,MATCH(Guyana!$X$3,'Live Chat KPIs - Monthly'!WoW_dates_GUY,0)):INDEX('Live Chat KPIs - Monthly'!WoW_dates_GUY,MATCH(Guyana!$X$4,'Live Chat KPIs - Monthly'!WoW_dates_GUY,0))</definedName>
    <definedName name="chart_period_WoW_GUY" localSheetId="4">INDEX(Quarter_Regional!WoW_dates_GUY,MATCH(Guyana!$X$3,Quarter_Regional!WoW_dates_GUY,0)):INDEX(Quarter_Regional!WoW_dates_GUY,MATCH(Guyana!$X$4,Quarter_Regional!WoW_dates_GUY,0))</definedName>
    <definedName name="chart_period_WoW_GUY">INDEX(WoW_dates_GUY,MATCH(Guyana!$X$3,WoW_dates_GUY,0)):INDEX(WoW_dates_GUY,MATCH(Guyana!$X$4,WoW_dates_GUY,0))</definedName>
    <definedName name="chart_period_WoW_JAM" localSheetId="1">INDEX('Live Chat KPIs - Monthly'!WoW_dates_JAM,MATCH(Jamaica!$AA$5,'Live Chat KPIs - Monthly'!WoW_dates_JAM,0)):INDEX('Live Chat KPIs - Monthly'!WoW_dates_JAM,MATCH(Jamaica!$AA$6,'Live Chat KPIs - Monthly'!WoW_dates_JAM,0))</definedName>
    <definedName name="chart_period_WoW_JAM" localSheetId="4">INDEX(Quarter_Regional!WoW_dates_JAM,MATCH(Jamaica!$AA$5,Quarter_Regional!WoW_dates_JAM,0)):INDEX(Quarter_Regional!WoW_dates_JAM,MATCH(Jamaica!$AA$6,Quarter_Regional!WoW_dates_JAM,0))</definedName>
    <definedName name="chart_period_WoW_JAM">INDEX(WoW_dates_JAM,MATCH(Jamaica!$AA$5,WoW_dates_JAM,0)):INDEX(WoW_dates_JAM,MATCH(Jamaica!$AA$6,WoW_dates_JAM,0))</definedName>
    <definedName name="chart_period_WoW_OECS" localSheetId="1">INDEX('Live Chat KPIs - Monthly'!WoW_dates_OECS,MATCH(OECS!$Y$7,'Live Chat KPIs - Monthly'!WoW_dates_OECS,0)):INDEX('Live Chat KPIs - Monthly'!WoW_dates_OECS,MATCH(OECS!$Y$8,'Live Chat KPIs - Monthly'!WoW_dates_OECS,0))</definedName>
    <definedName name="chart_period_WoW_OECS" localSheetId="4">INDEX(Quarter_Regional!WoW_dates_OECS,MATCH(OECS!$Y$7,Quarter_Regional!WoW_dates_OECS,0)):INDEX(Quarter_Regional!WoW_dates_OECS,MATCH(OECS!$Y$8,Quarter_Regional!WoW_dates_OECS,0))</definedName>
    <definedName name="chart_period_WoW_OECS">INDEX(WoW_dates_OECS,MATCH(OECS!$Y$7,WoW_dates_OECS,0)):INDEX(WoW_dates_OECS,MATCH(OECS!$Y$8,WoW_dates_OECS,0))</definedName>
    <definedName name="chart_period_WoW_TT" localSheetId="1">INDEX('Live Chat KPIs - Monthly'!WoW_dates_TT,MATCH('Trinidad and Tobago'!$Z$6,'Live Chat KPIs - Monthly'!WoW_dates_TT,0)):INDEX('Live Chat KPIs - Monthly'!WoW_dates_TT,MATCH('Trinidad and Tobago'!$Z$7,'Live Chat KPIs - Monthly'!WoW_dates_TT,0))</definedName>
    <definedName name="chart_period_WoW_TT" localSheetId="4">INDEX(Quarter_Regional!WoW_dates_TT,MATCH('Trinidad and Tobago'!$Z$6,Quarter_Regional!WoW_dates_TT,0)):INDEX(Quarter_Regional!WoW_dates_TT,MATCH('Trinidad and Tobago'!$Z$7,Quarter_Regional!WoW_dates_TT,0))</definedName>
    <definedName name="chart_period_WoW_TT">INDEX(WoW_dates_TT,MATCH('Trinidad and Tobago'!$Z$6,WoW_dates_TT,0)):INDEX(WoW_dates_TT,MATCH('Trinidad and Tobago'!$Z$7,WoW_dates_TT,0))</definedName>
    <definedName name="chart_SL_BAR" localSheetId="1">INDEX('Live Chat KPIs - Monthly'!SL_BAR,MATCH(Barbados!$V$110,'Live Chat KPIs - Monthly'!period_BAR,0)):INDEX('Live Chat KPIs - Monthly'!SL_BAR,MATCH(Barbados!$V$111,'Live Chat KPIs - Monthly'!period_BAR,0))</definedName>
    <definedName name="chart_SL_GUY" localSheetId="1">INDEX('Live Chat KPIs - Monthly'!SL_GUY,MATCH(Guyana!$U$110,'Live Chat KPIs - Monthly'!period_GUY,0)):INDEX('Live Chat KPIs - Monthly'!SL_GUY,MATCH(Guyana!$U$111,'Live Chat KPIs - Monthly'!period_GUY,0))</definedName>
    <definedName name="chart_SL_JAM" localSheetId="1">INDEX('Live Chat KPIs - Monthly'!SL_JAM,MATCH(Jamaica!$V$107,'Live Chat KPIs - Monthly'!period_JAM,0)):INDEX('Live Chat KPIs - Monthly'!SL_JAM,MATCH(Jamaica!$V$108,'Live Chat KPIs - Monthly'!period_JAM,0))</definedName>
    <definedName name="chart_SL_OECS" localSheetId="1">INDEX('Live Chat KPIs - Monthly'!SL_OECS,MATCH(OECS!$U$127,'Live Chat KPIs - Monthly'!period_OECS,0)):INDEX('Live Chat KPIs - Monthly'!SL_OECS,MATCH(OECS!$U$128,'Live Chat KPIs - Monthly'!period_OECS,0))</definedName>
    <definedName name="chart_SL_TT" localSheetId="1">INDEX('Live Chat KPIs - Monthly'!SL_TT,MATCH('Trinidad and Tobago'!$W$120,'Live Chat KPIs - Monthly'!period_TT,0)):INDEX('Live Chat KPIs - Monthly'!SL_TT,MATCH('Trinidad and Tobago'!$W$121,'Live Chat KPIs - Monthly'!period_TT,0))</definedName>
    <definedName name="chart_WFM_BAR" localSheetId="1">INDEX('Live Chat KPIs - Monthly'!period_BAR_WFM,MATCH(Barbados!$V$110,'Live Chat KPIs - Monthly'!period_BAR,0)):INDEX('Live Chat KPIs - Monthly'!period_BAR_WFM,MATCH(Barbados!$V$111,'Live Chat KPIs - Monthly'!period_BAR,0))</definedName>
    <definedName name="chart_WFM_GUY" localSheetId="4">INDEX(Quarter_Regional!period_GUY_WF,MATCH(Guyana!$U$110,Quarter_Regional!period_GUY,0)):INDEX(Quarter_Regional!period_GUY_WF,MATCH(Guyana!$U$111,Quarter_Regional!period_GUY,0))</definedName>
    <definedName name="chart_WFM_GUY">INDEX(period_GUY_WF,MATCH(Guyana!$U$110,period_GUY,0)):INDEX(period_GUY_WF,MATCH(Guyana!$U$111,period_GUY,0))</definedName>
    <definedName name="chart_WFM_JAM" localSheetId="1">INDEX('Live Chat KPIs - Monthly'!period_JAM_WFM,MATCH(Jamaica!$V$107,'Live Chat KPIs - Monthly'!period_JAM,0)):INDEX('Live Chat KPIs - Monthly'!period_JAM_WFM,MATCH(Jamaica!$V$108,'Live Chat KPIs - Monthly'!period_JAM,0))</definedName>
    <definedName name="chart_WFM_OECS" localSheetId="1">INDEX('Live Chat KPIs - Monthly'!period_OECS_WF,MATCH(OECS!$U$127,'Live Chat KPIs - Monthly'!period_OECS,0)):INDEX('Live Chat KPIs - Monthly'!period_OECS_WF,MATCH(OECS!$U$128,'Live Chat KPIs - Monthly'!period_OECS,0))</definedName>
    <definedName name="chart_WFM_TTO" localSheetId="1">INDEX('Live Chat KPIs - Monthly'!period_TT_WFM,MATCH('Trinidad and Tobago'!$W$120,'Live Chat KPIs - Monthly'!period_TT,0)):INDEX('Live Chat KPIs - Monthly'!period_TT_WFM,MATCH('Trinidad and Tobago'!$W$121,'Live Chat KPIs - Monthly'!period_TT,0))</definedName>
    <definedName name="chart_WoW_ans_BAR_percent" localSheetId="1">INDEX('Live Chat KPIs - Monthly'!percent_WoW_ans_BAR,MATCH(Barbados!$V$110,'Live Chat KPIs - Monthly'!period_BAR,0)):INDEX('Live Chat KPIs - Monthly'!percent_WoW_ans_BAR,MATCH(Barbados!$V$111,'Live Chat KPIs - Monthly'!period_BAR,0))</definedName>
    <definedName name="chart_WoW_ans_GUY_percent" localSheetId="1">INDEX('Live Chat KPIs - Monthly'!percent_WoW_ans_GUY,MATCH(Guyana!$U$110,'Live Chat KPIs - Monthly'!period_GUY,0)):INDEX('Live Chat KPIs - Monthly'!percent_WoW_ans_GUY,MATCH(Guyana!$U$111,'Live Chat KPIs - Monthly'!period_GUY,0))</definedName>
    <definedName name="chart_WoW_ans_JAM_percent" localSheetId="1">INDEX('Live Chat KPIs - Monthly'!percent_WoW_ans_JAM,MATCH(Jamaica!$V$107,'Live Chat KPIs - Monthly'!period_JAM,0)):INDEX('Live Chat KPIs - Monthly'!percent_WoW_ans_JAM,MATCH(Jamaica!$V$108,'Live Chat KPIs - Monthly'!period_JAM,0))</definedName>
    <definedName name="chart_WoW_ans_OECS" localSheetId="1">INDEX('Live Chat KPIs - Monthly'!percent_WoW_ans_OECS,MATCH(OECS!$U$127,'Live Chat KPIs - Monthly'!period_OECS,0)):INDEX('Live Chat KPIs - Monthly'!percent_WoW_ans_OECS,MATCH(OECS!$U$128,'Live Chat KPIs - Monthly'!period_OECS,0))</definedName>
    <definedName name="chart_WoW_ans_TT_percent" localSheetId="1">INDEX('Live Chat KPIs - Monthly'!percent_WoW_ans_TT,MATCH('Trinidad and Tobago'!$W$120,'Live Chat KPIs - Monthly'!period_TT,0)):INDEX('Live Chat KPIs - Monthly'!percent_WoW_ans_TT,MATCH('Trinidad and Tobago'!$W$121,'Live Chat KPIs - Monthly'!period_TT,0))</definedName>
    <definedName name="chart_WoW_off_BAR_percent" localSheetId="1">INDEX('Live Chat KPIs - Monthly'!percent_WoW_off_BAR,MATCH(Barbados!$V$110,'Live Chat KPIs - Monthly'!period_BAR,0)):INDEX('Live Chat KPIs - Monthly'!percent_WoW_off_BAR,MATCH(Barbados!$V$111,'Live Chat KPIs - Monthly'!period_BAR,0))</definedName>
    <definedName name="chart_WoW_off_GUY_percent" localSheetId="1">INDEX('Live Chat KPIs - Monthly'!percent_WoW_off_GUY,MATCH(Guyana!$U$110,'Live Chat KPIs - Monthly'!period_GUY,0)):INDEX('Live Chat KPIs - Monthly'!percent_WoW_off_GUY,MATCH(Guyana!$U$111,'Live Chat KPIs - Monthly'!period_GUY,0))</definedName>
    <definedName name="chart_WoW_off_JAM_percent" localSheetId="1">INDEX('Live Chat KPIs - Monthly'!percent_WoW_off_JAM,MATCH(Jamaica!$V$107,'Live Chat KPIs - Monthly'!period_JAM,0)):INDEX('Live Chat KPIs - Monthly'!percent_WoW_off_JAM,MATCH(Jamaica!$V$108,'Live Chat KPIs - Monthly'!period_JAM,0))</definedName>
    <definedName name="chart_WoW_off_OECS" localSheetId="1">INDEX('Live Chat KPIs - Monthly'!percent_WoW_off_OECS,MATCH(OECS!$U$127,'Live Chat KPIs - Monthly'!period_OECS,0)):INDEX('Live Chat KPIs - Monthly'!percent_WoW_off_OECS,MATCH(OECS!$U$128,'Live Chat KPIs - Monthly'!period_OECS,0))</definedName>
    <definedName name="chart_WoW_off_TT_percent" localSheetId="1">INDEX('Live Chat KPIs - Monthly'!percent_WoW_off_TT,MATCH('Trinidad and Tobago'!$W$120,'Live Chat KPIs - Monthly'!period_TT,0)):INDEX('Live Chat KPIs - Monthly'!percent_WoW_off_TT,MATCH('Trinidad and Tobago'!$W$121,'Live Chat KPIs - Monthly'!period_TT,0))</definedName>
    <definedName name="percent_WoW_ans_BAR" localSheetId="1">Table3[WoW % change (ans)]</definedName>
    <definedName name="percent_WoW_ans_BAR" localSheetId="4">Table3[WoW % change (ans)]</definedName>
    <definedName name="percent_WoW_ans_BAR">Table3[WoW % change (ans)]</definedName>
    <definedName name="percent_WoW_ans_GUY" localSheetId="1">Table9[WoW % change (ans)]</definedName>
    <definedName name="percent_WoW_ans_GUY" localSheetId="4">Table9[WoW % change (ans)]</definedName>
    <definedName name="percent_WoW_ans_GUY">Table9[WoW % change (ans)]</definedName>
    <definedName name="percent_WoW_ans_JAM" localSheetId="1">Table6[WoW % change (ans)]</definedName>
    <definedName name="percent_WoW_ans_JAM" localSheetId="4">Table6[WoW % change (ans)]</definedName>
    <definedName name="percent_WoW_ans_JAM">Table6[WoW % change (ans)]</definedName>
    <definedName name="percent_WoW_ans_OECS" localSheetId="1">Table2[WoW % change (ans)]</definedName>
    <definedName name="percent_WoW_ans_OECS" localSheetId="4">Table2[WoW % change (ans)]</definedName>
    <definedName name="percent_WoW_ans_OECS">Table2[WoW % change (ans)]</definedName>
    <definedName name="percent_WoW_ans_TT" localSheetId="1">Table7[WoW % change (ans)]</definedName>
    <definedName name="percent_WoW_ans_TT" localSheetId="4">Table7[WoW % change (ans)]</definedName>
    <definedName name="percent_WoW_ans_TT">Table7[WoW % change (ans)]</definedName>
    <definedName name="percent_WoW_off_BAR" localSheetId="1">Table3[WoW % change (offer)]</definedName>
    <definedName name="percent_WoW_off_BAR" localSheetId="4">Table3[WoW % change (offer)]</definedName>
    <definedName name="percent_WoW_off_BAR">Table3[WoW % change (offer)]</definedName>
    <definedName name="percent_WoW_off_GUY" localSheetId="1">Table9[WoW % change (offer)]</definedName>
    <definedName name="percent_WoW_off_GUY" localSheetId="4">Table9[WoW % change (offer)]</definedName>
    <definedName name="percent_WoW_off_GUY">Table9[WoW % change (offer)]</definedName>
    <definedName name="percent_WoW_off_JAM" localSheetId="1">Table6[WoW % change (offer)]</definedName>
    <definedName name="percent_WoW_off_JAM" localSheetId="4">Table6[WoW % change (offer)]</definedName>
    <definedName name="percent_WoW_off_JAM">Table6[WoW % change (offer)]</definedName>
    <definedName name="percent_WoW_off_OECS" localSheetId="1">Table2[WoW % change (offer)]</definedName>
    <definedName name="percent_WoW_off_OECS" localSheetId="4">Table2[WoW % change (offer)]</definedName>
    <definedName name="percent_WoW_off_OECS">Table2[WoW % change (offer)]</definedName>
    <definedName name="percent_WoW_off_TT" localSheetId="1">Table7[WoW % change (offer)]</definedName>
    <definedName name="percent_WoW_off_TT" localSheetId="4">Table7[WoW % change (offer)]</definedName>
    <definedName name="percent_WoW_off_TT">Table7[WoW % change (offer)]</definedName>
    <definedName name="period_BAR" localSheetId="1">Table3[Date]</definedName>
    <definedName name="period_BAR" localSheetId="4">Table3[Date]</definedName>
    <definedName name="period_BAR">Table3[Date]</definedName>
    <definedName name="period_BAR_WFM" localSheetId="1">Table3[Agents Log]</definedName>
    <definedName name="period_BAR_WFM" localSheetId="4">Table3[Agents Log]</definedName>
    <definedName name="period_BAR_WFM">Table3[Agents Log]</definedName>
    <definedName name="period_GUY" localSheetId="1">Table9[Date]</definedName>
    <definedName name="period_GUY" localSheetId="4">Table9[Date]</definedName>
    <definedName name="period_GUY">Table9[Date]</definedName>
    <definedName name="period_GUY_WF" localSheetId="1">Table9[Agents Log]</definedName>
    <definedName name="period_GUY_WF" localSheetId="4">Table9[Agents Log]</definedName>
    <definedName name="period_GUY_WF">Table9[Agents Log]</definedName>
    <definedName name="period_JAM" localSheetId="1">Table6[Date]</definedName>
    <definedName name="period_JAM" localSheetId="4">Table6[Date]</definedName>
    <definedName name="period_JAM">Table6[Date]</definedName>
    <definedName name="period_JAM_WFM" localSheetId="1">Table6[Agents Log]</definedName>
    <definedName name="period_JAM_WFM" localSheetId="4">Table6[Agents Log]</definedName>
    <definedName name="period_JAM_WFM">Table6[Agents Log]</definedName>
    <definedName name="period_OECS" localSheetId="1">Table2[Date]</definedName>
    <definedName name="period_OECS" localSheetId="4">Table2[Date]</definedName>
    <definedName name="period_OECS">Table2[Date]</definedName>
    <definedName name="period_OECS_WF" localSheetId="1">#REF!</definedName>
    <definedName name="period_OECS_WF">#REF!</definedName>
    <definedName name="period_TT" localSheetId="1">Table7[Date]</definedName>
    <definedName name="period_TT" localSheetId="4">Table7[Date]</definedName>
    <definedName name="period_TT">Table7[Date]</definedName>
    <definedName name="period_TT_WFM" localSheetId="1">Table7[Agents Log]</definedName>
    <definedName name="period_TT_WFM" localSheetId="4">Table7[Agents Log]</definedName>
    <definedName name="period_TT_WFM">Table7[Agents Log]</definedName>
    <definedName name="SL_BAR" localSheetId="1">Table3[SL]</definedName>
    <definedName name="SL_BAR" localSheetId="4">Table3[SL]</definedName>
    <definedName name="SL_BAR">Table3[SL]</definedName>
    <definedName name="SL_GUY" localSheetId="1">Table9[SL]</definedName>
    <definedName name="SL_GUY" localSheetId="4">Table9[SL]</definedName>
    <definedName name="SL_GUY">Table9[SL]</definedName>
    <definedName name="SL_JAM" localSheetId="1">Table6[SL]</definedName>
    <definedName name="SL_JAM" localSheetId="4">Table6[SL]</definedName>
    <definedName name="SL_JAM">Table6[SL]</definedName>
    <definedName name="SL_OECS" localSheetId="1">Table2[SL]</definedName>
    <definedName name="SL_OECS" localSheetId="4">Table2[SL]</definedName>
    <definedName name="SL_OECS">Table2[SL]</definedName>
    <definedName name="SL_TT" localSheetId="1">Table7[SL]</definedName>
    <definedName name="SL_TT" localSheetId="4">Table7[SL]</definedName>
    <definedName name="SL_TT">Table7[SL]</definedName>
    <definedName name="WoW_calls_ans" localSheetId="1">Table4[Sum of Calls - Answered]</definedName>
    <definedName name="WoW_calls_ans" localSheetId="4">Table4[Sum of Calls - Answered]</definedName>
    <definedName name="WoW_calls_ans">Table4[Sum of Calls - Answered]</definedName>
    <definedName name="WoW_calls_off" localSheetId="1">Table4[Sum of Calls - Offered]</definedName>
    <definedName name="WoW_calls_off" localSheetId="4">Table4[Sum of Calls - Offered]</definedName>
    <definedName name="WoW_calls_off">Table4[Sum of Calls - Offered]</definedName>
    <definedName name="WoW_dates_BAR" localSheetId="1">Table14[Week of]</definedName>
    <definedName name="WoW_dates_BAR" localSheetId="4">Table14[Week of]</definedName>
    <definedName name="WoW_dates_BAR">Table14[Week of]</definedName>
    <definedName name="WoW_dates_GUY" localSheetId="1">Table10[Week of]</definedName>
    <definedName name="WoW_dates_GUY" localSheetId="4">Table10[Week of]</definedName>
    <definedName name="WoW_dates_GUY">Table10[Week of]</definedName>
    <definedName name="WoW_dates_JAM" localSheetId="1">Table13[Week of]</definedName>
    <definedName name="WoW_dates_JAM" localSheetId="4">Table13[Week of]</definedName>
    <definedName name="WoW_dates_JAM">Table13[Week of]</definedName>
    <definedName name="WoW_dates_OECS" localSheetId="1">Table8[Week Of]</definedName>
    <definedName name="WoW_dates_OECS" localSheetId="4">Table8[Week Of]</definedName>
    <definedName name="WoW_dates_OECS">Table8[Week Of]</definedName>
    <definedName name="WoW_dates_TT" localSheetId="1">Table4[Week of]</definedName>
    <definedName name="WoW_dates_TT" localSheetId="4">Table4[Week of]</definedName>
    <definedName name="WoW_dates_TT">Table4[Week of]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" i="9" l="1"/>
  <c r="J109" i="9"/>
  <c r="I109" i="9"/>
  <c r="H109" i="9"/>
  <c r="G109" i="9"/>
  <c r="F109" i="9"/>
  <c r="K109" i="12" l="1"/>
  <c r="J109" i="12"/>
  <c r="I109" i="12"/>
  <c r="H109" i="12"/>
  <c r="G109" i="12"/>
  <c r="F109" i="12"/>
  <c r="K109" i="11"/>
  <c r="J109" i="11"/>
  <c r="I109" i="11"/>
  <c r="H109" i="11"/>
  <c r="G109" i="11"/>
  <c r="F109" i="11"/>
  <c r="F104" i="9"/>
  <c r="G104" i="9"/>
  <c r="H104" i="9"/>
  <c r="I104" i="9"/>
  <c r="J104" i="9"/>
  <c r="K104" i="9"/>
  <c r="K105" i="9" s="1"/>
  <c r="K106" i="9" s="1"/>
  <c r="K107" i="9" s="1"/>
  <c r="F105" i="9"/>
  <c r="G105" i="9"/>
  <c r="H105" i="9"/>
  <c r="H106" i="9" s="1"/>
  <c r="H107" i="9" s="1"/>
  <c r="I105" i="9"/>
  <c r="I106" i="9" s="1"/>
  <c r="I107" i="9" s="1"/>
  <c r="J105" i="9"/>
  <c r="J106" i="9" s="1"/>
  <c r="J107" i="9" s="1"/>
  <c r="F106" i="9"/>
  <c r="G106" i="9"/>
  <c r="F107" i="9"/>
  <c r="G107" i="9"/>
  <c r="K109" i="8" l="1"/>
  <c r="J109" i="8"/>
  <c r="I109" i="8"/>
  <c r="H109" i="8"/>
  <c r="G109" i="8"/>
  <c r="F109" i="8"/>
  <c r="F106" i="8"/>
  <c r="G106" i="8"/>
  <c r="H106" i="8"/>
  <c r="I106" i="8"/>
  <c r="J106" i="8"/>
  <c r="J107" i="8" s="1"/>
  <c r="K106" i="8"/>
  <c r="K107" i="8" s="1"/>
  <c r="F107" i="8"/>
  <c r="G107" i="8"/>
  <c r="H107" i="8"/>
  <c r="I107" i="8"/>
  <c r="F107" i="11"/>
  <c r="G107" i="11"/>
  <c r="H107" i="11"/>
  <c r="I107" i="11"/>
  <c r="J107" i="11"/>
  <c r="K107" i="11"/>
  <c r="F107" i="12"/>
  <c r="G107" i="12"/>
  <c r="H107" i="12"/>
  <c r="I107" i="12"/>
  <c r="J107" i="12"/>
  <c r="K107" i="12"/>
  <c r="I100" i="12"/>
  <c r="H100" i="12"/>
  <c r="F106" i="12"/>
  <c r="G106" i="12"/>
  <c r="J106" i="12"/>
  <c r="K106" i="12"/>
  <c r="F105" i="11" l="1"/>
  <c r="G105" i="11"/>
  <c r="H105" i="11"/>
  <c r="H106" i="11" s="1"/>
  <c r="I105" i="11"/>
  <c r="J105" i="11"/>
  <c r="K105" i="11"/>
  <c r="K106" i="11" s="1"/>
  <c r="F106" i="11"/>
  <c r="G106" i="11"/>
  <c r="I106" i="11"/>
  <c r="J106" i="11"/>
  <c r="I93" i="8"/>
  <c r="I95" i="8" s="1"/>
  <c r="H93" i="8"/>
  <c r="H96" i="8" s="1"/>
  <c r="H97" i="8" s="1"/>
  <c r="H98" i="8" s="1"/>
  <c r="H99" i="8" s="1"/>
  <c r="H100" i="8" s="1"/>
  <c r="H102" i="8" s="1"/>
  <c r="H103" i="8" s="1"/>
  <c r="H104" i="8" s="1"/>
  <c r="H105" i="8" s="1"/>
  <c r="K95" i="8"/>
  <c r="J95" i="8"/>
  <c r="H95" i="8"/>
  <c r="G95" i="8"/>
  <c r="F95" i="8"/>
  <c r="G105" i="8"/>
  <c r="F105" i="8"/>
  <c r="G104" i="8"/>
  <c r="F104" i="8"/>
  <c r="G103" i="8"/>
  <c r="F103" i="8"/>
  <c r="G102" i="8"/>
  <c r="F102" i="8"/>
  <c r="G100" i="8"/>
  <c r="F100" i="8"/>
  <c r="G99" i="8"/>
  <c r="F99" i="8"/>
  <c r="G98" i="8"/>
  <c r="F98" i="8"/>
  <c r="G97" i="8"/>
  <c r="F97" i="8"/>
  <c r="G96" i="8"/>
  <c r="F96" i="8"/>
  <c r="K93" i="8"/>
  <c r="K96" i="8" s="1"/>
  <c r="K97" i="8" s="1"/>
  <c r="K98" i="8" s="1"/>
  <c r="K99" i="8" s="1"/>
  <c r="K100" i="8" s="1"/>
  <c r="K102" i="8" s="1"/>
  <c r="K103" i="8" s="1"/>
  <c r="K104" i="8" s="1"/>
  <c r="K105" i="8" s="1"/>
  <c r="J93" i="8"/>
  <c r="J96" i="8" s="1"/>
  <c r="J97" i="8" s="1"/>
  <c r="J98" i="8" s="1"/>
  <c r="J99" i="8" s="1"/>
  <c r="J100" i="8" s="1"/>
  <c r="J102" i="8" s="1"/>
  <c r="J103" i="8" s="1"/>
  <c r="J104" i="8" s="1"/>
  <c r="J105" i="8" s="1"/>
  <c r="G93" i="8"/>
  <c r="F93" i="8"/>
  <c r="I103" i="9"/>
  <c r="H103" i="9"/>
  <c r="G103" i="9"/>
  <c r="F103" i="9"/>
  <c r="K102" i="9"/>
  <c r="K103" i="9" s="1"/>
  <c r="J102" i="9"/>
  <c r="J103" i="9" s="1"/>
  <c r="I102" i="9"/>
  <c r="H102" i="9"/>
  <c r="G102" i="9"/>
  <c r="F102" i="9"/>
  <c r="G100" i="9"/>
  <c r="F100" i="9"/>
  <c r="G99" i="9"/>
  <c r="F99" i="9"/>
  <c r="I98" i="9"/>
  <c r="I99" i="9" s="1"/>
  <c r="I100" i="9" s="1"/>
  <c r="H98" i="9"/>
  <c r="H99" i="9" s="1"/>
  <c r="H100" i="9" s="1"/>
  <c r="G98" i="9"/>
  <c r="F98" i="9"/>
  <c r="I97" i="9"/>
  <c r="H97" i="9"/>
  <c r="G97" i="9"/>
  <c r="F97" i="9"/>
  <c r="I96" i="9"/>
  <c r="H96" i="9"/>
  <c r="G96" i="9"/>
  <c r="F96" i="9"/>
  <c r="K95" i="9"/>
  <c r="K96" i="9" s="1"/>
  <c r="K97" i="9" s="1"/>
  <c r="K98" i="9" s="1"/>
  <c r="K99" i="9" s="1"/>
  <c r="K100" i="9" s="1"/>
  <c r="J95" i="9"/>
  <c r="J96" i="9" s="1"/>
  <c r="J97" i="9" s="1"/>
  <c r="J98" i="9" s="1"/>
  <c r="J99" i="9" s="1"/>
  <c r="J100" i="9" s="1"/>
  <c r="I95" i="9"/>
  <c r="H95" i="9"/>
  <c r="G95" i="9"/>
  <c r="F95" i="9"/>
  <c r="I93" i="9"/>
  <c r="H93" i="9"/>
  <c r="K93" i="9"/>
  <c r="J93" i="9"/>
  <c r="G93" i="9"/>
  <c r="F93" i="9"/>
  <c r="I96" i="8" l="1"/>
  <c r="I97" i="8" s="1"/>
  <c r="I98" i="8" s="1"/>
  <c r="I99" i="8" s="1"/>
  <c r="I100" i="8" s="1"/>
  <c r="I102" i="8" s="1"/>
  <c r="I103" i="8" s="1"/>
  <c r="I104" i="8" s="1"/>
  <c r="I105" i="8" s="1"/>
  <c r="K104" i="11"/>
  <c r="J104" i="11"/>
  <c r="I104" i="11"/>
  <c r="H104" i="11"/>
  <c r="G104" i="11"/>
  <c r="F104" i="11"/>
  <c r="K96" i="11" l="1"/>
  <c r="K97" i="11" s="1"/>
  <c r="K98" i="11" s="1"/>
  <c r="K99" i="11" s="1"/>
  <c r="K100" i="11" s="1"/>
  <c r="K102" i="11" s="1"/>
  <c r="K103" i="11" s="1"/>
  <c r="J96" i="11"/>
  <c r="I96" i="11"/>
  <c r="H96" i="11"/>
  <c r="H97" i="11" s="1"/>
  <c r="H98" i="11" s="1"/>
  <c r="H99" i="11" s="1"/>
  <c r="H100" i="11" s="1"/>
  <c r="H102" i="11" s="1"/>
  <c r="H103" i="11" s="1"/>
  <c r="I93" i="11"/>
  <c r="H93" i="11"/>
  <c r="G103" i="11"/>
  <c r="F103" i="11"/>
  <c r="G102" i="11"/>
  <c r="F102" i="11"/>
  <c r="G100" i="11"/>
  <c r="F100" i="11"/>
  <c r="G99" i="11"/>
  <c r="F99" i="11"/>
  <c r="G98" i="11"/>
  <c r="F98" i="11"/>
  <c r="G97" i="11"/>
  <c r="F97" i="11"/>
  <c r="G96" i="11"/>
  <c r="F96" i="11"/>
  <c r="K93" i="11"/>
  <c r="J93" i="11"/>
  <c r="G93" i="11"/>
  <c r="F93" i="11"/>
  <c r="G105" i="12"/>
  <c r="F105" i="12"/>
  <c r="G104" i="12"/>
  <c r="F104" i="12"/>
  <c r="J103" i="12"/>
  <c r="J104" i="12" s="1"/>
  <c r="J105" i="12" s="1"/>
  <c r="G103" i="12"/>
  <c r="F103" i="12"/>
  <c r="K102" i="12"/>
  <c r="K103" i="12" s="1"/>
  <c r="K104" i="12" s="1"/>
  <c r="K105" i="12" s="1"/>
  <c r="J102" i="12"/>
  <c r="I102" i="12"/>
  <c r="I103" i="12" s="1"/>
  <c r="I104" i="12" s="1"/>
  <c r="I105" i="12" s="1"/>
  <c r="I106" i="12" s="1"/>
  <c r="H102" i="12"/>
  <c r="H103" i="12" s="1"/>
  <c r="H104" i="12" s="1"/>
  <c r="H105" i="12" s="1"/>
  <c r="H106" i="12" s="1"/>
  <c r="G102" i="12"/>
  <c r="F102" i="12"/>
  <c r="F99" i="12"/>
  <c r="G99" i="12"/>
  <c r="H99" i="12"/>
  <c r="I99" i="12"/>
  <c r="J99" i="12"/>
  <c r="K99" i="12"/>
  <c r="G100" i="12"/>
  <c r="F100" i="12"/>
  <c r="G98" i="12"/>
  <c r="F98" i="12"/>
  <c r="G97" i="12"/>
  <c r="F97" i="12"/>
  <c r="K96" i="12"/>
  <c r="K97" i="12" s="1"/>
  <c r="K98" i="12" s="1"/>
  <c r="K100" i="12" s="1"/>
  <c r="H96" i="12"/>
  <c r="H97" i="12" s="1"/>
  <c r="H98" i="12" s="1"/>
  <c r="G96" i="12"/>
  <c r="F96" i="12"/>
  <c r="K95" i="12"/>
  <c r="J95" i="12"/>
  <c r="J96" i="12" s="1"/>
  <c r="J97" i="12" s="1"/>
  <c r="J98" i="12" s="1"/>
  <c r="J100" i="12" s="1"/>
  <c r="I95" i="12"/>
  <c r="I96" i="12" s="1"/>
  <c r="I97" i="12" s="1"/>
  <c r="I98" i="12" s="1"/>
  <c r="H95" i="12"/>
  <c r="G95" i="12"/>
  <c r="F95" i="12"/>
  <c r="J97" i="11" l="1"/>
  <c r="J98" i="11" s="1"/>
  <c r="J99" i="11" s="1"/>
  <c r="J100" i="11" s="1"/>
  <c r="J102" i="11" s="1"/>
  <c r="J103" i="11" s="1"/>
  <c r="I97" i="11"/>
  <c r="I98" i="11" s="1"/>
  <c r="I99" i="11" s="1"/>
  <c r="I100" i="11" s="1"/>
  <c r="I102" i="11" s="1"/>
  <c r="I103" i="11" s="1"/>
  <c r="J93" i="12"/>
  <c r="K93" i="12"/>
  <c r="I93" i="12"/>
  <c r="H93" i="12"/>
  <c r="G93" i="12"/>
  <c r="F93" i="12"/>
  <c r="P83" i="15"/>
  <c r="O83" i="15"/>
  <c r="S78" i="15"/>
  <c r="S79" i="15"/>
  <c r="S80" i="15"/>
  <c r="S77" i="15"/>
  <c r="R78" i="15"/>
  <c r="R79" i="15"/>
  <c r="R80" i="15"/>
  <c r="R77" i="15"/>
  <c r="W74" i="8"/>
  <c r="V81" i="9"/>
  <c r="T63" i="11"/>
  <c r="T63" i="12"/>
  <c r="P78" i="15"/>
  <c r="P79" i="15"/>
  <c r="P80" i="15"/>
  <c r="P77" i="15"/>
  <c r="O78" i="15"/>
  <c r="O79" i="15"/>
  <c r="O80" i="15"/>
  <c r="O77" i="15"/>
  <c r="U83" i="15"/>
  <c r="T83" i="15"/>
  <c r="Q83" i="15"/>
  <c r="N83" i="15"/>
  <c r="R83" i="15" s="1"/>
  <c r="S83" i="15" s="1"/>
  <c r="M83" i="15"/>
  <c r="U8" i="8"/>
  <c r="G92" i="8"/>
  <c r="F92" i="8"/>
  <c r="G91" i="8"/>
  <c r="F91" i="8"/>
  <c r="G90" i="8"/>
  <c r="F90" i="8"/>
  <c r="G89" i="8"/>
  <c r="F89" i="8"/>
  <c r="K88" i="8"/>
  <c r="K89" i="8" s="1"/>
  <c r="K90" i="8" s="1"/>
  <c r="K91" i="8" s="1"/>
  <c r="K92" i="8" s="1"/>
  <c r="J88" i="8"/>
  <c r="J89" i="8" s="1"/>
  <c r="J90" i="8" s="1"/>
  <c r="J91" i="8" s="1"/>
  <c r="J92" i="8" s="1"/>
  <c r="I88" i="8"/>
  <c r="I89" i="8" s="1"/>
  <c r="I90" i="8" s="1"/>
  <c r="I91" i="8" s="1"/>
  <c r="I92" i="8" s="1"/>
  <c r="H88" i="8"/>
  <c r="H89" i="8" s="1"/>
  <c r="H90" i="8" s="1"/>
  <c r="H91" i="8" s="1"/>
  <c r="H92" i="8" s="1"/>
  <c r="G88" i="8"/>
  <c r="F88" i="8"/>
  <c r="G92" i="9"/>
  <c r="F92" i="9"/>
  <c r="G91" i="9"/>
  <c r="F91" i="9"/>
  <c r="K90" i="9"/>
  <c r="K91" i="9" s="1"/>
  <c r="K92" i="9" s="1"/>
  <c r="J90" i="9"/>
  <c r="J91" i="9" s="1"/>
  <c r="J92" i="9" s="1"/>
  <c r="I90" i="9"/>
  <c r="I91" i="9" s="1"/>
  <c r="I92" i="9" s="1"/>
  <c r="H90" i="9"/>
  <c r="H91" i="9" s="1"/>
  <c r="H92" i="9" s="1"/>
  <c r="G90" i="9"/>
  <c r="F90" i="9"/>
  <c r="K89" i="9"/>
  <c r="J89" i="9"/>
  <c r="I89" i="9"/>
  <c r="H89" i="9"/>
  <c r="G89" i="9"/>
  <c r="F89" i="9"/>
  <c r="K92" i="11" l="1"/>
  <c r="J92" i="11"/>
  <c r="I92" i="11"/>
  <c r="H92" i="11"/>
  <c r="G92" i="11"/>
  <c r="F92" i="11"/>
  <c r="H90" i="11" l="1"/>
  <c r="G90" i="11"/>
  <c r="F90" i="11"/>
  <c r="K89" i="11"/>
  <c r="K90" i="11" s="1"/>
  <c r="J89" i="11"/>
  <c r="J90" i="11" s="1"/>
  <c r="I89" i="11"/>
  <c r="I90" i="11" s="1"/>
  <c r="H89" i="11"/>
  <c r="G89" i="11"/>
  <c r="F89" i="11"/>
  <c r="K92" i="12"/>
  <c r="J92" i="12"/>
  <c r="I92" i="12"/>
  <c r="H92" i="12"/>
  <c r="G92" i="12"/>
  <c r="F92" i="12"/>
  <c r="G91" i="12"/>
  <c r="F91" i="12"/>
  <c r="K90" i="12"/>
  <c r="K91" i="12" s="1"/>
  <c r="J90" i="12"/>
  <c r="J91" i="12" s="1"/>
  <c r="I90" i="12"/>
  <c r="I91" i="12" s="1"/>
  <c r="H90" i="12"/>
  <c r="H91" i="12" s="1"/>
  <c r="G90" i="12"/>
  <c r="F90" i="12"/>
  <c r="K89" i="12"/>
  <c r="J89" i="12"/>
  <c r="I89" i="12"/>
  <c r="H89" i="12"/>
  <c r="G89" i="12"/>
  <c r="F89" i="12"/>
  <c r="F17" i="16"/>
  <c r="F18" i="16"/>
  <c r="C18" i="16"/>
  <c r="C17" i="16"/>
  <c r="B17" i="16"/>
  <c r="E17" i="16"/>
  <c r="E22" i="16" s="1"/>
  <c r="E18" i="16"/>
  <c r="E20" i="16" s="1"/>
  <c r="E21" i="16"/>
  <c r="G17" i="16"/>
  <c r="G18" i="16"/>
  <c r="AH5" i="13"/>
  <c r="AI5" i="13" s="1"/>
  <c r="T81" i="12"/>
  <c r="U85" i="11"/>
  <c r="F86" i="8"/>
  <c r="G86" i="8"/>
  <c r="F85" i="8"/>
  <c r="G85" i="8"/>
  <c r="G88" i="9"/>
  <c r="F88" i="9"/>
  <c r="G88" i="12" l="1"/>
  <c r="F88" i="12"/>
  <c r="G88" i="11"/>
  <c r="F88" i="11"/>
  <c r="C18" i="2" l="1"/>
  <c r="F17" i="2"/>
  <c r="F18" i="2"/>
  <c r="E17" i="2"/>
  <c r="G18" i="2"/>
  <c r="G86" i="9"/>
  <c r="F86" i="9"/>
  <c r="G85" i="9"/>
  <c r="F85" i="9"/>
  <c r="G84" i="9"/>
  <c r="F84" i="9"/>
  <c r="F83" i="9"/>
  <c r="G83" i="9"/>
  <c r="G82" i="9"/>
  <c r="F82" i="9"/>
  <c r="G81" i="9"/>
  <c r="F81" i="9"/>
  <c r="G86" i="12" l="1"/>
  <c r="F86" i="12"/>
  <c r="F84" i="12"/>
  <c r="G84" i="12"/>
  <c r="F83" i="12"/>
  <c r="G83" i="12"/>
  <c r="F82" i="12"/>
  <c r="G82" i="12"/>
  <c r="G81" i="12"/>
  <c r="F81" i="12"/>
  <c r="F84" i="11"/>
  <c r="G84" i="11"/>
  <c r="F85" i="11"/>
  <c r="G85" i="11"/>
  <c r="F86" i="11"/>
  <c r="G86" i="11"/>
  <c r="F83" i="11"/>
  <c r="G83" i="11"/>
  <c r="F82" i="11" l="1"/>
  <c r="G82" i="11"/>
  <c r="F84" i="8" l="1"/>
  <c r="G84" i="8"/>
  <c r="F83" i="8"/>
  <c r="G83" i="8"/>
  <c r="G82" i="8"/>
  <c r="F82" i="8"/>
  <c r="F79" i="8"/>
  <c r="G79" i="8"/>
  <c r="W77" i="8"/>
  <c r="F78" i="8"/>
  <c r="G78" i="8"/>
  <c r="F77" i="8"/>
  <c r="G77" i="8"/>
  <c r="F76" i="8"/>
  <c r="G76" i="8"/>
  <c r="F75" i="8"/>
  <c r="G75" i="8"/>
  <c r="G74" i="8"/>
  <c r="F74" i="8"/>
  <c r="F72" i="8"/>
  <c r="G72" i="8"/>
  <c r="G71" i="8"/>
  <c r="F71" i="8"/>
  <c r="F69" i="8"/>
  <c r="G69" i="8"/>
  <c r="F68" i="8"/>
  <c r="G68" i="8"/>
  <c r="G67" i="8"/>
  <c r="F67" i="8"/>
  <c r="F65" i="8"/>
  <c r="G65" i="8"/>
  <c r="F64" i="8"/>
  <c r="G64" i="8"/>
  <c r="I63" i="8"/>
  <c r="I64" i="8" s="1"/>
  <c r="I65" i="8" s="1"/>
  <c r="I67" i="8" s="1"/>
  <c r="I68" i="8" s="1"/>
  <c r="I69" i="8" s="1"/>
  <c r="I71" i="8" s="1"/>
  <c r="I72" i="8" s="1"/>
  <c r="I74" i="8" s="1"/>
  <c r="I75" i="8" s="1"/>
  <c r="I76" i="8" s="1"/>
  <c r="I77" i="8" s="1"/>
  <c r="I78" i="8" s="1"/>
  <c r="I79" i="8" s="1"/>
  <c r="I82" i="8" s="1"/>
  <c r="I83" i="8" s="1"/>
  <c r="I84" i="8" s="1"/>
  <c r="I85" i="8" s="1"/>
  <c r="I86" i="8" s="1"/>
  <c r="H63" i="8"/>
  <c r="H64" i="8" s="1"/>
  <c r="H65" i="8" s="1"/>
  <c r="H67" i="8" s="1"/>
  <c r="H68" i="8" s="1"/>
  <c r="H69" i="8" s="1"/>
  <c r="H71" i="8" s="1"/>
  <c r="H72" i="8" s="1"/>
  <c r="H74" i="8" s="1"/>
  <c r="H75" i="8" s="1"/>
  <c r="H76" i="8" s="1"/>
  <c r="H77" i="8" s="1"/>
  <c r="H78" i="8" s="1"/>
  <c r="H79" i="8" s="1"/>
  <c r="H82" i="8" s="1"/>
  <c r="H83" i="8" s="1"/>
  <c r="H84" i="8" s="1"/>
  <c r="H85" i="8" s="1"/>
  <c r="H86" i="8" s="1"/>
  <c r="F63" i="8"/>
  <c r="G63" i="8"/>
  <c r="G79" i="9"/>
  <c r="F79" i="9"/>
  <c r="G78" i="9"/>
  <c r="F78" i="9"/>
  <c r="G77" i="9"/>
  <c r="F77" i="9"/>
  <c r="G76" i="9"/>
  <c r="F76" i="9"/>
  <c r="G75" i="9"/>
  <c r="F75" i="9"/>
  <c r="G74" i="9"/>
  <c r="F74" i="9"/>
  <c r="F72" i="9"/>
  <c r="G72" i="9"/>
  <c r="F71" i="9"/>
  <c r="G71" i="9"/>
  <c r="F70" i="9"/>
  <c r="G70" i="9"/>
  <c r="F69" i="9"/>
  <c r="G69" i="9"/>
  <c r="F68" i="9"/>
  <c r="G68" i="9"/>
  <c r="G67" i="9"/>
  <c r="F67" i="9"/>
  <c r="F65" i="9" l="1"/>
  <c r="G65" i="9"/>
  <c r="I64" i="9"/>
  <c r="I65" i="9" s="1"/>
  <c r="I67" i="9" s="1"/>
  <c r="I68" i="9" s="1"/>
  <c r="I69" i="9" s="1"/>
  <c r="I70" i="9" s="1"/>
  <c r="I71" i="9" s="1"/>
  <c r="I72" i="9" s="1"/>
  <c r="I74" i="9" s="1"/>
  <c r="I75" i="9" s="1"/>
  <c r="I76" i="9" s="1"/>
  <c r="I77" i="9" s="1"/>
  <c r="I78" i="9" s="1"/>
  <c r="I79" i="9" s="1"/>
  <c r="I81" i="9" s="1"/>
  <c r="I82" i="9" s="1"/>
  <c r="I83" i="9" s="1"/>
  <c r="I84" i="9" s="1"/>
  <c r="I85" i="9" s="1"/>
  <c r="I86" i="9" s="1"/>
  <c r="H64" i="9"/>
  <c r="H65" i="9" s="1"/>
  <c r="H67" i="9" s="1"/>
  <c r="H68" i="9" s="1"/>
  <c r="H69" i="9" s="1"/>
  <c r="H70" i="9" s="1"/>
  <c r="H71" i="9" s="1"/>
  <c r="H72" i="9" s="1"/>
  <c r="H74" i="9" s="1"/>
  <c r="H75" i="9" s="1"/>
  <c r="H76" i="9" s="1"/>
  <c r="H77" i="9" s="1"/>
  <c r="H78" i="9" s="1"/>
  <c r="H79" i="9" s="1"/>
  <c r="H81" i="9" s="1"/>
  <c r="H82" i="9" s="1"/>
  <c r="H83" i="9" s="1"/>
  <c r="H84" i="9" s="1"/>
  <c r="H85" i="9" s="1"/>
  <c r="H86" i="9" s="1"/>
  <c r="F64" i="9"/>
  <c r="G64" i="9"/>
  <c r="I63" i="11"/>
  <c r="H63" i="11"/>
  <c r="I63" i="9"/>
  <c r="H63" i="9"/>
  <c r="F63" i="9"/>
  <c r="G63" i="9"/>
  <c r="H88" i="9" l="1"/>
  <c r="H87" i="9"/>
  <c r="I88" i="9"/>
  <c r="I87" i="9"/>
  <c r="I63" i="12"/>
  <c r="H63" i="12"/>
  <c r="H64" i="12" s="1"/>
  <c r="H65" i="12" s="1"/>
  <c r="H67" i="12" s="1"/>
  <c r="H68" i="12" s="1"/>
  <c r="H69" i="12" s="1"/>
  <c r="H70" i="12" s="1"/>
  <c r="H71" i="12" s="1"/>
  <c r="H72" i="12" s="1"/>
  <c r="H74" i="12" s="1"/>
  <c r="H75" i="12" s="1"/>
  <c r="H76" i="12" s="1"/>
  <c r="H77" i="12" s="1"/>
  <c r="H78" i="12" s="1"/>
  <c r="H79" i="12" s="1"/>
  <c r="H81" i="12" s="1"/>
  <c r="H82" i="12" s="1"/>
  <c r="H83" i="12" s="1"/>
  <c r="H84" i="12" s="1"/>
  <c r="H86" i="12" s="1"/>
  <c r="H88" i="12" s="1"/>
  <c r="G79" i="12"/>
  <c r="F79" i="12"/>
  <c r="G78" i="12"/>
  <c r="F78" i="12"/>
  <c r="G77" i="12"/>
  <c r="F77" i="12"/>
  <c r="G76" i="12"/>
  <c r="F76" i="12"/>
  <c r="G75" i="12"/>
  <c r="F75" i="12"/>
  <c r="G74" i="12"/>
  <c r="F74" i="12"/>
  <c r="F72" i="12"/>
  <c r="G72" i="12"/>
  <c r="F71" i="12"/>
  <c r="G71" i="12"/>
  <c r="F70" i="12"/>
  <c r="G70" i="12"/>
  <c r="F69" i="12"/>
  <c r="G69" i="12"/>
  <c r="F68" i="12"/>
  <c r="G68" i="12"/>
  <c r="G67" i="12"/>
  <c r="F67" i="12"/>
  <c r="F65" i="12"/>
  <c r="G65" i="12"/>
  <c r="F64" i="12"/>
  <c r="G64" i="12"/>
  <c r="I64" i="12"/>
  <c r="I65" i="12" s="1"/>
  <c r="I67" i="12" s="1"/>
  <c r="I68" i="12" s="1"/>
  <c r="I69" i="12" s="1"/>
  <c r="I70" i="12" s="1"/>
  <c r="I71" i="12" s="1"/>
  <c r="I72" i="12" s="1"/>
  <c r="I74" i="12" s="1"/>
  <c r="I75" i="12" s="1"/>
  <c r="I76" i="12" s="1"/>
  <c r="I77" i="12" s="1"/>
  <c r="I78" i="12" s="1"/>
  <c r="I79" i="12" s="1"/>
  <c r="I81" i="12" s="1"/>
  <c r="I82" i="12" s="1"/>
  <c r="I83" i="12" s="1"/>
  <c r="I84" i="12" s="1"/>
  <c r="I86" i="12" s="1"/>
  <c r="I88" i="12" s="1"/>
  <c r="F63" i="12"/>
  <c r="G63" i="12"/>
  <c r="G81" i="11" l="1"/>
  <c r="F81" i="11"/>
  <c r="F79" i="11" l="1"/>
  <c r="G79" i="11"/>
  <c r="F78" i="11"/>
  <c r="G78" i="11"/>
  <c r="F77" i="11"/>
  <c r="G77" i="11"/>
  <c r="F76" i="11"/>
  <c r="G76" i="11"/>
  <c r="F75" i="11"/>
  <c r="G75" i="11"/>
  <c r="G74" i="11"/>
  <c r="F74" i="11"/>
  <c r="F72" i="11" l="1"/>
  <c r="G72" i="11"/>
  <c r="F71" i="11"/>
  <c r="G71" i="11"/>
  <c r="F70" i="11"/>
  <c r="G70" i="11"/>
  <c r="F69" i="11"/>
  <c r="G69" i="11"/>
  <c r="F68" i="11"/>
  <c r="G68" i="11"/>
  <c r="G67" i="11"/>
  <c r="F67" i="11"/>
  <c r="F65" i="11" l="1"/>
  <c r="G65" i="11"/>
  <c r="F64" i="11"/>
  <c r="G64" i="11"/>
  <c r="H64" i="11"/>
  <c r="H65" i="11" s="1"/>
  <c r="H67" i="11" s="1"/>
  <c r="H68" i="11" s="1"/>
  <c r="H69" i="11" s="1"/>
  <c r="H70" i="11" s="1"/>
  <c r="H71" i="11" s="1"/>
  <c r="H72" i="11" s="1"/>
  <c r="H74" i="11" s="1"/>
  <c r="H75" i="11" s="1"/>
  <c r="H76" i="11" s="1"/>
  <c r="H77" i="11" s="1"/>
  <c r="H78" i="11" s="1"/>
  <c r="H79" i="11" s="1"/>
  <c r="H81" i="11" s="1"/>
  <c r="H82" i="11" s="1"/>
  <c r="H83" i="11" s="1"/>
  <c r="H84" i="11" s="1"/>
  <c r="H85" i="11" s="1"/>
  <c r="H86" i="11" s="1"/>
  <c r="H88" i="11" s="1"/>
  <c r="I64" i="11"/>
  <c r="I65" i="11" s="1"/>
  <c r="I67" i="11" s="1"/>
  <c r="I68" i="11" s="1"/>
  <c r="I69" i="11" s="1"/>
  <c r="I70" i="11" s="1"/>
  <c r="I71" i="11" s="1"/>
  <c r="I72" i="11" s="1"/>
  <c r="I74" i="11" s="1"/>
  <c r="I75" i="11" s="1"/>
  <c r="I76" i="11" s="1"/>
  <c r="I77" i="11" s="1"/>
  <c r="I78" i="11" s="1"/>
  <c r="I79" i="11" s="1"/>
  <c r="I81" i="11" s="1"/>
  <c r="I82" i="11" s="1"/>
  <c r="I83" i="11" s="1"/>
  <c r="I84" i="11" s="1"/>
  <c r="I85" i="11" s="1"/>
  <c r="I86" i="11" s="1"/>
  <c r="I88" i="11" s="1"/>
  <c r="F63" i="11" l="1"/>
  <c r="G63" i="11"/>
  <c r="G20" i="2"/>
  <c r="Q66" i="15"/>
  <c r="Q67" i="15"/>
  <c r="Q68" i="15"/>
  <c r="Q65" i="15"/>
  <c r="Q71" i="15"/>
  <c r="U61" i="9"/>
  <c r="Q69" i="15"/>
  <c r="V71" i="15"/>
  <c r="U71" i="15"/>
  <c r="R71" i="15"/>
  <c r="O71" i="15"/>
  <c r="N71" i="15"/>
  <c r="P71" i="15" s="1"/>
  <c r="S69" i="15"/>
  <c r="T69" i="15" s="1"/>
  <c r="P69" i="15"/>
  <c r="P68" i="15"/>
  <c r="P67" i="15"/>
  <c r="P66" i="15"/>
  <c r="P65" i="15"/>
  <c r="F62" i="12"/>
  <c r="G62" i="12"/>
  <c r="G61" i="12"/>
  <c r="F61" i="12"/>
  <c r="G9" i="10"/>
  <c r="F9" i="10"/>
  <c r="G9" i="8"/>
  <c r="F9" i="8"/>
  <c r="G9" i="9"/>
  <c r="F9" i="9"/>
  <c r="G9" i="11"/>
  <c r="F9" i="11"/>
  <c r="S71" i="15" l="1"/>
  <c r="T71" i="15" s="1"/>
  <c r="D22" i="16"/>
  <c r="S257" i="12" l="1"/>
  <c r="U241" i="10"/>
  <c r="U239" i="8"/>
  <c r="F55" i="8"/>
  <c r="G55" i="8"/>
  <c r="F56" i="8"/>
  <c r="G56" i="8"/>
  <c r="F57" i="8"/>
  <c r="G57" i="8"/>
  <c r="F58" i="8"/>
  <c r="G58" i="8"/>
  <c r="F59" i="8"/>
  <c r="G59" i="8"/>
  <c r="F60" i="8"/>
  <c r="G60" i="8"/>
  <c r="F62" i="8"/>
  <c r="G62" i="8"/>
  <c r="F58" i="9"/>
  <c r="G58" i="9"/>
  <c r="F60" i="9"/>
  <c r="G60" i="9"/>
  <c r="F62" i="9"/>
  <c r="G62" i="9"/>
  <c r="F57" i="9"/>
  <c r="G57" i="9"/>
  <c r="G56" i="9"/>
  <c r="F56" i="9"/>
  <c r="F58" i="12" l="1"/>
  <c r="G58" i="12"/>
  <c r="F57" i="12"/>
  <c r="G57" i="12"/>
  <c r="F56" i="12"/>
  <c r="G56" i="12"/>
  <c r="F55" i="12"/>
  <c r="G55" i="12"/>
  <c r="F61" i="11"/>
  <c r="G61" i="11"/>
  <c r="F62" i="11"/>
  <c r="G62" i="11"/>
  <c r="F60" i="11"/>
  <c r="G60" i="11"/>
  <c r="F59" i="11"/>
  <c r="G59" i="11"/>
  <c r="G58" i="11"/>
  <c r="F58" i="11"/>
  <c r="G56" i="11"/>
  <c r="F56" i="11"/>
  <c r="F53" i="11"/>
  <c r="G53" i="11"/>
  <c r="F54" i="11"/>
  <c r="G54" i="11"/>
  <c r="F52" i="11"/>
  <c r="G52" i="11"/>
  <c r="F48" i="11"/>
  <c r="G48" i="11"/>
  <c r="F49" i="11"/>
  <c r="G49" i="11"/>
  <c r="F50" i="11"/>
  <c r="G50" i="11"/>
  <c r="F51" i="11"/>
  <c r="G51" i="11"/>
  <c r="U283" i="9"/>
  <c r="U258" i="11"/>
  <c r="AG10" i="13"/>
  <c r="AH10" i="13"/>
  <c r="AJ10" i="13"/>
  <c r="U133" i="9"/>
  <c r="V167" i="8"/>
  <c r="S178" i="12"/>
  <c r="AH4" i="13"/>
  <c r="AI4" i="13" s="1"/>
  <c r="AI10" i="13" s="1"/>
  <c r="AH7" i="13"/>
  <c r="AI7" i="13" s="1"/>
  <c r="AH6" i="13"/>
  <c r="AI6" i="13" s="1"/>
  <c r="AK10" i="13"/>
  <c r="AD10" i="13"/>
  <c r="AC10" i="13"/>
  <c r="G54" i="8" l="1"/>
  <c r="F54" i="8"/>
  <c r="G53" i="8"/>
  <c r="F53" i="8"/>
  <c r="F51" i="8"/>
  <c r="G51" i="8"/>
  <c r="F50" i="8"/>
  <c r="G50" i="8"/>
  <c r="F49" i="8"/>
  <c r="G49" i="8"/>
  <c r="G55" i="9"/>
  <c r="F55" i="9"/>
  <c r="G53" i="9"/>
  <c r="F53" i="9"/>
  <c r="F51" i="9"/>
  <c r="G51" i="9"/>
  <c r="F50" i="9"/>
  <c r="G50" i="9"/>
  <c r="F49" i="9"/>
  <c r="G49" i="9"/>
  <c r="G54" i="12" l="1"/>
  <c r="F54" i="12"/>
  <c r="G53" i="12"/>
  <c r="F53" i="12"/>
  <c r="F51" i="12"/>
  <c r="G51" i="12"/>
  <c r="F50" i="12"/>
  <c r="G50" i="12"/>
  <c r="F49" i="12"/>
  <c r="G49" i="12"/>
  <c r="F48" i="12"/>
  <c r="G48" i="12"/>
  <c r="G47" i="12"/>
  <c r="F47" i="12"/>
  <c r="F47" i="11"/>
  <c r="G47" i="11"/>
  <c r="G46" i="11"/>
  <c r="F46" i="11"/>
  <c r="F48" i="8"/>
  <c r="G48" i="8"/>
  <c r="F47" i="8"/>
  <c r="G47" i="8"/>
  <c r="G46" i="8"/>
  <c r="F46" i="8"/>
  <c r="F44" i="8"/>
  <c r="G44" i="8"/>
  <c r="F43" i="8"/>
  <c r="G43" i="8"/>
  <c r="F42" i="8"/>
  <c r="G42" i="8"/>
  <c r="F41" i="8"/>
  <c r="G41" i="8"/>
  <c r="G40" i="8"/>
  <c r="F40" i="8"/>
  <c r="G37" i="8"/>
  <c r="F37" i="8"/>
  <c r="F36" i="8"/>
  <c r="G36" i="8"/>
  <c r="F35" i="8"/>
  <c r="G35" i="8"/>
  <c r="F34" i="8"/>
  <c r="G34" i="8"/>
  <c r="H33" i="8"/>
  <c r="H34" i="8" s="1"/>
  <c r="H35" i="8" s="1"/>
  <c r="H36" i="8" s="1"/>
  <c r="H37" i="8" s="1"/>
  <c r="H40" i="8" s="1"/>
  <c r="H41" i="8" s="1"/>
  <c r="H42" i="8" s="1"/>
  <c r="H43" i="8" s="1"/>
  <c r="H44" i="8" s="1"/>
  <c r="H46" i="8" s="1"/>
  <c r="H47" i="8" s="1"/>
  <c r="H48" i="8" s="1"/>
  <c r="H49" i="8" s="1"/>
  <c r="H50" i="8" s="1"/>
  <c r="H51" i="8" s="1"/>
  <c r="H53" i="8" s="1"/>
  <c r="H54" i="8" s="1"/>
  <c r="H55" i="8" s="1"/>
  <c r="H56" i="8" s="1"/>
  <c r="H57" i="8" s="1"/>
  <c r="H58" i="8" s="1"/>
  <c r="H59" i="8" s="1"/>
  <c r="H60" i="8" s="1"/>
  <c r="H62" i="8" s="1"/>
  <c r="I33" i="8"/>
  <c r="I34" i="8" s="1"/>
  <c r="I35" i="8" s="1"/>
  <c r="I36" i="8" s="1"/>
  <c r="I37" i="8" s="1"/>
  <c r="I40" i="8" s="1"/>
  <c r="I41" i="8" s="1"/>
  <c r="I42" i="8" s="1"/>
  <c r="I43" i="8" s="1"/>
  <c r="I44" i="8" s="1"/>
  <c r="I46" i="8" s="1"/>
  <c r="I47" i="8" s="1"/>
  <c r="I48" i="8" s="1"/>
  <c r="I49" i="8" s="1"/>
  <c r="I50" i="8" s="1"/>
  <c r="I51" i="8" s="1"/>
  <c r="I53" i="8" s="1"/>
  <c r="I54" i="8" s="1"/>
  <c r="I55" i="8" s="1"/>
  <c r="I56" i="8" s="1"/>
  <c r="I57" i="8" s="1"/>
  <c r="I58" i="8" s="1"/>
  <c r="I59" i="8" s="1"/>
  <c r="I60" i="8" s="1"/>
  <c r="I62" i="8" s="1"/>
  <c r="G33" i="8"/>
  <c r="F33" i="8"/>
  <c r="F48" i="9"/>
  <c r="G48" i="9"/>
  <c r="F47" i="9"/>
  <c r="G47" i="9"/>
  <c r="G46" i="9"/>
  <c r="F46" i="9"/>
  <c r="F44" i="9"/>
  <c r="G44" i="9"/>
  <c r="F43" i="9"/>
  <c r="G43" i="9"/>
  <c r="F42" i="9"/>
  <c r="G42" i="9"/>
  <c r="F41" i="9"/>
  <c r="G41" i="9"/>
  <c r="F40" i="9"/>
  <c r="G40" i="9"/>
  <c r="G39" i="9"/>
  <c r="F39" i="9"/>
  <c r="F37" i="9"/>
  <c r="G37" i="9"/>
  <c r="F36" i="9"/>
  <c r="G36" i="9"/>
  <c r="F35" i="9"/>
  <c r="G35" i="9"/>
  <c r="F34" i="9"/>
  <c r="G34" i="9"/>
  <c r="F33" i="9"/>
  <c r="G33" i="9"/>
  <c r="I32" i="9"/>
  <c r="I33" i="9" s="1"/>
  <c r="I34" i="9" s="1"/>
  <c r="I35" i="9" s="1"/>
  <c r="I36" i="9" s="1"/>
  <c r="I37" i="9" s="1"/>
  <c r="I39" i="9" s="1"/>
  <c r="I40" i="9" s="1"/>
  <c r="I41" i="9" s="1"/>
  <c r="I42" i="9" s="1"/>
  <c r="I43" i="9" s="1"/>
  <c r="I44" i="9" s="1"/>
  <c r="I46" i="9" s="1"/>
  <c r="I47" i="9" s="1"/>
  <c r="I48" i="9" s="1"/>
  <c r="I49" i="9" s="1"/>
  <c r="I50" i="9" s="1"/>
  <c r="I51" i="9" s="1"/>
  <c r="I53" i="9" s="1"/>
  <c r="I55" i="9" s="1"/>
  <c r="I56" i="9" s="1"/>
  <c r="I57" i="9" s="1"/>
  <c r="I58" i="9" s="1"/>
  <c r="H32" i="9"/>
  <c r="H33" i="9" s="1"/>
  <c r="H34" i="9" s="1"/>
  <c r="H35" i="9" s="1"/>
  <c r="H36" i="9" s="1"/>
  <c r="H37" i="9" s="1"/>
  <c r="H39" i="9" s="1"/>
  <c r="H40" i="9" s="1"/>
  <c r="H41" i="9" s="1"/>
  <c r="H42" i="9" s="1"/>
  <c r="H43" i="9" s="1"/>
  <c r="H44" i="9" s="1"/>
  <c r="H46" i="9" s="1"/>
  <c r="H47" i="9" s="1"/>
  <c r="H48" i="9" s="1"/>
  <c r="H49" i="9" s="1"/>
  <c r="H50" i="9" s="1"/>
  <c r="H51" i="9" s="1"/>
  <c r="H53" i="9" s="1"/>
  <c r="H55" i="9" s="1"/>
  <c r="H56" i="9" s="1"/>
  <c r="H57" i="9" s="1"/>
  <c r="H58" i="9" s="1"/>
  <c r="H60" i="9" s="1"/>
  <c r="G32" i="9"/>
  <c r="F32" i="9"/>
  <c r="H61" i="9" l="1"/>
  <c r="H62" i="9" s="1"/>
  <c r="I60" i="9"/>
  <c r="I61" i="9" s="1"/>
  <c r="I62" i="9" s="1"/>
  <c r="G46" i="12"/>
  <c r="F46" i="12"/>
  <c r="F44" i="12"/>
  <c r="G44" i="12"/>
  <c r="F43" i="12"/>
  <c r="G43" i="12"/>
  <c r="F42" i="12"/>
  <c r="G42" i="12"/>
  <c r="F41" i="12"/>
  <c r="G41" i="12"/>
  <c r="F40" i="12"/>
  <c r="G40" i="12"/>
  <c r="G39" i="12"/>
  <c r="F39" i="12"/>
  <c r="F37" i="12"/>
  <c r="G37" i="12"/>
  <c r="F36" i="12"/>
  <c r="G36" i="12"/>
  <c r="F35" i="12"/>
  <c r="G35" i="12"/>
  <c r="F34" i="12"/>
  <c r="G34" i="12"/>
  <c r="I33" i="12"/>
  <c r="I34" i="12" s="1"/>
  <c r="I35" i="12" s="1"/>
  <c r="I36" i="12" s="1"/>
  <c r="I37" i="12" s="1"/>
  <c r="I39" i="12" s="1"/>
  <c r="I40" i="12" s="1"/>
  <c r="I41" i="12" s="1"/>
  <c r="I42" i="12" s="1"/>
  <c r="I43" i="12" s="1"/>
  <c r="I44" i="12" s="1"/>
  <c r="I46" i="12" s="1"/>
  <c r="I47" i="12" s="1"/>
  <c r="I48" i="12" s="1"/>
  <c r="I49" i="12" s="1"/>
  <c r="I50" i="12" s="1"/>
  <c r="I51" i="12" s="1"/>
  <c r="I53" i="12" s="1"/>
  <c r="I54" i="12" s="1"/>
  <c r="I55" i="12" s="1"/>
  <c r="I56" i="12" s="1"/>
  <c r="I57" i="12" s="1"/>
  <c r="I58" i="12" s="1"/>
  <c r="I61" i="12" s="1"/>
  <c r="I62" i="12" s="1"/>
  <c r="H33" i="12"/>
  <c r="H34" i="12" s="1"/>
  <c r="H35" i="12" s="1"/>
  <c r="H36" i="12" s="1"/>
  <c r="H37" i="12" s="1"/>
  <c r="H39" i="12" s="1"/>
  <c r="H40" i="12" s="1"/>
  <c r="H41" i="12" s="1"/>
  <c r="H42" i="12" s="1"/>
  <c r="H43" i="12" s="1"/>
  <c r="H44" i="12" s="1"/>
  <c r="H46" i="12" s="1"/>
  <c r="H47" i="12" s="1"/>
  <c r="H48" i="12" s="1"/>
  <c r="H49" i="12" s="1"/>
  <c r="H50" i="12" s="1"/>
  <c r="H51" i="12" s="1"/>
  <c r="H53" i="12" s="1"/>
  <c r="H54" i="12" s="1"/>
  <c r="H55" i="12" s="1"/>
  <c r="H56" i="12" s="1"/>
  <c r="H57" i="12" s="1"/>
  <c r="H58" i="12" s="1"/>
  <c r="H61" i="12" s="1"/>
  <c r="H62" i="12" s="1"/>
  <c r="G33" i="12"/>
  <c r="F33" i="12"/>
  <c r="F44" i="11"/>
  <c r="G44" i="11"/>
  <c r="F43" i="11"/>
  <c r="G43" i="11"/>
  <c r="F42" i="11"/>
  <c r="G42" i="11"/>
  <c r="F41" i="11"/>
  <c r="G41" i="11"/>
  <c r="F40" i="11"/>
  <c r="G40" i="11"/>
  <c r="G39" i="11"/>
  <c r="F39" i="11"/>
  <c r="G37" i="11"/>
  <c r="F37" i="11"/>
  <c r="F35" i="11"/>
  <c r="G35" i="11"/>
  <c r="F34" i="11"/>
  <c r="G34" i="11"/>
  <c r="H33" i="11"/>
  <c r="H34" i="11" s="1"/>
  <c r="H35" i="11" s="1"/>
  <c r="H37" i="11" s="1"/>
  <c r="I33" i="11"/>
  <c r="I34" i="11" s="1"/>
  <c r="I35" i="11" s="1"/>
  <c r="I37" i="11" s="1"/>
  <c r="I39" i="11" s="1"/>
  <c r="I40" i="11" s="1"/>
  <c r="I41" i="11" s="1"/>
  <c r="I42" i="11" s="1"/>
  <c r="I43" i="11" s="1"/>
  <c r="I44" i="11" s="1"/>
  <c r="I46" i="11" s="1"/>
  <c r="I47" i="11" s="1"/>
  <c r="I48" i="11" s="1"/>
  <c r="I49" i="11" s="1"/>
  <c r="I50" i="11" s="1"/>
  <c r="I51" i="11" s="1"/>
  <c r="I52" i="11" s="1"/>
  <c r="I53" i="11" s="1"/>
  <c r="I54" i="11" s="1"/>
  <c r="I56" i="11" s="1"/>
  <c r="G33" i="11"/>
  <c r="F33" i="11"/>
  <c r="V173" i="10"/>
  <c r="U167" i="11"/>
  <c r="I58" i="11" l="1"/>
  <c r="I59" i="11" s="1"/>
  <c r="I60" i="11" s="1"/>
  <c r="I61" i="11" s="1"/>
  <c r="I62" i="11" s="1"/>
  <c r="H39" i="11"/>
  <c r="H40" i="11" s="1"/>
  <c r="H41" i="11" s="1"/>
  <c r="H42" i="11" s="1"/>
  <c r="H43" i="11" s="1"/>
  <c r="H44" i="11" s="1"/>
  <c r="H46" i="11" s="1"/>
  <c r="H47" i="11" s="1"/>
  <c r="H48" i="11" s="1"/>
  <c r="H49" i="11" s="1"/>
  <c r="H50" i="11" s="1"/>
  <c r="H51" i="11" s="1"/>
  <c r="H52" i="11" s="1"/>
  <c r="H53" i="11" s="1"/>
  <c r="H54" i="11" s="1"/>
  <c r="H56" i="11" s="1"/>
  <c r="H58" i="11" s="1"/>
  <c r="H59" i="11" s="1"/>
  <c r="H60" i="11" s="1"/>
  <c r="H61" i="11" s="1"/>
  <c r="H62" i="11" s="1"/>
  <c r="U59" i="15"/>
  <c r="T59" i="15"/>
  <c r="Q59" i="15"/>
  <c r="N59" i="15"/>
  <c r="M59" i="15"/>
  <c r="O59" i="15" s="1"/>
  <c r="R57" i="15"/>
  <c r="S57" i="15" s="1"/>
  <c r="P57" i="15"/>
  <c r="O57" i="15"/>
  <c r="R56" i="15"/>
  <c r="S56" i="15" s="1"/>
  <c r="P56" i="15"/>
  <c r="O56" i="15"/>
  <c r="S55" i="15"/>
  <c r="R55" i="15"/>
  <c r="P55" i="15"/>
  <c r="O55" i="15"/>
  <c r="R54" i="15"/>
  <c r="S54" i="15" s="1"/>
  <c r="P54" i="15"/>
  <c r="O54" i="15"/>
  <c r="R53" i="15"/>
  <c r="S53" i="15" s="1"/>
  <c r="P53" i="15"/>
  <c r="O53" i="15"/>
  <c r="F29" i="8"/>
  <c r="G29" i="8"/>
  <c r="F28" i="8"/>
  <c r="G28" i="8"/>
  <c r="R59" i="15" l="1"/>
  <c r="S59" i="15" s="1"/>
  <c r="P59" i="15"/>
  <c r="F27" i="8"/>
  <c r="G27" i="8"/>
  <c r="F26" i="8"/>
  <c r="G26" i="8"/>
  <c r="G25" i="8"/>
  <c r="F25" i="8"/>
  <c r="G22" i="8"/>
  <c r="F22" i="8"/>
  <c r="G21" i="8"/>
  <c r="F21" i="8"/>
  <c r="G20" i="8"/>
  <c r="F20" i="8"/>
  <c r="G19" i="8"/>
  <c r="F19" i="8"/>
  <c r="G30" i="9"/>
  <c r="F30" i="9"/>
  <c r="G29" i="9"/>
  <c r="F29" i="9"/>
  <c r="G28" i="9"/>
  <c r="F28" i="9"/>
  <c r="G27" i="9"/>
  <c r="F27" i="9"/>
  <c r="G26" i="9"/>
  <c r="F26" i="9"/>
  <c r="G25" i="9"/>
  <c r="F25" i="9"/>
  <c r="G30" i="11" l="1"/>
  <c r="F30" i="11"/>
  <c r="G29" i="11"/>
  <c r="F29" i="11"/>
  <c r="G28" i="11"/>
  <c r="F28" i="11"/>
  <c r="G27" i="11"/>
  <c r="F27" i="11"/>
  <c r="G26" i="11"/>
  <c r="F26" i="11"/>
  <c r="G30" i="12"/>
  <c r="F30" i="12"/>
  <c r="G29" i="12"/>
  <c r="F29" i="12"/>
  <c r="G28" i="12"/>
  <c r="F28" i="12"/>
  <c r="G27" i="12"/>
  <c r="F27" i="12"/>
  <c r="G26" i="12"/>
  <c r="F26" i="12"/>
  <c r="G25" i="12"/>
  <c r="F25" i="12"/>
  <c r="D20" i="16" l="1"/>
  <c r="F21" i="16"/>
  <c r="G21" i="16"/>
  <c r="B20" i="16"/>
  <c r="C20" i="16"/>
  <c r="F20" i="16"/>
  <c r="B21" i="16"/>
  <c r="C21" i="16"/>
  <c r="D21" i="16"/>
  <c r="B22" i="16"/>
  <c r="C22" i="16"/>
  <c r="F22" i="16"/>
  <c r="G22" i="16"/>
  <c r="F20" i="9"/>
  <c r="G20" i="9"/>
  <c r="F21" i="9"/>
  <c r="G21" i="9"/>
  <c r="F22" i="9"/>
  <c r="G22" i="9"/>
  <c r="F23" i="9"/>
  <c r="G23" i="9"/>
  <c r="G20" i="16" l="1"/>
  <c r="G25" i="11"/>
  <c r="F25" i="11"/>
  <c r="F23" i="11"/>
  <c r="G23" i="11"/>
  <c r="F22" i="11"/>
  <c r="G22" i="11"/>
  <c r="F21" i="11"/>
  <c r="G21" i="11"/>
  <c r="F20" i="11"/>
  <c r="G20" i="11"/>
  <c r="F23" i="12"/>
  <c r="G23" i="12"/>
  <c r="F22" i="12"/>
  <c r="G22" i="12"/>
  <c r="F21" i="12"/>
  <c r="G21" i="12"/>
  <c r="F20" i="12"/>
  <c r="G20" i="12"/>
  <c r="G19" i="12"/>
  <c r="F19" i="12"/>
  <c r="F11" i="13"/>
  <c r="E11" i="13"/>
  <c r="F5" i="13"/>
  <c r="F6" i="13"/>
  <c r="F7" i="13"/>
  <c r="F8" i="13"/>
  <c r="F9" i="13"/>
  <c r="E9" i="13"/>
  <c r="E6" i="13"/>
  <c r="E7" i="13"/>
  <c r="E8" i="13"/>
  <c r="E5" i="13"/>
  <c r="K25" i="13" l="1"/>
  <c r="J25" i="13"/>
  <c r="G25" i="13"/>
  <c r="D25" i="13"/>
  <c r="C25" i="13"/>
  <c r="I23" i="13"/>
  <c r="H23" i="13"/>
  <c r="H22" i="13"/>
  <c r="I22" i="13" s="1"/>
  <c r="H21" i="13"/>
  <c r="I21" i="13" s="1"/>
  <c r="I20" i="13"/>
  <c r="H20" i="13"/>
  <c r="I19" i="13"/>
  <c r="H19" i="13"/>
  <c r="H25" i="13" s="1"/>
  <c r="I25" i="13" l="1"/>
  <c r="G19" i="10" l="1"/>
  <c r="F19" i="10"/>
  <c r="J19" i="10"/>
  <c r="K19" i="10"/>
  <c r="G16" i="10"/>
  <c r="F16" i="10"/>
  <c r="F14" i="10"/>
  <c r="G14" i="10"/>
  <c r="F13" i="10"/>
  <c r="G13" i="10"/>
  <c r="G12" i="10"/>
  <c r="F12" i="10"/>
  <c r="K4" i="10"/>
  <c r="K5" i="10" s="1"/>
  <c r="K6" i="10" s="1"/>
  <c r="K7" i="10" s="1"/>
  <c r="K9" i="10" s="1"/>
  <c r="K12" i="10" s="1"/>
  <c r="K13" i="10" s="1"/>
  <c r="K14" i="10" s="1"/>
  <c r="K15" i="10" s="1"/>
  <c r="K16" i="10" s="1"/>
  <c r="K18" i="10" s="1"/>
  <c r="J4" i="10"/>
  <c r="J5" i="10" s="1"/>
  <c r="J6" i="10" s="1"/>
  <c r="J7" i="10" s="1"/>
  <c r="J9" i="10" s="1"/>
  <c r="J12" i="10" s="1"/>
  <c r="J13" i="10" s="1"/>
  <c r="J14" i="10" s="1"/>
  <c r="J15" i="10" s="1"/>
  <c r="J16" i="10" s="1"/>
  <c r="J18" i="10" s="1"/>
  <c r="I2" i="10"/>
  <c r="I4" i="10" s="1"/>
  <c r="I5" i="10" s="1"/>
  <c r="I6" i="10" s="1"/>
  <c r="I7" i="10" s="1"/>
  <c r="I9" i="10" s="1"/>
  <c r="I12" i="10" s="1"/>
  <c r="I13" i="10" s="1"/>
  <c r="I14" i="10" s="1"/>
  <c r="I15" i="10" s="1"/>
  <c r="I16" i="10" s="1"/>
  <c r="I18" i="10" s="1"/>
  <c r="I19" i="10" s="1"/>
  <c r="H2" i="10"/>
  <c r="H4" i="10" s="1"/>
  <c r="H5" i="10" s="1"/>
  <c r="H6" i="10" s="1"/>
  <c r="H7" i="10" s="1"/>
  <c r="H9" i="10" s="1"/>
  <c r="H12" i="10" s="1"/>
  <c r="H13" i="10" s="1"/>
  <c r="H14" i="10" s="1"/>
  <c r="H15" i="10" s="1"/>
  <c r="H16" i="10" s="1"/>
  <c r="H18" i="10" s="1"/>
  <c r="H19" i="10" s="1"/>
  <c r="F16" i="8"/>
  <c r="G16" i="8"/>
  <c r="F14" i="8"/>
  <c r="G14" i="8"/>
  <c r="F13" i="8"/>
  <c r="G13" i="8"/>
  <c r="G12" i="8"/>
  <c r="F12" i="8"/>
  <c r="K2" i="8"/>
  <c r="K4" i="8" s="1"/>
  <c r="K5" i="8" s="1"/>
  <c r="K6" i="8" s="1"/>
  <c r="K7" i="8" s="1"/>
  <c r="K9" i="8" s="1"/>
  <c r="K12" i="8" s="1"/>
  <c r="K13" i="8" s="1"/>
  <c r="K14" i="8" s="1"/>
  <c r="K15" i="8" s="1"/>
  <c r="K16" i="8" s="1"/>
  <c r="K18" i="8" s="1"/>
  <c r="K19" i="8" s="1"/>
  <c r="K20" i="8" s="1"/>
  <c r="K21" i="8" s="1"/>
  <c r="K22" i="8" s="1"/>
  <c r="K25" i="8" s="1"/>
  <c r="K26" i="8" s="1"/>
  <c r="K27" i="8" s="1"/>
  <c r="K28" i="8" s="1"/>
  <c r="K29" i="8" s="1"/>
  <c r="K33" i="8" s="1"/>
  <c r="K34" i="8" s="1"/>
  <c r="K35" i="8" s="1"/>
  <c r="K36" i="8" s="1"/>
  <c r="K37" i="8" s="1"/>
  <c r="K40" i="8" s="1"/>
  <c r="K41" i="8" s="1"/>
  <c r="K42" i="8" s="1"/>
  <c r="K43" i="8" s="1"/>
  <c r="K44" i="8" s="1"/>
  <c r="K46" i="8" s="1"/>
  <c r="K47" i="8" s="1"/>
  <c r="K48" i="8" s="1"/>
  <c r="K49" i="8" s="1"/>
  <c r="K50" i="8" s="1"/>
  <c r="K51" i="8" s="1"/>
  <c r="K53" i="8" s="1"/>
  <c r="K54" i="8" s="1"/>
  <c r="K55" i="8" s="1"/>
  <c r="K56" i="8" s="1"/>
  <c r="K57" i="8" s="1"/>
  <c r="K58" i="8" s="1"/>
  <c r="K59" i="8" s="1"/>
  <c r="K60" i="8" s="1"/>
  <c r="K62" i="8" s="1"/>
  <c r="K63" i="8" s="1"/>
  <c r="K64" i="8" s="1"/>
  <c r="K65" i="8" s="1"/>
  <c r="K67" i="8" s="1"/>
  <c r="K68" i="8" s="1"/>
  <c r="K69" i="8" s="1"/>
  <c r="K71" i="8" s="1"/>
  <c r="K72" i="8" s="1"/>
  <c r="K74" i="8" s="1"/>
  <c r="K75" i="8" s="1"/>
  <c r="K76" i="8" s="1"/>
  <c r="K77" i="8" s="1"/>
  <c r="K78" i="8" s="1"/>
  <c r="K79" i="8" s="1"/>
  <c r="K82" i="8" s="1"/>
  <c r="K83" i="8" s="1"/>
  <c r="K84" i="8" s="1"/>
  <c r="K85" i="8" s="1"/>
  <c r="K86" i="8" s="1"/>
  <c r="J2" i="8"/>
  <c r="J4" i="8" s="1"/>
  <c r="J5" i="8" s="1"/>
  <c r="J6" i="8" s="1"/>
  <c r="J7" i="8" s="1"/>
  <c r="J9" i="8" s="1"/>
  <c r="J12" i="8" s="1"/>
  <c r="J13" i="8" s="1"/>
  <c r="J14" i="8" s="1"/>
  <c r="J15" i="8" s="1"/>
  <c r="J16" i="8" s="1"/>
  <c r="J18" i="8" s="1"/>
  <c r="J19" i="8" s="1"/>
  <c r="J20" i="8" s="1"/>
  <c r="J21" i="8" s="1"/>
  <c r="J22" i="8" s="1"/>
  <c r="J25" i="8" s="1"/>
  <c r="J26" i="8" s="1"/>
  <c r="J27" i="8" s="1"/>
  <c r="J28" i="8" s="1"/>
  <c r="J29" i="8" s="1"/>
  <c r="J33" i="8" s="1"/>
  <c r="J34" i="8" s="1"/>
  <c r="J35" i="8" s="1"/>
  <c r="J36" i="8" s="1"/>
  <c r="J37" i="8" s="1"/>
  <c r="J40" i="8" s="1"/>
  <c r="J41" i="8" s="1"/>
  <c r="J42" i="8" s="1"/>
  <c r="J43" i="8" s="1"/>
  <c r="J44" i="8" s="1"/>
  <c r="J46" i="8" s="1"/>
  <c r="J47" i="8" s="1"/>
  <c r="J48" i="8" s="1"/>
  <c r="J49" i="8" s="1"/>
  <c r="J50" i="8" s="1"/>
  <c r="J51" i="8" s="1"/>
  <c r="J53" i="8" s="1"/>
  <c r="J54" i="8" s="1"/>
  <c r="J55" i="8" s="1"/>
  <c r="J56" i="8" s="1"/>
  <c r="J57" i="8" s="1"/>
  <c r="J58" i="8" s="1"/>
  <c r="J59" i="8" s="1"/>
  <c r="J60" i="8" s="1"/>
  <c r="J62" i="8" s="1"/>
  <c r="J63" i="8" s="1"/>
  <c r="J64" i="8" s="1"/>
  <c r="J65" i="8" s="1"/>
  <c r="J67" i="8" s="1"/>
  <c r="J68" i="8" s="1"/>
  <c r="J69" i="8" s="1"/>
  <c r="I2" i="8"/>
  <c r="I4" i="8" s="1"/>
  <c r="I5" i="8" s="1"/>
  <c r="I6" i="8" s="1"/>
  <c r="I7" i="8" s="1"/>
  <c r="I9" i="8" s="1"/>
  <c r="I12" i="8" s="1"/>
  <c r="I13" i="8" s="1"/>
  <c r="I14" i="8" s="1"/>
  <c r="I15" i="8" s="1"/>
  <c r="I16" i="8" s="1"/>
  <c r="I18" i="8" s="1"/>
  <c r="I19" i="8" s="1"/>
  <c r="I20" i="8" s="1"/>
  <c r="I21" i="8" s="1"/>
  <c r="I22" i="8" s="1"/>
  <c r="I25" i="8" s="1"/>
  <c r="I26" i="8" s="1"/>
  <c r="I27" i="8" s="1"/>
  <c r="I28" i="8" s="1"/>
  <c r="I29" i="8" s="1"/>
  <c r="H2" i="8"/>
  <c r="H4" i="8" s="1"/>
  <c r="H5" i="8" s="1"/>
  <c r="H6" i="8" s="1"/>
  <c r="H7" i="8" s="1"/>
  <c r="H9" i="8" s="1"/>
  <c r="H12" i="8" s="1"/>
  <c r="H13" i="8" s="1"/>
  <c r="H14" i="8" s="1"/>
  <c r="H15" i="8" s="1"/>
  <c r="H16" i="8" s="1"/>
  <c r="H18" i="8" s="1"/>
  <c r="H19" i="8" s="1"/>
  <c r="H20" i="8" s="1"/>
  <c r="H21" i="8" s="1"/>
  <c r="H22" i="8" s="1"/>
  <c r="H25" i="8" s="1"/>
  <c r="H26" i="8" s="1"/>
  <c r="H27" i="8" s="1"/>
  <c r="H28" i="8" s="1"/>
  <c r="H29" i="8" s="1"/>
  <c r="G19" i="9"/>
  <c r="F19" i="9"/>
  <c r="F16" i="9"/>
  <c r="G16" i="9"/>
  <c r="F14" i="9"/>
  <c r="G14" i="9"/>
  <c r="F13" i="9"/>
  <c r="G13" i="9"/>
  <c r="G12" i="9"/>
  <c r="F12" i="9"/>
  <c r="K2" i="9"/>
  <c r="K4" i="9" s="1"/>
  <c r="K5" i="9" s="1"/>
  <c r="K6" i="9" s="1"/>
  <c r="K7" i="9" s="1"/>
  <c r="K9" i="9" s="1"/>
  <c r="K12" i="9" s="1"/>
  <c r="K13" i="9" s="1"/>
  <c r="K14" i="9" s="1"/>
  <c r="K15" i="9" s="1"/>
  <c r="K16" i="9" s="1"/>
  <c r="K18" i="9" s="1"/>
  <c r="K19" i="9" s="1"/>
  <c r="K20" i="9" s="1"/>
  <c r="K21" i="9" s="1"/>
  <c r="K22" i="9" s="1"/>
  <c r="K23" i="9" s="1"/>
  <c r="K25" i="9" s="1"/>
  <c r="K26" i="9" s="1"/>
  <c r="K27" i="9" s="1"/>
  <c r="K28" i="9" s="1"/>
  <c r="K29" i="9" s="1"/>
  <c r="K30" i="9" s="1"/>
  <c r="K32" i="9" s="1"/>
  <c r="K33" i="9" s="1"/>
  <c r="K34" i="9" s="1"/>
  <c r="K35" i="9" s="1"/>
  <c r="K36" i="9" s="1"/>
  <c r="K37" i="9" s="1"/>
  <c r="K39" i="9" s="1"/>
  <c r="K40" i="9" s="1"/>
  <c r="K41" i="9" s="1"/>
  <c r="K42" i="9" s="1"/>
  <c r="K43" i="9" s="1"/>
  <c r="K44" i="9" s="1"/>
  <c r="K46" i="9" s="1"/>
  <c r="K47" i="9" s="1"/>
  <c r="K48" i="9" s="1"/>
  <c r="K49" i="9" s="1"/>
  <c r="K50" i="9" s="1"/>
  <c r="K51" i="9" s="1"/>
  <c r="K53" i="9" s="1"/>
  <c r="K55" i="9" s="1"/>
  <c r="K56" i="9" s="1"/>
  <c r="K57" i="9" s="1"/>
  <c r="K58" i="9" s="1"/>
  <c r="J2" i="9"/>
  <c r="J4" i="9" s="1"/>
  <c r="J5" i="9" s="1"/>
  <c r="J6" i="9" s="1"/>
  <c r="J7" i="9" s="1"/>
  <c r="J9" i="9" s="1"/>
  <c r="J12" i="9" s="1"/>
  <c r="J13" i="9" s="1"/>
  <c r="J14" i="9" s="1"/>
  <c r="J15" i="9" s="1"/>
  <c r="J16" i="9" s="1"/>
  <c r="J18" i="9" s="1"/>
  <c r="J19" i="9" s="1"/>
  <c r="J20" i="9" s="1"/>
  <c r="J21" i="9" s="1"/>
  <c r="J22" i="9" s="1"/>
  <c r="J23" i="9" s="1"/>
  <c r="J25" i="9" s="1"/>
  <c r="J26" i="9" s="1"/>
  <c r="J27" i="9" s="1"/>
  <c r="J28" i="9" s="1"/>
  <c r="J29" i="9" s="1"/>
  <c r="J30" i="9" s="1"/>
  <c r="J32" i="9" s="1"/>
  <c r="J33" i="9" s="1"/>
  <c r="J34" i="9" s="1"/>
  <c r="J35" i="9" s="1"/>
  <c r="J36" i="9" s="1"/>
  <c r="J37" i="9" s="1"/>
  <c r="J39" i="9" s="1"/>
  <c r="J40" i="9" s="1"/>
  <c r="J41" i="9" s="1"/>
  <c r="J42" i="9" s="1"/>
  <c r="J43" i="9" s="1"/>
  <c r="J44" i="9" s="1"/>
  <c r="J46" i="9" s="1"/>
  <c r="J47" i="9" s="1"/>
  <c r="J48" i="9" s="1"/>
  <c r="J49" i="9" s="1"/>
  <c r="J50" i="9" s="1"/>
  <c r="J51" i="9" s="1"/>
  <c r="J53" i="9" s="1"/>
  <c r="J55" i="9" s="1"/>
  <c r="J56" i="9" s="1"/>
  <c r="J57" i="9" s="1"/>
  <c r="J58" i="9" s="1"/>
  <c r="I2" i="9"/>
  <c r="I4" i="9" s="1"/>
  <c r="I5" i="9" s="1"/>
  <c r="I6" i="9" s="1"/>
  <c r="I7" i="9" s="1"/>
  <c r="I9" i="9" s="1"/>
  <c r="I12" i="9" s="1"/>
  <c r="I13" i="9" s="1"/>
  <c r="I14" i="9" s="1"/>
  <c r="I15" i="9" s="1"/>
  <c r="I16" i="9" s="1"/>
  <c r="I18" i="9" s="1"/>
  <c r="I19" i="9" s="1"/>
  <c r="I20" i="9" s="1"/>
  <c r="I21" i="9" s="1"/>
  <c r="I22" i="9" s="1"/>
  <c r="I23" i="9" s="1"/>
  <c r="I25" i="9" s="1"/>
  <c r="I26" i="9" s="1"/>
  <c r="I27" i="9" s="1"/>
  <c r="I28" i="9" s="1"/>
  <c r="I29" i="9" s="1"/>
  <c r="I30" i="9" s="1"/>
  <c r="H2" i="9"/>
  <c r="H4" i="9" s="1"/>
  <c r="H5" i="9" s="1"/>
  <c r="H6" i="9" s="1"/>
  <c r="H7" i="9" s="1"/>
  <c r="H9" i="9" s="1"/>
  <c r="H12" i="9" s="1"/>
  <c r="H13" i="9" s="1"/>
  <c r="H14" i="9" s="1"/>
  <c r="H15" i="9" s="1"/>
  <c r="H16" i="9" s="1"/>
  <c r="H18" i="9" s="1"/>
  <c r="H19" i="9" s="1"/>
  <c r="H20" i="9" s="1"/>
  <c r="H21" i="9" s="1"/>
  <c r="H22" i="9" s="1"/>
  <c r="H23" i="9" s="1"/>
  <c r="H25" i="9" s="1"/>
  <c r="H26" i="9" s="1"/>
  <c r="H27" i="9" s="1"/>
  <c r="H28" i="9" s="1"/>
  <c r="H29" i="9" s="1"/>
  <c r="H30" i="9" s="1"/>
  <c r="J71" i="8" l="1"/>
  <c r="J72" i="8"/>
  <c r="J74" i="8" s="1"/>
  <c r="J75" i="8" s="1"/>
  <c r="J76" i="8" s="1"/>
  <c r="J77" i="8" s="1"/>
  <c r="J78" i="8" s="1"/>
  <c r="J79" i="8" s="1"/>
  <c r="J82" i="8" s="1"/>
  <c r="J83" i="8" s="1"/>
  <c r="J84" i="8" s="1"/>
  <c r="J85" i="8" s="1"/>
  <c r="J86" i="8" s="1"/>
  <c r="K60" i="9"/>
  <c r="J60" i="9"/>
  <c r="G19" i="11"/>
  <c r="F19" i="11"/>
  <c r="J61" i="9" l="1"/>
  <c r="J62" i="9" s="1"/>
  <c r="J63" i="9" s="1"/>
  <c r="J64" i="9" s="1"/>
  <c r="J65" i="9" s="1"/>
  <c r="J67" i="9" s="1"/>
  <c r="J68" i="9" s="1"/>
  <c r="J69" i="9" s="1"/>
  <c r="J70" i="9" s="1"/>
  <c r="J71" i="9" s="1"/>
  <c r="J72" i="9" s="1"/>
  <c r="J74" i="9" s="1"/>
  <c r="J75" i="9" s="1"/>
  <c r="J76" i="9" s="1"/>
  <c r="J77" i="9" s="1"/>
  <c r="J78" i="9" s="1"/>
  <c r="J79" i="9" s="1"/>
  <c r="J81" i="9" s="1"/>
  <c r="J82" i="9" s="1"/>
  <c r="J83" i="9" s="1"/>
  <c r="J84" i="9" s="1"/>
  <c r="J85" i="9" s="1"/>
  <c r="J86" i="9" s="1"/>
  <c r="K61" i="9"/>
  <c r="K62" i="9" s="1"/>
  <c r="K63" i="9" s="1"/>
  <c r="K64" i="9" s="1"/>
  <c r="K65" i="9" s="1"/>
  <c r="K67" i="9" s="1"/>
  <c r="K68" i="9" s="1"/>
  <c r="K69" i="9" s="1"/>
  <c r="K70" i="9" s="1"/>
  <c r="K71" i="9" s="1"/>
  <c r="K72" i="9" s="1"/>
  <c r="K74" i="9" s="1"/>
  <c r="K75" i="9" s="1"/>
  <c r="K76" i="9" s="1"/>
  <c r="K77" i="9" s="1"/>
  <c r="K78" i="9" s="1"/>
  <c r="K79" i="9" s="1"/>
  <c r="K81" i="9" s="1"/>
  <c r="K82" i="9" s="1"/>
  <c r="K83" i="9" s="1"/>
  <c r="K84" i="9" s="1"/>
  <c r="K85" i="9" s="1"/>
  <c r="K86" i="9" s="1"/>
  <c r="G16" i="11"/>
  <c r="F16" i="11"/>
  <c r="F14" i="11"/>
  <c r="G14" i="11"/>
  <c r="F13" i="11"/>
  <c r="G13" i="11"/>
  <c r="G12" i="11"/>
  <c r="F12" i="11"/>
  <c r="K4" i="11"/>
  <c r="K5" i="11" s="1"/>
  <c r="K6" i="11" s="1"/>
  <c r="K7" i="11" s="1"/>
  <c r="K9" i="11" s="1"/>
  <c r="K12" i="11" s="1"/>
  <c r="K13" i="11" s="1"/>
  <c r="K14" i="11" s="1"/>
  <c r="K15" i="11" s="1"/>
  <c r="K16" i="11" s="1"/>
  <c r="K18" i="11" s="1"/>
  <c r="K19" i="11" s="1"/>
  <c r="K20" i="11" s="1"/>
  <c r="K21" i="11" s="1"/>
  <c r="K22" i="11" s="1"/>
  <c r="K23" i="11" s="1"/>
  <c r="K25" i="11" s="1"/>
  <c r="K26" i="11" s="1"/>
  <c r="K27" i="11" s="1"/>
  <c r="K28" i="11" s="1"/>
  <c r="K29" i="11" s="1"/>
  <c r="K30" i="11" s="1"/>
  <c r="K33" i="11" s="1"/>
  <c r="K34" i="11" s="1"/>
  <c r="K35" i="11" s="1"/>
  <c r="K37" i="11" s="1"/>
  <c r="K39" i="11" s="1"/>
  <c r="K40" i="11" s="1"/>
  <c r="K41" i="11" s="1"/>
  <c r="K42" i="11" s="1"/>
  <c r="K43" i="11" s="1"/>
  <c r="K44" i="11" s="1"/>
  <c r="K46" i="11" s="1"/>
  <c r="K47" i="11" s="1"/>
  <c r="K48" i="11" s="1"/>
  <c r="K49" i="11" s="1"/>
  <c r="K50" i="11" s="1"/>
  <c r="K51" i="11" s="1"/>
  <c r="K52" i="11" s="1"/>
  <c r="K53" i="11" s="1"/>
  <c r="K54" i="11" s="1"/>
  <c r="K56" i="11" s="1"/>
  <c r="K58" i="11" s="1"/>
  <c r="K59" i="11" s="1"/>
  <c r="K60" i="11" s="1"/>
  <c r="K61" i="11" s="1"/>
  <c r="K62" i="11" s="1"/>
  <c r="K63" i="11" s="1"/>
  <c r="K64" i="11" s="1"/>
  <c r="K65" i="11" s="1"/>
  <c r="K67" i="11" s="1"/>
  <c r="K68" i="11" s="1"/>
  <c r="K69" i="11" s="1"/>
  <c r="K70" i="11" s="1"/>
  <c r="K71" i="11" s="1"/>
  <c r="K72" i="11" s="1"/>
  <c r="K74" i="11" s="1"/>
  <c r="K75" i="11" s="1"/>
  <c r="K76" i="11" s="1"/>
  <c r="K77" i="11" s="1"/>
  <c r="K78" i="11" s="1"/>
  <c r="K79" i="11" s="1"/>
  <c r="K81" i="11" s="1"/>
  <c r="K82" i="11" s="1"/>
  <c r="K83" i="11" s="1"/>
  <c r="K84" i="11" s="1"/>
  <c r="K85" i="11" s="1"/>
  <c r="K86" i="11" s="1"/>
  <c r="K88" i="11" s="1"/>
  <c r="J4" i="11"/>
  <c r="J5" i="11" s="1"/>
  <c r="J6" i="11" s="1"/>
  <c r="J7" i="11" s="1"/>
  <c r="J9" i="11" s="1"/>
  <c r="J12" i="11" s="1"/>
  <c r="J13" i="11" s="1"/>
  <c r="J14" i="11" s="1"/>
  <c r="J15" i="11" s="1"/>
  <c r="J16" i="11" s="1"/>
  <c r="J18" i="11" s="1"/>
  <c r="J19" i="11" s="1"/>
  <c r="J20" i="11" s="1"/>
  <c r="J21" i="11" s="1"/>
  <c r="J22" i="11" s="1"/>
  <c r="J23" i="11" s="1"/>
  <c r="J25" i="11" s="1"/>
  <c r="J26" i="11" s="1"/>
  <c r="J27" i="11" s="1"/>
  <c r="J28" i="11" s="1"/>
  <c r="J29" i="11" s="1"/>
  <c r="J30" i="11" s="1"/>
  <c r="J33" i="11" s="1"/>
  <c r="J34" i="11" s="1"/>
  <c r="J35" i="11" s="1"/>
  <c r="J37" i="11" s="1"/>
  <c r="J39" i="11" s="1"/>
  <c r="J40" i="11" s="1"/>
  <c r="J41" i="11" s="1"/>
  <c r="J42" i="11" s="1"/>
  <c r="J43" i="11" s="1"/>
  <c r="J44" i="11" s="1"/>
  <c r="J46" i="11" s="1"/>
  <c r="J47" i="11" s="1"/>
  <c r="J48" i="11" s="1"/>
  <c r="J49" i="11" s="1"/>
  <c r="J50" i="11" s="1"/>
  <c r="J51" i="11" s="1"/>
  <c r="J52" i="11" s="1"/>
  <c r="J53" i="11" s="1"/>
  <c r="J54" i="11" s="1"/>
  <c r="J56" i="11" s="1"/>
  <c r="J58" i="11" s="1"/>
  <c r="J59" i="11" s="1"/>
  <c r="J60" i="11" s="1"/>
  <c r="J61" i="11" s="1"/>
  <c r="J62" i="11" s="1"/>
  <c r="J63" i="11" s="1"/>
  <c r="J64" i="11" s="1"/>
  <c r="J65" i="11" s="1"/>
  <c r="J67" i="11" s="1"/>
  <c r="J68" i="11" s="1"/>
  <c r="J69" i="11" s="1"/>
  <c r="J70" i="11" s="1"/>
  <c r="J71" i="11" s="1"/>
  <c r="J72" i="11" s="1"/>
  <c r="J74" i="11" s="1"/>
  <c r="J75" i="11" s="1"/>
  <c r="J76" i="11" s="1"/>
  <c r="J77" i="11" s="1"/>
  <c r="J78" i="11" s="1"/>
  <c r="J79" i="11" s="1"/>
  <c r="J81" i="11" s="1"/>
  <c r="J82" i="11" s="1"/>
  <c r="J83" i="11" s="1"/>
  <c r="J84" i="11" s="1"/>
  <c r="J85" i="11" s="1"/>
  <c r="J86" i="11" s="1"/>
  <c r="J88" i="11" s="1"/>
  <c r="I4" i="11"/>
  <c r="I5" i="11" s="1"/>
  <c r="I6" i="11" s="1"/>
  <c r="I7" i="11" s="1"/>
  <c r="I9" i="11" s="1"/>
  <c r="I12" i="11" s="1"/>
  <c r="I13" i="11" s="1"/>
  <c r="I14" i="11" s="1"/>
  <c r="I15" i="11" s="1"/>
  <c r="I16" i="11" s="1"/>
  <c r="I18" i="11" s="1"/>
  <c r="I19" i="11" s="1"/>
  <c r="I20" i="11" s="1"/>
  <c r="I21" i="11" s="1"/>
  <c r="I22" i="11" s="1"/>
  <c r="I23" i="11" s="1"/>
  <c r="I25" i="11" s="1"/>
  <c r="I26" i="11" s="1"/>
  <c r="I27" i="11" s="1"/>
  <c r="I28" i="11" s="1"/>
  <c r="I29" i="11" s="1"/>
  <c r="I30" i="11" s="1"/>
  <c r="H4" i="11"/>
  <c r="H5" i="11" s="1"/>
  <c r="H6" i="11" s="1"/>
  <c r="H7" i="11" s="1"/>
  <c r="H9" i="11" s="1"/>
  <c r="H12" i="11" s="1"/>
  <c r="H13" i="11" s="1"/>
  <c r="H14" i="11" s="1"/>
  <c r="H15" i="11" s="1"/>
  <c r="H16" i="11" s="1"/>
  <c r="H18" i="11" s="1"/>
  <c r="H19" i="11" s="1"/>
  <c r="H20" i="11" s="1"/>
  <c r="H21" i="11" s="1"/>
  <c r="H22" i="11" s="1"/>
  <c r="H23" i="11" s="1"/>
  <c r="H25" i="11" s="1"/>
  <c r="H26" i="11" s="1"/>
  <c r="H27" i="11" s="1"/>
  <c r="H28" i="11" s="1"/>
  <c r="H29" i="11" s="1"/>
  <c r="H30" i="11" s="1"/>
  <c r="G16" i="12"/>
  <c r="F16" i="12"/>
  <c r="F14" i="12"/>
  <c r="G14" i="12"/>
  <c r="F13" i="12"/>
  <c r="G13" i="12"/>
  <c r="G12" i="12"/>
  <c r="F12" i="12"/>
  <c r="K2" i="12"/>
  <c r="K4" i="12" s="1"/>
  <c r="K5" i="12" s="1"/>
  <c r="K6" i="12" s="1"/>
  <c r="K7" i="12" s="1"/>
  <c r="K9" i="12" s="1"/>
  <c r="K12" i="12" s="1"/>
  <c r="K13" i="12" s="1"/>
  <c r="K14" i="12" s="1"/>
  <c r="K15" i="12" s="1"/>
  <c r="K16" i="12" s="1"/>
  <c r="K18" i="12" s="1"/>
  <c r="K19" i="12" s="1"/>
  <c r="K20" i="12" s="1"/>
  <c r="K21" i="12" s="1"/>
  <c r="K22" i="12" s="1"/>
  <c r="K23" i="12" s="1"/>
  <c r="K25" i="12" s="1"/>
  <c r="K26" i="12" s="1"/>
  <c r="K27" i="12" s="1"/>
  <c r="K28" i="12" s="1"/>
  <c r="K29" i="12" s="1"/>
  <c r="K30" i="12" s="1"/>
  <c r="K33" i="12" s="1"/>
  <c r="K34" i="12" s="1"/>
  <c r="K35" i="12" s="1"/>
  <c r="K36" i="12" s="1"/>
  <c r="K37" i="12" s="1"/>
  <c r="K39" i="12" s="1"/>
  <c r="K40" i="12" s="1"/>
  <c r="K41" i="12" s="1"/>
  <c r="K42" i="12" s="1"/>
  <c r="K43" i="12" s="1"/>
  <c r="K44" i="12" s="1"/>
  <c r="K46" i="12" s="1"/>
  <c r="K47" i="12" s="1"/>
  <c r="K48" i="12" s="1"/>
  <c r="K49" i="12" s="1"/>
  <c r="K50" i="12" s="1"/>
  <c r="K51" i="12" s="1"/>
  <c r="K53" i="12" s="1"/>
  <c r="K54" i="12" s="1"/>
  <c r="K55" i="12" s="1"/>
  <c r="K56" i="12" s="1"/>
  <c r="K57" i="12" s="1"/>
  <c r="K58" i="12" s="1"/>
  <c r="K61" i="12" s="1"/>
  <c r="K62" i="12" s="1"/>
  <c r="K63" i="12" s="1"/>
  <c r="K64" i="12" s="1"/>
  <c r="K65" i="12" s="1"/>
  <c r="K67" i="12" s="1"/>
  <c r="K68" i="12" s="1"/>
  <c r="K69" i="12" s="1"/>
  <c r="K70" i="12" s="1"/>
  <c r="K71" i="12" s="1"/>
  <c r="K72" i="12" s="1"/>
  <c r="K74" i="12" s="1"/>
  <c r="K75" i="12" s="1"/>
  <c r="K76" i="12" s="1"/>
  <c r="K77" i="12" s="1"/>
  <c r="K78" i="12" s="1"/>
  <c r="K79" i="12" s="1"/>
  <c r="K81" i="12" s="1"/>
  <c r="K82" i="12" s="1"/>
  <c r="K83" i="12" s="1"/>
  <c r="K84" i="12" s="1"/>
  <c r="K86" i="12" s="1"/>
  <c r="K88" i="12" s="1"/>
  <c r="J2" i="12"/>
  <c r="J4" i="12" s="1"/>
  <c r="J5" i="12" s="1"/>
  <c r="J6" i="12" s="1"/>
  <c r="J7" i="12" s="1"/>
  <c r="J9" i="12" s="1"/>
  <c r="J12" i="12" s="1"/>
  <c r="J13" i="12" s="1"/>
  <c r="J14" i="12" s="1"/>
  <c r="J15" i="12" s="1"/>
  <c r="J16" i="12" s="1"/>
  <c r="J18" i="12" s="1"/>
  <c r="J19" i="12" s="1"/>
  <c r="J20" i="12" s="1"/>
  <c r="J21" i="12" s="1"/>
  <c r="J22" i="12" s="1"/>
  <c r="J23" i="12" s="1"/>
  <c r="J25" i="12" s="1"/>
  <c r="J26" i="12" s="1"/>
  <c r="J27" i="12" s="1"/>
  <c r="J28" i="12" s="1"/>
  <c r="J29" i="12" s="1"/>
  <c r="J30" i="12" s="1"/>
  <c r="J33" i="12" s="1"/>
  <c r="J34" i="12" s="1"/>
  <c r="J35" i="12" s="1"/>
  <c r="J36" i="12" s="1"/>
  <c r="J37" i="12" s="1"/>
  <c r="J39" i="12" s="1"/>
  <c r="J40" i="12" s="1"/>
  <c r="J41" i="12" s="1"/>
  <c r="J42" i="12" s="1"/>
  <c r="J43" i="12" s="1"/>
  <c r="J44" i="12" s="1"/>
  <c r="J46" i="12" s="1"/>
  <c r="J47" i="12" s="1"/>
  <c r="J48" i="12" s="1"/>
  <c r="J49" i="12" s="1"/>
  <c r="J50" i="12" s="1"/>
  <c r="J51" i="12" s="1"/>
  <c r="J53" i="12" s="1"/>
  <c r="J54" i="12" s="1"/>
  <c r="J55" i="12" s="1"/>
  <c r="J56" i="12" s="1"/>
  <c r="J57" i="12" s="1"/>
  <c r="J58" i="12" s="1"/>
  <c r="J61" i="12" s="1"/>
  <c r="J62" i="12" s="1"/>
  <c r="J63" i="12" s="1"/>
  <c r="J64" i="12" s="1"/>
  <c r="J65" i="12" s="1"/>
  <c r="J67" i="12" s="1"/>
  <c r="J68" i="12" s="1"/>
  <c r="J69" i="12" s="1"/>
  <c r="J70" i="12" s="1"/>
  <c r="J71" i="12" s="1"/>
  <c r="J72" i="12" s="1"/>
  <c r="J74" i="12" s="1"/>
  <c r="J75" i="12" s="1"/>
  <c r="J76" i="12" s="1"/>
  <c r="J77" i="12" s="1"/>
  <c r="J78" i="12" s="1"/>
  <c r="J79" i="12" s="1"/>
  <c r="J81" i="12" s="1"/>
  <c r="J82" i="12" s="1"/>
  <c r="J83" i="12" s="1"/>
  <c r="J84" i="12" s="1"/>
  <c r="J86" i="12" s="1"/>
  <c r="J88" i="12" s="1"/>
  <c r="I2" i="12"/>
  <c r="I4" i="12" s="1"/>
  <c r="I5" i="12" s="1"/>
  <c r="I6" i="12" s="1"/>
  <c r="I7" i="12" s="1"/>
  <c r="I9" i="12" s="1"/>
  <c r="I12" i="12" s="1"/>
  <c r="I13" i="12" s="1"/>
  <c r="I14" i="12" s="1"/>
  <c r="I15" i="12" s="1"/>
  <c r="I16" i="12" s="1"/>
  <c r="I18" i="12" s="1"/>
  <c r="I19" i="12" s="1"/>
  <c r="I20" i="12" s="1"/>
  <c r="I21" i="12" s="1"/>
  <c r="I22" i="12" s="1"/>
  <c r="I23" i="12" s="1"/>
  <c r="I25" i="12" s="1"/>
  <c r="I26" i="12" s="1"/>
  <c r="I27" i="12" s="1"/>
  <c r="I28" i="12" s="1"/>
  <c r="I29" i="12" s="1"/>
  <c r="I30" i="12" s="1"/>
  <c r="H2" i="12"/>
  <c r="H4" i="12" s="1"/>
  <c r="H5" i="12" s="1"/>
  <c r="H6" i="12" s="1"/>
  <c r="H7" i="12" s="1"/>
  <c r="H9" i="12" s="1"/>
  <c r="H12" i="12" s="1"/>
  <c r="H13" i="12" s="1"/>
  <c r="H14" i="12" s="1"/>
  <c r="H15" i="12" s="1"/>
  <c r="H16" i="12" s="1"/>
  <c r="H18" i="12" s="1"/>
  <c r="H19" i="12" s="1"/>
  <c r="H20" i="12" s="1"/>
  <c r="H21" i="12" s="1"/>
  <c r="H22" i="12" s="1"/>
  <c r="H23" i="12" s="1"/>
  <c r="H25" i="12" s="1"/>
  <c r="H26" i="12" s="1"/>
  <c r="H27" i="12" s="1"/>
  <c r="H28" i="12" s="1"/>
  <c r="H29" i="12" s="1"/>
  <c r="H30" i="12" s="1"/>
  <c r="K88" i="9" l="1"/>
  <c r="K87" i="9"/>
  <c r="J88" i="9"/>
  <c r="J87" i="9"/>
  <c r="L369" i="8"/>
  <c r="U60" i="11" l="1" a="1"/>
  <c r="U60" i="11" s="1"/>
  <c r="V60" i="11" a="1"/>
  <c r="V60" i="11" s="1"/>
  <c r="R45" i="15"/>
  <c r="S45" i="15" s="1"/>
  <c r="R41" i="15"/>
  <c r="S41" i="15"/>
  <c r="R44" i="15"/>
  <c r="S44" i="15" s="1"/>
  <c r="R42" i="15"/>
  <c r="S42" i="15"/>
  <c r="S272" i="12"/>
  <c r="S43" i="15"/>
  <c r="R43" i="15"/>
  <c r="P43" i="15"/>
  <c r="U47" i="15"/>
  <c r="T47" i="15"/>
  <c r="Q47" i="15"/>
  <c r="N47" i="15"/>
  <c r="R47" i="15" s="1"/>
  <c r="S47" i="15" s="1"/>
  <c r="M47" i="15"/>
  <c r="O47" i="15" s="1"/>
  <c r="P45" i="15"/>
  <c r="O45" i="15"/>
  <c r="P44" i="15"/>
  <c r="O44" i="15"/>
  <c r="O43" i="15"/>
  <c r="P42" i="15"/>
  <c r="O42" i="15"/>
  <c r="P41" i="15"/>
  <c r="O41" i="15"/>
  <c r="W66" i="8"/>
  <c r="X66" i="8"/>
  <c r="P47" i="15" l="1"/>
  <c r="U243" i="9" l="1"/>
  <c r="K11" i="13"/>
  <c r="J11" i="13"/>
  <c r="G11" i="13"/>
  <c r="H9" i="13"/>
  <c r="I9" i="13" s="1"/>
  <c r="H8" i="13"/>
  <c r="I8" i="13" s="1"/>
  <c r="H7" i="13"/>
  <c r="I7" i="13" s="1"/>
  <c r="H6" i="13"/>
  <c r="I6" i="13" s="1"/>
  <c r="H5" i="13"/>
  <c r="D11" i="13"/>
  <c r="C11" i="13"/>
  <c r="H11" i="13" l="1"/>
  <c r="I5" i="13"/>
  <c r="I11" i="13" s="1"/>
  <c r="V344" i="9" l="1" a="1"/>
  <c r="V344" i="9" s="1"/>
  <c r="U332" i="8"/>
  <c r="U255" i="9"/>
  <c r="U150" i="9"/>
  <c r="U150" i="8"/>
  <c r="U161" i="8"/>
  <c r="U275" i="9"/>
  <c r="O30" i="15" l="1"/>
  <c r="P30" i="15"/>
  <c r="O31" i="15"/>
  <c r="P31" i="15"/>
  <c r="O32" i="15"/>
  <c r="P32" i="15"/>
  <c r="O33" i="15"/>
  <c r="P33" i="15"/>
  <c r="P29" i="15"/>
  <c r="O29" i="15"/>
  <c r="U35" i="15"/>
  <c r="T35" i="15"/>
  <c r="Q35" i="15"/>
  <c r="N35" i="15"/>
  <c r="R35" i="15" s="1"/>
  <c r="S35" i="15" s="1"/>
  <c r="M35" i="15"/>
  <c r="O35" i="15" s="1"/>
  <c r="R33" i="15"/>
  <c r="S33" i="15" s="1"/>
  <c r="R32" i="15"/>
  <c r="S32" i="15" s="1"/>
  <c r="R31" i="15"/>
  <c r="S31" i="15" s="1"/>
  <c r="R30" i="15"/>
  <c r="S30" i="15" s="1"/>
  <c r="R29" i="15"/>
  <c r="S29" i="15" s="1"/>
  <c r="P35" i="15" l="1"/>
  <c r="F20" i="2" l="1"/>
  <c r="W158" i="10" a="1"/>
  <c r="W158" i="10" s="1"/>
  <c r="X147" i="8" a="1"/>
  <c r="X147" i="8" s="1"/>
  <c r="V139" i="11" a="1"/>
  <c r="V139" i="11" s="1"/>
  <c r="AM140" i="12" a="1"/>
  <c r="AM140" i="12" s="1"/>
  <c r="W320" i="9" a="1"/>
  <c r="W320" i="9" s="1"/>
  <c r="P6" i="15" l="1"/>
  <c r="O6" i="15"/>
  <c r="E18" i="15"/>
  <c r="D18" i="15"/>
  <c r="R20" i="15"/>
  <c r="S20" i="15" s="1"/>
  <c r="U23" i="15" l="1"/>
  <c r="T23" i="15"/>
  <c r="Q23" i="15"/>
  <c r="N23" i="15"/>
  <c r="M23" i="15"/>
  <c r="R21" i="15"/>
  <c r="S21" i="15" s="1"/>
  <c r="R19" i="15"/>
  <c r="S19" i="15" s="1"/>
  <c r="R18" i="15"/>
  <c r="S18" i="15" s="1"/>
  <c r="R17" i="15"/>
  <c r="S17" i="15" s="1"/>
  <c r="R23" i="15" l="1"/>
  <c r="S23" i="15" s="1"/>
  <c r="O9" i="15" l="1"/>
  <c r="P9" i="15"/>
  <c r="P8" i="15"/>
  <c r="O8" i="15"/>
  <c r="P7" i="15"/>
  <c r="O7" i="15"/>
  <c r="P5" i="15"/>
  <c r="O5" i="15"/>
  <c r="J23" i="15"/>
  <c r="I23" i="15"/>
  <c r="F23" i="15"/>
  <c r="C23" i="15"/>
  <c r="B23" i="15"/>
  <c r="G21" i="15"/>
  <c r="H21" i="15" s="1"/>
  <c r="G20" i="15"/>
  <c r="H20" i="15" s="1"/>
  <c r="G19" i="15"/>
  <c r="H19" i="15" s="1"/>
  <c r="G18" i="15"/>
  <c r="H18" i="15" s="1"/>
  <c r="G17" i="15"/>
  <c r="H17" i="15" s="1"/>
  <c r="G23" i="15" l="1"/>
  <c r="H23" i="15" s="1"/>
  <c r="D20" i="2" l="1"/>
  <c r="U11" i="15"/>
  <c r="T11" i="15"/>
  <c r="Q11" i="15"/>
  <c r="N11" i="15"/>
  <c r="M11" i="15"/>
  <c r="R9" i="15"/>
  <c r="S9" i="15" s="1"/>
  <c r="R8" i="15"/>
  <c r="S8" i="15" s="1"/>
  <c r="R7" i="15"/>
  <c r="S7" i="15" s="1"/>
  <c r="R6" i="15"/>
  <c r="S6" i="15" s="1"/>
  <c r="R5" i="15"/>
  <c r="S5" i="15" s="1"/>
  <c r="O23" i="15" l="1"/>
  <c r="O11" i="15"/>
  <c r="P23" i="15"/>
  <c r="P11" i="15"/>
  <c r="R11" i="15"/>
  <c r="S11" i="15" s="1"/>
  <c r="B20" i="2" l="1"/>
  <c r="C20" i="2"/>
  <c r="E20" i="2"/>
  <c r="B21" i="2"/>
  <c r="C21" i="2"/>
  <c r="D21" i="2"/>
  <c r="E21" i="2"/>
  <c r="F21" i="2"/>
  <c r="G21" i="2"/>
  <c r="B22" i="2"/>
  <c r="C22" i="2"/>
  <c r="D22" i="2"/>
  <c r="E22" i="2"/>
  <c r="F22" i="2"/>
  <c r="G22" i="2"/>
  <c r="S231" i="12" l="1"/>
  <c r="I11" i="15"/>
  <c r="H11" i="15"/>
  <c r="E11" i="15"/>
  <c r="D11" i="15"/>
  <c r="C11" i="15"/>
  <c r="F9" i="15"/>
  <c r="G9" i="15" s="1"/>
  <c r="F8" i="15"/>
  <c r="G8" i="15" s="1"/>
  <c r="F7" i="15"/>
  <c r="G7" i="15" s="1"/>
  <c r="F6" i="15"/>
  <c r="G6" i="15" s="1"/>
  <c r="F5" i="15"/>
  <c r="G5" i="15" s="1"/>
  <c r="F11" i="15" l="1"/>
  <c r="G11" i="15" l="1"/>
  <c r="U5" i="10" l="1"/>
  <c r="U6" i="10" s="1"/>
  <c r="U7" i="9"/>
  <c r="U8" i="9" s="1"/>
  <c r="T9" i="11"/>
  <c r="U8" i="11" s="1" a="1"/>
  <c r="U8" i="11" s="1"/>
  <c r="S9" i="12"/>
  <c r="V15" i="8"/>
  <c r="X14" i="8" s="1"/>
  <c r="S10" i="12" l="1"/>
  <c r="T9" i="12" s="1" a="1"/>
  <c r="T9" i="12" s="1"/>
  <c r="V6" i="9" a="1"/>
  <c r="V6" i="9" s="1"/>
  <c r="W6" i="9" a="1"/>
  <c r="W6" i="9" s="1"/>
  <c r="V4" i="10"/>
  <c r="U8" i="12" a="1"/>
  <c r="U8" i="12" s="1"/>
  <c r="T10" i="1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V20" i="11" s="1" a="1"/>
  <c r="V20" i="11" s="1"/>
  <c r="V8" i="11" a="1"/>
  <c r="V8" i="11" s="1"/>
  <c r="V12" i="11" a="1"/>
  <c r="V12" i="11" s="1"/>
  <c r="U9" i="9"/>
  <c r="W8" i="9" s="1" a="1"/>
  <c r="W8" i="9" s="1"/>
  <c r="V7" i="9" a="1"/>
  <c r="V7" i="9" s="1"/>
  <c r="W7" i="9" a="1"/>
  <c r="W7" i="9" s="1"/>
  <c r="U7" i="10"/>
  <c r="W5" i="10"/>
  <c r="V5" i="10"/>
  <c r="W4" i="10"/>
  <c r="T8" i="12" a="1"/>
  <c r="T8" i="12" s="1"/>
  <c r="V16" i="8"/>
  <c r="W15" i="8" s="1"/>
  <c r="W14" i="8"/>
  <c r="S11" i="12" l="1"/>
  <c r="U10" i="12" s="1" a="1"/>
  <c r="U10" i="12" s="1"/>
  <c r="U9" i="12" a="1"/>
  <c r="U9" i="12" s="1"/>
  <c r="U9" i="11" a="1"/>
  <c r="U9" i="11" s="1"/>
  <c r="V8" i="9" a="1"/>
  <c r="V8" i="9" s="1"/>
  <c r="V13" i="11" a="1"/>
  <c r="V13" i="11" s="1"/>
  <c r="U11" i="11" a="1"/>
  <c r="U11" i="11" s="1"/>
  <c r="U12" i="11" a="1"/>
  <c r="U12" i="11" s="1"/>
  <c r="V15" i="11" a="1"/>
  <c r="V15" i="11" s="1"/>
  <c r="U13" i="11" a="1"/>
  <c r="U13" i="11" s="1"/>
  <c r="V18" i="11" a="1"/>
  <c r="V18" i="11" s="1"/>
  <c r="U14" i="11" a="1"/>
  <c r="U14" i="11" s="1"/>
  <c r="U10" i="11" a="1"/>
  <c r="U10" i="11" s="1"/>
  <c r="V16" i="11" a="1"/>
  <c r="V16" i="11" s="1"/>
  <c r="U18" i="11" a="1"/>
  <c r="U18" i="11" s="1"/>
  <c r="V17" i="11" a="1"/>
  <c r="V17" i="11" s="1"/>
  <c r="U16" i="11" a="1"/>
  <c r="U16" i="11" s="1"/>
  <c r="V14" i="11" a="1"/>
  <c r="V14" i="11" s="1"/>
  <c r="U17" i="11" a="1"/>
  <c r="U17" i="11" s="1"/>
  <c r="U15" i="11" a="1"/>
  <c r="U15" i="11" s="1"/>
  <c r="U19" i="11" a="1"/>
  <c r="U19" i="11" s="1"/>
  <c r="V9" i="11" a="1"/>
  <c r="V9" i="11" s="1"/>
  <c r="V11" i="11" a="1"/>
  <c r="V11" i="11" s="1"/>
  <c r="V10" i="11" a="1"/>
  <c r="V10" i="11" s="1"/>
  <c r="V19" i="11" a="1"/>
  <c r="V19" i="11" s="1"/>
  <c r="T22" i="11"/>
  <c r="V21" i="11" s="1" a="1"/>
  <c r="V21" i="11" s="1"/>
  <c r="U20" i="11" a="1"/>
  <c r="U20" i="11" s="1"/>
  <c r="U10" i="9"/>
  <c r="X15" i="8"/>
  <c r="U8" i="10"/>
  <c r="V7" i="10" s="1"/>
  <c r="W6" i="10"/>
  <c r="V6" i="10"/>
  <c r="T10" i="12" a="1"/>
  <c r="T10" i="12" s="1"/>
  <c r="V17" i="8"/>
  <c r="X16" i="8" s="1"/>
  <c r="S12" i="12"/>
  <c r="U11" i="12" s="1" a="1"/>
  <c r="U11" i="12" s="1"/>
  <c r="W9" i="9" l="1" a="1"/>
  <c r="W9" i="9" s="1"/>
  <c r="V9" i="9" a="1"/>
  <c r="V9" i="9" s="1"/>
  <c r="U21" i="11" a="1"/>
  <c r="U21" i="11" s="1"/>
  <c r="T23" i="11"/>
  <c r="U11" i="9"/>
  <c r="V10" i="9" s="1" a="1"/>
  <c r="V10" i="9" s="1"/>
  <c r="U9" i="10"/>
  <c r="V8" i="10" s="1"/>
  <c r="W7" i="10"/>
  <c r="T11" i="12" a="1"/>
  <c r="T11" i="12" s="1"/>
  <c r="V18" i="8"/>
  <c r="W17" i="8" s="1"/>
  <c r="W16" i="8"/>
  <c r="S13" i="12"/>
  <c r="X17" i="8" l="1"/>
  <c r="T24" i="11"/>
  <c r="U22" i="11" a="1"/>
  <c r="U22" i="11" s="1"/>
  <c r="V22" i="11" a="1"/>
  <c r="V22" i="11" s="1"/>
  <c r="U12" i="9"/>
  <c r="W11" i="9" s="1" a="1"/>
  <c r="W11" i="9" s="1"/>
  <c r="W10" i="9" a="1"/>
  <c r="W10" i="9" s="1"/>
  <c r="U12" i="12" a="1"/>
  <c r="U12" i="12" s="1"/>
  <c r="T12" i="12" a="1"/>
  <c r="T12" i="12" s="1"/>
  <c r="U10" i="10"/>
  <c r="W8" i="10"/>
  <c r="V19" i="8"/>
  <c r="S14" i="12"/>
  <c r="U13" i="12" s="1" a="1"/>
  <c r="U13" i="12" s="1"/>
  <c r="U23" i="11" l="1" a="1"/>
  <c r="U23" i="11" s="1"/>
  <c r="T25" i="11"/>
  <c r="U24" i="11" s="1" a="1"/>
  <c r="U24" i="11" s="1"/>
  <c r="V23" i="11" a="1"/>
  <c r="V23" i="11" s="1"/>
  <c r="V11" i="9" a="1"/>
  <c r="V11" i="9" s="1"/>
  <c r="U13" i="9"/>
  <c r="W12" i="9" s="1" a="1"/>
  <c r="W12" i="9" s="1"/>
  <c r="U11" i="10"/>
  <c r="W10" i="10" s="1"/>
  <c r="V9" i="10"/>
  <c r="W9" i="10"/>
  <c r="T13" i="12" a="1"/>
  <c r="T13" i="12" s="1"/>
  <c r="V20" i="8"/>
  <c r="X19" i="8" s="1"/>
  <c r="W18" i="8"/>
  <c r="X18" i="8"/>
  <c r="S15" i="12"/>
  <c r="U14" i="12" s="1" a="1"/>
  <c r="U14" i="12" s="1"/>
  <c r="W19" i="8" l="1"/>
  <c r="V12" i="9" a="1"/>
  <c r="V12" i="9" s="1"/>
  <c r="T26" i="11"/>
  <c r="V24" i="11" a="1"/>
  <c r="V24" i="11" s="1"/>
  <c r="V10" i="10"/>
  <c r="U14" i="9"/>
  <c r="W13" i="9" s="1" a="1"/>
  <c r="W13" i="9" s="1"/>
  <c r="U12" i="10"/>
  <c r="W11" i="10" s="1"/>
  <c r="T14" i="12" a="1"/>
  <c r="T14" i="12" s="1"/>
  <c r="V21" i="8"/>
  <c r="X20" i="8" s="1"/>
  <c r="S16" i="12"/>
  <c r="U15" i="12" s="1" a="1"/>
  <c r="U15" i="12" s="1"/>
  <c r="V13" i="9" l="1" a="1"/>
  <c r="V13" i="9" s="1"/>
  <c r="W20" i="8"/>
  <c r="V11" i="10"/>
  <c r="T27" i="11"/>
  <c r="V26" i="11" s="1" a="1"/>
  <c r="V26" i="11" s="1"/>
  <c r="U25" i="11" a="1"/>
  <c r="U25" i="11" s="1"/>
  <c r="V25" i="11" a="1"/>
  <c r="V25" i="11" s="1"/>
  <c r="U15" i="9"/>
  <c r="U13" i="10"/>
  <c r="V12" i="10" s="1"/>
  <c r="T15" i="12" a="1"/>
  <c r="T15" i="12" s="1"/>
  <c r="V22" i="8"/>
  <c r="X21" i="8" s="1"/>
  <c r="S17" i="12"/>
  <c r="U16" i="12" s="1" a="1"/>
  <c r="U16" i="12" s="1"/>
  <c r="T28" i="11" l="1"/>
  <c r="U26" i="11" a="1"/>
  <c r="U26" i="11" s="1"/>
  <c r="W21" i="8"/>
  <c r="U16" i="9"/>
  <c r="V15" i="9" s="1" a="1"/>
  <c r="V15" i="9" s="1"/>
  <c r="W15" i="9" a="1"/>
  <c r="W15" i="9" s="1"/>
  <c r="V14" i="9" a="1"/>
  <c r="V14" i="9" s="1"/>
  <c r="W14" i="9" a="1"/>
  <c r="W14" i="9" s="1"/>
  <c r="T16" i="12" a="1"/>
  <c r="T16" i="12" s="1"/>
  <c r="U14" i="10"/>
  <c r="W13" i="10" s="1"/>
  <c r="W12" i="10"/>
  <c r="V23" i="8"/>
  <c r="S18" i="12"/>
  <c r="U17" i="12" s="1" a="1"/>
  <c r="U17" i="12" s="1"/>
  <c r="T29" i="11" l="1"/>
  <c r="V27" i="11" a="1"/>
  <c r="V27" i="11" s="1"/>
  <c r="U27" i="11" a="1"/>
  <c r="U27" i="11" s="1"/>
  <c r="V13" i="10"/>
  <c r="U17" i="9"/>
  <c r="T17" i="12" a="1"/>
  <c r="T17" i="12" s="1"/>
  <c r="U15" i="10"/>
  <c r="W14" i="10" s="1"/>
  <c r="V24" i="8"/>
  <c r="W23" i="8" s="1"/>
  <c r="W22" i="8"/>
  <c r="X22" i="8"/>
  <c r="S19" i="12"/>
  <c r="T30" i="11" l="1"/>
  <c r="U28" i="11" a="1"/>
  <c r="U28" i="11" s="1"/>
  <c r="V28" i="11" a="1"/>
  <c r="V28" i="11" s="1"/>
  <c r="X23" i="8"/>
  <c r="U18" i="9"/>
  <c r="V17" i="9" s="1" a="1"/>
  <c r="V17" i="9" s="1"/>
  <c r="W16" i="9" a="1"/>
  <c r="W16" i="9" s="1"/>
  <c r="V16" i="9" a="1"/>
  <c r="V16" i="9" s="1"/>
  <c r="U18" i="12" a="1"/>
  <c r="U18" i="12" s="1"/>
  <c r="T18" i="12" a="1"/>
  <c r="T18" i="12" s="1"/>
  <c r="U16" i="10"/>
  <c r="V14" i="10"/>
  <c r="V25" i="8"/>
  <c r="S20" i="12"/>
  <c r="U19" i="12" s="1" a="1"/>
  <c r="U19" i="12" s="1"/>
  <c r="W17" i="9" l="1" a="1"/>
  <c r="W17" i="9" s="1"/>
  <c r="T31" i="11"/>
  <c r="U30" i="11" s="1" a="1"/>
  <c r="U30" i="11" s="1"/>
  <c r="U29" i="11" a="1"/>
  <c r="U29" i="11" s="1"/>
  <c r="V29" i="11" a="1"/>
  <c r="V29" i="11" s="1"/>
  <c r="U19" i="9"/>
  <c r="W18" i="9" a="1"/>
  <c r="W18" i="9" s="1"/>
  <c r="V18" i="9" a="1"/>
  <c r="V18" i="9" s="1"/>
  <c r="T19" i="12" a="1"/>
  <c r="T19" i="12" s="1"/>
  <c r="U17" i="10"/>
  <c r="V16" i="10" s="1"/>
  <c r="V15" i="10"/>
  <c r="W15" i="10"/>
  <c r="V26" i="8"/>
  <c r="X25" i="8" s="1"/>
  <c r="W24" i="8"/>
  <c r="X24" i="8"/>
  <c r="S21" i="12"/>
  <c r="T20" i="12" s="1" a="1"/>
  <c r="T20" i="12" s="1"/>
  <c r="T32" i="11" l="1"/>
  <c r="U31" i="11" s="1" a="1"/>
  <c r="U31" i="11" s="1"/>
  <c r="V30" i="11" a="1"/>
  <c r="V30" i="11" s="1"/>
  <c r="U20" i="9"/>
  <c r="W19" i="9" s="1" a="1"/>
  <c r="W19" i="9" s="1"/>
  <c r="U20" i="12" a="1"/>
  <c r="U20" i="12" s="1"/>
  <c r="U18" i="10"/>
  <c r="W16" i="10"/>
  <c r="V27" i="8"/>
  <c r="X26" i="8" s="1"/>
  <c r="W25" i="8"/>
  <c r="S22" i="12"/>
  <c r="T33" i="11" l="1"/>
  <c r="U32" i="11" s="1" a="1"/>
  <c r="U32" i="11" s="1"/>
  <c r="V31" i="11" a="1"/>
  <c r="V31" i="11" s="1"/>
  <c r="V19" i="9" a="1"/>
  <c r="V19" i="9" s="1"/>
  <c r="U21" i="9"/>
  <c r="W20" i="9" s="1" a="1"/>
  <c r="W20" i="9" s="1"/>
  <c r="W26" i="8"/>
  <c r="T21" i="12" a="1"/>
  <c r="T21" i="12" s="1"/>
  <c r="U21" i="12" a="1"/>
  <c r="U21" i="12" s="1"/>
  <c r="U19" i="10"/>
  <c r="V17" i="10"/>
  <c r="W17" i="10"/>
  <c r="V28" i="8"/>
  <c r="X27" i="8" s="1"/>
  <c r="S23" i="12"/>
  <c r="T22" i="12" s="1" a="1"/>
  <c r="T22" i="12" s="1"/>
  <c r="V20" i="9" l="1" a="1"/>
  <c r="V20" i="9" s="1"/>
  <c r="V32" i="11" a="1"/>
  <c r="V32" i="11" s="1"/>
  <c r="T34" i="11"/>
  <c r="V33" i="11" s="1" a="1"/>
  <c r="V33" i="11" s="1"/>
  <c r="U22" i="9"/>
  <c r="V21" i="9" s="1" a="1"/>
  <c r="V21" i="9" s="1"/>
  <c r="S24" i="12"/>
  <c r="U23" i="12" s="1" a="1"/>
  <c r="U23" i="12" s="1"/>
  <c r="U22" i="12" a="1"/>
  <c r="U22" i="12" s="1"/>
  <c r="U20" i="10"/>
  <c r="V19" i="10" s="1" a="1"/>
  <c r="V19" i="10" s="1"/>
  <c r="V18" i="10"/>
  <c r="W18" i="10"/>
  <c r="V29" i="8"/>
  <c r="W27" i="8"/>
  <c r="W21" i="9" l="1" a="1"/>
  <c r="W21" i="9" s="1"/>
  <c r="U33" i="11" a="1"/>
  <c r="U33" i="11" s="1"/>
  <c r="T35" i="11"/>
  <c r="U21" i="10"/>
  <c r="W19" i="10" a="1"/>
  <c r="W19" i="10" s="1"/>
  <c r="U23" i="9"/>
  <c r="T23" i="12" a="1"/>
  <c r="T23" i="12" s="1"/>
  <c r="S25" i="12"/>
  <c r="X28" i="8"/>
  <c r="W28" i="8"/>
  <c r="V30" i="8"/>
  <c r="U34" i="11" l="1" a="1"/>
  <c r="U34" i="11" s="1"/>
  <c r="T36" i="11"/>
  <c r="V34" i="11" a="1"/>
  <c r="V34" i="11" s="1"/>
  <c r="V22" i="9" a="1"/>
  <c r="V22" i="9" s="1"/>
  <c r="S26" i="12"/>
  <c r="W29" i="8"/>
  <c r="U24" i="9"/>
  <c r="W22" i="9" a="1"/>
  <c r="W22" i="9" s="1"/>
  <c r="U22" i="10"/>
  <c r="V20" i="10" a="1"/>
  <c r="V20" i="10" s="1"/>
  <c r="W20" i="10" a="1"/>
  <c r="W20" i="10" s="1"/>
  <c r="U24" i="12"/>
  <c r="T24" i="12" a="1"/>
  <c r="T24" i="12" s="1"/>
  <c r="V31" i="8"/>
  <c r="X29" i="8"/>
  <c r="U35" i="11" l="1" a="1"/>
  <c r="U35" i="11" s="1"/>
  <c r="T37" i="11"/>
  <c r="V36" i="11" s="1" a="1"/>
  <c r="V36" i="11" s="1"/>
  <c r="V35" i="11" a="1"/>
  <c r="V35" i="11" s="1"/>
  <c r="U25" i="12"/>
  <c r="T25" i="12" a="1"/>
  <c r="T25" i="12" s="1"/>
  <c r="U23" i="10"/>
  <c r="W22" i="10" s="1" a="1"/>
  <c r="W22" i="10" s="1"/>
  <c r="V22" i="10" a="1"/>
  <c r="V22" i="10" s="1"/>
  <c r="S27" i="12"/>
  <c r="T26" i="12" s="1" a="1"/>
  <c r="T26" i="12" s="1"/>
  <c r="U25" i="9"/>
  <c r="V23" i="9" a="1"/>
  <c r="V23" i="9" s="1"/>
  <c r="W23" i="9" a="1"/>
  <c r="W23" i="9" s="1"/>
  <c r="X30" i="8"/>
  <c r="V32" i="8"/>
  <c r="W30" i="8"/>
  <c r="V21" i="10" a="1"/>
  <c r="V21" i="10" s="1"/>
  <c r="W21" i="10" a="1"/>
  <c r="W21" i="10" s="1"/>
  <c r="U26" i="12" l="1"/>
  <c r="T38" i="11"/>
  <c r="U37" i="11" s="1" a="1"/>
  <c r="U37" i="11" s="1"/>
  <c r="U36" i="11" a="1"/>
  <c r="U36" i="11" s="1"/>
  <c r="U26" i="9"/>
  <c r="W25" i="9" s="1" a="1"/>
  <c r="W25" i="9" s="1"/>
  <c r="U24" i="10"/>
  <c r="V23" i="10" s="1" a="1"/>
  <c r="V23" i="10" s="1"/>
  <c r="W23" i="10" a="1"/>
  <c r="W23" i="10" s="1"/>
  <c r="S28" i="12"/>
  <c r="V24" i="9" a="1"/>
  <c r="V24" i="9" s="1"/>
  <c r="W24" i="9" a="1"/>
  <c r="W24" i="9" s="1"/>
  <c r="V33" i="8"/>
  <c r="X31" i="8"/>
  <c r="W31" i="8"/>
  <c r="V25" i="9" l="1" a="1"/>
  <c r="V25" i="9" s="1"/>
  <c r="T39" i="11"/>
  <c r="V38" i="11" a="1"/>
  <c r="V38" i="11" s="1"/>
  <c r="U38" i="11" a="1"/>
  <c r="U38" i="11" s="1"/>
  <c r="V37" i="11" a="1"/>
  <c r="V37" i="11" s="1"/>
  <c r="U27" i="12"/>
  <c r="T27" i="12" a="1"/>
  <c r="T27" i="12" s="1"/>
  <c r="S29" i="12"/>
  <c r="U28" i="12" s="1"/>
  <c r="V34" i="8"/>
  <c r="X33" i="8" s="1"/>
  <c r="U27" i="9"/>
  <c r="U25" i="10"/>
  <c r="W32" i="8"/>
  <c r="X32" i="8"/>
  <c r="T40" i="11" l="1"/>
  <c r="U39" i="11" s="1" a="1"/>
  <c r="U39" i="11" s="1"/>
  <c r="X39" i="11" s="1"/>
  <c r="W33" i="8"/>
  <c r="T28" i="12" a="1"/>
  <c r="T28" i="12" s="1"/>
  <c r="V26" i="9" a="1"/>
  <c r="V26" i="9" s="1"/>
  <c r="V24" i="10" a="1"/>
  <c r="V24" i="10" s="1"/>
  <c r="S30" i="12"/>
  <c r="U26" i="10"/>
  <c r="W24" i="10" a="1"/>
  <c r="W24" i="10" s="1"/>
  <c r="U28" i="9"/>
  <c r="W26" i="9" a="1"/>
  <c r="W26" i="9" s="1"/>
  <c r="V35" i="8"/>
  <c r="V39" i="11" l="1" a="1"/>
  <c r="V39" i="11" s="1"/>
  <c r="Y39" i="11" s="1"/>
  <c r="T41" i="11"/>
  <c r="V40" i="11" a="1"/>
  <c r="V40" i="11" s="1"/>
  <c r="U40" i="11" a="1"/>
  <c r="U40" i="11" s="1"/>
  <c r="U29" i="9"/>
  <c r="V28" i="9" s="1" a="1"/>
  <c r="V28" i="9" s="1"/>
  <c r="U29" i="12"/>
  <c r="T29" i="12" a="1"/>
  <c r="T29" i="12" s="1"/>
  <c r="S31" i="12"/>
  <c r="V25" i="10" a="1"/>
  <c r="V25" i="10" s="1"/>
  <c r="U27" i="10"/>
  <c r="W27" i="9" a="1"/>
  <c r="W27" i="9" s="1"/>
  <c r="V36" i="8"/>
  <c r="W35" i="8" s="1"/>
  <c r="V27" i="9" a="1"/>
  <c r="V27" i="9" s="1"/>
  <c r="W25" i="10" a="1"/>
  <c r="W25" i="10" s="1"/>
  <c r="W34" i="8"/>
  <c r="X34" i="8"/>
  <c r="T42" i="11" l="1"/>
  <c r="T43" i="11" s="1"/>
  <c r="U41" i="11" a="1"/>
  <c r="U41" i="11" s="1"/>
  <c r="V41" i="11" a="1"/>
  <c r="V41" i="11" s="1"/>
  <c r="W28" i="9" a="1"/>
  <c r="W28" i="9" s="1"/>
  <c r="U28" i="10"/>
  <c r="W27" i="10" a="1"/>
  <c r="W27" i="10" s="1"/>
  <c r="V27" i="10" a="1"/>
  <c r="V27" i="10" s="1"/>
  <c r="U30" i="9"/>
  <c r="X35" i="8"/>
  <c r="S32" i="12"/>
  <c r="T31" i="12" s="1" a="1"/>
  <c r="T31" i="12" s="1"/>
  <c r="T30" i="12" a="1"/>
  <c r="T30" i="12" s="1"/>
  <c r="U30" i="12"/>
  <c r="V26" i="10" a="1"/>
  <c r="V26" i="10" s="1"/>
  <c r="W26" i="10" a="1"/>
  <c r="W26" i="10" s="1"/>
  <c r="V37" i="8"/>
  <c r="U42" i="11" l="1" a="1"/>
  <c r="U42" i="11" s="1"/>
  <c r="V42" i="11" a="1"/>
  <c r="V42" i="11" s="1"/>
  <c r="T44" i="11"/>
  <c r="V43" i="11" s="1" a="1"/>
  <c r="V43" i="11" s="1"/>
  <c r="U31" i="12"/>
  <c r="U29" i="10"/>
  <c r="W28" i="10" s="1"/>
  <c r="W36" i="8"/>
  <c r="U31" i="9"/>
  <c r="W30" i="9" s="1" a="1"/>
  <c r="W30" i="9" s="1"/>
  <c r="W29" i="9" a="1"/>
  <c r="W29" i="9" s="1"/>
  <c r="V29" i="9" a="1"/>
  <c r="V29" i="9" s="1"/>
  <c r="V38" i="8"/>
  <c r="X36" i="8"/>
  <c r="S33" i="12"/>
  <c r="U32" i="12" s="1"/>
  <c r="U43" i="11" l="1" a="1"/>
  <c r="U43" i="11" s="1"/>
  <c r="T45" i="11"/>
  <c r="U44" i="11" s="1" a="1"/>
  <c r="U44" i="11" s="1"/>
  <c r="T32" i="12" a="1"/>
  <c r="T32" i="12" s="1"/>
  <c r="V30" i="9" a="1"/>
  <c r="V30" i="9" s="1"/>
  <c r="V28" i="10"/>
  <c r="U30" i="10"/>
  <c r="W29" i="10" s="1"/>
  <c r="V39" i="8"/>
  <c r="V40" i="8" s="1"/>
  <c r="W37" i="8"/>
  <c r="X37" i="8"/>
  <c r="U32" i="9"/>
  <c r="W31" i="9" s="1" a="1"/>
  <c r="W31" i="9" s="1"/>
  <c r="S34" i="12"/>
  <c r="S35" i="12" s="1"/>
  <c r="V44" i="11" l="1" a="1"/>
  <c r="V44" i="11" s="1"/>
  <c r="T46" i="11"/>
  <c r="U45" i="11" a="1"/>
  <c r="U45" i="11" s="1"/>
  <c r="V45" i="11" a="1"/>
  <c r="V45" i="11" s="1"/>
  <c r="W38" i="8"/>
  <c r="T33" i="12" a="1"/>
  <c r="T33" i="12" s="1"/>
  <c r="V29" i="10"/>
  <c r="U33" i="12"/>
  <c r="V31" i="9" a="1"/>
  <c r="V31" i="9" s="1"/>
  <c r="X38" i="8"/>
  <c r="U33" i="9"/>
  <c r="W32" i="9" s="1" a="1"/>
  <c r="W32" i="9" s="1"/>
  <c r="V32" i="9" a="1"/>
  <c r="V32" i="9" s="1"/>
  <c r="S36" i="12"/>
  <c r="U34" i="12"/>
  <c r="T34" i="12" a="1"/>
  <c r="T34" i="12" s="1"/>
  <c r="U31" i="10"/>
  <c r="V41" i="8"/>
  <c r="T47" i="11" l="1"/>
  <c r="V30" i="10" a="1"/>
  <c r="V30" i="10" s="1"/>
  <c r="U35" i="12"/>
  <c r="U32" i="10"/>
  <c r="W30" i="10" a="1"/>
  <c r="W30" i="10" s="1"/>
  <c r="U34" i="9"/>
  <c r="V42" i="8"/>
  <c r="X41" i="8" s="1"/>
  <c r="W40" i="8"/>
  <c r="X40" i="8"/>
  <c r="S37" i="12"/>
  <c r="T36" i="12" a="1"/>
  <c r="T36" i="12" s="1"/>
  <c r="T35" i="12" a="1"/>
  <c r="T35" i="12" s="1"/>
  <c r="W39" i="8"/>
  <c r="X39" i="8"/>
  <c r="U46" i="11" l="1" a="1"/>
  <c r="U46" i="11" s="1"/>
  <c r="T48" i="11"/>
  <c r="V47" i="11" s="1" a="1"/>
  <c r="V47" i="11" s="1"/>
  <c r="V46" i="11" a="1"/>
  <c r="V46" i="11" s="1"/>
  <c r="V43" i="8"/>
  <c r="W41" i="8"/>
  <c r="U33" i="10"/>
  <c r="W32" i="10" s="1"/>
  <c r="W31" i="10" a="1"/>
  <c r="W31" i="10" s="1"/>
  <c r="V31" i="10" a="1"/>
  <c r="V31" i="10" s="1"/>
  <c r="U36" i="12"/>
  <c r="U35" i="9"/>
  <c r="W33" i="9" a="1"/>
  <c r="W33" i="9" s="1"/>
  <c r="V33" i="9" a="1"/>
  <c r="V33" i="9" s="1"/>
  <c r="S38" i="12"/>
  <c r="U47" i="11" l="1" a="1"/>
  <c r="U47" i="11" s="1"/>
  <c r="T49" i="11"/>
  <c r="U48" i="11" a="1"/>
  <c r="U48" i="11" s="1"/>
  <c r="V48" i="11" a="1"/>
  <c r="V48" i="11" s="1"/>
  <c r="V32" i="10"/>
  <c r="V44" i="8"/>
  <c r="X43" i="8" s="1"/>
  <c r="W42" i="8"/>
  <c r="X42" i="8"/>
  <c r="U34" i="10"/>
  <c r="U36" i="9"/>
  <c r="V34" i="9" a="1"/>
  <c r="V34" i="9" s="1"/>
  <c r="W34" i="9" a="1"/>
  <c r="W34" i="9" s="1"/>
  <c r="S39" i="12"/>
  <c r="U37" i="12"/>
  <c r="T37" i="12" a="1"/>
  <c r="T37" i="12" s="1"/>
  <c r="T50" i="11" l="1"/>
  <c r="V49" i="11" a="1"/>
  <c r="V49" i="11" s="1"/>
  <c r="U49" i="11" a="1"/>
  <c r="U49" i="11" s="1"/>
  <c r="W43" i="8"/>
  <c r="V33" i="10" a="1"/>
  <c r="V33" i="10" s="1"/>
  <c r="U35" i="10"/>
  <c r="U38" i="12"/>
  <c r="S40" i="12"/>
  <c r="V45" i="8"/>
  <c r="X44" i="8" s="1"/>
  <c r="U37" i="9"/>
  <c r="T38" i="12" a="1"/>
  <c r="T38" i="12" s="1"/>
  <c r="V35" i="9" a="1"/>
  <c r="V35" i="9" s="1"/>
  <c r="W35" i="9" a="1"/>
  <c r="W35" i="9" s="1"/>
  <c r="W33" i="10" a="1"/>
  <c r="W33" i="10" s="1"/>
  <c r="T51" i="11" l="1"/>
  <c r="U50" i="11" a="1"/>
  <c r="U50" i="11" s="1"/>
  <c r="W44" i="8"/>
  <c r="S41" i="12"/>
  <c r="U40" i="12" s="1"/>
  <c r="T40" i="12" a="1"/>
  <c r="T40" i="12" s="1"/>
  <c r="U36" i="10"/>
  <c r="W35" i="10" s="1"/>
  <c r="V34" i="10" a="1"/>
  <c r="V34" i="10" s="1"/>
  <c r="W34" i="10" a="1"/>
  <c r="W34" i="10" s="1"/>
  <c r="V46" i="8"/>
  <c r="W36" i="9" a="1"/>
  <c r="W36" i="9" s="1"/>
  <c r="T39" i="12" a="1"/>
  <c r="T39" i="12" s="1"/>
  <c r="U39" i="12"/>
  <c r="V36" i="9" a="1"/>
  <c r="V36" i="9" s="1"/>
  <c r="U38" i="9"/>
  <c r="V50" i="11" l="1" a="1"/>
  <c r="V50" i="11" s="1"/>
  <c r="T52" i="11"/>
  <c r="V51" i="11" s="1" a="1"/>
  <c r="V51" i="11" s="1"/>
  <c r="V35" i="10"/>
  <c r="Y35" i="10" s="1"/>
  <c r="S42" i="12"/>
  <c r="T41" i="12" a="1"/>
  <c r="T41" i="12" s="1"/>
  <c r="U37" i="10"/>
  <c r="V36" i="10" s="1" a="1"/>
  <c r="V36" i="10" s="1"/>
  <c r="V47" i="8"/>
  <c r="W46" i="8" s="1"/>
  <c r="Z35" i="10"/>
  <c r="X45" i="8"/>
  <c r="W45" i="8"/>
  <c r="V37" i="9" a="1"/>
  <c r="V37" i="9" s="1"/>
  <c r="U39" i="9"/>
  <c r="W37" i="9" a="1"/>
  <c r="W37" i="9" s="1"/>
  <c r="T53" i="11" l="1"/>
  <c r="U51" i="11" a="1"/>
  <c r="U51" i="11" s="1"/>
  <c r="U41" i="12" a="1"/>
  <c r="U41" i="12" s="1"/>
  <c r="S43" i="12"/>
  <c r="U38" i="10"/>
  <c r="U40" i="9"/>
  <c r="W36" i="10" a="1"/>
  <c r="W36" i="10" s="1"/>
  <c r="X46" i="8"/>
  <c r="V48" i="8"/>
  <c r="W38" i="9" a="1"/>
  <c r="W38" i="9" s="1"/>
  <c r="V38" i="9" a="1"/>
  <c r="V38" i="9" s="1"/>
  <c r="U52" i="11" l="1" a="1"/>
  <c r="U52" i="11" s="1"/>
  <c r="T54" i="11"/>
  <c r="V52" i="11" a="1"/>
  <c r="V52" i="11" s="1"/>
  <c r="U42" i="12" a="1"/>
  <c r="U42" i="12" s="1"/>
  <c r="S44" i="12"/>
  <c r="U39" i="10"/>
  <c r="V38" i="10" a="1"/>
  <c r="V38" i="10" s="1"/>
  <c r="W38" i="10" a="1"/>
  <c r="W38" i="10" s="1"/>
  <c r="V49" i="8"/>
  <c r="X48" i="8" s="1"/>
  <c r="X47" i="8"/>
  <c r="U41" i="9"/>
  <c r="T42" i="12" a="1"/>
  <c r="T42" i="12" s="1"/>
  <c r="V37" i="10" a="1"/>
  <c r="V37" i="10" s="1"/>
  <c r="W37" i="10" a="1"/>
  <c r="W37" i="10" s="1"/>
  <c r="W47" i="8"/>
  <c r="V39" i="9" a="1"/>
  <c r="V39" i="9" s="1"/>
  <c r="W39" i="9" a="1"/>
  <c r="W39" i="9" s="1"/>
  <c r="U53" i="11" l="1" a="1"/>
  <c r="U53" i="11" s="1"/>
  <c r="T55" i="11"/>
  <c r="V54" i="11" s="1" a="1"/>
  <c r="V54" i="11" s="1"/>
  <c r="V53" i="11" a="1"/>
  <c r="V53" i="11" s="1"/>
  <c r="U43" i="12" a="1"/>
  <c r="U43" i="12" s="1"/>
  <c r="U40" i="10"/>
  <c r="W39" i="10" a="1"/>
  <c r="W39" i="10" s="1"/>
  <c r="V39" i="10" a="1"/>
  <c r="V39" i="10" s="1"/>
  <c r="U42" i="9"/>
  <c r="V41" i="9" s="1" a="1"/>
  <c r="V41" i="9" s="1"/>
  <c r="V50" i="8"/>
  <c r="X49" i="8" s="1"/>
  <c r="W48" i="8"/>
  <c r="S45" i="12"/>
  <c r="U44" i="12" s="1" a="1"/>
  <c r="U44" i="12" s="1"/>
  <c r="T43" i="12" a="1"/>
  <c r="T43" i="12" s="1"/>
  <c r="W40" i="9" a="1"/>
  <c r="W40" i="9" s="1"/>
  <c r="V40" i="9" a="1"/>
  <c r="V40" i="9" s="1"/>
  <c r="W41" i="9" l="1" a="1"/>
  <c r="W41" i="9" s="1"/>
  <c r="T56" i="11"/>
  <c r="U54" i="11" a="1"/>
  <c r="U54" i="11" s="1"/>
  <c r="U41" i="10"/>
  <c r="U42" i="10" s="1"/>
  <c r="V40" i="10" a="1"/>
  <c r="V40" i="10" s="1"/>
  <c r="W40" i="10" a="1"/>
  <c r="W40" i="10" s="1"/>
  <c r="S46" i="12"/>
  <c r="U45" i="12" s="1" a="1"/>
  <c r="U45" i="12" s="1"/>
  <c r="T45" i="12" a="1"/>
  <c r="T45" i="12" s="1"/>
  <c r="T44" i="12" a="1"/>
  <c r="T44" i="12" s="1"/>
  <c r="W49" i="8"/>
  <c r="U43" i="9"/>
  <c r="W42" i="9" s="1" a="1"/>
  <c r="W42" i="9" s="1"/>
  <c r="V51" i="8"/>
  <c r="W50" i="8" s="1"/>
  <c r="T57" i="11" l="1"/>
  <c r="V56" i="11" s="1" a="1"/>
  <c r="V56" i="11" s="1"/>
  <c r="V55" i="11" a="1"/>
  <c r="V55" i="11" s="1"/>
  <c r="U55" i="11" a="1"/>
  <c r="U55" i="11" s="1"/>
  <c r="W41" i="10"/>
  <c r="V41" i="10"/>
  <c r="V42" i="9" a="1"/>
  <c r="V42" i="9" s="1"/>
  <c r="S47" i="12"/>
  <c r="T46" i="12" s="1" a="1"/>
  <c r="T46" i="12" s="1"/>
  <c r="U43" i="10"/>
  <c r="V52" i="8"/>
  <c r="X51" i="8" s="1"/>
  <c r="X50" i="8"/>
  <c r="U44" i="9"/>
  <c r="W43" i="9" s="1" a="1"/>
  <c r="W43" i="9" s="1"/>
  <c r="V43" i="9" a="1"/>
  <c r="V43" i="9" s="1"/>
  <c r="U46" i="12" l="1" a="1"/>
  <c r="U46" i="12" s="1"/>
  <c r="T58" i="11"/>
  <c r="V57" i="11" a="1"/>
  <c r="V57" i="11" s="1"/>
  <c r="U57" i="11" a="1"/>
  <c r="U57" i="11" s="1"/>
  <c r="U56" i="11" a="1"/>
  <c r="U56" i="11" s="1"/>
  <c r="V42" i="10" a="1"/>
  <c r="V42" i="10" s="1"/>
  <c r="W51" i="8"/>
  <c r="U44" i="10"/>
  <c r="W42" i="10" a="1"/>
  <c r="W42" i="10" s="1"/>
  <c r="S48" i="12"/>
  <c r="T47" i="12" a="1"/>
  <c r="T47" i="12" s="1"/>
  <c r="V53" i="8"/>
  <c r="W52" i="8" s="1"/>
  <c r="U45" i="9"/>
  <c r="W44" i="9" s="1" a="1"/>
  <c r="W44" i="9" s="1"/>
  <c r="T59" i="11" l="1"/>
  <c r="U58" i="11" s="1" a="1"/>
  <c r="U58" i="11" s="1"/>
  <c r="V44" i="9" a="1"/>
  <c r="V44" i="9" s="1"/>
  <c r="X52" i="8"/>
  <c r="U45" i="10"/>
  <c r="W44" i="10" s="1"/>
  <c r="V44" i="10"/>
  <c r="V43" i="10" a="1"/>
  <c r="V43" i="10" s="1"/>
  <c r="W43" i="10" a="1"/>
  <c r="W43" i="10" s="1"/>
  <c r="S49" i="12"/>
  <c r="T48" i="12" s="1" a="1"/>
  <c r="T48" i="12" s="1"/>
  <c r="U47" i="12" a="1"/>
  <c r="U47" i="12" s="1"/>
  <c r="V54" i="8"/>
  <c r="X53" i="8" s="1"/>
  <c r="W53" i="8"/>
  <c r="U46" i="9"/>
  <c r="W45" i="9" s="1" a="1"/>
  <c r="W45" i="9" s="1"/>
  <c r="V45" i="9" a="1"/>
  <c r="V45" i="9" s="1"/>
  <c r="U59" i="11" l="1" a="1"/>
  <c r="U59" i="11" s="1"/>
  <c r="V59" i="11" a="1"/>
  <c r="V59" i="11" s="1"/>
  <c r="V58" i="11" a="1"/>
  <c r="V58" i="11" s="1"/>
  <c r="U48" i="12" a="1"/>
  <c r="U48" i="12" s="1"/>
  <c r="S50" i="12"/>
  <c r="T49" i="12" s="1" a="1"/>
  <c r="T49" i="12" s="1"/>
  <c r="U46" i="10"/>
  <c r="W45" i="10"/>
  <c r="V45" i="10"/>
  <c r="U47" i="9"/>
  <c r="U48" i="9" s="1"/>
  <c r="V47" i="9" s="1" a="1"/>
  <c r="V47" i="9" s="1"/>
  <c r="V46" i="9" a="1"/>
  <c r="V46" i="9" s="1"/>
  <c r="W46" i="9" a="1"/>
  <c r="W46" i="9" s="1"/>
  <c r="V55" i="8"/>
  <c r="W54" i="8" s="1"/>
  <c r="X54" i="8" l="1"/>
  <c r="S51" i="12"/>
  <c r="U50" i="12" s="1" a="1"/>
  <c r="U50" i="12" s="1"/>
  <c r="W47" i="9" a="1"/>
  <c r="W47" i="9" s="1"/>
  <c r="U49" i="12" a="1"/>
  <c r="U49" i="12" s="1"/>
  <c r="U47" i="10"/>
  <c r="W46" i="10"/>
  <c r="V46" i="10"/>
  <c r="V56" i="8"/>
  <c r="X55" i="8" s="1"/>
  <c r="W55" i="8"/>
  <c r="T50" i="12" a="1"/>
  <c r="T50" i="12" s="1"/>
  <c r="U49" i="9"/>
  <c r="W48" i="9" a="1"/>
  <c r="W48" i="9" s="1"/>
  <c r="V48" i="9" a="1"/>
  <c r="V48" i="9" s="1"/>
  <c r="S52" i="12"/>
  <c r="U48" i="10" l="1"/>
  <c r="V57" i="8"/>
  <c r="X56" i="8" s="1"/>
  <c r="W56" i="8"/>
  <c r="T51" i="12" a="1"/>
  <c r="T51" i="12" s="1"/>
  <c r="S53" i="12"/>
  <c r="U51" i="12" a="1"/>
  <c r="U51" i="12" s="1"/>
  <c r="U50" i="9"/>
  <c r="U49" i="10" l="1"/>
  <c r="V47" i="10" a="1"/>
  <c r="V47" i="10" s="1"/>
  <c r="W47" i="10" a="1"/>
  <c r="W47" i="10" s="1"/>
  <c r="V58" i="8"/>
  <c r="W57" i="8" s="1"/>
  <c r="U51" i="9"/>
  <c r="W49" i="9" a="1"/>
  <c r="W49" i="9" s="1"/>
  <c r="V49" i="9" a="1"/>
  <c r="V49" i="9" s="1"/>
  <c r="S54" i="12"/>
  <c r="T52" i="12" a="1"/>
  <c r="T52" i="12" s="1"/>
  <c r="U52" i="12" a="1"/>
  <c r="U52" i="12" s="1"/>
  <c r="X57" i="8" l="1"/>
  <c r="U50" i="10"/>
  <c r="V49" i="10" a="1"/>
  <c r="V49" i="10" s="1"/>
  <c r="W49" i="10" a="1"/>
  <c r="W49" i="10" s="1"/>
  <c r="T53" i="12" a="1"/>
  <c r="T53" i="12" s="1"/>
  <c r="U53" i="12" a="1"/>
  <c r="U53" i="12" s="1"/>
  <c r="V50" i="9" a="1"/>
  <c r="V50" i="9" s="1"/>
  <c r="U52" i="9"/>
  <c r="W51" i="9" s="1" a="1"/>
  <c r="W51" i="9" s="1"/>
  <c r="W50" i="9" a="1"/>
  <c r="W50" i="9" s="1"/>
  <c r="S55" i="12"/>
  <c r="W48" i="10" a="1"/>
  <c r="W48" i="10" s="1"/>
  <c r="V48" i="10" a="1"/>
  <c r="V48" i="10" s="1"/>
  <c r="V59" i="8"/>
  <c r="T54" i="12" l="1" a="1"/>
  <c r="T54" i="12" s="1"/>
  <c r="V51" i="9" a="1"/>
  <c r="V51" i="9" s="1"/>
  <c r="U51" i="10"/>
  <c r="V60" i="8"/>
  <c r="X59" i="8"/>
  <c r="W59" i="8"/>
  <c r="S56" i="12"/>
  <c r="U54" i="12" a="1"/>
  <c r="U54" i="12" s="1"/>
  <c r="U53" i="9"/>
  <c r="X58" i="8"/>
  <c r="W58" i="8"/>
  <c r="V50" i="10" l="1" a="1"/>
  <c r="V50" i="10" s="1"/>
  <c r="U55" i="12" a="1"/>
  <c r="U55" i="12" s="1"/>
  <c r="S57" i="12"/>
  <c r="V52" i="9" a="1"/>
  <c r="V52" i="9" s="1"/>
  <c r="T55" i="12" a="1"/>
  <c r="T55" i="12" s="1"/>
  <c r="U52" i="10"/>
  <c r="W50" i="10" a="1"/>
  <c r="W50" i="10" s="1"/>
  <c r="U54" i="9"/>
  <c r="W52" i="9" a="1"/>
  <c r="W52" i="9" s="1"/>
  <c r="V61" i="8"/>
  <c r="S58" i="12" l="1"/>
  <c r="U57" i="12" a="1"/>
  <c r="U57" i="12" s="1"/>
  <c r="T57" i="12" a="1"/>
  <c r="T57" i="12" s="1"/>
  <c r="U56" i="12" a="1"/>
  <c r="U56" i="12" s="1"/>
  <c r="T56" i="12" a="1"/>
  <c r="T56" i="12" s="1"/>
  <c r="U53" i="10"/>
  <c r="V52" i="10" s="1" a="1"/>
  <c r="V52" i="10" s="1"/>
  <c r="V51" i="10" a="1"/>
  <c r="V51" i="10" s="1"/>
  <c r="W51" i="10" a="1"/>
  <c r="W51" i="10" s="1"/>
  <c r="U55" i="9"/>
  <c r="W54" i="9" a="1"/>
  <c r="W54" i="9" s="1"/>
  <c r="V54" i="9" a="1"/>
  <c r="V54" i="9" s="1"/>
  <c r="V53" i="9" a="1"/>
  <c r="V53" i="9" s="1"/>
  <c r="W53" i="9" a="1"/>
  <c r="W53" i="9" s="1"/>
  <c r="V62" i="8"/>
  <c r="X60" i="8"/>
  <c r="W60" i="8"/>
  <c r="U56" i="9" l="1"/>
  <c r="W55" i="9" a="1"/>
  <c r="W55" i="9" s="1"/>
  <c r="V55" i="9" a="1"/>
  <c r="V55" i="9" s="1"/>
  <c r="S59" i="12"/>
  <c r="T58" i="12" s="1" a="1"/>
  <c r="T58" i="12" s="1"/>
  <c r="U54" i="10"/>
  <c r="V53" i="10"/>
  <c r="W53" i="10"/>
  <c r="W52" i="10" a="1"/>
  <c r="W52" i="10" s="1"/>
  <c r="W61" i="8"/>
  <c r="X61" i="8"/>
  <c r="V63" i="8"/>
  <c r="U57" i="9" l="1"/>
  <c r="W56" i="9" s="1" a="1"/>
  <c r="W56" i="9" s="1"/>
  <c r="V56" i="9" a="1"/>
  <c r="V56" i="9" s="1"/>
  <c r="T59" i="12" a="1"/>
  <c r="T59" i="12" s="1"/>
  <c r="U59" i="12"/>
  <c r="U58" i="12" a="1"/>
  <c r="U58" i="12" s="1"/>
  <c r="U55" i="10"/>
  <c r="W54" i="10" s="1" a="1"/>
  <c r="W54" i="10" s="1"/>
  <c r="V64" i="8"/>
  <c r="X62" i="8"/>
  <c r="W62" i="8"/>
  <c r="W55" i="10" l="1"/>
  <c r="V55" i="10"/>
  <c r="V54" i="10" a="1"/>
  <c r="V54" i="10" s="1"/>
  <c r="W57" i="9" a="1"/>
  <c r="W57" i="9" s="1"/>
  <c r="V57" i="9" a="1"/>
  <c r="V57" i="9" s="1"/>
  <c r="X63" i="8"/>
  <c r="V65" i="8"/>
  <c r="W63" i="8"/>
  <c r="W65" i="8" l="1"/>
  <c r="X65" i="8"/>
  <c r="X64" i="8"/>
  <c r="W6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<sst xmlns="http://schemas.openxmlformats.org/spreadsheetml/2006/main" count="2874" uniqueCount="144">
  <si>
    <t>Region</t>
  </si>
  <si>
    <t xml:space="preserve">Country </t>
  </si>
  <si>
    <t>Calls Presented</t>
  </si>
  <si>
    <t>SVL</t>
  </si>
  <si>
    <t>ANS</t>
  </si>
  <si>
    <t>ABR</t>
  </si>
  <si>
    <t>AU/AO</t>
  </si>
  <si>
    <t>AA</t>
  </si>
  <si>
    <t>Target</t>
  </si>
  <si>
    <t>TT</t>
  </si>
  <si>
    <t>GUY</t>
  </si>
  <si>
    <t>OECS</t>
  </si>
  <si>
    <t>JA</t>
  </si>
  <si>
    <t>BAR</t>
  </si>
  <si>
    <t>BEL</t>
  </si>
  <si>
    <t>Calls Handled</t>
  </si>
  <si>
    <t>-</t>
  </si>
  <si>
    <t>KPIs</t>
  </si>
  <si>
    <t>Targets</t>
  </si>
  <si>
    <t>Average Response Time</t>
  </si>
  <si>
    <t>Response Time</t>
  </si>
  <si>
    <t>Average Wait Time</t>
  </si>
  <si>
    <t>Wait Time</t>
  </si>
  <si>
    <t>Average Chat Duration</t>
  </si>
  <si>
    <t>Chat Duration</t>
  </si>
  <si>
    <t>CSAT</t>
  </si>
  <si>
    <t>1 min</t>
  </si>
  <si>
    <t>1 min (85%)</t>
  </si>
  <si>
    <t>12 mins</t>
  </si>
  <si>
    <t>12 mins (85%)</t>
  </si>
  <si>
    <t>Belize</t>
  </si>
  <si>
    <t>Chats Rated</t>
  </si>
  <si>
    <t>SL</t>
  </si>
  <si>
    <t>AO/AU</t>
  </si>
  <si>
    <t>Calls Ans</t>
  </si>
  <si>
    <t>JAM</t>
  </si>
  <si>
    <t>Date</t>
  </si>
  <si>
    <t>Chats served</t>
  </si>
  <si>
    <t>Chats Missed W.H</t>
  </si>
  <si>
    <t>Chats Missed Outside</t>
  </si>
  <si>
    <t>Total Chats</t>
  </si>
  <si>
    <t>Service Level - 85%</t>
  </si>
  <si>
    <t>% of Missed Chats Outside</t>
  </si>
  <si>
    <t>Missed Chat (ABR) - 15%</t>
  </si>
  <si>
    <t>Trinidad and Tobago</t>
  </si>
  <si>
    <t>Jamaica</t>
  </si>
  <si>
    <t>Barbados</t>
  </si>
  <si>
    <t>Guyana</t>
  </si>
  <si>
    <t>D</t>
  </si>
  <si>
    <t>M</t>
  </si>
  <si>
    <t>T</t>
  </si>
  <si>
    <t>W</t>
  </si>
  <si>
    <t>R</t>
  </si>
  <si>
    <t>F</t>
  </si>
  <si>
    <t>S</t>
  </si>
  <si>
    <t>Day of the week</t>
  </si>
  <si>
    <t>MTD Calls Offered</t>
  </si>
  <si>
    <t>MTD Calls Ans</t>
  </si>
  <si>
    <t>YTD Calls Ans</t>
  </si>
  <si>
    <t>Calls Off</t>
  </si>
  <si>
    <t>Fiscal</t>
  </si>
  <si>
    <t>WoW % change (ans)</t>
  </si>
  <si>
    <t>WoW % change (offer)</t>
  </si>
  <si>
    <t>From:</t>
  </si>
  <si>
    <t>To:</t>
  </si>
  <si>
    <t>HOL</t>
  </si>
  <si>
    <t>Week of</t>
  </si>
  <si>
    <t>Sum of Calls - Offered</t>
  </si>
  <si>
    <t>Sum of Calls - Answered</t>
  </si>
  <si>
    <t>From week:</t>
  </si>
  <si>
    <t>To week:</t>
  </si>
  <si>
    <t>Week Of</t>
  </si>
  <si>
    <t>TTO</t>
  </si>
  <si>
    <t>Tech Issue</t>
  </si>
  <si>
    <t>Tech Issues</t>
  </si>
  <si>
    <t>Regional CC Performance Report (OCT FY-23)</t>
  </si>
  <si>
    <t>Percent Chats Rated</t>
  </si>
  <si>
    <t>Regional CC Performance Report (NOV FY-23)</t>
  </si>
  <si>
    <t>Percentage Change Calls Offered (MoM)</t>
  </si>
  <si>
    <t>Percentage Change Calls Answered (MoM)</t>
  </si>
  <si>
    <t>Agents Log</t>
  </si>
  <si>
    <t>Regional CC Performance Report (DEC-FY23)</t>
  </si>
  <si>
    <t>AHT</t>
  </si>
  <si>
    <t>AWT</t>
  </si>
  <si>
    <t>Regional CC Performance Report (JAN-FY23)</t>
  </si>
  <si>
    <t>CC KPI Dashboard</t>
  </si>
  <si>
    <t>Column Chart</t>
  </si>
  <si>
    <t>Bands</t>
  </si>
  <si>
    <t>Value</t>
  </si>
  <si>
    <t>Start</t>
  </si>
  <si>
    <t>Initial</t>
  </si>
  <si>
    <t>Middle</t>
  </si>
  <si>
    <t>End</t>
  </si>
  <si>
    <t>Avg Percent Change Calls Offered (Week over Week)</t>
  </si>
  <si>
    <t xml:space="preserve"> Avg Percent Change Calls Ans (Week over Week)</t>
  </si>
  <si>
    <t>Regional CC Performance Report (Feb-FY23)</t>
  </si>
  <si>
    <t>Regional CC Performance Report (Mar-FY23)</t>
  </si>
  <si>
    <t>FY24</t>
  </si>
  <si>
    <t>36s</t>
  </si>
  <si>
    <t>Regional CC Performance Report (FY-24 Week 1: Apr-1 to Apr-10)</t>
  </si>
  <si>
    <t>Regional CC Performance Report (FY-24 Week 2: Apr-11 to Apr-17)</t>
  </si>
  <si>
    <t>Regional CC Performance Report (Apr-FY24)</t>
  </si>
  <si>
    <t>38s</t>
  </si>
  <si>
    <t>YTD Calls Offer</t>
  </si>
  <si>
    <t>41s</t>
  </si>
  <si>
    <t>19s</t>
  </si>
  <si>
    <t>% of Missed Chats Outside W.H</t>
  </si>
  <si>
    <t>Regional CC Performance Report (May-FY24)</t>
  </si>
  <si>
    <t>42s</t>
  </si>
  <si>
    <t>1m 56s</t>
  </si>
  <si>
    <t>Live Chat KPIs - Week 12 FY24 (Jun-19 to Jun-25)</t>
  </si>
  <si>
    <t>21s</t>
  </si>
  <si>
    <t>9m 23s</t>
  </si>
  <si>
    <t>35s</t>
  </si>
  <si>
    <t>5m 59s</t>
  </si>
  <si>
    <t>1m 15s</t>
  </si>
  <si>
    <t>2m 35s</t>
  </si>
  <si>
    <t>7m 42s</t>
  </si>
  <si>
    <t>51s</t>
  </si>
  <si>
    <t>7m 48s</t>
  </si>
  <si>
    <t>27s</t>
  </si>
  <si>
    <t>18s</t>
  </si>
  <si>
    <t>3m 59s</t>
  </si>
  <si>
    <t>2m 7s</t>
  </si>
  <si>
    <t>6m 19s</t>
  </si>
  <si>
    <t>Live Chat KPIs - Jun FY24</t>
  </si>
  <si>
    <t>6m 13s</t>
  </si>
  <si>
    <t>9m 7s</t>
  </si>
  <si>
    <t>58s</t>
  </si>
  <si>
    <t>47s</t>
  </si>
  <si>
    <t>7m 44s</t>
  </si>
  <si>
    <t>2m</t>
  </si>
  <si>
    <t>2m 43s</t>
  </si>
  <si>
    <t>8m 27s</t>
  </si>
  <si>
    <t>1m 7s</t>
  </si>
  <si>
    <t>1m 5</t>
  </si>
  <si>
    <t>9m 17s</t>
  </si>
  <si>
    <t>1m 4s</t>
  </si>
  <si>
    <t>1m 21s</t>
  </si>
  <si>
    <t>Regional CC Performance Report (Q1 FY24)</t>
  </si>
  <si>
    <t>Issues in obtaining call stats based on failure of the platform</t>
  </si>
  <si>
    <t>Regional Avg.</t>
  </si>
  <si>
    <t>Regional CC Performance Report (Jun-FY24)</t>
  </si>
  <si>
    <t>Regional CC Performance Report (FY-23 Week 23: Jul-10 to Jul-16)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</si>
</sst>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mm]:ss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sz val="18"/>
      <color theme="1"/>
      <name val="Amasis MT Pro Black"/>
      <family val="1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1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6" fontId="0" fillId="0" borderId="0" xfId="0" applyNumberFormat="1"/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" fontId="0" fillId="0" borderId="0" xfId="0" applyNumberFormat="1"/>
    <xf numFmtId="16" fontId="0" fillId="0" borderId="1" xfId="0" applyNumberFormat="1" applyBorder="1"/>
    <xf numFmtId="9" fontId="0" fillId="0" borderId="2" xfId="0" applyNumberFormat="1" applyBorder="1"/>
    <xf numFmtId="16" fontId="0" fillId="0" borderId="9" xfId="0" applyNumberFormat="1" applyBorder="1"/>
    <xf numFmtId="0" fontId="5" fillId="6" borderId="12" xfId="0" applyFont="1" applyFill="1" applyBorder="1"/>
    <xf numFmtId="0" fontId="5" fillId="6" borderId="0" xfId="0" applyFont="1" applyFill="1" applyAlignment="1">
      <alignment horizontal="center"/>
    </xf>
    <xf numFmtId="0" fontId="5" fillId="6" borderId="13" xfId="0" applyFont="1" applyFill="1" applyBorder="1" applyAlignment="1">
      <alignment horizontal="center"/>
    </xf>
    <xf numFmtId="16" fontId="0" fillId="0" borderId="4" xfId="0" applyNumberFormat="1" applyBorder="1"/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5" borderId="1" xfId="0" applyNumberFormat="1" applyFill="1" applyBorder="1"/>
    <xf numFmtId="0" fontId="0" fillId="5" borderId="1" xfId="0" applyFill="1" applyBorder="1"/>
    <xf numFmtId="16" fontId="0" fillId="0" borderId="8" xfId="0" applyNumberFormat="1" applyBorder="1"/>
    <xf numFmtId="16" fontId="0" fillId="5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/>
    <xf numFmtId="0" fontId="0" fillId="0" borderId="9" xfId="0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8" borderId="0" xfId="0" applyFill="1"/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9" fontId="0" fillId="8" borderId="1" xfId="0" applyNumberFormat="1" applyFill="1" applyBorder="1"/>
    <xf numFmtId="9" fontId="6" fillId="0" borderId="1" xfId="1" applyFont="1" applyFill="1" applyBorder="1"/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7" borderId="1" xfId="0" applyNumberFormat="1" applyFill="1" applyBorder="1" applyAlignment="1">
      <alignment horizontal="center"/>
    </xf>
    <xf numFmtId="10" fontId="0" fillId="5" borderId="1" xfId="0" applyNumberFormat="1" applyFill="1" applyBorder="1"/>
    <xf numFmtId="10" fontId="0" fillId="0" borderId="1" xfId="0" applyNumberFormat="1" applyBorder="1"/>
    <xf numFmtId="0" fontId="0" fillId="2" borderId="1" xfId="0" applyFill="1" applyBorder="1"/>
    <xf numFmtId="9" fontId="0" fillId="0" borderId="1" xfId="1" applyFont="1" applyBorder="1"/>
    <xf numFmtId="9" fontId="0" fillId="5" borderId="1" xfId="1" applyFont="1" applyFill="1" applyBorder="1"/>
    <xf numFmtId="0" fontId="0" fillId="9" borderId="1" xfId="0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10" borderId="1" xfId="0" applyFill="1" applyBorder="1"/>
    <xf numFmtId="10" fontId="0" fillId="8" borderId="1" xfId="0" applyNumberFormat="1" applyFill="1" applyBorder="1"/>
    <xf numFmtId="16" fontId="0" fillId="4" borderId="1" xfId="0" applyNumberFormat="1" applyFill="1" applyBorder="1" applyAlignment="1">
      <alignment horizontal="center"/>
    </xf>
    <xf numFmtId="10" fontId="0" fillId="2" borderId="1" xfId="0" applyNumberFormat="1" applyFill="1" applyBorder="1"/>
    <xf numFmtId="10" fontId="0" fillId="0" borderId="9" xfId="0" applyNumberFormat="1" applyBorder="1"/>
    <xf numFmtId="10" fontId="0" fillId="0" borderId="1" xfId="1" applyNumberFormat="1" applyFont="1" applyFill="1" applyBorder="1"/>
    <xf numFmtId="0" fontId="0" fillId="2" borderId="1" xfId="0" quotePrefix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0" fontId="0" fillId="10" borderId="1" xfId="0" applyNumberFormat="1" applyFill="1" applyBorder="1"/>
    <xf numFmtId="9" fontId="0" fillId="10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5" borderId="1" xfId="0" applyNumberFormat="1" applyFill="1" applyBorder="1" applyAlignment="1">
      <alignment horizontal="right"/>
    </xf>
    <xf numFmtId="9" fontId="0" fillId="5" borderId="2" xfId="1" applyFont="1" applyFill="1" applyBorder="1"/>
    <xf numFmtId="9" fontId="0" fillId="0" borderId="2" xfId="1" applyFont="1" applyBorder="1"/>
    <xf numFmtId="0" fontId="5" fillId="6" borderId="5" xfId="0" applyFont="1" applyFill="1" applyBorder="1"/>
    <xf numFmtId="16" fontId="0" fillId="0" borderId="9" xfId="0" applyNumberFormat="1" applyBorder="1" applyAlignment="1">
      <alignment horizontal="center"/>
    </xf>
    <xf numFmtId="9" fontId="0" fillId="0" borderId="9" xfId="1" applyFont="1" applyBorder="1"/>
    <xf numFmtId="9" fontId="0" fillId="0" borderId="14" xfId="1" applyFont="1" applyBorder="1"/>
    <xf numFmtId="0" fontId="0" fillId="0" borderId="14" xfId="0" applyBorder="1"/>
    <xf numFmtId="0" fontId="0" fillId="0" borderId="7" xfId="0" applyBorder="1"/>
    <xf numFmtId="0" fontId="0" fillId="0" borderId="2" xfId="0" applyBorder="1"/>
    <xf numFmtId="0" fontId="0" fillId="8" borderId="1" xfId="0" applyFill="1" applyBorder="1" applyAlignment="1">
      <alignment horizontal="right"/>
    </xf>
    <xf numFmtId="9" fontId="0" fillId="8" borderId="1" xfId="0" applyNumberFormat="1" applyFill="1" applyBorder="1" applyAlignment="1">
      <alignment horizontal="right"/>
    </xf>
    <xf numFmtId="16" fontId="0" fillId="11" borderId="1" xfId="0" applyNumberFormat="1" applyFill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9" fontId="0" fillId="8" borderId="1" xfId="1" applyFont="1" applyFill="1" applyBorder="1"/>
    <xf numFmtId="9" fontId="0" fillId="8" borderId="2" xfId="1" applyFont="1" applyFill="1" applyBorder="1"/>
    <xf numFmtId="16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10" fontId="0" fillId="12" borderId="1" xfId="0" applyNumberFormat="1" applyFill="1" applyBorder="1"/>
    <xf numFmtId="9" fontId="0" fillId="12" borderId="1" xfId="1" applyFont="1" applyFill="1" applyBorder="1"/>
    <xf numFmtId="9" fontId="0" fillId="12" borderId="2" xfId="1" applyFont="1" applyFill="1" applyBorder="1"/>
    <xf numFmtId="0" fontId="6" fillId="0" borderId="1" xfId="0" applyFont="1" applyBorder="1" applyAlignment="1">
      <alignment horizontal="center"/>
    </xf>
    <xf numFmtId="0" fontId="0" fillId="8" borderId="6" xfId="0" applyFill="1" applyBorder="1"/>
    <xf numFmtId="16" fontId="0" fillId="14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10" fontId="0" fillId="13" borderId="1" xfId="0" applyNumberFormat="1" applyFill="1" applyBorder="1"/>
    <xf numFmtId="0" fontId="0" fillId="13" borderId="1" xfId="0" applyFill="1" applyBorder="1"/>
    <xf numFmtId="9" fontId="0" fillId="13" borderId="1" xfId="0" applyNumberFormat="1" applyFill="1" applyBorder="1"/>
    <xf numFmtId="9" fontId="0" fillId="13" borderId="1" xfId="0" applyNumberFormat="1" applyFill="1" applyBorder="1" applyAlignment="1">
      <alignment horizontal="right"/>
    </xf>
    <xf numFmtId="0" fontId="0" fillId="13" borderId="0" xfId="0" applyFill="1"/>
    <xf numFmtId="2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6" borderId="6" xfId="0" applyNumberFormat="1" applyFont="1" applyFill="1" applyBorder="1" applyAlignment="1">
      <alignment horizontal="center"/>
    </xf>
    <xf numFmtId="2" fontId="0" fillId="0" borderId="6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2" xfId="1" applyFont="1" applyFill="1" applyBorder="1" applyAlignment="1">
      <alignment horizontal="right"/>
    </xf>
    <xf numFmtId="9" fontId="0" fillId="0" borderId="1" xfId="1" applyFont="1" applyFill="1" applyBorder="1"/>
    <xf numFmtId="0" fontId="2" fillId="0" borderId="6" xfId="0" applyFont="1" applyBorder="1" applyAlignment="1">
      <alignment wrapText="1"/>
    </xf>
    <xf numFmtId="10" fontId="7" fillId="0" borderId="9" xfId="1" applyNumberFormat="1" applyFont="1" applyBorder="1" applyAlignment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5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0" fillId="8" borderId="1" xfId="1" applyNumberFormat="1" applyFont="1" applyFill="1" applyBorder="1"/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9" fontId="0" fillId="2" borderId="1" xfId="1" applyFont="1" applyFill="1" applyBorder="1"/>
    <xf numFmtId="9" fontId="0" fillId="2" borderId="2" xfId="1" applyFont="1" applyFill="1" applyBorder="1"/>
    <xf numFmtId="2" fontId="0" fillId="2" borderId="1" xfId="1" applyNumberFormat="1" applyFon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2" fontId="5" fillId="6" borderId="0" xfId="0" applyNumberFormat="1" applyFont="1" applyFill="1" applyAlignment="1">
      <alignment horizontal="center"/>
    </xf>
    <xf numFmtId="2" fontId="0" fillId="0" borderId="5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2" borderId="0" xfId="0" applyNumberFormat="1" applyFill="1"/>
    <xf numFmtId="1" fontId="0" fillId="8" borderId="0" xfId="0" applyNumberFormat="1" applyFill="1"/>
    <xf numFmtId="164" fontId="0" fillId="0" borderId="2" xfId="1" applyNumberFormat="1" applyFont="1" applyBorder="1"/>
    <xf numFmtId="0" fontId="0" fillId="9" borderId="0" xfId="0" applyFill="1"/>
    <xf numFmtId="164" fontId="0" fillId="0" borderId="0" xfId="0" applyNumberFormat="1"/>
    <xf numFmtId="2" fontId="0" fillId="8" borderId="0" xfId="0" applyNumberFormat="1" applyFill="1"/>
    <xf numFmtId="164" fontId="0" fillId="8" borderId="2" xfId="1" applyNumberFormat="1" applyFont="1" applyFill="1" applyBorder="1"/>
    <xf numFmtId="2" fontId="0" fillId="8" borderId="1" xfId="1" applyNumberFormat="1" applyFont="1" applyFill="1" applyBorder="1"/>
    <xf numFmtId="9" fontId="11" fillId="0" borderId="2" xfId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center" vertical="center"/>
    </xf>
    <xf numFmtId="45" fontId="7" fillId="0" borderId="1" xfId="0" applyNumberFormat="1" applyFont="1" applyBorder="1" applyAlignment="1">
      <alignment horizontal="center"/>
    </xf>
    <xf numFmtId="20" fontId="0" fillId="0" borderId="0" xfId="0" applyNumberFormat="1"/>
    <xf numFmtId="9" fontId="11" fillId="0" borderId="2" xfId="1" quotePrefix="1" applyFont="1" applyFill="1" applyBorder="1" applyAlignment="1">
      <alignment horizontal="right"/>
    </xf>
    <xf numFmtId="9" fontId="0" fillId="0" borderId="0" xfId="1" applyFont="1"/>
    <xf numFmtId="2" fontId="0" fillId="5" borderId="6" xfId="0" applyNumberFormat="1" applyFill="1" applyBorder="1"/>
    <xf numFmtId="164" fontId="0" fillId="5" borderId="6" xfId="0" applyNumberFormat="1" applyFill="1" applyBorder="1"/>
    <xf numFmtId="2" fontId="0" fillId="5" borderId="1" xfId="0" applyNumberFormat="1" applyFill="1" applyBorder="1"/>
    <xf numFmtId="2" fontId="0" fillId="14" borderId="1" xfId="0" applyNumberFormat="1" applyFill="1" applyBorder="1"/>
    <xf numFmtId="2" fontId="0" fillId="11" borderId="1" xfId="0" applyNumberFormat="1" applyFill="1" applyBorder="1"/>
    <xf numFmtId="2" fontId="0" fillId="8" borderId="1" xfId="0" applyNumberFormat="1" applyFill="1" applyBorder="1"/>
    <xf numFmtId="0" fontId="0" fillId="5" borderId="1" xfId="0" quotePrefix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" xfId="0" quotePrefix="1" applyNumberFormat="1" applyFill="1" applyBorder="1" applyAlignment="1">
      <alignment horizontal="right"/>
    </xf>
    <xf numFmtId="164" fontId="0" fillId="8" borderId="1" xfId="0" quotePrefix="1" applyNumberFormat="1" applyFill="1" applyBorder="1" applyAlignment="1">
      <alignment horizontal="right"/>
    </xf>
    <xf numFmtId="164" fontId="0" fillId="0" borderId="9" xfId="0" quotePrefix="1" applyNumberFormat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8" borderId="6" xfId="0" applyNumberFormat="1" applyFill="1" applyBorder="1"/>
    <xf numFmtId="164" fontId="0" fillId="0" borderId="9" xfId="0" applyNumberFormat="1" applyBorder="1"/>
    <xf numFmtId="164" fontId="0" fillId="5" borderId="7" xfId="1" applyNumberFormat="1" applyFont="1" applyFill="1" applyBorder="1"/>
    <xf numFmtId="164" fontId="0" fillId="5" borderId="2" xfId="1" applyNumberFormat="1" applyFont="1" applyFill="1" applyBorder="1"/>
    <xf numFmtId="164" fontId="0" fillId="0" borderId="14" xfId="1" applyNumberFormat="1" applyFont="1" applyBorder="1"/>
    <xf numFmtId="164" fontId="0" fillId="12" borderId="2" xfId="1" applyNumberFormat="1" applyFont="1" applyFill="1" applyBorder="1"/>
    <xf numFmtId="164" fontId="0" fillId="2" borderId="2" xfId="1" applyNumberFormat="1" applyFont="1" applyFill="1" applyBorder="1"/>
    <xf numFmtId="2" fontId="0" fillId="0" borderId="6" xfId="1" applyNumberFormat="1" applyFont="1" applyBorder="1"/>
    <xf numFmtId="2" fontId="0" fillId="0" borderId="9" xfId="1" applyNumberFormat="1" applyFont="1" applyBorder="1"/>
    <xf numFmtId="2" fontId="0" fillId="0" borderId="1" xfId="2" applyNumberFormat="1" applyFont="1" applyBorder="1"/>
    <xf numFmtId="9" fontId="0" fillId="0" borderId="2" xfId="1" applyFont="1" applyFill="1" applyBorder="1"/>
    <xf numFmtId="164" fontId="0" fillId="0" borderId="2" xfId="1" applyNumberFormat="1" applyFont="1" applyFill="1" applyBorder="1"/>
    <xf numFmtId="2" fontId="0" fillId="0" borderId="1" xfId="1" applyNumberFormat="1" applyFont="1" applyFill="1" applyBorder="1"/>
    <xf numFmtId="10" fontId="6" fillId="0" borderId="1" xfId="0" quotePrefix="1" applyNumberFormat="1" applyFont="1" applyBorder="1" applyAlignment="1">
      <alignment horizontal="center"/>
    </xf>
    <xf numFmtId="10" fontId="7" fillId="0" borderId="1" xfId="0" quotePrefix="1" applyNumberFormat="1" applyFont="1" applyBorder="1" applyAlignment="1">
      <alignment horizontal="center"/>
    </xf>
    <xf numFmtId="10" fontId="11" fillId="0" borderId="2" xfId="0" quotePrefix="1" applyNumberFormat="1" applyFont="1" applyBorder="1" applyAlignment="1">
      <alignment horizontal="center"/>
    </xf>
    <xf numFmtId="10" fontId="4" fillId="0" borderId="2" xfId="0" quotePrefix="1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0" fontId="7" fillId="0" borderId="1" xfId="0" quotePrefix="1" applyNumberFormat="1" applyFont="1" applyBorder="1"/>
    <xf numFmtId="9" fontId="6" fillId="0" borderId="2" xfId="0" quotePrefix="1" applyNumberFormat="1" applyFont="1" applyBorder="1" applyAlignment="1">
      <alignment horizontal="center"/>
    </xf>
    <xf numFmtId="9" fontId="4" fillId="0" borderId="2" xfId="1" quotePrefix="1" applyFont="1" applyFill="1" applyBorder="1" applyAlignment="1">
      <alignment horizontal="right"/>
    </xf>
    <xf numFmtId="16" fontId="0" fillId="7" borderId="9" xfId="0" applyNumberFormat="1" applyFill="1" applyBorder="1" applyAlignment="1">
      <alignment horizontal="center"/>
    </xf>
    <xf numFmtId="164" fontId="0" fillId="0" borderId="9" xfId="1" applyNumberFormat="1" applyFont="1" applyBorder="1"/>
    <xf numFmtId="9" fontId="0" fillId="5" borderId="9" xfId="0" applyNumberFormat="1" applyFill="1" applyBorder="1"/>
    <xf numFmtId="0" fontId="7" fillId="0" borderId="2" xfId="0" quotePrefix="1" applyFont="1" applyBorder="1" applyAlignment="1">
      <alignment horizontal="right"/>
    </xf>
    <xf numFmtId="9" fontId="6" fillId="0" borderId="2" xfId="0" quotePrefix="1" applyNumberFormat="1" applyFont="1" applyBorder="1"/>
    <xf numFmtId="16" fontId="0" fillId="16" borderId="1" xfId="0" applyNumberFormat="1" applyFill="1" applyBorder="1"/>
    <xf numFmtId="16" fontId="0" fillId="16" borderId="1" xfId="0" applyNumberFormat="1" applyFill="1" applyBorder="1" applyAlignment="1">
      <alignment horizontal="center"/>
    </xf>
    <xf numFmtId="0" fontId="0" fillId="16" borderId="1" xfId="0" applyFill="1" applyBorder="1"/>
    <xf numFmtId="10" fontId="0" fillId="16" borderId="1" xfId="0" applyNumberFormat="1" applyFill="1" applyBorder="1"/>
    <xf numFmtId="0" fontId="0" fillId="16" borderId="9" xfId="0" applyFill="1" applyBorder="1"/>
    <xf numFmtId="9" fontId="0" fillId="16" borderId="1" xfId="0" applyNumberFormat="1" applyFill="1" applyBorder="1"/>
    <xf numFmtId="164" fontId="0" fillId="16" borderId="1" xfId="0" applyNumberFormat="1" applyFill="1" applyBorder="1"/>
    <xf numFmtId="0" fontId="7" fillId="0" borderId="1" xfId="0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9" fontId="7" fillId="0" borderId="1" xfId="0" quotePrefix="1" applyNumberFormat="1" applyFont="1" applyBorder="1" applyAlignment="1">
      <alignment horizontal="right"/>
    </xf>
    <xf numFmtId="46" fontId="0" fillId="0" borderId="1" xfId="0" applyNumberFormat="1" applyBorder="1"/>
    <xf numFmtId="46" fontId="0" fillId="0" borderId="2" xfId="0" applyNumberFormat="1" applyBorder="1"/>
    <xf numFmtId="21" fontId="0" fillId="0" borderId="2" xfId="0" applyNumberFormat="1" applyBorder="1"/>
    <xf numFmtId="46" fontId="0" fillId="5" borderId="6" xfId="0" applyNumberFormat="1" applyFill="1" applyBorder="1"/>
    <xf numFmtId="46" fontId="0" fillId="5" borderId="1" xfId="0" applyNumberFormat="1" applyFill="1" applyBorder="1"/>
    <xf numFmtId="46" fontId="0" fillId="0" borderId="1" xfId="0" applyNumberFormat="1" applyBorder="1" applyAlignment="1">
      <alignment horizontal="right"/>
    </xf>
    <xf numFmtId="46" fontId="0" fillId="0" borderId="1" xfId="0" quotePrefix="1" applyNumberFormat="1" applyBorder="1" applyAlignment="1">
      <alignment horizontal="right"/>
    </xf>
    <xf numFmtId="46" fontId="7" fillId="0" borderId="1" xfId="0" applyNumberFormat="1" applyFont="1" applyBorder="1" applyAlignment="1">
      <alignment horizontal="right"/>
    </xf>
    <xf numFmtId="46" fontId="0" fillId="0" borderId="9" xfId="0" applyNumberFormat="1" applyBorder="1" applyAlignment="1">
      <alignment horizontal="right"/>
    </xf>
    <xf numFmtId="46" fontId="0" fillId="8" borderId="6" xfId="0" applyNumberFormat="1" applyFill="1" applyBorder="1"/>
    <xf numFmtId="46" fontId="0" fillId="0" borderId="9" xfId="0" applyNumberFormat="1" applyBorder="1"/>
    <xf numFmtId="46" fontId="0" fillId="16" borderId="1" xfId="0" applyNumberFormat="1" applyFill="1" applyBorder="1"/>
    <xf numFmtId="46" fontId="0" fillId="5" borderId="7" xfId="1" applyNumberFormat="1" applyFont="1" applyFill="1" applyBorder="1"/>
    <xf numFmtId="46" fontId="0" fillId="0" borderId="2" xfId="1" applyNumberFormat="1" applyFont="1" applyBorder="1"/>
    <xf numFmtId="46" fontId="0" fillId="5" borderId="2" xfId="1" applyNumberFormat="1" applyFont="1" applyFill="1" applyBorder="1"/>
    <xf numFmtId="46" fontId="0" fillId="0" borderId="2" xfId="1" applyNumberFormat="1" applyFont="1" applyFill="1" applyBorder="1"/>
    <xf numFmtId="0" fontId="5" fillId="6" borderId="19" xfId="0" applyFont="1" applyFill="1" applyBorder="1"/>
    <xf numFmtId="0" fontId="5" fillId="6" borderId="20" xfId="0" applyFont="1" applyFill="1" applyBorder="1"/>
    <xf numFmtId="0" fontId="5" fillId="6" borderId="21" xfId="0" applyFont="1" applyFill="1" applyBorder="1"/>
    <xf numFmtId="0" fontId="0" fillId="5" borderId="22" xfId="0" applyFill="1" applyBorder="1"/>
    <xf numFmtId="9" fontId="0" fillId="2" borderId="14" xfId="0" applyNumberFormat="1" applyFill="1" applyBorder="1"/>
    <xf numFmtId="9" fontId="0" fillId="2" borderId="23" xfId="0" applyNumberFormat="1" applyFill="1" applyBorder="1"/>
    <xf numFmtId="0" fontId="0" fillId="0" borderId="22" xfId="0" applyBorder="1"/>
    <xf numFmtId="9" fontId="6" fillId="0" borderId="14" xfId="0" applyNumberFormat="1" applyFont="1" applyBorder="1"/>
    <xf numFmtId="9" fontId="7" fillId="0" borderId="14" xfId="0" applyNumberFormat="1" applyFont="1" applyBorder="1"/>
    <xf numFmtId="9" fontId="6" fillId="0" borderId="23" xfId="0" applyNumberFormat="1" applyFont="1" applyBorder="1"/>
    <xf numFmtId="9" fontId="7" fillId="5" borderId="14" xfId="1" applyFont="1" applyFill="1" applyBorder="1"/>
    <xf numFmtId="9" fontId="7" fillId="5" borderId="14" xfId="0" applyNumberFormat="1" applyFont="1" applyFill="1" applyBorder="1"/>
    <xf numFmtId="9" fontId="7" fillId="5" borderId="14" xfId="1" applyFont="1" applyFill="1" applyBorder="1" applyAlignment="1">
      <alignment horizontal="right"/>
    </xf>
    <xf numFmtId="9" fontId="7" fillId="5" borderId="23" xfId="1" applyFont="1" applyFill="1" applyBorder="1"/>
    <xf numFmtId="9" fontId="7" fillId="0" borderId="14" xfId="1" applyFont="1" applyBorder="1"/>
    <xf numFmtId="9" fontId="7" fillId="0" borderId="14" xfId="1" applyFont="1" applyBorder="1" applyAlignment="1">
      <alignment horizontal="right"/>
    </xf>
    <xf numFmtId="9" fontId="7" fillId="0" borderId="23" xfId="1" applyFont="1" applyBorder="1"/>
    <xf numFmtId="9" fontId="6" fillId="5" borderId="14" xfId="1" applyFont="1" applyFill="1" applyBorder="1"/>
    <xf numFmtId="9" fontId="6" fillId="5" borderId="14" xfId="0" applyNumberFormat="1" applyFont="1" applyFill="1" applyBorder="1"/>
    <xf numFmtId="9" fontId="7" fillId="5" borderId="23" xfId="1" applyFont="1" applyFill="1" applyBorder="1" applyAlignment="1">
      <alignment horizontal="center" vertical="center"/>
    </xf>
    <xf numFmtId="0" fontId="0" fillId="0" borderId="24" xfId="0" applyBorder="1"/>
    <xf numFmtId="9" fontId="4" fillId="0" borderId="17" xfId="1" applyFont="1" applyBorder="1" applyAlignment="1">
      <alignment horizontal="right"/>
    </xf>
    <xf numFmtId="9" fontId="4" fillId="0" borderId="18" xfId="1" applyFont="1" applyBorder="1" applyAlignment="1">
      <alignment horizontal="right"/>
    </xf>
    <xf numFmtId="10" fontId="11" fillId="0" borderId="2" xfId="1" applyNumberFormat="1" applyFont="1" applyBorder="1"/>
    <xf numFmtId="10" fontId="7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9" borderId="0" xfId="0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3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Jamaica!$V$316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Jamaica!$W$316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47-B9FF-800CD821585C}"/>
            </c:ext>
          </c:extLst>
        </c:ser>
        <c:ser>
          <c:idx val="1"/>
          <c:order val="1"/>
          <c:tx>
            <c:strRef>
              <c:f>Jamaica!$V$317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Jamaica!$W$317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6-4B47-B9FF-800CD821585C}"/>
            </c:ext>
          </c:extLst>
        </c:ser>
        <c:ser>
          <c:idx val="2"/>
          <c:order val="2"/>
          <c:tx>
            <c:strRef>
              <c:f>Jamaica!$V$318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Jamaica!$W$318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6-4B47-B9FF-800CD821585C}"/>
            </c:ext>
          </c:extLst>
        </c:ser>
        <c:ser>
          <c:idx val="3"/>
          <c:order val="3"/>
          <c:tx>
            <c:strRef>
              <c:f>Jamaica!$V$319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Jamaica!$W$319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69583"/>
        <c:axId val="4474159"/>
      </c:barChart>
      <c:lineChart>
        <c:grouping val="standard"/>
        <c:varyColors val="0"/>
        <c:ser>
          <c:idx val="4"/>
          <c:order val="4"/>
          <c:tx>
            <c:strRef>
              <c:f>Jamaica!$V$320</c:f>
              <c:strCache>
                <c:ptCount val="1"/>
                <c:pt idx="0">
                  <c:v>Value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3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415279165976056"/>
                  <c:y val="-9.4907407407407454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835872271248645"/>
                      <c:h val="0.17108814523184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2B16-4B47-B9FF-800CD821585C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Jamaica!$W$320</c:f>
              <c:numCache>
                <c:formatCode>[mm]:ss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583"/>
        <c:axId val="4474159"/>
      </c:lineChart>
      <c:catAx>
        <c:axId val="4469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4474159"/>
        <c:crosses val="autoZero"/>
        <c:auto val="1"/>
        <c:lblAlgn val="ctr"/>
        <c:lblOffset val="100"/>
        <c:noMultiLvlLbl val="0"/>
      </c:catAx>
      <c:valAx>
        <c:axId val="4474159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58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521350</xdr:colOff>
      <xdr:row>310</xdr:row>
      <xdr:rowOff>165750</xdr:rowOff>
    </xdr:from>
    <xdr:to>
      <xdr:col>27</xdr:col>
      <xdr:colOff>355025</xdr:colOff>
      <xdr:row>325</xdr:row>
      <xdr:rowOff>170513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85D02C-D0EB-4ED8-A0E4-866DFE7C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318" dataDxfId="316" headerRowBorderDxfId="317" tableBorderDxfId="315" totalsRowBorderDxfId="314">
  <autoFilter ref="A3:H12" xr:uid="{521D8988-7BE6-4CED-BC60-37DB2712FAE0}"/>
  <tableColumns count="8">
    <tableColumn id="1" xr3:uid="{ABF25065-B947-4726-9538-F4FA1237CC05}" name="KPIs" dataDxfId="313"/>
    <tableColumn id="2" xr3:uid="{01670FA7-34AE-4FF9-AD72-8B46DD3D10C1}" name="Targets" dataDxfId="312"/>
    <tableColumn id="3" xr3:uid="{CE000B4A-0E8D-42FE-BCE1-DF6C53D0955D}" name="TTO" dataDxfId="311"/>
    <tableColumn id="4" xr3:uid="{9BB2FA1F-BBDD-4545-87A2-57076DD3513D}" name="JAM" dataDxfId="310"/>
    <tableColumn id="5" xr3:uid="{D2270F34-DE5E-4388-A446-513CF993B39C}" name="BAR" dataDxfId="309"/>
    <tableColumn id="6" xr3:uid="{55ADC9AD-3B00-4C0E-801B-63E27DABAB33}" name="OECS" dataDxfId="308"/>
    <tableColumn id="7" xr3:uid="{A394CC33-52E0-4FA4-83A8-B3E8C6A852B5}" name="GUY" dataDxfId="307"/>
    <tableColumn id="8" xr3:uid="{5CF751FF-2D7C-4276-A835-7ADA0D40426D}" name="BEL" dataDxfId="3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305" headerRowBorderDxfId="304" tableBorderDxfId="303" totalsRowBorderDxfId="302">
  <autoFilter ref="A15:G22" xr:uid="{B5FD32FF-EA43-49E3-84B7-28B554A76C00}"/>
  <tableColumns count="7">
    <tableColumn id="1" xr3:uid="{0FC8DA96-050E-40AD-997E-8647DF0DE2CC}" name="KPIs" dataDxfId="301"/>
    <tableColumn id="2" xr3:uid="{668A1404-49CA-4661-918F-80E91B9883BD}" name="TTO"/>
    <tableColumn id="3" xr3:uid="{42D7ACF3-53F4-4663-B108-6B8B5CD02FE8}" name="JAM"/>
    <tableColumn id="4" xr3:uid="{54D241E7-7945-4D3F-BF63-9D359CB7FBB0}" name="BAR" dataDxfId="300"/>
    <tableColumn id="5" xr3:uid="{405E4939-0C4B-4909-A73F-5790B3842DF6}" name="OECS" dataDxfId="299"/>
    <tableColumn id="6" xr3:uid="{2E1403DA-B155-4BE4-B5D9-186A5DE9764D}" name="GUY" dataDxfId="298"/>
    <tableColumn id="7" xr3:uid="{10B0A785-E7E5-458C-AEAA-D830EB774FF7}" name="BEL" dataDxfId="2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296" dataDxfId="294" headerRowBorderDxfId="295" tableBorderDxfId="293" totalsRowBorderDxfId="292">
  <autoFilter ref="A3:H12" xr:uid="{521D8988-7BE6-4CED-BC60-37DB2712FAE0}"/>
  <tableColumns count="8">
    <tableColumn id="1" xr3:uid="{456B2C02-174B-45B0-A0B7-84B0B0BF568E}" name="KPIs" dataDxfId="291"/>
    <tableColumn id="2" xr3:uid="{79AB5D98-D4A0-44D1-842E-2E66BA661B9B}" name="Targets" dataDxfId="290"/>
    <tableColumn id="3" xr3:uid="{3D76E84B-4D5C-451B-94A7-7F92E80888D1}" name="TTO" dataDxfId="289"/>
    <tableColumn id="4" xr3:uid="{B8DA72B1-C1A0-4F8B-961F-20DCBB35765C}" name="JAM" dataDxfId="288"/>
    <tableColumn id="5" xr3:uid="{BCCE6BAB-42A2-42A0-BEB4-F158A249DB84}" name="BAR" dataDxfId="287"/>
    <tableColumn id="6" xr3:uid="{9AAE3E2A-9C50-4EA1-AA88-82B4B39E6932}" name="OECS" dataDxfId="286"/>
    <tableColumn id="7" xr3:uid="{B6AD5F0D-C31C-469F-9927-B5FA956517F3}" name="GUY" dataDxfId="285"/>
    <tableColumn id="8" xr3:uid="{E5A1A957-6C58-487E-A94F-9A211B43668B}" name="BEL" dataDxfId="2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283" headerRowBorderDxfId="282" tableBorderDxfId="281" totalsRowBorderDxfId="280">
  <autoFilter ref="A15:G22" xr:uid="{B5FD32FF-EA43-49E3-84B7-28B554A76C00}"/>
  <tableColumns count="7">
    <tableColumn id="1" xr3:uid="{4BE5302D-6200-4272-860B-0FAEAC7158FE}" name="KPIs" dataDxfId="279"/>
    <tableColumn id="2" xr3:uid="{E1CE0F82-906B-414F-AFF4-FBEB78C44086}" name="TTO"/>
    <tableColumn id="3" xr3:uid="{F5F62F16-FA17-4720-BE40-169CE3ED5FA6}" name="JAM"/>
    <tableColumn id="4" xr3:uid="{2AD57CA2-1433-49C0-B7E5-828831D12E50}" name="BAR" dataDxfId="278"/>
    <tableColumn id="5" xr3:uid="{CF9DD4B6-07E6-4668-822E-29495BF495E4}" name="OECS" dataDxfId="277"/>
    <tableColumn id="6" xr3:uid="{DF73CB00-15FC-461E-9265-BFD6A4246602}" name="GUY" dataDxfId="276"/>
    <tableColumn id="7" xr3:uid="{59715729-6CCA-4E40-BCC1-DDC840A909FC}" name="BEL" dataDxfId="2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43AE2B-41E6-4BBF-B078-6C490F9AE5B4}" name="Table11821" displayName="Table11821" ref="B3:K11" totalsRowShown="0" headerRowDxfId="274" headerRowBorderDxfId="273" tableBorderDxfId="272" totalsRowBorderDxfId="271">
  <autoFilter ref="B3:K11" xr:uid="{5543AE2B-41E6-4BBF-B078-6C490F9AE5B4}"/>
  <tableColumns count="10">
    <tableColumn id="1" xr3:uid="{451F5A9D-D76F-4F59-BDB9-3AEEC940D4A7}" name="Country " dataDxfId="270"/>
    <tableColumn id="2" xr3:uid="{9930CC33-1271-450D-85A7-103236B34507}" name="Calls Presented"/>
    <tableColumn id="3" xr3:uid="{2651B912-BB21-42F0-BFBD-07EA4CEDCEE6}" name="Calls Handled"/>
    <tableColumn id="9" xr3:uid="{3A538D5A-375D-48E0-B15F-66DF27F371E9}" name="Avg Percent Change Calls Offered (Week over Week)"/>
    <tableColumn id="10" xr3:uid="{D15F439B-C39B-4B2B-817C-C4B526002E06}" name=" Avg Percent Change Calls Ans (Week over Week)"/>
    <tableColumn id="4" xr3:uid="{67B16908-25DC-459C-BCFA-879826143DD6}" name="SVL"/>
    <tableColumn id="5" xr3:uid="{35FDDE83-0F51-4177-9268-227A715F44A9}" name="ANS"/>
    <tableColumn id="6" xr3:uid="{538AA387-AE07-4C86-B497-DD6820E34CFE}" name="ABR" dataDxfId="269"/>
    <tableColumn id="7" xr3:uid="{94ECD204-4146-49AF-9DBE-24989AEA8D57}" name="AU/AO" dataDxfId="268"/>
    <tableColumn id="8" xr3:uid="{9D4D4738-B6F6-4F6A-9FDF-4A3A9BC2B249}" name="A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2B1760-FA46-422F-9367-CC0B57E1679C}" name="Table1182118" displayName="Table1182118" ref="B17:K25" totalsRowShown="0" headerRowDxfId="267" headerRowBorderDxfId="266" tableBorderDxfId="265" totalsRowBorderDxfId="264">
  <autoFilter ref="B17:K25" xr:uid="{6E2B1760-FA46-422F-9367-CC0B57E1679C}"/>
  <tableColumns count="10">
    <tableColumn id="1" xr3:uid="{387A94A1-9307-4957-AF46-14A6989F89F7}" name="Country " dataDxfId="263"/>
    <tableColumn id="2" xr3:uid="{7BB8212A-23C3-4579-B245-DB1EBFFA36C7}" name="Calls Presented"/>
    <tableColumn id="3" xr3:uid="{2AEFFCC6-02A8-4652-8474-DEA38555E437}" name="Calls Handled"/>
    <tableColumn id="9" xr3:uid="{B7D7AD59-5B96-4BA5-B95F-7206B57D5106}" name="Avg Percent Change Calls Offered (Week over Week)"/>
    <tableColumn id="10" xr3:uid="{A730D328-3EF1-4787-9B1E-56FADCF89671}" name=" Avg Percent Change Calls Ans (Week over Week)"/>
    <tableColumn id="4" xr3:uid="{E584D16C-A527-41A9-AA8D-E3410DBD759F}" name="SVL"/>
    <tableColumn id="5" xr3:uid="{3F369367-530A-4721-9790-FCB15DE3AB99}" name="ANS"/>
    <tableColumn id="6" xr3:uid="{192D7582-31E5-4F01-9882-959B39492B30}" name="ABR" dataDxfId="262"/>
    <tableColumn id="7" xr3:uid="{8FD07E22-9D1F-4E81-BBFD-6FF4EAE1E6C3}" name="AU/AO" dataDxfId="261"/>
    <tableColumn id="8" xr3:uid="{E271D795-BC9E-47F8-8ED6-792B82A37ECB}" name="A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B150E8C-3507-4981-8A77-BB85A97E6ACD}" name="Table1182126" displayName="Table1182126" ref="AB2:AK10" totalsRowShown="0" headerRowDxfId="260" headerRowBorderDxfId="259" tableBorderDxfId="258" totalsRowBorderDxfId="257">
  <autoFilter ref="AB2:AK10" xr:uid="{2B150E8C-3507-4981-8A77-BB85A97E6ACD}"/>
  <tableColumns count="10">
    <tableColumn id="1" xr3:uid="{CCF8354F-8527-4C6F-A669-07C6945219F6}" name="Country " dataDxfId="256"/>
    <tableColumn id="2" xr3:uid="{A08C8089-3626-4518-8D8A-9EEF66C725AD}" name="Calls Presented"/>
    <tableColumn id="3" xr3:uid="{2265CA77-5184-4191-980B-B95BBA7033CC}" name="Calls Handled"/>
    <tableColumn id="9" xr3:uid="{B13F4307-D8AE-49D9-9E76-6AFB44E172A1}" name="Avg Percent Change Calls Offered (Week over Week)"/>
    <tableColumn id="10" xr3:uid="{C383BF81-E84A-4252-861C-4E0995D960DA}" name=" Avg Percent Change Calls Ans (Week over Week)"/>
    <tableColumn id="4" xr3:uid="{6DB7C032-33A6-4DA2-BB07-6CF56A9CEA6C}" name="SVL"/>
    <tableColumn id="5" xr3:uid="{99AB99B1-87B3-4076-A26B-4001EEFBED16}" name="ANS"/>
    <tableColumn id="6" xr3:uid="{A6861A28-5278-4CA2-A9F1-924EA4D2B877}" name="ABR" dataDxfId="255"/>
    <tableColumn id="7" xr3:uid="{10BA402F-EDC4-47A8-BB86-F008A3FE8EFD}" name="AU/AO" dataDxfId="254"/>
    <tableColumn id="8" xr3:uid="{66BA3D28-EF01-41E5-B1DE-8589301E6C48}" name="A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AFA85B-BEA0-4087-80FD-7DBCFC1BC005}" name="Table11617" displayName="Table11617" ref="B3:I11" totalsRowShown="0" headerRowDxfId="253" headerRowBorderDxfId="252" tableBorderDxfId="251" totalsRowBorderDxfId="250">
  <autoFilter ref="B3:I11" xr:uid="{09AFA85B-BEA0-4087-80FD-7DBCFC1BC005}"/>
  <tableColumns count="8">
    <tableColumn id="1" xr3:uid="{A683B96A-2B09-4B74-BB6F-783E0002EFA4}" name="Country " dataDxfId="249"/>
    <tableColumn id="2" xr3:uid="{9A71779A-F8FB-438A-8B9B-84012181646F}" name="Calls Presented"/>
    <tableColumn id="3" xr3:uid="{4E22A933-3FBA-45D1-A40C-2FA79486CCAC}" name="Calls Handled"/>
    <tableColumn id="4" xr3:uid="{E9E3875E-357D-4BCA-AD2C-0761719FE5B4}" name="SVL"/>
    <tableColumn id="5" xr3:uid="{A0EEDCF8-7F34-4997-B4F5-0B3CBAAE2EBF}" name="ANS"/>
    <tableColumn id="6" xr3:uid="{7C85EC14-005E-4764-9C8E-097F052CACC6}" name="ABR" dataDxfId="248"/>
    <tableColumn id="7" xr3:uid="{45699FA6-CF8F-4EBD-94CF-709D86985479}" name="AU/AO" dataDxfId="247"/>
    <tableColumn id="8" xr3:uid="{DF9A2ACB-660D-4DCE-99F9-A0958C6478BB}" name="A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L3:U11" totalsRowShown="0" headerRowDxfId="246" headerRowBorderDxfId="245" tableBorderDxfId="244" totalsRowBorderDxfId="243">
  <autoFilter ref="L3:U11" xr:uid="{A343A536-7EB7-4733-A073-B66A8A06F4DA}"/>
  <tableColumns count="10">
    <tableColumn id="1" xr3:uid="{67E23DA5-D648-4799-AEB7-DEAFEC227F77}" name="Country " dataDxfId="242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241"/>
    <tableColumn id="7" xr3:uid="{87CCC65D-8D87-467B-91F4-251868B16581}" name="AU/AO" dataDxfId="240"/>
    <tableColumn id="8" xr3:uid="{33394499-FCA3-4BA4-85A7-80573DBEFF5E}" name="A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A15:J23" totalsRowShown="0" headerRowDxfId="239" headerRowBorderDxfId="238" tableBorderDxfId="237" totalsRowBorderDxfId="236">
  <autoFilter ref="A15:J23" xr:uid="{C3289AA0-2E8F-4A8B-BC02-648DF9705DCE}"/>
  <tableColumns count="10">
    <tableColumn id="1" xr3:uid="{59592756-BDC1-4029-AD92-6FD3C8CAA56E}" name="Country " dataDxfId="235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234"/>
    <tableColumn id="7" xr3:uid="{E3703453-BB8B-4D2E-A173-89517DC4B958}" name="AU/AO" dataDxfId="233"/>
    <tableColumn id="8" xr3:uid="{A8702158-0663-4494-AC7B-7D3BD21DF7C3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L15:U23" totalsRowShown="0" headerRowDxfId="232" headerRowBorderDxfId="231" tableBorderDxfId="230" totalsRowBorderDxfId="229">
  <autoFilter ref="L15:U23" xr:uid="{8920942D-4CCB-40ED-88D5-E43FAF715349}"/>
  <tableColumns count="10">
    <tableColumn id="1" xr3:uid="{58F325AC-39DE-499B-833A-6E20523C1D90}" name="Country " dataDxfId="228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227"/>
    <tableColumn id="7" xr3:uid="{D08B193B-5491-45D3-AB3C-7A5297753FB1}" name="AU/AO" dataDxfId="226"/>
    <tableColumn id="8" xr3:uid="{07E6300A-3A7F-49D4-8FFC-71C46DEA3886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L27:U35" totalsRowShown="0" headerRowDxfId="225" headerRowBorderDxfId="224" tableBorderDxfId="223" totalsRowBorderDxfId="222">
  <autoFilter ref="L27:U35" xr:uid="{B320AC36-3948-4F67-B905-C847CA63F525}"/>
  <tableColumns count="10">
    <tableColumn id="1" xr3:uid="{7E1CBDA9-B3E5-4B36-9F34-7C6748A8719A}" name="Country " dataDxfId="221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220"/>
    <tableColumn id="7" xr3:uid="{9A7D007C-C8FC-40E9-9810-E910203B56EC}" name="AU/AO" dataDxfId="219"/>
    <tableColumn id="8" xr3:uid="{A50CB434-02CB-4C47-9EA0-8BD2FE7521E6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L39:U47" totalsRowShown="0" headerRowDxfId="218" headerRowBorderDxfId="217" tableBorderDxfId="216" totalsRowBorderDxfId="215">
  <autoFilter ref="L39:U47" xr:uid="{C66FCEF4-AA5A-4EF1-A8E1-47AFAD69CD33}"/>
  <tableColumns count="10">
    <tableColumn id="1" xr3:uid="{5677FF45-617A-400E-ACD7-1A735AFAEDC1}" name="Country " dataDxfId="214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213"/>
    <tableColumn id="7" xr3:uid="{565D5370-0C31-4882-B7F6-FCF8D7A40C8A}" name="AU/AO" dataDxfId="212"/>
    <tableColumn id="8" xr3:uid="{95CB7142-1874-4646-95A2-E95C0C05F4FA}" name="A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A63611-91C5-4620-9F6C-EF1225929F50}" name="Table116172019232422" displayName="Table116172019232422" ref="L51:U59" totalsRowShown="0" headerRowDxfId="211" headerRowBorderDxfId="210" tableBorderDxfId="209" totalsRowBorderDxfId="208">
  <autoFilter ref="L51:U59" xr:uid="{3BA63611-91C5-4620-9F6C-EF1225929F50}"/>
  <tableColumns count="10">
    <tableColumn id="1" xr3:uid="{12EBA16E-0C1D-454F-B51A-E485B12BF05B}" name="Country " dataDxfId="207"/>
    <tableColumn id="2" xr3:uid="{07C18981-3409-4166-AADB-E2C5ADC87F9E}" name="Calls Presented"/>
    <tableColumn id="3" xr3:uid="{A6D2FD40-115C-40DA-BC9C-05209F183014}" name="Calls Handled"/>
    <tableColumn id="9" xr3:uid="{2B0F9534-D96C-4D94-82BB-16EA7A0FA2B0}" name="Percentage Change Calls Offered (MoM)"/>
    <tableColumn id="10" xr3:uid="{19BB3EDA-108A-4CB4-9A46-B1947B45ECB4}" name="Percentage Change Calls Answered (MoM)"/>
    <tableColumn id="4" xr3:uid="{94445A9A-3193-411C-9427-ECB42F6DED90}" name="SVL"/>
    <tableColumn id="5" xr3:uid="{64356697-70D8-4478-A6F2-C2B6FB9E294F}" name="ANS"/>
    <tableColumn id="6" xr3:uid="{04ABC0D4-D861-4252-A855-61519ADC8A4D}" name="ABR" dataDxfId="206"/>
    <tableColumn id="7" xr3:uid="{FB4D30FF-BF14-4BAE-BC28-41FAE882BEFA}" name="AU/AO" dataDxfId="205"/>
    <tableColumn id="8" xr3:uid="{7C234D41-EB8E-4CDB-AC07-A4685B63CBF7}" name="A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B1198B5-3F91-4AD6-9C47-0B2625E73666}" name="Table11617201923242227" displayName="Table11617201923242227" ref="M63:V71" totalsRowShown="0" headerRowDxfId="204" headerRowBorderDxfId="203" tableBorderDxfId="202" totalsRowBorderDxfId="201">
  <autoFilter ref="M63:V71" xr:uid="{DB1198B5-3F91-4AD6-9C47-0B2625E73666}"/>
  <tableColumns count="10">
    <tableColumn id="1" xr3:uid="{C5C8EF8B-971D-4967-B0BB-35EB15A8EF30}" name="Country " dataDxfId="200"/>
    <tableColumn id="2" xr3:uid="{430B9F0A-FC53-4C29-8E6F-9A17C5615360}" name="Calls Presented"/>
    <tableColumn id="3" xr3:uid="{24F16D99-3480-42DF-9EA0-F6F583BE803C}" name="Calls Handled"/>
    <tableColumn id="9" xr3:uid="{22F6FEF6-571E-4AA6-9D31-FDDFC80B9098}" name="Percentage Change Calls Offered (MoM)"/>
    <tableColumn id="10" xr3:uid="{C7F358BE-B5DD-499B-B1B1-EC863A92B53D}" name="Percentage Change Calls Answered (MoM)"/>
    <tableColumn id="4" xr3:uid="{F790B80F-B484-4E4F-8126-58391B960DD2}" name="SVL"/>
    <tableColumn id="5" xr3:uid="{780D51E3-3E2D-430B-8F43-4D248AC96E59}" name="ANS"/>
    <tableColumn id="6" xr3:uid="{ACE8A52D-8063-4A1A-8A63-24596C915193}" name="ABR" dataDxfId="199"/>
    <tableColumn id="7" xr3:uid="{9DD7B633-A029-496B-907B-94D3E32CE71A}" name="AU/AO" dataDxfId="198"/>
    <tableColumn id="8" xr3:uid="{068E5ACD-B530-43EE-AB1F-BA19539AC6F7}" name="A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8A110CC-1D33-47C4-B138-B9B9485F7F15}" name="Table1161720192324222725" displayName="Table1161720192324222725" ref="L75:U83" totalsRowShown="0" headerRowDxfId="197" headerRowBorderDxfId="196" tableBorderDxfId="195" totalsRowBorderDxfId="194">
  <autoFilter ref="L75:U83" xr:uid="{F8A110CC-1D33-47C4-B138-B9B9485F7F15}"/>
  <tableColumns count="10">
    <tableColumn id="1" xr3:uid="{A41C9CAD-C08D-415D-93F8-D5016B17398B}" name="Country " dataDxfId="193"/>
    <tableColumn id="2" xr3:uid="{350FF502-4DDA-4EE6-8737-C139FCB9C019}" name="Calls Presented"/>
    <tableColumn id="3" xr3:uid="{DB3141B8-895F-4571-873E-059E66BCB09E}" name="Calls Handled"/>
    <tableColumn id="9" xr3:uid="{43A235C4-26B8-43BE-AE00-0BD91DF515EC}" name="Percentage Change Calls Offered (MoM)"/>
    <tableColumn id="10" xr3:uid="{B716FF65-76E6-4B9A-AC36-B8DC81B86558}" name="Percentage Change Calls Answered (MoM)"/>
    <tableColumn id="4" xr3:uid="{16653597-70EA-4724-8585-F5720856B612}" name="SVL"/>
    <tableColumn id="5" xr3:uid="{1A948DE4-0A88-4B35-B946-295C4B865C86}" name="ANS"/>
    <tableColumn id="6" xr3:uid="{2FFF7CB5-1659-47A8-B043-067E0F82425B}" name="ABR" dataDxfId="192"/>
    <tableColumn id="7" xr3:uid="{929CD02D-1FF2-4148-98A9-EDF33F9B02E0}" name="AU/AO" dataDxfId="191"/>
    <tableColumn id="8" xr3:uid="{F8BE68AD-D9E6-4184-BB3C-0B78FF13AD45}" name="A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Q367" totalsRowShown="0" headerRowDxfId="190" dataDxfId="189" tableBorderDxfId="188">
  <autoFilter ref="A1:Q367" xr:uid="{0D0EA32E-4CF4-4942-AC7A-C86A045E15D4}"/>
  <tableColumns count="17">
    <tableColumn id="1" xr3:uid="{078F076C-A212-46BB-BFDD-5D5F0E00699F}" name="Date" dataDxfId="187" totalsRowDxfId="186"/>
    <tableColumn id="2" xr3:uid="{002690E0-B1FA-4110-8195-9C3D6CA0F646}" name="Day of the week" dataDxfId="185" totalsRowDxfId="184"/>
    <tableColumn id="3" xr3:uid="{79E08CDC-7DE4-4D41-9365-758CDBD52E9F}" name="Fiscal" dataDxfId="183" totalsRowDxfId="182"/>
    <tableColumn id="4" xr3:uid="{419E9EA2-2E24-4F7D-8D93-62EFFE986929}" name="Calls Off" dataDxfId="181" totalsRowDxfId="180"/>
    <tableColumn id="5" xr3:uid="{1ABBAEB1-FFAB-4450-BB74-0B3D8B2DD354}" name="Calls Ans" dataDxfId="179" totalsRowDxfId="178"/>
    <tableColumn id="6" xr3:uid="{7FE7E079-0ABF-44CA-92F1-7C78C55750DC}" name="WoW % change (offer)" dataDxfId="177" totalsRowDxfId="176"/>
    <tableColumn id="7" xr3:uid="{0EDE91B2-9E54-4788-9989-58B11E7074EA}" name="WoW % change (ans)" dataDxfId="175" totalsRowDxfId="174"/>
    <tableColumn id="8" xr3:uid="{C1B75734-C045-4927-A31F-A083C1692622}" name="MTD Calls Offered" dataDxfId="173" totalsRowDxfId="172"/>
    <tableColumn id="9" xr3:uid="{CF93A49B-E584-4FC3-B287-327859E7F9A1}" name="MTD Calls Ans" dataDxfId="171" totalsRowDxfId="170"/>
    <tableColumn id="10" xr3:uid="{C50CD3D0-A084-4042-AF70-249A679D3753}" name="YTD Calls Offer" dataDxfId="169" totalsRowDxfId="168"/>
    <tableColumn id="11" xr3:uid="{F57373B4-1A20-4415-9FA4-C14574F4964A}" name="YTD Calls Ans" dataDxfId="167" totalsRowDxfId="166"/>
    <tableColumn id="12" xr3:uid="{8C4E032F-6A91-41CF-83C5-BCB63E14A4DB}" name="SL" dataDxfId="165" totalsRowDxfId="164"/>
    <tableColumn id="13" xr3:uid="{E11ABD54-2EE7-4CC3-A0E5-32E98874164F}" name="ABR" dataDxfId="163" totalsRowDxfId="162"/>
    <tableColumn id="14" xr3:uid="{F03AD841-747D-4ACD-84FD-6C99D6677ABC}" name="ANS" dataDxfId="161" totalsRowDxfId="160"/>
    <tableColumn id="15" xr3:uid="{78D2C07D-5A63-4628-9B33-47F2FC54A289}" name="AO/AU" dataDxfId="159" totalsRowDxfId="158"/>
    <tableColumn id="16" xr3:uid="{BAA93BDE-3F39-483D-9AE3-7A35FD3FB6BE}" name="AA" dataDxfId="157" totalsRowDxfId="156"/>
    <tableColumn id="18" xr3:uid="{EEFE7BAF-A4C1-4615-91A5-C9678CD83698}" name="AHT" dataDxfId="155" totalsRowDxfId="1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B41494-2563-4798-8709-D9674739CD81}" name="Table8" displayName="Table8" ref="S7:U59" totalsRowShown="0" headerRowDxfId="153" headerRowBorderDxfId="152" tableBorderDxfId="151" totalsRowBorderDxfId="150">
  <autoFilter ref="S7:U59" xr:uid="{CBB41494-2563-4798-8709-D9674739CD81}"/>
  <tableColumns count="3">
    <tableColumn id="1" xr3:uid="{36199FB1-55FC-4DA5-A945-4B71C0CA6BE9}" name="Week Of" dataDxfId="149">
      <calculatedColumnFormula>S7+7</calculatedColumnFormula>
    </tableColumn>
    <tableColumn id="2" xr3:uid="{4A5CCE66-0C63-4E6E-B22F-9CE91541357B}" name="Sum of Calls - Offered" dataDxfId="148">
      <calculatedColumnFormula array="1">SUMIFS(calls_off_OECS,period_OECS,"&gt;="&amp;S8,period_OECS,"&lt;"&amp;S9)</calculatedColumnFormula>
    </tableColumn>
    <tableColumn id="3" xr3:uid="{6B9C22F2-42C4-4CD0-A709-261823EACAF5}" name="Sum of Calls - Answered" dataDxfId="147">
      <calculatedColumnFormula>SUMIFS(E2:E109,A3:A110,"&gt;="&amp;S8,A2:A109,"&lt;"&amp;S9)</calculatedColumnFormula>
    </tableColumn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R367" totalsRowShown="0" headerRowDxfId="146" headerRowBorderDxfId="145" tableBorderDxfId="144" totalsRowBorderDxfId="143">
  <autoFilter ref="A1:R367" xr:uid="{D6815D4A-6205-4F1A-99C1-36BFB03190B0}"/>
  <tableColumns count="18">
    <tableColumn id="1" xr3:uid="{684C2A67-DC9A-4607-B057-0C27865EE6AF}" name="Date" dataDxfId="142"/>
    <tableColumn id="2" xr3:uid="{AF9ECCD9-3DFB-4B6B-9E82-379C59680363}" name="Day of the week" dataDxfId="141"/>
    <tableColumn id="14" xr3:uid="{A7FC41C0-38E6-4020-8156-86D1C5750F29}" name="Fiscal" dataDxfId="140"/>
    <tableColumn id="3" xr3:uid="{667353EE-4623-46F6-938B-1AF956C6933D}" name="Calls Off" dataDxfId="139"/>
    <tableColumn id="4" xr3:uid="{6D51C60B-EBF9-4541-96D4-044D7B91928D}" name="Calls Ans" dataDxfId="138"/>
    <tableColumn id="15" xr3:uid="{BBA78EBE-6FCB-4469-9BE0-8CB7A617D727}" name="WoW % change (offer)" dataDxfId="137"/>
    <tableColumn id="16" xr3:uid="{B328993E-B0F8-4140-BBDF-3C6BE70A92C3}" name="WoW % change (ans)" dataDxfId="136"/>
    <tableColumn id="5" xr3:uid="{EF9450E7-1607-4F24-B7AE-514068BBA7AF}" name="MTD Calls Offered" dataDxfId="135"/>
    <tableColumn id="6" xr3:uid="{6A284087-92E9-4091-BDCA-D08D79A1465A}" name="MTD Calls Ans" dataDxfId="134"/>
    <tableColumn id="7" xr3:uid="{23770DA1-70C8-4924-B4A0-850F881EE83C}" name="YTD Calls Offer" dataDxfId="133"/>
    <tableColumn id="8" xr3:uid="{DA8E0B8C-1F42-481A-91C1-95BF8BE85E8F}" name="YTD Calls Ans" dataDxfId="132"/>
    <tableColumn id="9" xr3:uid="{310A1A03-E23E-4AF4-9192-456C51ED5D13}" name="SL" dataDxfId="131"/>
    <tableColumn id="10" xr3:uid="{840BAABA-5A43-43DC-864C-DE2331E47D36}" name="ABR" dataDxfId="130"/>
    <tableColumn id="11" xr3:uid="{CC24FDFE-E1BE-4D59-B4BF-F38CAAAC48BC}" name="ANS" dataDxfId="129"/>
    <tableColumn id="12" xr3:uid="{05460178-4686-4F94-941B-61A36DEA788A}" name="AO/AU" dataDxfId="128"/>
    <tableColumn id="13" xr3:uid="{4DC4B710-5C41-468E-8254-6F57AC8E4FEC}" name="AA" dataDxfId="127"/>
    <tableColumn id="18" xr3:uid="{86762D67-4433-4B79-A1E8-E5CF80740905}" name="AHT" dataDxfId="126"/>
    <tableColumn id="17" xr3:uid="{17B12E1A-9EE1-4008-80C9-2D2C5D731D33}" name="Agents Log" dataDxfId="125"/>
  </tableColumns>
  <tableStyleInfo name="TableStyleLight1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11EC0F-9B19-4482-852C-5305F9D29AF8}" name="Table10" displayName="Table10" ref="T7:V60" totalsRowShown="0" headerRowDxfId="124" headerRowBorderDxfId="123" tableBorderDxfId="122" totalsRowBorderDxfId="121">
  <autoFilter ref="T7:V60" xr:uid="{4011EC0F-9B19-4482-852C-5305F9D29AF8}"/>
  <tableColumns count="3">
    <tableColumn id="1" xr3:uid="{477AC96E-C096-4AA6-A2B3-776D806D9CCF}" name="Week of" dataDxfId="120">
      <calculatedColumnFormula>T7+7</calculatedColumnFormula>
    </tableColumn>
    <tableColumn id="2" xr3:uid="{6D15E549-8D03-4762-B080-85A90A9D45BA}" name="Sum of Calls - Offered" dataDxfId="119">
      <calculatedColumnFormula array="1">SUMIFS(calls_off_GUY,period_GUY,"&gt;="&amp;T8,period_GUY,"&lt;"&amp;T9)</calculatedColumnFormula>
    </tableColumn>
    <tableColumn id="3" xr3:uid="{7C906D59-B431-456F-B01C-77E96DAFD043}" name="Sum of Calls - Answered" dataDxfId="118">
      <calculatedColumnFormula array="1">SUMIFS(calls_ans_GUY,period_GUY,"&gt;="&amp;T8,period_GUY,"&lt;"&amp;T9)</calculatedColumnFormula>
    </tableColumn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S367" totalsRowShown="0" headerRowDxfId="117" dataDxfId="116" tableBorderDxfId="115">
  <autoFilter ref="A1:S367" xr:uid="{1A589837-4FA1-4290-ACC9-7A1BA9576ABB}"/>
  <tableColumns count="19">
    <tableColumn id="1" xr3:uid="{5B0B2CC6-1EDF-44E8-B015-CDBFA0252EB8}" name="Date" dataDxfId="114"/>
    <tableColumn id="2" xr3:uid="{BE5856E4-FBFB-4C35-A65F-C2D4A4BA9293}" name="Day of the week" dataDxfId="113"/>
    <tableColumn id="14" xr3:uid="{BF5A5395-A12F-4E9E-A647-67A83815DD33}" name="Fiscal" dataDxfId="112"/>
    <tableColumn id="3" xr3:uid="{1FDA9D53-6343-4171-984D-F016DAC3A452}" name="Calls Off" dataDxfId="111"/>
    <tableColumn id="4" xr3:uid="{D7416F57-D8EB-4F89-9398-731CDDF7ABF0}" name="Calls Ans" dataDxfId="110"/>
    <tableColumn id="15" xr3:uid="{D3392110-4913-4772-AC41-5FF4F2D55325}" name="WoW % change (offer)" dataDxfId="109"/>
    <tableColumn id="16" xr3:uid="{4850BBEB-69C5-4C58-8175-16B47FA4DB42}" name="WoW % change (ans)" dataDxfId="108"/>
    <tableColumn id="5" xr3:uid="{345F2D57-222A-465B-ACBF-3E3886251986}" name="MTD Calls Offered" dataDxfId="107"/>
    <tableColumn id="6" xr3:uid="{AFBACC44-8F54-4409-B28C-F2FED98A9AA3}" name="MTD Calls Ans" dataDxfId="106"/>
    <tableColumn id="7" xr3:uid="{46C6239A-72B7-41C8-B156-E8AAA15B8BD5}" name="YTD Calls Offer" dataDxfId="105"/>
    <tableColumn id="8" xr3:uid="{35AE4E71-7FCC-43C6-B930-2816402C25B5}" name="YTD Calls Ans" dataDxfId="104"/>
    <tableColumn id="9" xr3:uid="{4237DCC4-BC67-4247-990C-ED3BB46D6B8A}" name="SL" dataDxfId="103"/>
    <tableColumn id="10" xr3:uid="{FDD78479-64EA-45DB-B8B0-F11600F5296F}" name="ABR" dataDxfId="102"/>
    <tableColumn id="11" xr3:uid="{CD009091-6A29-416D-871F-C316D4C56C97}" name="ANS" dataDxfId="101"/>
    <tableColumn id="12" xr3:uid="{AED37AE2-E9DF-435E-B9DE-0B0072CB8AFB}" name="AO/AU" dataDxfId="100"/>
    <tableColumn id="13" xr3:uid="{825101E1-4A13-4A3E-90D4-618CF733E293}" name="AA" dataDxfId="99"/>
    <tableColumn id="18" xr3:uid="{75DC9B28-E6D4-4080-8C87-0DB0A78152D7}" name="AHT" dataDxfId="98"/>
    <tableColumn id="19" xr3:uid="{8E05AADC-40F1-487F-BA5D-60A431F61BBD}" name="AWT" dataDxfId="97"/>
    <tableColumn id="17" xr3:uid="{A372F43D-ED52-4B5C-8A21-12EF2AFFC659}" name="Agents Log" dataDxfId="9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0F0DD-8C17-452A-8F8A-E6A11F0F238F}" name="Table13" displayName="Table13" ref="U5:W57" totalsRowShown="0">
  <autoFilter ref="U5:W57" xr:uid="{B9D0F0DD-8C17-452A-8F8A-E6A11F0F238F}"/>
  <tableColumns count="3">
    <tableColumn id="1" xr3:uid="{0590E773-C95C-4F3B-9661-D5B141B064DC}" name="Week of" dataDxfId="95">
      <calculatedColumnFormula>U5+7</calculatedColumnFormula>
    </tableColumn>
    <tableColumn id="2" xr3:uid="{A597A63E-0EFB-4A1C-884E-C7360B0A4FF8}" name="Sum of Calls - Offered" dataDxfId="94">
      <calculatedColumnFormula array="1">SUMIFS(calls_off_JAM,period_JAM,"&gt;="&amp;U6,period_JAM,"&lt;"&amp;U7)</calculatedColumnFormula>
    </tableColumn>
    <tableColumn id="3" xr3:uid="{82B4EE72-438E-4032-9C6F-B39675B9AF4E}" name="Sum of Calls - Answered" dataDxfId="93">
      <calculatedColumnFormula array="1">SUMIFS(calls_ans_JAM,period_JAM,"&gt;="&amp;U6,period_JAM,"&lt;"&amp;U7)</calculatedColumnFormula>
    </tableColumn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S367" totalsRowShown="0" headerRowDxfId="92" tableBorderDxfId="91">
  <autoFilter ref="A1:S367" xr:uid="{3052CFC4-9E28-4DDB-9943-49AC9065DE71}"/>
  <tableColumns count="19">
    <tableColumn id="1" xr3:uid="{C9188B86-882B-4531-9A7C-9C8E74CF4DCD}" name="Date" dataDxfId="90" totalsRowDxfId="89"/>
    <tableColumn id="2" xr3:uid="{8344D3B9-AC84-4150-B225-34BF77D3592E}" name="Day of the week" dataDxfId="88" totalsRowDxfId="87"/>
    <tableColumn id="14" xr3:uid="{C29776C6-4F85-4204-BBD4-7595D56E4BAD}" name="Fiscal" dataDxfId="86" totalsRowDxfId="85"/>
    <tableColumn id="3" xr3:uid="{36D3F057-C4A6-4ECB-BBA1-0422ED4322C2}" name="Calls Off" dataDxfId="84" totalsRowDxfId="83"/>
    <tableColumn id="4" xr3:uid="{48A00883-2030-48B1-BBC1-6FA1DBF92293}" name="Calls Ans" dataDxfId="82" totalsRowDxfId="81"/>
    <tableColumn id="15" xr3:uid="{9649B7A5-7919-4975-955B-3B6C35464C70}" name="WoW % change (offer)" dataDxfId="80" totalsRowDxfId="79"/>
    <tableColumn id="16" xr3:uid="{1F703A6A-FD49-47C1-BBCC-053F475F8081}" name="WoW % change (ans)" dataDxfId="78" totalsRowDxfId="77"/>
    <tableColumn id="5" xr3:uid="{DFF29B31-8A29-42E7-8A58-A7983425BB1A}" name="MTD Calls Offered" dataDxfId="76" totalsRowDxfId="75"/>
    <tableColumn id="6" xr3:uid="{A6B0FB5C-00D8-4813-BFD7-187C5BBE5F8E}" name="MTD Calls Ans" dataDxfId="74" totalsRowDxfId="73"/>
    <tableColumn id="7" xr3:uid="{BC18EA59-A5AC-49CE-A729-4AEFE9008FDD}" name="YTD Calls Offer" dataDxfId="72" totalsRowDxfId="71"/>
    <tableColumn id="8" xr3:uid="{27E7F2E3-6DBC-405E-B89F-A89D77189D05}" name="YTD Calls Ans" dataDxfId="70" totalsRowDxfId="69"/>
    <tableColumn id="9" xr3:uid="{C78EBBC1-F1A6-46CD-89AF-279BC9A3E4E2}" name="SL" dataDxfId="68" totalsRowDxfId="67"/>
    <tableColumn id="10" xr3:uid="{528632EF-EB19-4A23-A290-B6F67423399C}" name="ABR" dataDxfId="66" totalsRowDxfId="65"/>
    <tableColumn id="11" xr3:uid="{A7B18275-A049-46AD-9864-9406E87B4545}" name="ANS" dataDxfId="64" totalsRowDxfId="63"/>
    <tableColumn id="12" xr3:uid="{F578E4E4-AEB7-4722-BF14-9CB5D4E60521}" name="AO/AU" dataDxfId="62" totalsRowDxfId="61"/>
    <tableColumn id="13" xr3:uid="{25A10A5C-C99C-456C-93AD-D7B33D475788}" name="AA" dataDxfId="60" totalsRowDxfId="59"/>
    <tableColumn id="18" xr3:uid="{BD060F69-631C-43B0-9215-7EEF16A5FFDD}" name="AHT" dataDxfId="58" totalsRowDxfId="57"/>
    <tableColumn id="19" xr3:uid="{EC8CCAD5-DF0F-424B-833F-E80D6B3E991D}" name="AWT" dataDxfId="56" totalsRowDxfId="55"/>
    <tableColumn id="17" xr3:uid="{E8A66EB3-2D71-4752-ADBB-32490072A07A}" name="Agents Log" dataDxfId="54" totalsRowDxfId="5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B218E-6C20-4792-BEBB-FBC817FA4AA2}" name="Table4" displayName="Table4" ref="V13:X66" totalsRowShown="0">
  <autoFilter ref="V13:X66" xr:uid="{CEEB218E-6C20-4792-BEBB-FBC817FA4AA2}"/>
  <tableColumns count="3">
    <tableColumn id="1" xr3:uid="{2E9E8C8B-6C61-4131-9387-F37B2B5AA83F}" name="Week of" dataDxfId="52">
      <calculatedColumnFormula>V13+7</calculatedColumnFormula>
    </tableColumn>
    <tableColumn id="2" xr3:uid="{2A55958A-8386-4857-AA3A-808DE8D6820D}" name="Sum of Calls - Offered" dataDxfId="51">
      <calculatedColumnFormula>SUMIFS(Table7[Calls Off],Table7[Date],"&gt;="&amp;V14,Table7[Date],"&lt;"&amp;V15)</calculatedColumnFormula>
    </tableColumn>
    <tableColumn id="3" xr3:uid="{4DAF6653-BB52-41A3-A27D-4D70BE79B68B}" name="Sum of Calls - Answered" dataDxfId="50">
      <calculatedColumnFormula>SUMIFS(Table7[Calls Ans],Table7[Date],"&gt;="&amp;V14,Table7[Date],"&lt;"&amp;V15)</calculatedColumnFormula>
    </tableColumn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S367" totalsRowShown="0" headerRowDxfId="49" dataDxfId="47" headerRowBorderDxfId="48" tableBorderDxfId="46" totalsRowBorderDxfId="45" dataCellStyle="Percent">
  <autoFilter ref="A1:S367" xr:uid="{C949B38A-627C-487A-BFA1-3DBDE790FC6F}"/>
  <tableColumns count="19">
    <tableColumn id="1" xr3:uid="{FBC787A4-1197-4204-AEAB-FB44728BBC5A}" name="Date" dataDxfId="44" totalsRowDxfId="43"/>
    <tableColumn id="2" xr3:uid="{1ECDDE43-8A94-474F-9A32-0C8867E5C886}" name="Day of the week" dataDxfId="42" totalsRowDxfId="41"/>
    <tableColumn id="3" xr3:uid="{F252616B-C7F5-4E2C-87B3-2A18B23AF7AE}" name="Fiscal" dataDxfId="40" totalsRowDxfId="39"/>
    <tableColumn id="4" xr3:uid="{4D1E97E3-D23B-4CBB-8416-331578574872}" name="Calls Off" dataDxfId="38" totalsRowDxfId="37"/>
    <tableColumn id="5" xr3:uid="{85E5D003-8598-45E2-B192-48979EE48A09}" name="Calls Ans" dataDxfId="36" totalsRowDxfId="35"/>
    <tableColumn id="6" xr3:uid="{1ED6EC18-D513-4473-AD49-7A75EB9E7FA3}" name="WoW % change (offer)" dataDxfId="34" totalsRowDxfId="33"/>
    <tableColumn id="7" xr3:uid="{C9DAB305-599A-462D-A017-9665B7EB109D}" name="WoW % change (ans)" dataDxfId="32" totalsRowDxfId="31"/>
    <tableColumn id="8" xr3:uid="{3A01DA71-133A-4AAF-B7AE-585A4C3EB4F9}" name="MTD Calls Offered" dataDxfId="30" totalsRowDxfId="29"/>
    <tableColumn id="9" xr3:uid="{66E4ED2D-B541-4E37-9219-591D12D9BA20}" name="MTD Calls Ans" dataDxfId="28" totalsRowDxfId="27"/>
    <tableColumn id="10" xr3:uid="{A3A46A50-4464-44B3-B4E3-8004FCA5B400}" name="YTD Calls Offer" dataDxfId="26" totalsRowDxfId="25"/>
    <tableColumn id="11" xr3:uid="{A96EAF46-43AA-41B5-A8CA-E9CFCEFB9575}" name="YTD Calls Ans" dataDxfId="24" totalsRowDxfId="23"/>
    <tableColumn id="12" xr3:uid="{307F1BDF-DDF2-4681-A9E1-68A99832D08E}" name="SL" dataDxfId="22" totalsRowDxfId="21" dataCellStyle="Percent"/>
    <tableColumn id="13" xr3:uid="{6CC697F2-5181-4D11-BAE7-B262C0DC3C68}" name="ABR" dataDxfId="20" totalsRowDxfId="19" dataCellStyle="Percent"/>
    <tableColumn id="14" xr3:uid="{F57C4767-26F2-4824-92A9-40754F2F8C28}" name="ANS" dataDxfId="18" totalsRowDxfId="17" dataCellStyle="Percent"/>
    <tableColumn id="15" xr3:uid="{BD547FF2-B6B0-4AEE-B983-61B17D7CDD45}" name="AO/AU" dataDxfId="16" totalsRowDxfId="15" dataCellStyle="Percent"/>
    <tableColumn id="16" xr3:uid="{E50FA3FB-F553-449F-8702-69F70B6CAC12}" name="AA" dataDxfId="14" totalsRowDxfId="13" dataCellStyle="Percent"/>
    <tableColumn id="18" xr3:uid="{E8754235-7652-465C-8D9B-A9337A8A56A7}" name="AHT" dataDxfId="12" totalsRowDxfId="11" dataCellStyle="Percent"/>
    <tableColumn id="19" xr3:uid="{0107B893-12D3-4462-8775-0B2DE6319A4E}" name="AWT" dataDxfId="10" totalsRowDxfId="9" dataCellStyle="Percent"/>
    <tableColumn id="17" xr3:uid="{3BB2F00B-07C6-48C3-87E2-1CB96C898F3A}" name="Agents Log" dataDxfId="8" totalsRowDxfId="7" dataCellStyle="Percen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C18D0D-B81D-46F7-BA6A-01D34339BFF7}" name="Table14" displayName="Table14" ref="U3:W55" totalsRowShown="0" headerRowDxfId="6" headerRowBorderDxfId="5" tableBorderDxfId="4" totalsRowBorderDxfId="3">
  <autoFilter ref="U3:W55" xr:uid="{E2C18D0D-B81D-46F7-BA6A-01D34339BFF7}"/>
  <tableColumns count="3">
    <tableColumn id="1" xr3:uid="{898A7E87-679D-4D87-87E2-67BEE8688433}" name="Week of" dataDxfId="2">
      <calculatedColumnFormula>U3+7</calculatedColumnFormula>
    </tableColumn>
    <tableColumn id="2" xr3:uid="{0F792277-7268-424C-8859-56311EB0181F}" name="Sum of Calls - Offered" dataDxfId="1">
      <calculatedColumnFormula>SUMIFS(calls_off_BAR,period_BAR,"&gt;="&amp;U4,period_BAR,"&lt;"&amp;U5)</calculatedColumnFormula>
    </tableColumn>
    <tableColumn id="3" xr3:uid="{2C0EFA03-7E54-491A-ACE9-74D8D6A6C8E9}" name="Sum of Calls - Answered" dataDxfId="0">
      <calculatedColumnFormula>SUMIFS(calls_ans_BAR,period_BAR,"&gt;="&amp;U4,period_BAR,"&lt;"&amp;U5)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L22"/>
  <sheetViews>
    <sheetView workbookViewId="0">
      <selection activeCell="L14" sqref="L14"/>
    </sheetView>
  </sheetViews>
  <sheetFormatPr defaultRowHeight="14.5" x14ac:dyDescent="0.35"/>
  <cols>
    <col min="1" max="1" width="32" bestFit="1" customWidth="1"/>
    <col min="2" max="2" width="12.6328125" bestFit="1" customWidth="1"/>
    <col min="3" max="3" width="6.7265625" bestFit="1" customWidth="1"/>
    <col min="4" max="4" width="7.7265625" bestFit="1" customWidth="1"/>
    <col min="5" max="6" width="7.453125" bestFit="1" customWidth="1"/>
    <col min="7" max="7" width="7.1796875" bestFit="1" customWidth="1"/>
    <col min="8" max="8" width="6.7265625" bestFit="1" customWidth="1"/>
  </cols>
  <sheetData>
    <row r="2" spans="1:12" ht="18.5" x14ac:dyDescent="0.4">
      <c r="A2" s="265" t="s">
        <v>110</v>
      </c>
      <c r="B2" s="265"/>
      <c r="C2" s="265"/>
      <c r="D2" s="265"/>
      <c r="E2" s="265"/>
      <c r="F2" s="265"/>
      <c r="G2" s="265"/>
      <c r="H2" s="265"/>
    </row>
    <row r="3" spans="1:12" x14ac:dyDescent="0.35">
      <c r="A3" s="6" t="s">
        <v>17</v>
      </c>
      <c r="B3" s="7" t="s">
        <v>18</v>
      </c>
      <c r="C3" s="7" t="s">
        <v>72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12" x14ac:dyDescent="0.35">
      <c r="A4" s="4" t="s">
        <v>19</v>
      </c>
      <c r="B4" s="9" t="s">
        <v>26</v>
      </c>
      <c r="C4" s="72" t="s">
        <v>113</v>
      </c>
      <c r="D4" s="72" t="s">
        <v>108</v>
      </c>
      <c r="E4" s="134" t="s">
        <v>123</v>
      </c>
      <c r="F4" s="134" t="s">
        <v>115</v>
      </c>
      <c r="G4" s="170" t="s">
        <v>118</v>
      </c>
      <c r="H4" s="31" t="s">
        <v>120</v>
      </c>
    </row>
    <row r="5" spans="1:12" x14ac:dyDescent="0.35">
      <c r="A5" s="4" t="s">
        <v>20</v>
      </c>
      <c r="B5" s="9" t="s">
        <v>27</v>
      </c>
      <c r="C5" s="55">
        <v>0.89</v>
      </c>
      <c r="D5" s="128">
        <v>0.79</v>
      </c>
      <c r="E5" s="128">
        <v>0.8</v>
      </c>
      <c r="F5" s="128">
        <v>0.57999999999999996</v>
      </c>
      <c r="G5" s="47">
        <v>0.73</v>
      </c>
      <c r="H5" s="153">
        <v>1</v>
      </c>
    </row>
    <row r="6" spans="1:12" x14ac:dyDescent="0.35">
      <c r="A6" s="4" t="s">
        <v>21</v>
      </c>
      <c r="B6" s="9" t="s">
        <v>26</v>
      </c>
      <c r="C6" s="72" t="s">
        <v>105</v>
      </c>
      <c r="D6" s="72" t="s">
        <v>111</v>
      </c>
      <c r="E6" s="134" t="s">
        <v>109</v>
      </c>
      <c r="F6" s="134" t="s">
        <v>116</v>
      </c>
      <c r="G6" s="31" t="s">
        <v>98</v>
      </c>
      <c r="H6" s="31" t="s">
        <v>121</v>
      </c>
    </row>
    <row r="7" spans="1:12" x14ac:dyDescent="0.35">
      <c r="A7" s="4" t="s">
        <v>22</v>
      </c>
      <c r="B7" s="9" t="s">
        <v>27</v>
      </c>
      <c r="C7" s="55">
        <v>0.95</v>
      </c>
      <c r="D7" s="55">
        <v>0.98</v>
      </c>
      <c r="E7" s="55">
        <v>0.9</v>
      </c>
      <c r="F7" s="128">
        <v>0.5</v>
      </c>
      <c r="G7" s="153">
        <v>0.87</v>
      </c>
      <c r="H7" s="153">
        <v>0.96</v>
      </c>
    </row>
    <row r="8" spans="1:12" x14ac:dyDescent="0.35">
      <c r="A8" s="4" t="s">
        <v>23</v>
      </c>
      <c r="B8" s="9" t="s">
        <v>28</v>
      </c>
      <c r="C8" s="72" t="s">
        <v>114</v>
      </c>
      <c r="D8" s="72" t="s">
        <v>112</v>
      </c>
      <c r="E8" s="72" t="s">
        <v>124</v>
      </c>
      <c r="F8" s="72" t="s">
        <v>117</v>
      </c>
      <c r="G8" s="31" t="s">
        <v>119</v>
      </c>
      <c r="H8" s="31" t="s">
        <v>122</v>
      </c>
    </row>
    <row r="9" spans="1:12" x14ac:dyDescent="0.35">
      <c r="A9" s="4" t="s">
        <v>24</v>
      </c>
      <c r="B9" s="9" t="s">
        <v>29</v>
      </c>
      <c r="C9" s="55">
        <v>0.9</v>
      </c>
      <c r="D9" s="128">
        <v>0.77</v>
      </c>
      <c r="E9" s="55">
        <v>0.9</v>
      </c>
      <c r="F9" s="128">
        <v>0.76</v>
      </c>
      <c r="G9" s="47">
        <v>0.79</v>
      </c>
      <c r="H9" s="153">
        <v>0.96</v>
      </c>
    </row>
    <row r="10" spans="1:12" x14ac:dyDescent="0.35">
      <c r="A10" s="4" t="s">
        <v>25</v>
      </c>
      <c r="B10" s="3">
        <v>0.85</v>
      </c>
      <c r="C10" s="55">
        <v>0.83</v>
      </c>
      <c r="D10" s="55">
        <v>0.93</v>
      </c>
      <c r="E10" s="144" t="s">
        <v>16</v>
      </c>
      <c r="F10" s="144">
        <v>1</v>
      </c>
      <c r="G10" s="153">
        <v>0.89</v>
      </c>
      <c r="H10" s="144">
        <v>0.5</v>
      </c>
    </row>
    <row r="11" spans="1:12" x14ac:dyDescent="0.35">
      <c r="A11" s="4" t="s">
        <v>31</v>
      </c>
      <c r="B11" s="136" t="s">
        <v>16</v>
      </c>
      <c r="C11" s="135">
        <v>12</v>
      </c>
      <c r="D11" s="135">
        <v>57</v>
      </c>
      <c r="E11" s="140" t="s">
        <v>16</v>
      </c>
      <c r="F11" s="135">
        <v>7</v>
      </c>
      <c r="G11" s="135">
        <v>9</v>
      </c>
      <c r="H11" s="140">
        <v>2</v>
      </c>
      <c r="L11" s="122"/>
    </row>
    <row r="12" spans="1:12" x14ac:dyDescent="0.35">
      <c r="A12" s="5" t="s">
        <v>76</v>
      </c>
      <c r="B12" s="136" t="s">
        <v>16</v>
      </c>
      <c r="C12" s="137">
        <v>0.11</v>
      </c>
      <c r="D12" s="137">
        <v>0.26</v>
      </c>
      <c r="E12" s="138" t="s">
        <v>16</v>
      </c>
      <c r="F12" s="138">
        <v>0.57999999999999996</v>
      </c>
      <c r="G12" s="154">
        <v>0.11</v>
      </c>
      <c r="H12" s="139">
        <v>0.08</v>
      </c>
    </row>
    <row r="14" spans="1:12" ht="18.5" x14ac:dyDescent="0.4">
      <c r="A14" s="266" t="s">
        <v>110</v>
      </c>
      <c r="B14" s="267"/>
      <c r="C14" s="267"/>
      <c r="D14" s="267"/>
      <c r="E14" s="267"/>
      <c r="F14" s="267"/>
      <c r="G14" s="268"/>
      <c r="H14" s="129"/>
    </row>
    <row r="15" spans="1:12" x14ac:dyDescent="0.35">
      <c r="A15" s="6" t="s">
        <v>17</v>
      </c>
      <c r="B15" s="7" t="s">
        <v>72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12" x14ac:dyDescent="0.35">
      <c r="A16" s="4" t="s">
        <v>37</v>
      </c>
      <c r="B16" s="1">
        <v>110</v>
      </c>
      <c r="C16" s="1">
        <v>219</v>
      </c>
      <c r="D16" s="1">
        <v>10</v>
      </c>
      <c r="E16" s="1">
        <v>12</v>
      </c>
      <c r="F16" s="1">
        <v>83</v>
      </c>
      <c r="G16" s="1">
        <v>25</v>
      </c>
    </row>
    <row r="17" spans="1:7" x14ac:dyDescent="0.35">
      <c r="A17" s="4" t="s">
        <v>38</v>
      </c>
      <c r="B17" s="1">
        <v>0</v>
      </c>
      <c r="C17" s="1">
        <v>1</v>
      </c>
      <c r="D17" s="1">
        <v>0</v>
      </c>
      <c r="E17" s="1">
        <f>2+2+1</f>
        <v>5</v>
      </c>
      <c r="F17" s="1">
        <f>1+1+1</f>
        <v>3</v>
      </c>
      <c r="G17" s="1">
        <v>1</v>
      </c>
    </row>
    <row r="18" spans="1:7" x14ac:dyDescent="0.35">
      <c r="A18" s="4" t="s">
        <v>39</v>
      </c>
      <c r="B18" s="1">
        <v>0</v>
      </c>
      <c r="C18" s="1">
        <f>1+1</f>
        <v>2</v>
      </c>
      <c r="D18" s="1">
        <v>0</v>
      </c>
      <c r="E18" s="1">
        <v>0</v>
      </c>
      <c r="F18" s="1">
        <f>1+2</f>
        <v>3</v>
      </c>
      <c r="G18" s="1">
        <f>2</f>
        <v>2</v>
      </c>
    </row>
    <row r="19" spans="1:7" x14ac:dyDescent="0.35">
      <c r="A19" s="4" t="s">
        <v>40</v>
      </c>
      <c r="B19" s="1">
        <v>110</v>
      </c>
      <c r="C19" s="1">
        <v>222</v>
      </c>
      <c r="D19" s="1">
        <v>10</v>
      </c>
      <c r="E19" s="1">
        <v>17</v>
      </c>
      <c r="F19" s="1">
        <v>89</v>
      </c>
      <c r="G19" s="1">
        <v>28</v>
      </c>
    </row>
    <row r="20" spans="1:7" x14ac:dyDescent="0.35">
      <c r="A20" s="4" t="s">
        <v>41</v>
      </c>
      <c r="B20" s="18">
        <f t="shared" ref="B20:F20" si="0">B16/(B19-B18)</f>
        <v>1</v>
      </c>
      <c r="C20" s="18">
        <f>C16/(C19-C18)</f>
        <v>0.99545454545454548</v>
      </c>
      <c r="D20" s="62">
        <f t="shared" si="0"/>
        <v>1</v>
      </c>
      <c r="E20" s="57">
        <f t="shared" si="0"/>
        <v>0.70588235294117652</v>
      </c>
      <c r="F20" s="62">
        <f t="shared" si="0"/>
        <v>0.96511627906976749</v>
      </c>
      <c r="G20" s="62">
        <f>G16/(G19-G18)</f>
        <v>0.96153846153846156</v>
      </c>
    </row>
    <row r="21" spans="1:7" x14ac:dyDescent="0.35">
      <c r="A21" s="4" t="s">
        <v>106</v>
      </c>
      <c r="B21" s="19">
        <f t="shared" ref="B21:G21" si="1">B18/B19</f>
        <v>0</v>
      </c>
      <c r="C21" s="19">
        <f t="shared" si="1"/>
        <v>9.0090090090090089E-3</v>
      </c>
      <c r="D21" s="142">
        <f t="shared" si="1"/>
        <v>0</v>
      </c>
      <c r="E21" s="71">
        <f t="shared" si="1"/>
        <v>0</v>
      </c>
      <c r="F21" s="71">
        <f t="shared" si="1"/>
        <v>3.3707865168539325E-2</v>
      </c>
      <c r="G21" s="71">
        <f t="shared" si="1"/>
        <v>7.1428571428571425E-2</v>
      </c>
    </row>
    <row r="22" spans="1:7" x14ac:dyDescent="0.35">
      <c r="A22" s="5" t="s">
        <v>43</v>
      </c>
      <c r="B22" s="20">
        <f t="shared" ref="B22:G22" si="2">B17/(B19-B18)</f>
        <v>0</v>
      </c>
      <c r="C22" s="20">
        <f>C17/(C19-C18)</f>
        <v>4.5454545454545452E-3</v>
      </c>
      <c r="D22" s="143">
        <f t="shared" si="2"/>
        <v>0</v>
      </c>
      <c r="E22" s="56">
        <f>E17/(E19-E18)</f>
        <v>0.29411764705882354</v>
      </c>
      <c r="F22" s="133">
        <f t="shared" si="2"/>
        <v>3.4883720930232558E-2</v>
      </c>
      <c r="G22" s="133">
        <f t="shared" si="2"/>
        <v>3.8461538461538464E-2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topLeftCell="A3" zoomScale="90" zoomScaleNormal="90" workbookViewId="0">
      <selection activeCell="F17" sqref="F17"/>
    </sheetView>
  </sheetViews>
  <sheetFormatPr defaultRowHeight="14.5" x14ac:dyDescent="0.35"/>
  <cols>
    <col min="1" max="1" width="32" bestFit="1" customWidth="1"/>
    <col min="2" max="2" width="12.6328125" bestFit="1" customWidth="1"/>
    <col min="5" max="5" width="11.7265625" bestFit="1" customWidth="1"/>
    <col min="6" max="7" width="15.26953125" bestFit="1" customWidth="1"/>
    <col min="8" max="8" width="14.36328125" bestFit="1" customWidth="1"/>
  </cols>
  <sheetData>
    <row r="2" spans="1:8" ht="18.5" x14ac:dyDescent="0.4">
      <c r="A2" s="265" t="s">
        <v>125</v>
      </c>
      <c r="B2" s="265"/>
      <c r="C2" s="265"/>
      <c r="D2" s="265"/>
      <c r="E2" s="265"/>
      <c r="F2" s="265"/>
      <c r="G2" s="265"/>
      <c r="H2" s="265"/>
    </row>
    <row r="3" spans="1:8" x14ac:dyDescent="0.35">
      <c r="A3" s="6" t="s">
        <v>17</v>
      </c>
      <c r="B3" s="7" t="s">
        <v>18</v>
      </c>
      <c r="C3" s="7" t="s">
        <v>72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 x14ac:dyDescent="0.35">
      <c r="A4" s="4" t="s">
        <v>19</v>
      </c>
      <c r="B4" s="9" t="s">
        <v>26</v>
      </c>
      <c r="C4" s="72" t="s">
        <v>102</v>
      </c>
      <c r="D4" s="72" t="s">
        <v>104</v>
      </c>
      <c r="E4" s="72" t="s">
        <v>128</v>
      </c>
      <c r="F4" s="134" t="s">
        <v>131</v>
      </c>
      <c r="G4" s="111" t="s">
        <v>134</v>
      </c>
      <c r="H4" s="111" t="s">
        <v>137</v>
      </c>
    </row>
    <row r="5" spans="1:8" x14ac:dyDescent="0.35">
      <c r="A5" s="4" t="s">
        <v>20</v>
      </c>
      <c r="B5" s="9" t="s">
        <v>27</v>
      </c>
      <c r="C5" s="55">
        <v>0.85</v>
      </c>
      <c r="D5" s="128">
        <v>0.83</v>
      </c>
      <c r="E5" s="128">
        <v>0.81</v>
      </c>
      <c r="F5" s="128">
        <v>0.75</v>
      </c>
      <c r="G5" s="47">
        <v>0.69</v>
      </c>
      <c r="H5" s="153">
        <v>0.89</v>
      </c>
    </row>
    <row r="6" spans="1:8" x14ac:dyDescent="0.35">
      <c r="A6" s="4" t="s">
        <v>21</v>
      </c>
      <c r="B6" s="9" t="s">
        <v>26</v>
      </c>
      <c r="C6" s="72" t="s">
        <v>105</v>
      </c>
      <c r="D6" s="72" t="s">
        <v>121</v>
      </c>
      <c r="E6" s="72" t="s">
        <v>129</v>
      </c>
      <c r="F6" s="134" t="s">
        <v>132</v>
      </c>
      <c r="G6" s="111" t="s">
        <v>135</v>
      </c>
      <c r="H6" s="111" t="s">
        <v>138</v>
      </c>
    </row>
    <row r="7" spans="1:8" x14ac:dyDescent="0.35">
      <c r="A7" s="4" t="s">
        <v>22</v>
      </c>
      <c r="B7" s="9" t="s">
        <v>27</v>
      </c>
      <c r="C7" s="55">
        <v>0.98</v>
      </c>
      <c r="D7" s="55">
        <v>0.98</v>
      </c>
      <c r="E7" s="55">
        <v>0.88</v>
      </c>
      <c r="F7" s="128">
        <v>0.66</v>
      </c>
      <c r="G7" s="47">
        <v>0.76</v>
      </c>
      <c r="H7" s="153">
        <v>0.87</v>
      </c>
    </row>
    <row r="8" spans="1:8" x14ac:dyDescent="0.35">
      <c r="A8" s="4" t="s">
        <v>23</v>
      </c>
      <c r="B8" s="9" t="s">
        <v>28</v>
      </c>
      <c r="C8" s="72" t="s">
        <v>126</v>
      </c>
      <c r="D8" s="169" t="s">
        <v>127</v>
      </c>
      <c r="E8" s="72" t="s">
        <v>130</v>
      </c>
      <c r="F8" s="72" t="s">
        <v>133</v>
      </c>
      <c r="G8" s="31" t="s">
        <v>136</v>
      </c>
      <c r="H8" s="31" t="s">
        <v>117</v>
      </c>
    </row>
    <row r="9" spans="1:8" x14ac:dyDescent="0.35">
      <c r="A9" s="4" t="s">
        <v>24</v>
      </c>
      <c r="B9" s="9" t="s">
        <v>29</v>
      </c>
      <c r="C9" s="55">
        <v>0.89</v>
      </c>
      <c r="D9" s="128">
        <v>0.75</v>
      </c>
      <c r="E9" s="128">
        <v>0.83</v>
      </c>
      <c r="F9" s="128">
        <v>0.78</v>
      </c>
      <c r="G9" s="47">
        <v>0.76</v>
      </c>
      <c r="H9" s="47">
        <v>0.83</v>
      </c>
    </row>
    <row r="10" spans="1:8" x14ac:dyDescent="0.35">
      <c r="A10" s="4" t="s">
        <v>25</v>
      </c>
      <c r="B10" s="3">
        <v>0.85</v>
      </c>
      <c r="C10" s="55">
        <v>0.9</v>
      </c>
      <c r="D10" s="55">
        <v>0.96</v>
      </c>
      <c r="E10" s="144">
        <v>1</v>
      </c>
      <c r="F10" s="144">
        <v>0.95</v>
      </c>
      <c r="G10" s="153">
        <v>0.89</v>
      </c>
      <c r="H10" s="144">
        <v>0.73</v>
      </c>
    </row>
    <row r="11" spans="1:8" x14ac:dyDescent="0.35">
      <c r="A11" s="4" t="s">
        <v>31</v>
      </c>
      <c r="B11" s="136" t="s">
        <v>16</v>
      </c>
      <c r="C11" s="135">
        <v>70</v>
      </c>
      <c r="D11" s="135">
        <v>214</v>
      </c>
      <c r="E11" s="135">
        <v>8</v>
      </c>
      <c r="F11" s="135">
        <v>20</v>
      </c>
      <c r="G11" s="31">
        <v>28</v>
      </c>
      <c r="H11" s="140">
        <v>11</v>
      </c>
    </row>
    <row r="12" spans="1:8" x14ac:dyDescent="0.35">
      <c r="A12" s="5" t="s">
        <v>76</v>
      </c>
      <c r="B12" s="136" t="s">
        <v>16</v>
      </c>
      <c r="C12" s="137">
        <v>0.13</v>
      </c>
      <c r="D12" s="137">
        <v>0.25</v>
      </c>
      <c r="E12" s="138">
        <v>0.13</v>
      </c>
      <c r="F12" s="138">
        <v>0.2</v>
      </c>
      <c r="G12" s="153">
        <v>0.1</v>
      </c>
      <c r="H12" s="139">
        <v>0.12</v>
      </c>
    </row>
    <row r="14" spans="1:8" ht="18.5" x14ac:dyDescent="0.4">
      <c r="A14" s="266" t="s">
        <v>125</v>
      </c>
      <c r="B14" s="267"/>
      <c r="C14" s="267"/>
      <c r="D14" s="267"/>
      <c r="E14" s="267"/>
      <c r="F14" s="267"/>
      <c r="G14" s="268"/>
      <c r="H14" s="129"/>
    </row>
    <row r="15" spans="1:8" x14ac:dyDescent="0.35">
      <c r="A15" s="6" t="s">
        <v>17</v>
      </c>
      <c r="B15" s="7" t="s">
        <v>72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 x14ac:dyDescent="0.35">
      <c r="A16" s="4" t="s">
        <v>37</v>
      </c>
      <c r="B16" s="1">
        <v>539</v>
      </c>
      <c r="C16" s="1">
        <v>871</v>
      </c>
      <c r="D16" s="1">
        <v>64</v>
      </c>
      <c r="E16" s="1">
        <v>101</v>
      </c>
      <c r="F16" s="44">
        <v>285</v>
      </c>
      <c r="G16" s="1">
        <v>94</v>
      </c>
    </row>
    <row r="17" spans="1:7" x14ac:dyDescent="0.35">
      <c r="A17" s="4" t="s">
        <v>38</v>
      </c>
      <c r="B17" s="1">
        <f>2+2+4+1</f>
        <v>9</v>
      </c>
      <c r="C17" s="1">
        <f>1+1+1+1</f>
        <v>4</v>
      </c>
      <c r="D17" s="1">
        <v>0</v>
      </c>
      <c r="E17" s="1">
        <f>1+3+2+1+3+2+2+4+2+2+1+1+1+3+2</f>
        <v>30</v>
      </c>
      <c r="F17" s="44">
        <f>2+1+1+1+1+2+1+2+1+2+11</f>
        <v>25</v>
      </c>
      <c r="G17" s="1">
        <f>4+3+1+1</f>
        <v>9</v>
      </c>
    </row>
    <row r="18" spans="1:7" x14ac:dyDescent="0.35">
      <c r="A18" s="4" t="s">
        <v>39</v>
      </c>
      <c r="B18" s="1">
        <v>0</v>
      </c>
      <c r="C18" s="1">
        <f>1+1+1+2</f>
        <v>5</v>
      </c>
      <c r="D18" s="1">
        <v>1</v>
      </c>
      <c r="E18" s="1">
        <f>1+1+1</f>
        <v>3</v>
      </c>
      <c r="F18" s="44">
        <f>1+1+2+2+1+1+1+1+3+1+2</f>
        <v>16</v>
      </c>
      <c r="G18" s="1">
        <f>1+1+1+3+2</f>
        <v>8</v>
      </c>
    </row>
    <row r="19" spans="1:7" x14ac:dyDescent="0.35">
      <c r="A19" s="4" t="s">
        <v>40</v>
      </c>
      <c r="B19" s="1">
        <v>548</v>
      </c>
      <c r="C19" s="1">
        <v>880</v>
      </c>
      <c r="D19" s="1">
        <v>65</v>
      </c>
      <c r="E19" s="1">
        <v>134</v>
      </c>
      <c r="F19" s="44">
        <v>326</v>
      </c>
      <c r="G19" s="1">
        <v>111</v>
      </c>
    </row>
    <row r="20" spans="1:7" x14ac:dyDescent="0.35">
      <c r="A20" s="4" t="s">
        <v>41</v>
      </c>
      <c r="B20" s="18">
        <f>B16/(B19-B18)</f>
        <v>0.98357664233576647</v>
      </c>
      <c r="C20" s="62">
        <f>C16/(C19-C18)</f>
        <v>0.99542857142857144</v>
      </c>
      <c r="D20" s="62">
        <f>D16/(D19-D18)</f>
        <v>1</v>
      </c>
      <c r="E20" s="57">
        <f t="shared" ref="E20:G20" si="0">E16/(E19-E18)</f>
        <v>0.77099236641221369</v>
      </c>
      <c r="F20" s="62">
        <f t="shared" si="0"/>
        <v>0.91935483870967738</v>
      </c>
      <c r="G20" s="62">
        <f t="shared" si="0"/>
        <v>0.91262135922330101</v>
      </c>
    </row>
    <row r="21" spans="1:7" x14ac:dyDescent="0.35">
      <c r="A21" s="4" t="s">
        <v>42</v>
      </c>
      <c r="B21" s="19">
        <f t="shared" ref="B21:G21" si="1">B18/B19</f>
        <v>0</v>
      </c>
      <c r="C21" s="19">
        <f t="shared" si="1"/>
        <v>5.681818181818182E-3</v>
      </c>
      <c r="D21" s="142">
        <f t="shared" si="1"/>
        <v>1.5384615384615385E-2</v>
      </c>
      <c r="E21" s="71">
        <f t="shared" si="1"/>
        <v>2.2388059701492536E-2</v>
      </c>
      <c r="F21" s="71">
        <f t="shared" si="1"/>
        <v>4.9079754601226995E-2</v>
      </c>
      <c r="G21" s="71">
        <f t="shared" si="1"/>
        <v>7.2072072072072071E-2</v>
      </c>
    </row>
    <row r="22" spans="1:7" x14ac:dyDescent="0.35">
      <c r="A22" s="5" t="s">
        <v>43</v>
      </c>
      <c r="B22" s="20">
        <f t="shared" ref="B22:G22" si="2">B17/(B19-B18)</f>
        <v>1.6423357664233577E-2</v>
      </c>
      <c r="C22" s="143">
        <f>C17/(C19-C18)</f>
        <v>4.5714285714285718E-3</v>
      </c>
      <c r="D22" s="143">
        <f>D17/(D19-D18)</f>
        <v>0</v>
      </c>
      <c r="E22" s="56">
        <f>E17/(E19-E18)</f>
        <v>0.22900763358778625</v>
      </c>
      <c r="F22" s="133">
        <f t="shared" si="2"/>
        <v>8.0645161290322578E-2</v>
      </c>
      <c r="G22" s="133">
        <f t="shared" si="2"/>
        <v>8.7378640776699032E-2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1:AK25"/>
  <sheetViews>
    <sheetView topLeftCell="Y1" workbookViewId="0">
      <selection activeCell="AB1" sqref="AB1:AK1"/>
    </sheetView>
  </sheetViews>
  <sheetFormatPr defaultRowHeight="14.5" x14ac:dyDescent="0.35"/>
  <cols>
    <col min="2" max="2" width="10" customWidth="1"/>
    <col min="3" max="4" width="18.54296875" bestFit="1" customWidth="1"/>
    <col min="5" max="5" width="32.1796875" bestFit="1" customWidth="1"/>
    <col min="6" max="6" width="28.453125" bestFit="1" customWidth="1"/>
    <col min="7" max="9" width="18.54296875" bestFit="1" customWidth="1"/>
    <col min="28" max="28" width="10.26953125" bestFit="1" customWidth="1"/>
    <col min="29" max="29" width="16" bestFit="1" customWidth="1"/>
    <col min="30" max="30" width="14.36328125" bestFit="1" customWidth="1"/>
    <col min="31" max="31" width="25.81640625" bestFit="1" customWidth="1"/>
    <col min="32" max="32" width="24.6328125" bestFit="1" customWidth="1"/>
    <col min="37" max="37" width="7.36328125" bestFit="1" customWidth="1"/>
  </cols>
  <sheetData>
    <row r="1" spans="2:37" x14ac:dyDescent="0.35">
      <c r="AB1" s="269" t="s">
        <v>143</v>
      </c>
      <c r="AC1" s="270"/>
      <c r="AD1" s="270"/>
      <c r="AE1" s="270"/>
      <c r="AF1" s="270"/>
      <c r="AG1" s="270"/>
      <c r="AH1" s="270"/>
      <c r="AI1" s="270"/>
      <c r="AJ1" s="270"/>
      <c r="AK1" s="271"/>
    </row>
    <row r="2" spans="2:37" ht="30.5" customHeight="1" x14ac:dyDescent="0.35">
      <c r="B2" s="269" t="s">
        <v>100</v>
      </c>
      <c r="C2" s="270"/>
      <c r="D2" s="270"/>
      <c r="E2" s="270"/>
      <c r="F2" s="270"/>
      <c r="G2" s="270"/>
      <c r="H2" s="270"/>
      <c r="I2" s="270"/>
      <c r="J2" s="270"/>
      <c r="K2" s="271"/>
      <c r="AB2" s="13" t="s">
        <v>1</v>
      </c>
      <c r="AC2" s="14" t="s">
        <v>2</v>
      </c>
      <c r="AD2" s="14" t="s">
        <v>15</v>
      </c>
      <c r="AE2" s="132" t="s">
        <v>93</v>
      </c>
      <c r="AF2" s="132" t="s">
        <v>94</v>
      </c>
      <c r="AG2" s="14" t="s">
        <v>3</v>
      </c>
      <c r="AH2" s="14" t="s">
        <v>4</v>
      </c>
      <c r="AI2" s="14" t="s">
        <v>5</v>
      </c>
      <c r="AJ2" s="14" t="s">
        <v>6</v>
      </c>
      <c r="AK2" s="8" t="s">
        <v>7</v>
      </c>
    </row>
    <row r="3" spans="2:37" ht="29" x14ac:dyDescent="0.35">
      <c r="B3" s="13" t="s">
        <v>1</v>
      </c>
      <c r="C3" s="14" t="s">
        <v>2</v>
      </c>
      <c r="D3" s="14" t="s">
        <v>15</v>
      </c>
      <c r="E3" s="132" t="s">
        <v>93</v>
      </c>
      <c r="F3" s="132" t="s">
        <v>94</v>
      </c>
      <c r="G3" s="14" t="s">
        <v>3</v>
      </c>
      <c r="H3" s="14" t="s">
        <v>4</v>
      </c>
      <c r="I3" s="14" t="s">
        <v>5</v>
      </c>
      <c r="J3" s="14" t="s">
        <v>6</v>
      </c>
      <c r="K3" s="8" t="s">
        <v>7</v>
      </c>
      <c r="AB3" s="4" t="s">
        <v>8</v>
      </c>
      <c r="AC3" s="1"/>
      <c r="AD3" s="1"/>
      <c r="AE3" s="66"/>
      <c r="AF3" s="66"/>
      <c r="AG3" s="2">
        <v>0.86</v>
      </c>
      <c r="AH3" s="2">
        <v>0.94</v>
      </c>
      <c r="AI3" s="2">
        <v>0.06</v>
      </c>
      <c r="AJ3" s="2">
        <v>0.65</v>
      </c>
      <c r="AK3" s="12">
        <v>0.95</v>
      </c>
    </row>
    <row r="4" spans="2:37" x14ac:dyDescent="0.35">
      <c r="B4" s="4" t="s">
        <v>8</v>
      </c>
      <c r="C4" s="1"/>
      <c r="D4" s="1"/>
      <c r="E4" s="66"/>
      <c r="F4" s="66"/>
      <c r="G4" s="2">
        <v>0.85</v>
      </c>
      <c r="H4" s="2">
        <v>0.94</v>
      </c>
      <c r="I4" s="2">
        <v>0.06</v>
      </c>
      <c r="J4" s="2">
        <v>0.65</v>
      </c>
      <c r="K4" s="12">
        <v>0.95</v>
      </c>
      <c r="AB4" s="4" t="s">
        <v>72</v>
      </c>
      <c r="AC4" s="127"/>
      <c r="AD4" s="127"/>
      <c r="AE4" s="206"/>
      <c r="AF4" s="206"/>
      <c r="AG4" s="62"/>
      <c r="AH4" s="62" t="e">
        <f>AD4/AC4</f>
        <v>#DIV/0!</v>
      </c>
      <c r="AI4" s="62" t="e">
        <f>1-AH4</f>
        <v>#DIV/0!</v>
      </c>
      <c r="AJ4" s="57"/>
      <c r="AK4" s="57"/>
    </row>
    <row r="5" spans="2:37" x14ac:dyDescent="0.35">
      <c r="B5" s="4" t="s">
        <v>72</v>
      </c>
      <c r="C5" s="1">
        <v>3483</v>
      </c>
      <c r="D5" s="1">
        <v>3075</v>
      </c>
      <c r="E5" s="201">
        <f>(C5-C19)/C19</f>
        <v>-9.154929577464789E-2</v>
      </c>
      <c r="F5" s="201">
        <f>(D5-D19)/D19</f>
        <v>-0.12193032552826956</v>
      </c>
      <c r="G5" s="57">
        <v>0.69</v>
      </c>
      <c r="H5" s="57">
        <f>D5/C5</f>
        <v>0.8828596037898363</v>
      </c>
      <c r="I5" s="57">
        <f>1-H5</f>
        <v>0.1171403962101637</v>
      </c>
      <c r="J5" s="57">
        <v>0.55000000000000004</v>
      </c>
      <c r="K5" s="57">
        <v>0.8</v>
      </c>
      <c r="AB5" s="4" t="s">
        <v>10</v>
      </c>
      <c r="AC5" s="221"/>
      <c r="AD5" s="221"/>
      <c r="AE5" s="206"/>
      <c r="AF5" s="206"/>
      <c r="AG5" s="223"/>
      <c r="AH5" s="62" t="e">
        <f>AD5/AC5</f>
        <v>#DIV/0!</v>
      </c>
      <c r="AI5" s="62" t="e">
        <f>1-AH5</f>
        <v>#DIV/0!</v>
      </c>
      <c r="AJ5" s="223"/>
      <c r="AK5" s="144"/>
    </row>
    <row r="6" spans="2:37" x14ac:dyDescent="0.35">
      <c r="B6" s="4" t="s">
        <v>10</v>
      </c>
      <c r="C6" s="1">
        <v>1306</v>
      </c>
      <c r="D6" s="1">
        <v>1234</v>
      </c>
      <c r="E6" s="202">
        <f t="shared" ref="E6:F8" si="0">(C6-C20)/C20</f>
        <v>4.0637450199203187E-2</v>
      </c>
      <c r="F6" s="202">
        <f t="shared" si="0"/>
        <v>1.6474464579901153E-2</v>
      </c>
      <c r="G6" s="62">
        <v>0.9</v>
      </c>
      <c r="H6" s="62">
        <f t="shared" ref="H6:H9" si="1">D6/C6</f>
        <v>0.94486983154670745</v>
      </c>
      <c r="I6" s="62">
        <f t="shared" ref="I6:I9" si="2">1-H6</f>
        <v>5.513016845329255E-2</v>
      </c>
      <c r="J6" s="62">
        <v>0.69</v>
      </c>
      <c r="K6" s="62">
        <v>1</v>
      </c>
      <c r="AB6" s="4" t="s">
        <v>11</v>
      </c>
      <c r="AC6" s="63"/>
      <c r="AD6" s="63"/>
      <c r="AE6" s="206"/>
      <c r="AF6" s="206"/>
      <c r="AG6" s="45"/>
      <c r="AH6" s="62" t="e">
        <f t="shared" ref="AH6:AH7" si="3">AD6/AC6</f>
        <v>#DIV/0!</v>
      </c>
      <c r="AI6" s="62" t="e">
        <f t="shared" ref="AI6:AI7" si="4">1-AH6</f>
        <v>#DIV/0!</v>
      </c>
      <c r="AJ6" s="46"/>
      <c r="AK6" s="62"/>
    </row>
    <row r="7" spans="2:37" x14ac:dyDescent="0.35">
      <c r="B7" s="4" t="s">
        <v>11</v>
      </c>
      <c r="C7" s="63">
        <v>1981</v>
      </c>
      <c r="D7" s="63">
        <v>1879</v>
      </c>
      <c r="E7" s="202">
        <f t="shared" si="0"/>
        <v>2.1134020618556702E-2</v>
      </c>
      <c r="F7" s="202">
        <f t="shared" si="0"/>
        <v>1.6224986479177934E-2</v>
      </c>
      <c r="G7" s="45">
        <v>0.89</v>
      </c>
      <c r="H7" s="62">
        <f t="shared" si="1"/>
        <v>0.94851085310449268</v>
      </c>
      <c r="I7" s="62">
        <f t="shared" si="2"/>
        <v>5.1489146895507321E-2</v>
      </c>
      <c r="J7" s="141">
        <v>0.6</v>
      </c>
      <c r="K7" s="62">
        <v>1</v>
      </c>
      <c r="AB7" s="4" t="s">
        <v>35</v>
      </c>
      <c r="AC7" s="61"/>
      <c r="AD7" s="61"/>
      <c r="AE7" s="206"/>
      <c r="AF7" s="206"/>
      <c r="AG7" s="45"/>
      <c r="AH7" s="62" t="e">
        <f t="shared" si="3"/>
        <v>#DIV/0!</v>
      </c>
      <c r="AI7" s="62" t="e">
        <f t="shared" si="4"/>
        <v>#DIV/0!</v>
      </c>
      <c r="AJ7" s="46"/>
      <c r="AK7" s="121" t="s">
        <v>16</v>
      </c>
    </row>
    <row r="8" spans="2:37" x14ac:dyDescent="0.35">
      <c r="B8" s="4" t="s">
        <v>35</v>
      </c>
      <c r="C8" s="61">
        <v>4584</v>
      </c>
      <c r="D8" s="61">
        <v>4234</v>
      </c>
      <c r="E8" s="201">
        <f t="shared" si="0"/>
        <v>-4.8765304004980289E-2</v>
      </c>
      <c r="F8" s="201">
        <f t="shared" si="0"/>
        <v>-6.2444641275465014E-2</v>
      </c>
      <c r="G8" s="54">
        <v>0.85</v>
      </c>
      <c r="H8" s="57">
        <f t="shared" si="1"/>
        <v>0.92364746945898779</v>
      </c>
      <c r="I8" s="57">
        <f t="shared" si="2"/>
        <v>7.6352530541012209E-2</v>
      </c>
      <c r="J8" s="141">
        <v>0.6</v>
      </c>
      <c r="K8" s="121" t="s">
        <v>16</v>
      </c>
      <c r="AB8" s="4" t="s">
        <v>13</v>
      </c>
      <c r="AC8" s="222" t="s">
        <v>16</v>
      </c>
      <c r="AD8" s="212" t="s">
        <v>16</v>
      </c>
      <c r="AE8" s="264" t="s">
        <v>16</v>
      </c>
      <c r="AF8" s="264" t="s">
        <v>16</v>
      </c>
      <c r="AG8" s="207" t="s">
        <v>16</v>
      </c>
      <c r="AH8" s="207" t="s">
        <v>16</v>
      </c>
      <c r="AI8" s="207" t="s">
        <v>16</v>
      </c>
      <c r="AJ8" s="207" t="s">
        <v>16</v>
      </c>
      <c r="AK8" s="207" t="s">
        <v>16</v>
      </c>
    </row>
    <row r="9" spans="2:37" x14ac:dyDescent="0.35">
      <c r="B9" s="4" t="s">
        <v>13</v>
      </c>
      <c r="C9" s="127">
        <v>1959</v>
      </c>
      <c r="D9" s="60">
        <v>1858</v>
      </c>
      <c r="E9" s="202">
        <f>(C9-C23)/C23</f>
        <v>4.7033671833244257E-2</v>
      </c>
      <c r="F9" s="202">
        <f>(D9-D23)/D23</f>
        <v>5.8689458689458691E-2</v>
      </c>
      <c r="G9" s="58">
        <v>0.88</v>
      </c>
      <c r="H9" s="62">
        <f t="shared" si="1"/>
        <v>0.94844308320571724</v>
      </c>
      <c r="I9" s="62">
        <f t="shared" si="2"/>
        <v>5.1556916794282759E-2</v>
      </c>
      <c r="J9" s="59">
        <v>0.5</v>
      </c>
      <c r="K9" s="58">
        <v>0.95</v>
      </c>
      <c r="AB9" s="4" t="s">
        <v>14</v>
      </c>
      <c r="AC9" s="10"/>
      <c r="AD9" s="11"/>
      <c r="AE9" s="11"/>
      <c r="AF9" s="11"/>
      <c r="AG9" s="11"/>
      <c r="AH9" s="11"/>
      <c r="AI9" s="11"/>
      <c r="AJ9" s="11"/>
      <c r="AK9" s="11"/>
    </row>
    <row r="10" spans="2:37" x14ac:dyDescent="0.35">
      <c r="B10" s="4" t="s">
        <v>14</v>
      </c>
      <c r="C10" s="10"/>
      <c r="D10" s="11"/>
      <c r="E10" s="11"/>
      <c r="F10" s="11"/>
      <c r="G10" s="11"/>
      <c r="H10" s="11"/>
      <c r="I10" s="11"/>
      <c r="J10" s="11"/>
      <c r="K10" s="11"/>
      <c r="AB10" s="73" t="s">
        <v>0</v>
      </c>
      <c r="AC10" s="74">
        <f>SUM(AC4:AC8)</f>
        <v>0</v>
      </c>
      <c r="AD10" s="74">
        <f>SUM(AD4:AD8)</f>
        <v>0</v>
      </c>
      <c r="AE10" s="208" t="s">
        <v>16</v>
      </c>
      <c r="AF10" s="208" t="s">
        <v>16</v>
      </c>
      <c r="AG10" s="130" t="e">
        <f>AVERAGEIF(AG4:AG8, "&lt;&gt;0")</f>
        <v>#DIV/0!</v>
      </c>
      <c r="AH10" s="168" t="e">
        <f>AVERAGEIF(AH4:AH8, "&lt;&gt;0")</f>
        <v>#DIV/0!</v>
      </c>
      <c r="AI10" s="168" t="e">
        <f>AVERAGEIF(AI4:AI8, "&lt;&gt;0")</f>
        <v>#DIV/0!</v>
      </c>
      <c r="AJ10" s="130" t="e">
        <f>AVERAGEIF(AJ4:AJ8, "&lt;&gt;0")</f>
        <v>#DIV/0!</v>
      </c>
      <c r="AK10" s="172" t="e">
        <f>AVERAGEIF(AK4:AK8,"&lt;&gt;0")</f>
        <v>#DIV/0!</v>
      </c>
    </row>
    <row r="11" spans="2:37" x14ac:dyDescent="0.35">
      <c r="B11" s="73" t="s">
        <v>0</v>
      </c>
      <c r="C11" s="74">
        <f>SUM(C5:C9)</f>
        <v>13313</v>
      </c>
      <c r="D11" s="74">
        <f>SUM(D5:D9)</f>
        <v>12280</v>
      </c>
      <c r="E11" s="204">
        <f>AVERAGE(E5:E9)</f>
        <v>-6.3018914257248083E-3</v>
      </c>
      <c r="F11" s="204">
        <f>AVERAGE(F5:F9)</f>
        <v>-1.8597211411039361E-2</v>
      </c>
      <c r="G11" s="130">
        <f>AVERAGE(G5:G9)</f>
        <v>0.84199999999999997</v>
      </c>
      <c r="H11" s="168">
        <f t="shared" ref="H11:J11" si="5">AVERAGE(H5:H9)</f>
        <v>0.92966616822114823</v>
      </c>
      <c r="I11" s="168">
        <f t="shared" si="5"/>
        <v>7.0333831778851705E-2</v>
      </c>
      <c r="J11" s="130">
        <f t="shared" si="5"/>
        <v>0.58799999999999997</v>
      </c>
      <c r="K11" s="172">
        <f>AVERAGEIF(K5:K9,"&lt;&gt;0")</f>
        <v>0.9375</v>
      </c>
    </row>
    <row r="16" spans="2:37" x14ac:dyDescent="0.35">
      <c r="B16" s="269" t="s">
        <v>99</v>
      </c>
      <c r="C16" s="270"/>
      <c r="D16" s="270"/>
      <c r="E16" s="270"/>
      <c r="F16" s="270"/>
      <c r="G16" s="270"/>
      <c r="H16" s="270"/>
      <c r="I16" s="270"/>
      <c r="J16" s="270"/>
      <c r="K16" s="271"/>
    </row>
    <row r="17" spans="2:11" ht="29" x14ac:dyDescent="0.35">
      <c r="B17" s="13" t="s">
        <v>1</v>
      </c>
      <c r="C17" s="14" t="s">
        <v>2</v>
      </c>
      <c r="D17" s="14" t="s">
        <v>15</v>
      </c>
      <c r="E17" s="132" t="s">
        <v>93</v>
      </c>
      <c r="F17" s="132" t="s">
        <v>94</v>
      </c>
      <c r="G17" s="14" t="s">
        <v>3</v>
      </c>
      <c r="H17" s="14" t="s">
        <v>4</v>
      </c>
      <c r="I17" s="14" t="s">
        <v>5</v>
      </c>
      <c r="J17" s="14" t="s">
        <v>6</v>
      </c>
      <c r="K17" s="8" t="s">
        <v>7</v>
      </c>
    </row>
    <row r="18" spans="2:11" x14ac:dyDescent="0.35">
      <c r="B18" s="4" t="s">
        <v>8</v>
      </c>
      <c r="C18" s="1"/>
      <c r="D18" s="1"/>
      <c r="E18" s="66"/>
      <c r="F18" s="66"/>
      <c r="G18" s="2">
        <v>0.85</v>
      </c>
      <c r="H18" s="2">
        <v>0.94</v>
      </c>
      <c r="I18" s="2">
        <v>0.06</v>
      </c>
      <c r="J18" s="2">
        <v>0.65</v>
      </c>
      <c r="K18" s="12">
        <v>0.95</v>
      </c>
    </row>
    <row r="19" spans="2:11" x14ac:dyDescent="0.35">
      <c r="B19" s="4" t="s">
        <v>72</v>
      </c>
      <c r="C19" s="1">
        <v>3834</v>
      </c>
      <c r="D19" s="1">
        <v>3502</v>
      </c>
      <c r="E19" s="202" t="s">
        <v>16</v>
      </c>
      <c r="F19" s="202" t="s">
        <v>16</v>
      </c>
      <c r="G19" s="57">
        <v>0.72</v>
      </c>
      <c r="H19" s="57">
        <f>D19/C19</f>
        <v>0.91340636411058951</v>
      </c>
      <c r="I19" s="57">
        <f>1-H19</f>
        <v>8.6593635889410492E-2</v>
      </c>
      <c r="J19" s="57">
        <v>0.57999999999999996</v>
      </c>
      <c r="K19" s="57">
        <v>0.82</v>
      </c>
    </row>
    <row r="20" spans="2:11" x14ac:dyDescent="0.35">
      <c r="B20" s="4" t="s">
        <v>10</v>
      </c>
      <c r="C20" s="1">
        <v>1255</v>
      </c>
      <c r="D20" s="1">
        <v>1214</v>
      </c>
      <c r="E20" s="202" t="s">
        <v>16</v>
      </c>
      <c r="F20" s="202" t="s">
        <v>16</v>
      </c>
      <c r="G20" s="62">
        <v>0.91</v>
      </c>
      <c r="H20" s="62">
        <f t="shared" ref="H20:H23" si="6">D20/C20</f>
        <v>0.96733067729083666</v>
      </c>
      <c r="I20" s="62">
        <f t="shared" ref="I20:I23" si="7">1-H20</f>
        <v>3.266932270916334E-2</v>
      </c>
      <c r="J20" s="62">
        <v>0.76</v>
      </c>
      <c r="K20" s="62">
        <v>1</v>
      </c>
    </row>
    <row r="21" spans="2:11" x14ac:dyDescent="0.35">
      <c r="B21" s="4" t="s">
        <v>11</v>
      </c>
      <c r="C21" s="63">
        <v>1940</v>
      </c>
      <c r="D21" s="63">
        <v>1849</v>
      </c>
      <c r="E21" s="202" t="s">
        <v>16</v>
      </c>
      <c r="F21" s="202" t="s">
        <v>16</v>
      </c>
      <c r="G21" s="45">
        <v>0.9</v>
      </c>
      <c r="H21" s="62">
        <f t="shared" si="6"/>
        <v>0.95309278350515458</v>
      </c>
      <c r="I21" s="62">
        <f t="shared" si="7"/>
        <v>4.6907216494845416E-2</v>
      </c>
      <c r="J21" s="141">
        <v>0.53</v>
      </c>
      <c r="K21" s="62">
        <v>1</v>
      </c>
    </row>
    <row r="22" spans="2:11" x14ac:dyDescent="0.35">
      <c r="B22" s="4" t="s">
        <v>35</v>
      </c>
      <c r="C22" s="61">
        <v>4819</v>
      </c>
      <c r="D22" s="61">
        <v>4516</v>
      </c>
      <c r="E22" s="202" t="s">
        <v>16</v>
      </c>
      <c r="F22" s="202" t="s">
        <v>16</v>
      </c>
      <c r="G22" s="54">
        <v>0.81</v>
      </c>
      <c r="H22" s="62">
        <f t="shared" si="6"/>
        <v>0.93712388462336582</v>
      </c>
      <c r="I22" s="62">
        <f t="shared" si="7"/>
        <v>6.2876115376634178E-2</v>
      </c>
      <c r="J22" s="141">
        <v>0.64</v>
      </c>
      <c r="K22" s="121" t="s">
        <v>16</v>
      </c>
    </row>
    <row r="23" spans="2:11" x14ac:dyDescent="0.35">
      <c r="B23" s="4" t="s">
        <v>13</v>
      </c>
      <c r="C23" s="127">
        <v>1871</v>
      </c>
      <c r="D23" s="60">
        <v>1755</v>
      </c>
      <c r="E23" s="202" t="s">
        <v>16</v>
      </c>
      <c r="F23" s="202" t="s">
        <v>16</v>
      </c>
      <c r="G23" s="58">
        <v>0.86</v>
      </c>
      <c r="H23" s="62">
        <f t="shared" si="6"/>
        <v>0.93800106894708712</v>
      </c>
      <c r="I23" s="62">
        <f t="shared" si="7"/>
        <v>6.1998931052912876E-2</v>
      </c>
      <c r="J23" s="59">
        <v>0.49</v>
      </c>
      <c r="K23" s="58">
        <v>0.96</v>
      </c>
    </row>
    <row r="24" spans="2:11" x14ac:dyDescent="0.35">
      <c r="B24" s="4" t="s">
        <v>14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2:11" x14ac:dyDescent="0.35">
      <c r="B25" s="73" t="s">
        <v>0</v>
      </c>
      <c r="C25" s="74">
        <f>SUM(C19:C23)</f>
        <v>13719</v>
      </c>
      <c r="D25" s="74">
        <f>SUM(D19:D23)</f>
        <v>12836</v>
      </c>
      <c r="E25" s="203" t="s">
        <v>16</v>
      </c>
      <c r="F25" s="203" t="s">
        <v>16</v>
      </c>
      <c r="G25" s="130">
        <f>AVERAGE(G19:G23)</f>
        <v>0.84000000000000008</v>
      </c>
      <c r="H25" s="168">
        <f t="shared" ref="H25:J25" si="8">AVERAGE(H19:H23)</f>
        <v>0.94179095569540683</v>
      </c>
      <c r="I25" s="168">
        <f t="shared" si="8"/>
        <v>5.8209044304593262E-2</v>
      </c>
      <c r="J25" s="130">
        <f t="shared" si="8"/>
        <v>0.6</v>
      </c>
      <c r="K25" s="172">
        <f>AVERAGEIF(K19:K23,"&lt;&gt;0")</f>
        <v>0.94499999999999995</v>
      </c>
    </row>
  </sheetData>
  <mergeCells count="3">
    <mergeCell ref="B2:K2"/>
    <mergeCell ref="B16:K16"/>
    <mergeCell ref="AB1:AK1"/>
  </mergeCells>
  <phoneticPr fontId="8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A2:V83"/>
  <sheetViews>
    <sheetView topLeftCell="H61" zoomScale="115" zoomScaleNormal="115" workbookViewId="0">
      <selection activeCell="M77" sqref="M77:N80"/>
    </sheetView>
  </sheetViews>
  <sheetFormatPr defaultRowHeight="14.5" x14ac:dyDescent="0.35"/>
  <cols>
    <col min="2" max="2" width="12.6328125" customWidth="1"/>
    <col min="3" max="3" width="16" bestFit="1" customWidth="1"/>
    <col min="4" max="4" width="14.36328125" bestFit="1" customWidth="1"/>
    <col min="5" max="9" width="12.6328125" customWidth="1"/>
    <col min="12" max="14" width="14.36328125" customWidth="1"/>
    <col min="15" max="15" width="37.08984375" bestFit="1" customWidth="1"/>
    <col min="16" max="17" width="39" bestFit="1" customWidth="1"/>
    <col min="18" max="21" width="14.36328125" customWidth="1"/>
  </cols>
  <sheetData>
    <row r="2" spans="1:21" x14ac:dyDescent="0.35">
      <c r="B2" s="272" t="s">
        <v>75</v>
      </c>
      <c r="C2" s="272"/>
      <c r="D2" s="272"/>
      <c r="E2" s="272"/>
      <c r="F2" s="272"/>
      <c r="G2" s="272"/>
      <c r="H2" s="272"/>
      <c r="I2" s="272"/>
      <c r="L2" s="272" t="s">
        <v>81</v>
      </c>
      <c r="M2" s="272"/>
      <c r="N2" s="272"/>
      <c r="O2" s="272"/>
      <c r="P2" s="272"/>
      <c r="Q2" s="272"/>
      <c r="R2" s="272"/>
      <c r="S2" s="272"/>
      <c r="T2" s="272"/>
      <c r="U2" s="272"/>
    </row>
    <row r="3" spans="1:21" x14ac:dyDescent="0.35">
      <c r="B3" s="13" t="s">
        <v>1</v>
      </c>
      <c r="C3" s="14" t="s">
        <v>2</v>
      </c>
      <c r="D3" s="14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8" t="s">
        <v>7</v>
      </c>
      <c r="L3" s="13" t="s">
        <v>1</v>
      </c>
      <c r="M3" s="14" t="s">
        <v>2</v>
      </c>
      <c r="N3" s="14" t="s">
        <v>15</v>
      </c>
      <c r="O3" s="14" t="s">
        <v>78</v>
      </c>
      <c r="P3" s="14" t="s">
        <v>79</v>
      </c>
      <c r="Q3" s="14" t="s">
        <v>3</v>
      </c>
      <c r="R3" s="14" t="s">
        <v>4</v>
      </c>
      <c r="S3" s="14" t="s">
        <v>5</v>
      </c>
      <c r="T3" s="14" t="s">
        <v>6</v>
      </c>
      <c r="U3" s="8" t="s">
        <v>7</v>
      </c>
    </row>
    <row r="4" spans="1:21" x14ac:dyDescent="0.35">
      <c r="B4" s="4" t="s">
        <v>8</v>
      </c>
      <c r="C4" s="1"/>
      <c r="D4" s="1"/>
      <c r="E4" s="2">
        <v>0.86</v>
      </c>
      <c r="F4" s="2">
        <v>0.94</v>
      </c>
      <c r="G4" s="2">
        <v>0.06</v>
      </c>
      <c r="H4" s="2">
        <v>0.65</v>
      </c>
      <c r="I4" s="12">
        <v>0.95</v>
      </c>
      <c r="L4" s="4" t="s">
        <v>8</v>
      </c>
      <c r="M4" s="1"/>
      <c r="N4" s="1"/>
      <c r="O4" s="1"/>
      <c r="P4" s="1"/>
      <c r="Q4" s="2">
        <v>0.86</v>
      </c>
      <c r="R4" s="2">
        <v>0.94</v>
      </c>
      <c r="S4" s="2">
        <v>0.06</v>
      </c>
      <c r="T4" s="2">
        <v>0.65</v>
      </c>
      <c r="U4" s="12">
        <v>0.95</v>
      </c>
    </row>
    <row r="5" spans="1:21" x14ac:dyDescent="0.35">
      <c r="B5" s="4" t="s">
        <v>9</v>
      </c>
      <c r="C5" s="61">
        <v>23677</v>
      </c>
      <c r="D5" s="61">
        <v>13337</v>
      </c>
      <c r="E5" s="57">
        <v>0.34699999999999998</v>
      </c>
      <c r="F5" s="57">
        <f>Table11617[[#This Row],[Calls Handled]]/Table11617[[#This Row],[Calls Presented]]</f>
        <v>0.56328926806605562</v>
      </c>
      <c r="G5" s="57">
        <f>1-Table11617[[#This Row],[ANS]]</f>
        <v>0.43671073193394438</v>
      </c>
      <c r="H5" s="62">
        <v>0.71099999999999997</v>
      </c>
      <c r="I5" s="57">
        <v>0.8</v>
      </c>
      <c r="L5" s="4" t="s">
        <v>9</v>
      </c>
      <c r="M5" s="61">
        <v>29848</v>
      </c>
      <c r="N5" s="61">
        <v>19894</v>
      </c>
      <c r="O5" s="142">
        <f>(Table1161720[[#This Row],[Calls Presented]]-B17)/B17</f>
        <v>6.2395444029186689E-2</v>
      </c>
      <c r="P5" s="142">
        <f>(Table1161720[[#This Row],[Calls Handled]]-C17)/C17</f>
        <v>0.11726384364820847</v>
      </c>
      <c r="Q5" s="57">
        <v>0.31</v>
      </c>
      <c r="R5" s="57">
        <f>Table1161720[[#This Row],[Calls Handled]]/Table1161720[[#This Row],[Calls Presented]]</f>
        <v>0.66651031894934332</v>
      </c>
      <c r="S5" s="57">
        <f>1-Table1161720[[#This Row],[ANS]]</f>
        <v>0.33348968105065668</v>
      </c>
      <c r="T5" s="62">
        <v>0.74</v>
      </c>
      <c r="U5" s="57">
        <v>0.80359999999999998</v>
      </c>
    </row>
    <row r="6" spans="1:21" x14ac:dyDescent="0.35">
      <c r="B6" s="4" t="s">
        <v>10</v>
      </c>
      <c r="C6">
        <v>10358</v>
      </c>
      <c r="D6" s="1">
        <v>9767</v>
      </c>
      <c r="E6" s="45">
        <v>0.83199999999999996</v>
      </c>
      <c r="F6" s="62">
        <f>Table11617[[#This Row],[Calls Handled]]/Table11617[[#This Row],[Calls Presented]]</f>
        <v>0.9429426530218189</v>
      </c>
      <c r="G6" s="62">
        <f>1-Table11617[[#This Row],[ANS]]</f>
        <v>5.70573469781811E-2</v>
      </c>
      <c r="H6" s="46">
        <v>0.77</v>
      </c>
      <c r="I6" s="45">
        <v>1</v>
      </c>
      <c r="L6" s="4" t="s">
        <v>10</v>
      </c>
      <c r="M6">
        <v>18585</v>
      </c>
      <c r="N6" s="1">
        <v>13968</v>
      </c>
      <c r="O6" s="142">
        <f>(Table1161720[[#This Row],[Calls Presented]]-B18)/B18</f>
        <v>5.6986862310185973E-2</v>
      </c>
      <c r="P6" s="142">
        <f>(Table1161720[[#This Row],[Calls Handled]]-C18)/C18</f>
        <v>-1.7790591378946629E-2</v>
      </c>
      <c r="Q6" s="45">
        <v>0.47</v>
      </c>
      <c r="R6" s="62">
        <f>Table1161720[[#This Row],[Calls Handled]]/Table1161720[[#This Row],[Calls Presented]]</f>
        <v>0.75157384987893461</v>
      </c>
      <c r="S6" s="62">
        <f>1-Table1161720[[#This Row],[ANS]]</f>
        <v>0.24842615012106539</v>
      </c>
      <c r="T6" s="46">
        <v>1.08</v>
      </c>
      <c r="U6" s="45">
        <v>1</v>
      </c>
    </row>
    <row r="7" spans="1:21" x14ac:dyDescent="0.35">
      <c r="B7" s="4" t="s">
        <v>11</v>
      </c>
      <c r="C7" s="63">
        <v>11930</v>
      </c>
      <c r="D7" s="63">
        <v>11117</v>
      </c>
      <c r="E7" s="54">
        <v>0.83399999999999996</v>
      </c>
      <c r="F7" s="57">
        <f>Table11617[[#This Row],[Calls Handled]]/Table11617[[#This Row],[Calls Presented]]</f>
        <v>0.93185247275775351</v>
      </c>
      <c r="G7" s="57">
        <f>1-Table11617[[#This Row],[ANS]]</f>
        <v>6.8147527242246486E-2</v>
      </c>
      <c r="H7" s="46">
        <v>0.69</v>
      </c>
      <c r="I7" s="45">
        <v>1</v>
      </c>
      <c r="L7" s="4" t="s">
        <v>11</v>
      </c>
      <c r="M7" s="63">
        <v>14741</v>
      </c>
      <c r="N7" s="63">
        <v>13886</v>
      </c>
      <c r="O7" s="146">
        <f>(Table1161720[[#This Row],[Calls Presented]]-B19)/B19</f>
        <v>-8.2529408103566321E-2</v>
      </c>
      <c r="P7" s="146">
        <f>(Table1161720[[#This Row],[Calls Handled]]-C19)/C19</f>
        <v>-9.1111402015970677E-2</v>
      </c>
      <c r="Q7" s="45">
        <v>0.86</v>
      </c>
      <c r="R7" s="62">
        <f>Table1161720[[#This Row],[Calls Handled]]/Table1161720[[#This Row],[Calls Presented]]</f>
        <v>0.94199850756393733</v>
      </c>
      <c r="S7" s="62">
        <f>1-Table1161720[[#This Row],[ANS]]</f>
        <v>5.8001492436062674E-2</v>
      </c>
      <c r="T7" s="141">
        <v>0.59</v>
      </c>
      <c r="U7" s="45">
        <v>1</v>
      </c>
    </row>
    <row r="8" spans="1:21" x14ac:dyDescent="0.35">
      <c r="B8" s="4" t="s">
        <v>12</v>
      </c>
      <c r="C8" s="61">
        <v>28778</v>
      </c>
      <c r="D8" s="61">
        <v>16101</v>
      </c>
      <c r="E8" s="54">
        <v>0.16500000000000001</v>
      </c>
      <c r="F8" s="57">
        <f>Table11617[[#This Row],[Calls Handled]]/Table11617[[#This Row],[Calls Presented]]</f>
        <v>0.55948988810897216</v>
      </c>
      <c r="G8" s="57">
        <f>1-Table11617[[#This Row],[ANS]]</f>
        <v>0.44051011189102784</v>
      </c>
      <c r="H8" s="45">
        <v>1.1000000000000001</v>
      </c>
      <c r="I8" s="121" t="s">
        <v>16</v>
      </c>
      <c r="L8" s="4" t="s">
        <v>12</v>
      </c>
      <c r="M8" s="61">
        <v>29466</v>
      </c>
      <c r="N8" s="61">
        <v>21394</v>
      </c>
      <c r="O8" s="142">
        <f>(Table1161720[[#This Row],[Calls Presented]]-B20)/B20</f>
        <v>4.8686739269698909E-2</v>
      </c>
      <c r="P8" s="142">
        <f>(Table1161720[[#This Row],[Calls Handled]]-C20)/C20</f>
        <v>2.5402607361963189E-2</v>
      </c>
      <c r="Q8" s="54">
        <v>0.35</v>
      </c>
      <c r="R8" s="57">
        <f>Table1161720[[#This Row],[Calls Handled]]/Table1161720[[#This Row],[Calls Presented]]</f>
        <v>0.72605715061426734</v>
      </c>
      <c r="S8" s="57">
        <f>1-Table1161720[[#This Row],[ANS]]</f>
        <v>0.27394284938573266</v>
      </c>
      <c r="T8" s="54">
        <v>0.63</v>
      </c>
      <c r="U8" s="121" t="s">
        <v>16</v>
      </c>
    </row>
    <row r="9" spans="1:21" x14ac:dyDescent="0.35">
      <c r="B9" s="4" t="s">
        <v>13</v>
      </c>
      <c r="C9" s="60">
        <v>15377</v>
      </c>
      <c r="D9" s="60">
        <v>11138</v>
      </c>
      <c r="E9" s="59">
        <v>0.42199999999999999</v>
      </c>
      <c r="F9" s="57">
        <f>Table11617[[#This Row],[Calls Handled]]/Table11617[[#This Row],[Calls Presented]]</f>
        <v>0.72432854262860114</v>
      </c>
      <c r="G9" s="57">
        <f>1-Table11617[[#This Row],[ANS]]</f>
        <v>0.27567145737139886</v>
      </c>
      <c r="H9" s="58">
        <v>0.6</v>
      </c>
      <c r="I9" s="58">
        <v>0.96</v>
      </c>
      <c r="L9" s="4" t="s">
        <v>13</v>
      </c>
      <c r="M9" s="60">
        <v>21922</v>
      </c>
      <c r="N9" s="60">
        <v>16115</v>
      </c>
      <c r="O9" s="142">
        <f>(Table1161720[[#This Row],[Calls Presented]]-B21)/B21</f>
        <v>0.3048032855187191</v>
      </c>
      <c r="P9" s="142">
        <f>(Table1161720[[#This Row],[Calls Handled]]-C21)/C21</f>
        <v>0.14893768715243119</v>
      </c>
      <c r="Q9" s="59">
        <v>0.47</v>
      </c>
      <c r="R9" s="57">
        <f>Table1161720[[#This Row],[Calls Handled]]/Table1161720[[#This Row],[Calls Presented]]</f>
        <v>0.73510628592281724</v>
      </c>
      <c r="S9" s="57">
        <f>1-Table1161720[[#This Row],[ANS]]</f>
        <v>0.26489371407718276</v>
      </c>
      <c r="T9" s="59">
        <v>0.55000000000000004</v>
      </c>
      <c r="U9" s="58">
        <v>0.96</v>
      </c>
    </row>
    <row r="10" spans="1:21" x14ac:dyDescent="0.35">
      <c r="B10" s="4" t="s">
        <v>14</v>
      </c>
      <c r="C10" s="10"/>
      <c r="D10" s="11"/>
      <c r="E10" s="11"/>
      <c r="F10" s="11"/>
      <c r="G10" s="11"/>
      <c r="H10" s="11"/>
      <c r="I10" s="11"/>
      <c r="L10" s="4" t="s">
        <v>14</v>
      </c>
      <c r="M10" s="10"/>
      <c r="N10" s="11"/>
      <c r="O10" s="11"/>
      <c r="P10" s="11"/>
      <c r="Q10" s="11"/>
      <c r="R10" s="11"/>
      <c r="S10" s="11"/>
      <c r="T10" s="11"/>
      <c r="U10" s="11"/>
    </row>
    <row r="11" spans="1:21" x14ac:dyDescent="0.35">
      <c r="B11" s="73" t="s">
        <v>0</v>
      </c>
      <c r="C11" s="74">
        <f>SUM(C5:C9)</f>
        <v>90120</v>
      </c>
      <c r="D11" s="74">
        <f>SUM(D5:D9)</f>
        <v>61460</v>
      </c>
      <c r="E11" s="75">
        <f>AVERAGE(E5:E9)</f>
        <v>0.52</v>
      </c>
      <c r="F11" s="75">
        <f>Table11617[[#This Row],[Calls Handled]]/Table11617[[#This Row],[Calls Presented]]</f>
        <v>0.68197958277851756</v>
      </c>
      <c r="G11" s="75">
        <f>1-Table11617[[#This Row],[ANS]]</f>
        <v>0.31802041722148244</v>
      </c>
      <c r="H11" s="75">
        <f>AVERAGE(H5:H9)</f>
        <v>0.7742</v>
      </c>
      <c r="I11" s="76">
        <f>AVERAGEIF(I5:I9,"&gt;0")</f>
        <v>0.94</v>
      </c>
      <c r="L11" s="73" t="s">
        <v>0</v>
      </c>
      <c r="M11" s="74">
        <f>SUM(M5:M9)</f>
        <v>114562</v>
      </c>
      <c r="N11" s="74">
        <f>SUM(N5:N9)</f>
        <v>85257</v>
      </c>
      <c r="O11" s="147">
        <f>(Table1161720[[#This Row],[Calls Presented]]-B23)/B23</f>
        <v>7.4247027493342332E-2</v>
      </c>
      <c r="P11" s="147">
        <f>(Table1161720[[#This Row],[Calls Handled]]-C23)/C23</f>
        <v>3.7252874262424719E-2</v>
      </c>
      <c r="Q11" s="75">
        <f>AVERAGEIF(Q5:Q9, "&lt;&gt;0")</f>
        <v>0.49199999999999999</v>
      </c>
      <c r="R11" s="75">
        <f>Table1161720[[#This Row],[Calls Handled]]/Table1161720[[#This Row],[Calls Presented]]</f>
        <v>0.74419964735252531</v>
      </c>
      <c r="S11" s="75">
        <f>1-Table1161720[[#This Row],[ANS]]</f>
        <v>0.25580035264747469</v>
      </c>
      <c r="T11" s="75">
        <f t="shared" ref="T11:U11" si="0">AVERAGEIF(T5:T9, "&lt;&gt;0")</f>
        <v>0.71799999999999997</v>
      </c>
      <c r="U11" s="76">
        <f t="shared" si="0"/>
        <v>0.94089999999999996</v>
      </c>
    </row>
    <row r="14" spans="1:21" x14ac:dyDescent="0.35">
      <c r="A14" s="272" t="s">
        <v>77</v>
      </c>
      <c r="B14" s="272"/>
      <c r="C14" s="272"/>
      <c r="D14" s="272"/>
      <c r="E14" s="272"/>
      <c r="F14" s="272"/>
      <c r="G14" s="272"/>
      <c r="H14" s="272"/>
      <c r="I14" s="272"/>
      <c r="J14" s="272"/>
      <c r="L14" s="272" t="s">
        <v>84</v>
      </c>
      <c r="M14" s="272"/>
      <c r="N14" s="272"/>
      <c r="O14" s="272"/>
      <c r="P14" s="272"/>
      <c r="Q14" s="272"/>
      <c r="R14" s="272"/>
      <c r="S14" s="272"/>
      <c r="T14" s="272"/>
      <c r="U14" s="272"/>
    </row>
    <row r="15" spans="1:21" x14ac:dyDescent="0.35">
      <c r="A15" s="13" t="s">
        <v>1</v>
      </c>
      <c r="B15" s="14" t="s">
        <v>2</v>
      </c>
      <c r="C15" s="14" t="s">
        <v>15</v>
      </c>
      <c r="D15" s="14" t="s">
        <v>78</v>
      </c>
      <c r="E15" s="14" t="s">
        <v>79</v>
      </c>
      <c r="F15" s="14" t="s">
        <v>3</v>
      </c>
      <c r="G15" s="14" t="s">
        <v>4</v>
      </c>
      <c r="H15" s="14" t="s">
        <v>5</v>
      </c>
      <c r="I15" s="14" t="s">
        <v>6</v>
      </c>
      <c r="J15" s="8" t="s">
        <v>7</v>
      </c>
      <c r="L15" s="13" t="s">
        <v>1</v>
      </c>
      <c r="M15" s="14" t="s">
        <v>2</v>
      </c>
      <c r="N15" s="14" t="s">
        <v>15</v>
      </c>
      <c r="O15" s="14" t="s">
        <v>78</v>
      </c>
      <c r="P15" s="14" t="s">
        <v>79</v>
      </c>
      <c r="Q15" s="14" t="s">
        <v>3</v>
      </c>
      <c r="R15" s="14" t="s">
        <v>4</v>
      </c>
      <c r="S15" s="14" t="s">
        <v>5</v>
      </c>
      <c r="T15" s="14" t="s">
        <v>6</v>
      </c>
      <c r="U15" s="8" t="s">
        <v>7</v>
      </c>
    </row>
    <row r="16" spans="1:21" x14ac:dyDescent="0.35">
      <c r="A16" s="4" t="s">
        <v>8</v>
      </c>
      <c r="B16" s="1"/>
      <c r="C16" s="1"/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L16" s="4" t="s">
        <v>8</v>
      </c>
      <c r="M16" s="1"/>
      <c r="N16" s="1"/>
      <c r="O16" s="1"/>
      <c r="P16" s="1"/>
      <c r="Q16" s="2">
        <v>0.86</v>
      </c>
      <c r="R16" s="2">
        <v>0.94</v>
      </c>
      <c r="S16" s="2">
        <v>0.06</v>
      </c>
      <c r="T16" s="2">
        <v>0.65</v>
      </c>
      <c r="U16" s="12">
        <v>0.95</v>
      </c>
    </row>
    <row r="17" spans="1:21" x14ac:dyDescent="0.35">
      <c r="A17" s="4" t="s">
        <v>9</v>
      </c>
      <c r="B17" s="61">
        <v>28095</v>
      </c>
      <c r="C17" s="61">
        <v>17806</v>
      </c>
      <c r="D17" s="142">
        <v>0.18659458546268531</v>
      </c>
      <c r="E17" s="142">
        <v>0.33508285221564071</v>
      </c>
      <c r="F17" s="57">
        <v>0.30038461538461542</v>
      </c>
      <c r="G17" s="57">
        <f>Table116172016[[#This Row],[Calls Handled]]/Table116172016[[#This Row],[Calls Presented]]</f>
        <v>0.63377825235807084</v>
      </c>
      <c r="H17" s="57">
        <f>1-Table116172016[[#This Row],[ANS]]</f>
        <v>0.36622174764192916</v>
      </c>
      <c r="I17" s="57">
        <v>0.73653846153846159</v>
      </c>
      <c r="J17" s="57">
        <v>0.8</v>
      </c>
      <c r="L17" s="4" t="s">
        <v>9</v>
      </c>
      <c r="M17" s="61">
        <v>18123</v>
      </c>
      <c r="N17" s="61">
        <v>16500</v>
      </c>
      <c r="O17" s="142">
        <v>-0.39282363977485929</v>
      </c>
      <c r="P17" s="142">
        <v>-0.17060420227204182</v>
      </c>
      <c r="Q17" s="57">
        <v>0.76</v>
      </c>
      <c r="R17" s="57">
        <f>Table116172019[[#This Row],[Calls Handled]]/Table116172019[[#This Row],[Calls Presented]]</f>
        <v>0.91044529051481538</v>
      </c>
      <c r="S17" s="57">
        <f>1-Table116172019[[#This Row],[ANS]]</f>
        <v>8.9554709485184625E-2</v>
      </c>
      <c r="T17" s="62">
        <v>0.53</v>
      </c>
      <c r="U17" s="57">
        <v>0.79</v>
      </c>
    </row>
    <row r="18" spans="1:21" x14ac:dyDescent="0.35">
      <c r="A18" s="4" t="s">
        <v>10</v>
      </c>
      <c r="B18" s="1">
        <v>17583</v>
      </c>
      <c r="C18" s="1">
        <v>14221</v>
      </c>
      <c r="D18" s="84">
        <f>(Table116172016[[#This Row],[Calls Presented]]-C6)/C6</f>
        <v>0.69752848040162196</v>
      </c>
      <c r="E18" s="84">
        <f>(Table116172016[[#This Row],[Calls Handled]]-D6)/D6</f>
        <v>0.45602539162485922</v>
      </c>
      <c r="F18" s="45">
        <v>0.83</v>
      </c>
      <c r="G18" s="57">
        <f>Table116172016[[#This Row],[Calls Handled]]/Table116172016[[#This Row],[Calls Presented]]</f>
        <v>0.80879258374566343</v>
      </c>
      <c r="H18" s="62">
        <f>1-Table116172016[[#This Row],[ANS]]</f>
        <v>0.19120741625433657</v>
      </c>
      <c r="I18" s="46">
        <v>0.65</v>
      </c>
      <c r="J18" s="45"/>
      <c r="L18" s="4" t="s">
        <v>10</v>
      </c>
      <c r="M18">
        <v>7663</v>
      </c>
      <c r="N18" s="1">
        <v>7042</v>
      </c>
      <c r="O18" s="142">
        <v>-0.58767823513586226</v>
      </c>
      <c r="P18" s="142">
        <v>-0.49584765177548684</v>
      </c>
      <c r="Q18" s="54">
        <v>0.81</v>
      </c>
      <c r="R18" s="57">
        <f>Table116172019[[#This Row],[Calls Handled]]/Table116172019[[#This Row],[Calls Presented]]</f>
        <v>0.9189612423332898</v>
      </c>
      <c r="S18" s="57">
        <f>1-Table116172019[[#This Row],[ANS]]</f>
        <v>8.1038757666710204E-2</v>
      </c>
      <c r="T18" s="46">
        <v>0.73</v>
      </c>
      <c r="U18" s="45">
        <v>1</v>
      </c>
    </row>
    <row r="19" spans="1:21" x14ac:dyDescent="0.35">
      <c r="A19" s="4" t="s">
        <v>11</v>
      </c>
      <c r="B19" s="63">
        <v>16067</v>
      </c>
      <c r="C19" s="63">
        <v>15278</v>
      </c>
      <c r="D19" s="142">
        <v>0.34677284157585919</v>
      </c>
      <c r="E19" s="142">
        <v>0.37429162543851757</v>
      </c>
      <c r="F19" s="45">
        <v>0.87655172413793125</v>
      </c>
      <c r="G19" s="62">
        <f>Table116172016[[#This Row],[Calls Handled]]/Table116172016[[#This Row],[Calls Presented]]</f>
        <v>0.95089313499719919</v>
      </c>
      <c r="H19" s="62">
        <f>1-Table116172016[[#This Row],[ANS]]</f>
        <v>4.9106865002800815E-2</v>
      </c>
      <c r="I19" s="141">
        <v>0.55551724137931047</v>
      </c>
      <c r="J19" s="45">
        <v>1</v>
      </c>
      <c r="L19" s="4" t="s">
        <v>11</v>
      </c>
      <c r="M19" s="1">
        <v>10186</v>
      </c>
      <c r="N19" s="1">
        <v>9765</v>
      </c>
      <c r="O19" s="142">
        <v>-0.30900210297808833</v>
      </c>
      <c r="P19" s="142">
        <v>-0.2967737289356186</v>
      </c>
      <c r="Q19" s="45">
        <v>0.86</v>
      </c>
      <c r="R19" s="62">
        <f>Table116172019[[#This Row],[Calls Handled]]/Table116172019[[#This Row],[Calls Presented]]</f>
        <v>0.95866876104457099</v>
      </c>
      <c r="S19" s="62">
        <f>1-Table116172019[[#This Row],[ANS]]</f>
        <v>4.1331238955429006E-2</v>
      </c>
      <c r="T19" s="141">
        <v>0.57999999999999996</v>
      </c>
      <c r="U19" s="45">
        <v>0.98</v>
      </c>
    </row>
    <row r="20" spans="1:21" x14ac:dyDescent="0.35">
      <c r="A20" s="4" t="s">
        <v>12</v>
      </c>
      <c r="B20" s="61">
        <v>28098</v>
      </c>
      <c r="C20" s="61">
        <v>20864</v>
      </c>
      <c r="D20" s="146">
        <v>-2.3629161164778652E-2</v>
      </c>
      <c r="E20" s="142">
        <v>0.29582013539531704</v>
      </c>
      <c r="F20" s="54">
        <v>0.39333333333333337</v>
      </c>
      <c r="G20" s="57">
        <f>Table116172016[[#This Row],[Calls Handled]]/Table116172016[[#This Row],[Calls Presented]]</f>
        <v>0.7425439533062852</v>
      </c>
      <c r="H20" s="57">
        <f>1-Table116172016[[#This Row],[ANS]]</f>
        <v>0.2574560466937148</v>
      </c>
      <c r="I20" s="45">
        <v>0.80869813656850698</v>
      </c>
      <c r="J20" s="121" t="s">
        <v>16</v>
      </c>
      <c r="L20" s="4" t="s">
        <v>12</v>
      </c>
      <c r="M20" s="61">
        <v>22974</v>
      </c>
      <c r="N20" s="61">
        <v>21626</v>
      </c>
      <c r="O20" s="142">
        <v>-0.220321726735899</v>
      </c>
      <c r="P20" s="142">
        <v>1.0844161914555483E-2</v>
      </c>
      <c r="Q20" s="54">
        <v>0.85</v>
      </c>
      <c r="R20" s="62">
        <f>Table116172019[[#This Row],[Calls Handled]]/Table116172019[[#This Row],[Calls Presented]]</f>
        <v>0.94132497605989385</v>
      </c>
      <c r="S20" s="62">
        <f>1-Table116172019[[#This Row],[ANS]]</f>
        <v>5.8675023940106152E-2</v>
      </c>
      <c r="T20" s="54">
        <v>0.6</v>
      </c>
      <c r="U20" s="121" t="s">
        <v>16</v>
      </c>
    </row>
    <row r="21" spans="1:21" x14ac:dyDescent="0.35">
      <c r="A21" s="4" t="s">
        <v>13</v>
      </c>
      <c r="B21" s="60">
        <v>16801</v>
      </c>
      <c r="C21" s="60">
        <v>14026</v>
      </c>
      <c r="D21" s="142">
        <v>9.2605839890745917E-2</v>
      </c>
      <c r="E21" s="142">
        <v>0.25929251212066801</v>
      </c>
      <c r="F21" s="59">
        <v>0.60319999999999996</v>
      </c>
      <c r="G21" s="57">
        <f>Table116172016[[#This Row],[Calls Handled]]/Table116172016[[#This Row],[Calls Presented]]</f>
        <v>0.83483126004404495</v>
      </c>
      <c r="H21" s="57">
        <f>1-Table116172016[[#This Row],[ANS]]</f>
        <v>0.16516873995595505</v>
      </c>
      <c r="I21" s="59">
        <v>0.60160000000000002</v>
      </c>
      <c r="J21" s="58">
        <v>0.95640000000000003</v>
      </c>
      <c r="L21" s="4" t="s">
        <v>13</v>
      </c>
      <c r="M21" s="60">
        <v>8327</v>
      </c>
      <c r="N21" s="60">
        <v>7134</v>
      </c>
      <c r="O21" s="142">
        <v>-0.62015327068698112</v>
      </c>
      <c r="P21" s="142">
        <v>-0.55730685696556004</v>
      </c>
      <c r="Q21" s="59">
        <v>0.65</v>
      </c>
      <c r="R21" s="57">
        <f>Table116172019[[#This Row],[Calls Handled]]/Table116172019[[#This Row],[Calls Presented]]</f>
        <v>0.85673111564789239</v>
      </c>
      <c r="S21" s="57">
        <f>1-Table116172019[[#This Row],[ANS]]</f>
        <v>0.14326888435210761</v>
      </c>
      <c r="T21" s="59">
        <v>0.53</v>
      </c>
      <c r="U21" s="58">
        <v>0.96</v>
      </c>
    </row>
    <row r="22" spans="1:21" x14ac:dyDescent="0.35">
      <c r="A22" s="4" t="s">
        <v>14</v>
      </c>
      <c r="B22" s="10"/>
      <c r="C22" s="11"/>
      <c r="D22" s="11"/>
      <c r="E22" s="11"/>
      <c r="F22" s="11"/>
      <c r="G22" s="11"/>
      <c r="H22" s="11"/>
      <c r="I22" s="11"/>
      <c r="J22" s="11"/>
      <c r="L22" s="4" t="s">
        <v>14</v>
      </c>
      <c r="M22" s="10"/>
      <c r="N22" s="11"/>
      <c r="O22" s="11"/>
      <c r="P22" s="11"/>
      <c r="Q22" s="11"/>
      <c r="R22" s="11"/>
      <c r="S22" s="11"/>
      <c r="T22" s="11"/>
      <c r="U22" s="11"/>
    </row>
    <row r="23" spans="1:21" x14ac:dyDescent="0.35">
      <c r="A23" s="73" t="s">
        <v>0</v>
      </c>
      <c r="B23" s="74">
        <f>SUM(B17:B21)</f>
        <v>106644</v>
      </c>
      <c r="C23" s="74">
        <f>SUM(C17:C21)</f>
        <v>82195</v>
      </c>
      <c r="D23" s="147">
        <v>-1.1750998668442078E-2</v>
      </c>
      <c r="E23" s="147">
        <v>0.1059876342336479</v>
      </c>
      <c r="F23" s="75">
        <f>AVERAGEIF(F17:F21, "&lt;&gt;0")</f>
        <v>0.60069393457117604</v>
      </c>
      <c r="G23" s="75">
        <f>Table116172016[[#This Row],[Calls Handled]]/Table116172016[[#This Row],[Calls Presented]]</f>
        <v>0.77074190765537676</v>
      </c>
      <c r="H23" s="75">
        <f>1-Table116172016[[#This Row],[ANS]]</f>
        <v>0.22925809234462324</v>
      </c>
      <c r="I23" s="75">
        <f t="shared" ref="I23:J23" si="1">AVERAGEIF(I17:I21, "&lt;&gt;0")</f>
        <v>0.67047076789725568</v>
      </c>
      <c r="J23" s="76">
        <f t="shared" si="1"/>
        <v>0.91880000000000006</v>
      </c>
      <c r="L23" s="73" t="s">
        <v>0</v>
      </c>
      <c r="M23" s="74">
        <f>SUM(M17:M21)</f>
        <v>67273</v>
      </c>
      <c r="N23" s="74">
        <f>SUM(N17:N21)</f>
        <v>62067</v>
      </c>
      <c r="O23" s="147">
        <f>(Table116172019[[#This Row],[Calls Presented]]-M11)/M11</f>
        <v>-0.41278085228958994</v>
      </c>
      <c r="P23" s="147">
        <f>(Table116172019[[#This Row],[Calls Handled]]-N11)/N11</f>
        <v>-0.27200112600724868</v>
      </c>
      <c r="Q23" s="75">
        <f>AVERAGEIF(Q17:Q21, "&lt;&gt;0")</f>
        <v>0.78600000000000003</v>
      </c>
      <c r="R23" s="75">
        <f>Table116172019[[#This Row],[Calls Handled]]/Table116172019[[#This Row],[Calls Presented]]</f>
        <v>0.92261382724124097</v>
      </c>
      <c r="S23" s="75">
        <f>1-Table116172019[[#This Row],[ANS]]</f>
        <v>7.7386172758759031E-2</v>
      </c>
      <c r="T23" s="75">
        <f t="shared" ref="T23:U23" si="2">AVERAGEIF(T17:T21, "&lt;&gt;0")</f>
        <v>0.59399999999999997</v>
      </c>
      <c r="U23" s="76">
        <f t="shared" si="2"/>
        <v>0.9325</v>
      </c>
    </row>
    <row r="26" spans="1:21" x14ac:dyDescent="0.35">
      <c r="L26" s="272" t="s">
        <v>95</v>
      </c>
      <c r="M26" s="272"/>
      <c r="N26" s="272"/>
      <c r="O26" s="272"/>
      <c r="P26" s="272"/>
      <c r="Q26" s="272"/>
      <c r="R26" s="272"/>
      <c r="S26" s="272"/>
      <c r="T26" s="272"/>
      <c r="U26" s="272"/>
    </row>
    <row r="27" spans="1:21" x14ac:dyDescent="0.35">
      <c r="L27" s="13" t="s">
        <v>1</v>
      </c>
      <c r="M27" s="14" t="s">
        <v>2</v>
      </c>
      <c r="N27" s="14" t="s">
        <v>15</v>
      </c>
      <c r="O27" s="14" t="s">
        <v>78</v>
      </c>
      <c r="P27" s="14" t="s">
        <v>79</v>
      </c>
      <c r="Q27" s="14" t="s">
        <v>3</v>
      </c>
      <c r="R27" s="14" t="s">
        <v>4</v>
      </c>
      <c r="S27" s="14" t="s">
        <v>5</v>
      </c>
      <c r="T27" s="14" t="s">
        <v>6</v>
      </c>
      <c r="U27" s="8" t="s">
        <v>7</v>
      </c>
    </row>
    <row r="28" spans="1:21" x14ac:dyDescent="0.35">
      <c r="L28" s="4" t="s">
        <v>8</v>
      </c>
      <c r="M28" s="1"/>
      <c r="N28" s="1"/>
      <c r="O28" s="1"/>
      <c r="P28" s="1"/>
      <c r="Q28" s="2">
        <v>0.86</v>
      </c>
      <c r="R28" s="2">
        <v>0.94</v>
      </c>
      <c r="S28" s="2">
        <v>0.06</v>
      </c>
      <c r="T28" s="2">
        <v>0.65</v>
      </c>
      <c r="U28" s="12">
        <v>0.95</v>
      </c>
    </row>
    <row r="29" spans="1:21" x14ac:dyDescent="0.35">
      <c r="L29" s="4" t="s">
        <v>9</v>
      </c>
      <c r="M29" s="61">
        <v>14782</v>
      </c>
      <c r="N29" s="61">
        <v>14033</v>
      </c>
      <c r="O29" s="142">
        <f>(M29-M17)/M17</f>
        <v>-0.18435137670363627</v>
      </c>
      <c r="P29" s="142">
        <f>(N29-N17)/N17</f>
        <v>-0.14951515151515152</v>
      </c>
      <c r="Q29" s="62">
        <v>0.86</v>
      </c>
      <c r="R29" s="62">
        <f>Table11617201923[[#This Row],[Calls Handled]]/Table11617201923[[#This Row],[Calls Presented]]</f>
        <v>0.94933026654038699</v>
      </c>
      <c r="S29" s="62">
        <f>1-Table11617201923[[#This Row],[ANS]]</f>
        <v>5.0669733459613009E-2</v>
      </c>
      <c r="T29" s="57">
        <v>0.45</v>
      </c>
      <c r="U29" s="57">
        <v>0.82</v>
      </c>
    </row>
    <row r="30" spans="1:21" x14ac:dyDescent="0.35">
      <c r="L30" s="4" t="s">
        <v>10</v>
      </c>
      <c r="M30">
        <v>4560</v>
      </c>
      <c r="N30" s="1">
        <v>4362</v>
      </c>
      <c r="O30" s="142">
        <f t="shared" ref="O30:P30" si="3">(M30-M18)/M18</f>
        <v>-0.4049327939449302</v>
      </c>
      <c r="P30" s="142">
        <f t="shared" si="3"/>
        <v>-0.38057370065322349</v>
      </c>
      <c r="Q30" s="45">
        <v>0.86</v>
      </c>
      <c r="R30" s="62">
        <f>Table11617201923[[#This Row],[Calls Handled]]/Table11617201923[[#This Row],[Calls Presented]]</f>
        <v>0.95657894736842108</v>
      </c>
      <c r="S30" s="62">
        <f>1-Table11617201923[[#This Row],[ANS]]</f>
        <v>4.3421052631578916E-2</v>
      </c>
      <c r="T30" s="46">
        <v>0.73</v>
      </c>
      <c r="U30" s="45">
        <v>1</v>
      </c>
    </row>
    <row r="31" spans="1:21" x14ac:dyDescent="0.35">
      <c r="L31" s="4" t="s">
        <v>11</v>
      </c>
      <c r="M31" s="1">
        <v>8945</v>
      </c>
      <c r="N31" s="1">
        <v>8575</v>
      </c>
      <c r="O31" s="142">
        <f t="shared" ref="O31:P31" si="4">(M31-M19)/M19</f>
        <v>-0.12183388965246417</v>
      </c>
      <c r="P31" s="142">
        <f t="shared" si="4"/>
        <v>-0.12186379928315412</v>
      </c>
      <c r="Q31" s="45">
        <v>0.9</v>
      </c>
      <c r="R31" s="62">
        <f>Table11617201923[[#This Row],[Calls Handled]]/Table11617201923[[#This Row],[Calls Presented]]</f>
        <v>0.9586361095584125</v>
      </c>
      <c r="S31" s="62">
        <f>1-Table11617201923[[#This Row],[ANS]]</f>
        <v>4.1363890441587503E-2</v>
      </c>
      <c r="T31" s="141">
        <v>0.55000000000000004</v>
      </c>
      <c r="U31" s="45">
        <v>1</v>
      </c>
    </row>
    <row r="32" spans="1:21" x14ac:dyDescent="0.35">
      <c r="L32" s="4" t="s">
        <v>12</v>
      </c>
      <c r="M32" s="61">
        <v>18729</v>
      </c>
      <c r="N32" s="61">
        <v>17737</v>
      </c>
      <c r="O32" s="142">
        <f t="shared" ref="O32:P32" si="5">(M32-M20)/M20</f>
        <v>-0.18477409245233742</v>
      </c>
      <c r="P32" s="142">
        <f t="shared" si="5"/>
        <v>-0.17982983445852216</v>
      </c>
      <c r="Q32" s="45">
        <v>0.88</v>
      </c>
      <c r="R32" s="62">
        <f>Table11617201923[[#This Row],[Calls Handled]]/Table11617201923[[#This Row],[Calls Presented]]</f>
        <v>0.94703401142613064</v>
      </c>
      <c r="S32" s="62">
        <f>1-Table11617201923[[#This Row],[ANS]]</f>
        <v>5.296598857386936E-2</v>
      </c>
      <c r="T32" s="54">
        <v>0.52</v>
      </c>
      <c r="U32" s="121" t="s">
        <v>16</v>
      </c>
    </row>
    <row r="33" spans="12:21" x14ac:dyDescent="0.35">
      <c r="L33" s="4" t="s">
        <v>13</v>
      </c>
      <c r="M33" s="60">
        <v>4497</v>
      </c>
      <c r="N33" s="60">
        <v>4104</v>
      </c>
      <c r="O33" s="142">
        <f t="shared" ref="O33:P33" si="6">(M33-M21)/M21</f>
        <v>-0.45994956166686685</v>
      </c>
      <c r="P33" s="142">
        <f t="shared" si="6"/>
        <v>-0.42472666105971407</v>
      </c>
      <c r="Q33" s="59">
        <v>0.7</v>
      </c>
      <c r="R33" s="57">
        <f>Table11617201923[[#This Row],[Calls Handled]]/Table11617201923[[#This Row],[Calls Presented]]</f>
        <v>0.91260840560373579</v>
      </c>
      <c r="S33" s="57">
        <f>1-Table11617201923[[#This Row],[ANS]]</f>
        <v>8.7391594396264205E-2</v>
      </c>
      <c r="T33" s="59">
        <v>0.54</v>
      </c>
      <c r="U33" s="58">
        <v>0.96</v>
      </c>
    </row>
    <row r="34" spans="12:21" x14ac:dyDescent="0.35">
      <c r="L34" s="4" t="s">
        <v>14</v>
      </c>
      <c r="M34" s="10"/>
      <c r="N34" s="11"/>
      <c r="O34" s="11"/>
      <c r="P34" s="11"/>
      <c r="Q34" s="11"/>
      <c r="R34" s="11"/>
      <c r="S34" s="11"/>
      <c r="T34" s="11"/>
      <c r="U34" s="11"/>
    </row>
    <row r="35" spans="12:21" x14ac:dyDescent="0.35">
      <c r="L35" s="73" t="s">
        <v>0</v>
      </c>
      <c r="M35" s="74">
        <f>SUM(M29:M33)</f>
        <v>51513</v>
      </c>
      <c r="N35" s="74">
        <f>SUM(N29:N33)</f>
        <v>48811</v>
      </c>
      <c r="O35" s="147">
        <f>(Table11617201923[[#This Row],[Calls Presented]]-M23)/M23</f>
        <v>-0.23426932052978164</v>
      </c>
      <c r="P35" s="147">
        <f>(Table11617201923[[#This Row],[Calls Handled]]-N23)/N23</f>
        <v>-0.21357565211787263</v>
      </c>
      <c r="Q35" s="75">
        <f>AVERAGEIF(Q29:Q33, "&lt;&gt;0")</f>
        <v>0.84000000000000008</v>
      </c>
      <c r="R35" s="75">
        <f>Table11617201923[[#This Row],[Calls Handled]]/Table11617201923[[#This Row],[Calls Presented]]</f>
        <v>0.94754722108982203</v>
      </c>
      <c r="S35" s="75">
        <f>1-Table11617201923[[#This Row],[ANS]]</f>
        <v>5.2452778910177966E-2</v>
      </c>
      <c r="T35" s="75">
        <f t="shared" ref="T35:U35" si="7">AVERAGEIF(T29:T33, "&lt;&gt;0")</f>
        <v>0.55800000000000005</v>
      </c>
      <c r="U35" s="76">
        <f t="shared" si="7"/>
        <v>0.94499999999999995</v>
      </c>
    </row>
    <row r="38" spans="12:21" x14ac:dyDescent="0.35">
      <c r="L38" s="272" t="s">
        <v>96</v>
      </c>
      <c r="M38" s="272"/>
      <c r="N38" s="272"/>
      <c r="O38" s="272"/>
      <c r="P38" s="272"/>
      <c r="Q38" s="272"/>
      <c r="R38" s="272"/>
      <c r="S38" s="272"/>
      <c r="T38" s="272"/>
      <c r="U38" s="272"/>
    </row>
    <row r="39" spans="12:21" x14ac:dyDescent="0.35">
      <c r="L39" s="13" t="s">
        <v>1</v>
      </c>
      <c r="M39" s="14" t="s">
        <v>2</v>
      </c>
      <c r="N39" s="14" t="s">
        <v>15</v>
      </c>
      <c r="O39" s="14" t="s">
        <v>78</v>
      </c>
      <c r="P39" s="14" t="s">
        <v>79</v>
      </c>
      <c r="Q39" s="14" t="s">
        <v>3</v>
      </c>
      <c r="R39" s="14" t="s">
        <v>4</v>
      </c>
      <c r="S39" s="14" t="s">
        <v>5</v>
      </c>
      <c r="T39" s="14" t="s">
        <v>6</v>
      </c>
      <c r="U39" s="8" t="s">
        <v>7</v>
      </c>
    </row>
    <row r="40" spans="12:21" x14ac:dyDescent="0.35">
      <c r="L40" s="4" t="s">
        <v>8</v>
      </c>
      <c r="M40" s="1"/>
      <c r="N40" s="1"/>
      <c r="O40" s="1"/>
      <c r="P40" s="1"/>
      <c r="Q40" s="2">
        <v>0.86</v>
      </c>
      <c r="R40" s="2">
        <v>0.94</v>
      </c>
      <c r="S40" s="2">
        <v>0.06</v>
      </c>
      <c r="T40" s="2">
        <v>0.65</v>
      </c>
      <c r="U40" s="12">
        <v>0.95</v>
      </c>
    </row>
    <row r="41" spans="12:21" x14ac:dyDescent="0.35">
      <c r="L41" s="4" t="s">
        <v>9</v>
      </c>
      <c r="M41" s="61">
        <v>16404</v>
      </c>
      <c r="N41" s="61">
        <v>15390</v>
      </c>
      <c r="O41" s="142">
        <f>(M41-M29)/M29</f>
        <v>0.10972804762549046</v>
      </c>
      <c r="P41" s="142">
        <f>(N41-N29)/N29</f>
        <v>9.6700634219340123E-2</v>
      </c>
      <c r="Q41" s="62">
        <v>0.83</v>
      </c>
      <c r="R41" s="62">
        <f>Table1161720192324[[#This Row],[Calls Handled]]/Table1161720192324[[#This Row],[Calls Presented]]</f>
        <v>0.93818580833942944</v>
      </c>
      <c r="S41" s="62">
        <f>1-Table1161720192324[[#This Row],[ANS]]</f>
        <v>6.1814191660570561E-2</v>
      </c>
      <c r="T41" s="57">
        <v>0.46</v>
      </c>
      <c r="U41" s="57">
        <v>0.81</v>
      </c>
    </row>
    <row r="42" spans="12:21" x14ac:dyDescent="0.35">
      <c r="L42" s="4" t="s">
        <v>10</v>
      </c>
      <c r="M42">
        <v>4194</v>
      </c>
      <c r="N42" s="1">
        <v>4040</v>
      </c>
      <c r="O42" s="142">
        <f t="shared" ref="O42:O45" si="8">(M42-M30)/M30</f>
        <v>-8.0263157894736842E-2</v>
      </c>
      <c r="P42" s="142">
        <f t="shared" ref="P42:P45" si="9">(N42-N30)/N30</f>
        <v>-7.3819348922512615E-2</v>
      </c>
      <c r="Q42" s="45">
        <v>0.89</v>
      </c>
      <c r="R42" s="62">
        <f>Table1161720192324[[#This Row],[Calls Handled]]/Table1161720192324[[#This Row],[Calls Presented]]</f>
        <v>0.96328087744396762</v>
      </c>
      <c r="S42" s="62">
        <f>1-Table1161720192324[[#This Row],[ANS]]</f>
        <v>3.671912255603238E-2</v>
      </c>
      <c r="T42" s="46">
        <v>0.72</v>
      </c>
      <c r="U42" s="45">
        <v>1</v>
      </c>
    </row>
    <row r="43" spans="12:21" x14ac:dyDescent="0.35">
      <c r="L43" s="4" t="s">
        <v>11</v>
      </c>
      <c r="M43" s="1">
        <v>10535</v>
      </c>
      <c r="N43" s="1">
        <v>10047</v>
      </c>
      <c r="O43" s="142">
        <f t="shared" si="8"/>
        <v>0.17775293460033539</v>
      </c>
      <c r="P43" s="142">
        <f t="shared" si="9"/>
        <v>0.17166180758017494</v>
      </c>
      <c r="Q43" s="45">
        <v>0.83</v>
      </c>
      <c r="R43" s="62">
        <f>Table1161720192324[[#This Row],[Calls Handled]]/Table1161720192324[[#This Row],[Calls Presented]]</f>
        <v>0.95367821547223541</v>
      </c>
      <c r="S43" s="62">
        <f>1-Table1161720192324[[#This Row],[ANS]]</f>
        <v>4.6321784527764587E-2</v>
      </c>
      <c r="T43" s="141">
        <v>0.64</v>
      </c>
      <c r="U43" s="45">
        <v>1</v>
      </c>
    </row>
    <row r="44" spans="12:21" x14ac:dyDescent="0.35">
      <c r="L44" s="4" t="s">
        <v>12</v>
      </c>
      <c r="M44" s="61">
        <v>23825</v>
      </c>
      <c r="N44" s="61">
        <v>22655</v>
      </c>
      <c r="O44" s="142">
        <f t="shared" si="8"/>
        <v>0.27209140904479684</v>
      </c>
      <c r="P44" s="142">
        <f t="shared" si="9"/>
        <v>0.27727349608163726</v>
      </c>
      <c r="Q44" s="45">
        <v>0.87</v>
      </c>
      <c r="R44" s="62">
        <f>Table1161720192324[[#This Row],[Calls Handled]]/Table1161720192324[[#This Row],[Calls Presented]]</f>
        <v>0.95089192025183633</v>
      </c>
      <c r="S44" s="62">
        <f>1-Table1161720192324[[#This Row],[ANS]]</f>
        <v>4.9108079748163669E-2</v>
      </c>
      <c r="T44" s="54">
        <v>0.64</v>
      </c>
      <c r="U44" s="121" t="s">
        <v>16</v>
      </c>
    </row>
    <row r="45" spans="12:21" x14ac:dyDescent="0.35">
      <c r="L45" s="4" t="s">
        <v>13</v>
      </c>
      <c r="M45" s="60">
        <v>8792</v>
      </c>
      <c r="N45" s="60">
        <v>8104</v>
      </c>
      <c r="O45" s="142">
        <f t="shared" si="8"/>
        <v>0.95508116522125863</v>
      </c>
      <c r="P45" s="142">
        <f t="shared" si="9"/>
        <v>0.97465886939571145</v>
      </c>
      <c r="Q45" s="59">
        <v>0.81</v>
      </c>
      <c r="R45" s="62">
        <f>Table1161720192324[[#This Row],[Calls Handled]]/Table1161720192324[[#This Row],[Calls Presented]]</f>
        <v>0.92174704276615105</v>
      </c>
      <c r="S45" s="62">
        <f>1-Table1161720192324[[#This Row],[ANS]]</f>
        <v>7.8252957233848952E-2</v>
      </c>
      <c r="T45" s="59">
        <v>0.54</v>
      </c>
      <c r="U45" s="58">
        <v>0.95</v>
      </c>
    </row>
    <row r="46" spans="12:21" x14ac:dyDescent="0.35">
      <c r="L46" s="4" t="s">
        <v>14</v>
      </c>
      <c r="M46" s="10"/>
      <c r="N46" s="11"/>
      <c r="O46" s="11"/>
      <c r="P46" s="11"/>
      <c r="Q46" s="11"/>
      <c r="R46" s="11"/>
      <c r="S46" s="11"/>
      <c r="T46" s="11"/>
      <c r="U46" s="11"/>
    </row>
    <row r="47" spans="12:21" x14ac:dyDescent="0.35">
      <c r="L47" s="73" t="s">
        <v>0</v>
      </c>
      <c r="M47" s="74">
        <f>SUM(M41:M45)</f>
        <v>63750</v>
      </c>
      <c r="N47" s="74">
        <f>SUM(N41:N45)</f>
        <v>60236</v>
      </c>
      <c r="O47" s="147">
        <f>(Table1161720192324[[#This Row],[Calls Presented]]-M35)/M35</f>
        <v>0.23755168598217927</v>
      </c>
      <c r="P47" s="147">
        <f>(Table1161720192324[[#This Row],[Calls Handled]]-N35)/N35</f>
        <v>0.23406609165966688</v>
      </c>
      <c r="Q47" s="75">
        <f>AVERAGEIF(Q41:Q45, "&lt;&gt;0")</f>
        <v>0.84600000000000009</v>
      </c>
      <c r="R47" s="75">
        <f>Table1161720192324[[#This Row],[Calls Handled]]/Table1161720192324[[#This Row],[Calls Presented]]</f>
        <v>0.94487843137254901</v>
      </c>
      <c r="S47" s="75">
        <f>1-Table1161720192324[[#This Row],[ANS]]</f>
        <v>5.512156862745099E-2</v>
      </c>
      <c r="T47" s="75">
        <f t="shared" ref="T47:U47" si="10">AVERAGEIF(T41:T45, "&lt;&gt;0")</f>
        <v>0.6</v>
      </c>
      <c r="U47" s="76">
        <f t="shared" si="10"/>
        <v>0.94</v>
      </c>
    </row>
    <row r="50" spans="12:22" x14ac:dyDescent="0.35">
      <c r="L50" s="272" t="s">
        <v>101</v>
      </c>
      <c r="M50" s="272"/>
      <c r="N50" s="272"/>
      <c r="O50" s="272"/>
      <c r="P50" s="272"/>
      <c r="Q50" s="272"/>
      <c r="R50" s="272"/>
      <c r="S50" s="272"/>
      <c r="T50" s="272"/>
      <c r="U50" s="272"/>
    </row>
    <row r="51" spans="12:22" x14ac:dyDescent="0.35">
      <c r="L51" s="13" t="s">
        <v>1</v>
      </c>
      <c r="M51" s="14" t="s">
        <v>2</v>
      </c>
      <c r="N51" s="14" t="s">
        <v>15</v>
      </c>
      <c r="O51" s="14" t="s">
        <v>78</v>
      </c>
      <c r="P51" s="14" t="s">
        <v>79</v>
      </c>
      <c r="Q51" s="14" t="s">
        <v>3</v>
      </c>
      <c r="R51" s="14" t="s">
        <v>4</v>
      </c>
      <c r="S51" s="14" t="s">
        <v>5</v>
      </c>
      <c r="T51" s="14" t="s">
        <v>6</v>
      </c>
      <c r="U51" s="8" t="s">
        <v>7</v>
      </c>
    </row>
    <row r="52" spans="12:22" x14ac:dyDescent="0.35">
      <c r="L52" s="4" t="s">
        <v>8</v>
      </c>
      <c r="M52" s="1"/>
      <c r="N52" s="1"/>
      <c r="O52" s="1"/>
      <c r="P52" s="1"/>
      <c r="Q52" s="2">
        <v>0.86</v>
      </c>
      <c r="R52" s="2">
        <v>0.94</v>
      </c>
      <c r="S52" s="2">
        <v>0.06</v>
      </c>
      <c r="T52" s="2">
        <v>0.65</v>
      </c>
      <c r="U52" s="12">
        <v>0.95</v>
      </c>
    </row>
    <row r="53" spans="12:22" x14ac:dyDescent="0.35">
      <c r="L53" s="4" t="s">
        <v>9</v>
      </c>
      <c r="M53" s="61">
        <v>14430</v>
      </c>
      <c r="N53" s="61">
        <v>13200</v>
      </c>
      <c r="O53" s="142">
        <f>(M53-M41)/M41</f>
        <v>-0.12033650329188003</v>
      </c>
      <c r="P53" s="142">
        <f>(N53-N41)/N41</f>
        <v>-0.14230019493177387</v>
      </c>
      <c r="Q53" s="57">
        <v>0.76</v>
      </c>
      <c r="R53" s="62">
        <f>Table116172019232422[[#This Row],[Calls Handled]]/Table116172019232422[[#This Row],[Calls Presented]]</f>
        <v>0.91476091476091481</v>
      </c>
      <c r="S53" s="62">
        <f>1-Table116172019232422[[#This Row],[ANS]]</f>
        <v>8.5239085239085188E-2</v>
      </c>
      <c r="T53" s="57">
        <v>0.51</v>
      </c>
      <c r="U53" s="57">
        <v>0.8</v>
      </c>
    </row>
    <row r="54" spans="12:22" x14ac:dyDescent="0.35">
      <c r="L54" s="4" t="s">
        <v>10</v>
      </c>
      <c r="M54">
        <v>5170</v>
      </c>
      <c r="N54" s="1">
        <v>4953</v>
      </c>
      <c r="O54" s="142">
        <f t="shared" ref="O54:O57" si="11">(M54-M42)/M42</f>
        <v>0.23271340009537433</v>
      </c>
      <c r="P54" s="142">
        <f t="shared" ref="P54:P57" si="12">(N54-N42)/N42</f>
        <v>0.225990099009901</v>
      </c>
      <c r="Q54" s="45">
        <v>0.9</v>
      </c>
      <c r="R54" s="62">
        <f>Table116172019232422[[#This Row],[Calls Handled]]/Table116172019232422[[#This Row],[Calls Presented]]</f>
        <v>0.95802707930367503</v>
      </c>
      <c r="S54" s="62">
        <f>1-Table116172019232422[[#This Row],[ANS]]</f>
        <v>4.1972920696324967E-2</v>
      </c>
      <c r="T54" s="46">
        <v>0.73</v>
      </c>
      <c r="U54" s="45">
        <v>1</v>
      </c>
    </row>
    <row r="55" spans="12:22" x14ac:dyDescent="0.35">
      <c r="L55" s="4" t="s">
        <v>11</v>
      </c>
      <c r="M55" s="1">
        <v>8527</v>
      </c>
      <c r="N55" s="1">
        <v>8175</v>
      </c>
      <c r="O55" s="142">
        <f t="shared" si="11"/>
        <v>-0.19060275272899857</v>
      </c>
      <c r="P55" s="142">
        <f t="shared" si="12"/>
        <v>-0.1863242759032547</v>
      </c>
      <c r="Q55" s="45">
        <v>0.9</v>
      </c>
      <c r="R55" s="62">
        <f>Table116172019232422[[#This Row],[Calls Handled]]/Table116172019232422[[#This Row],[Calls Presented]]</f>
        <v>0.9587193620265041</v>
      </c>
      <c r="S55" s="62">
        <f>1-Table116172019232422[[#This Row],[ANS]]</f>
        <v>4.1280637973495904E-2</v>
      </c>
      <c r="T55" s="141">
        <v>0.56000000000000005</v>
      </c>
      <c r="U55" s="45">
        <v>1</v>
      </c>
    </row>
    <row r="56" spans="12:22" x14ac:dyDescent="0.35">
      <c r="L56" s="4" t="s">
        <v>12</v>
      </c>
      <c r="M56" s="61">
        <v>20172</v>
      </c>
      <c r="N56" s="61">
        <v>18302</v>
      </c>
      <c r="O56" s="142">
        <f t="shared" si="11"/>
        <v>-0.15332633788037775</v>
      </c>
      <c r="P56" s="142">
        <f t="shared" si="12"/>
        <v>-0.19214301478702273</v>
      </c>
      <c r="Q56" s="54">
        <v>0.74</v>
      </c>
      <c r="R56" s="62">
        <f>Table116172019232422[[#This Row],[Calls Handled]]/Table116172019232422[[#This Row],[Calls Presented]]</f>
        <v>0.90729724370414433</v>
      </c>
      <c r="S56" s="62">
        <f>1-Table116172019232422[[#This Row],[ANS]]</f>
        <v>9.2702756295855671E-2</v>
      </c>
      <c r="T56" s="45">
        <v>0.7</v>
      </c>
      <c r="U56" s="121" t="s">
        <v>16</v>
      </c>
    </row>
    <row r="57" spans="12:22" x14ac:dyDescent="0.35">
      <c r="L57" s="4" t="s">
        <v>13</v>
      </c>
      <c r="M57" s="60">
        <v>4794</v>
      </c>
      <c r="N57" s="60">
        <v>4531</v>
      </c>
      <c r="O57" s="142">
        <f t="shared" si="11"/>
        <v>-0.45473157415832577</v>
      </c>
      <c r="P57" s="142">
        <f t="shared" si="12"/>
        <v>-0.44089338598223099</v>
      </c>
      <c r="Q57" s="58">
        <v>0.87</v>
      </c>
      <c r="R57" s="62">
        <f>Table116172019232422[[#This Row],[Calls Handled]]/Table116172019232422[[#This Row],[Calls Presented]]</f>
        <v>0.94513975803087191</v>
      </c>
      <c r="S57" s="62">
        <f>1-Table116172019232422[[#This Row],[ANS]]</f>
        <v>5.4860241969128087E-2</v>
      </c>
      <c r="T57" s="59">
        <v>0.5</v>
      </c>
      <c r="U57" s="58">
        <v>0.96</v>
      </c>
    </row>
    <row r="58" spans="12:22" x14ac:dyDescent="0.35">
      <c r="L58" s="4" t="s">
        <v>14</v>
      </c>
      <c r="M58" s="10"/>
      <c r="N58" s="11"/>
      <c r="O58" s="11"/>
      <c r="P58" s="11"/>
      <c r="Q58" s="11"/>
      <c r="R58" s="11"/>
      <c r="S58" s="11"/>
      <c r="T58" s="11"/>
      <c r="U58" s="11"/>
    </row>
    <row r="59" spans="12:22" x14ac:dyDescent="0.35">
      <c r="L59" s="73" t="s">
        <v>0</v>
      </c>
      <c r="M59" s="74">
        <f>SUM(M53:M57)</f>
        <v>53093</v>
      </c>
      <c r="N59" s="74">
        <f>SUM(N53:N57)</f>
        <v>49161</v>
      </c>
      <c r="O59" s="147">
        <f>(Table116172019232422[[#This Row],[Calls Presented]]-M47)/M47</f>
        <v>-0.16716862745098041</v>
      </c>
      <c r="P59" s="147">
        <f>(Table116172019232422[[#This Row],[Calls Handled]]-N47)/N47</f>
        <v>-0.1838601500763663</v>
      </c>
      <c r="Q59" s="75">
        <f>AVERAGEIF(Q53:Q57, "&lt;&gt;0")</f>
        <v>0.83399999999999996</v>
      </c>
      <c r="R59" s="75">
        <f>Table116172019232422[[#This Row],[Calls Handled]]/Table116172019232422[[#This Row],[Calls Presented]]</f>
        <v>0.92594127286082906</v>
      </c>
      <c r="S59" s="75">
        <f>1-Table116172019232422[[#This Row],[ANS]]</f>
        <v>7.4058727139170943E-2</v>
      </c>
      <c r="T59" s="75">
        <f t="shared" ref="T59:U59" si="13">AVERAGEIF(T53:T57, "&lt;&gt;0")</f>
        <v>0.6</v>
      </c>
      <c r="U59" s="76">
        <f t="shared" si="13"/>
        <v>0.94</v>
      </c>
    </row>
    <row r="62" spans="12:22" x14ac:dyDescent="0.35">
      <c r="M62" s="272" t="s">
        <v>107</v>
      </c>
      <c r="N62" s="272"/>
      <c r="O62" s="272"/>
      <c r="P62" s="272"/>
      <c r="Q62" s="272"/>
      <c r="R62" s="272"/>
      <c r="S62" s="272"/>
      <c r="T62" s="272"/>
      <c r="U62" s="272"/>
      <c r="V62" s="272"/>
    </row>
    <row r="63" spans="12:22" x14ac:dyDescent="0.35">
      <c r="M63" s="13" t="s">
        <v>1</v>
      </c>
      <c r="N63" s="14" t="s">
        <v>2</v>
      </c>
      <c r="O63" s="14" t="s">
        <v>15</v>
      </c>
      <c r="P63" s="14" t="s">
        <v>78</v>
      </c>
      <c r="Q63" s="14" t="s">
        <v>79</v>
      </c>
      <c r="R63" s="14" t="s">
        <v>3</v>
      </c>
      <c r="S63" s="14" t="s">
        <v>4</v>
      </c>
      <c r="T63" s="14" t="s">
        <v>5</v>
      </c>
      <c r="U63" s="14" t="s">
        <v>6</v>
      </c>
      <c r="V63" s="8" t="s">
        <v>7</v>
      </c>
    </row>
    <row r="64" spans="12:22" x14ac:dyDescent="0.35">
      <c r="M64" s="4" t="s">
        <v>8</v>
      </c>
      <c r="N64" s="1"/>
      <c r="O64" s="1"/>
      <c r="P64" s="1"/>
      <c r="Q64" s="1"/>
      <c r="R64" s="2">
        <v>0.86</v>
      </c>
      <c r="S64" s="2">
        <v>0.94</v>
      </c>
      <c r="T64" s="2">
        <v>0.06</v>
      </c>
      <c r="U64" s="2">
        <v>0.65</v>
      </c>
      <c r="V64" s="12">
        <v>0.95</v>
      </c>
    </row>
    <row r="65" spans="12:22" x14ac:dyDescent="0.35">
      <c r="M65" s="4" t="s">
        <v>9</v>
      </c>
      <c r="N65" s="61">
        <v>14092</v>
      </c>
      <c r="O65" s="61">
        <v>12929</v>
      </c>
      <c r="P65" s="142">
        <f>(N65-N53)/N53</f>
        <v>6.7575757575757581E-2</v>
      </c>
      <c r="Q65" s="142">
        <f>(O65-N53)/N53</f>
        <v>-2.0530303030303031E-2</v>
      </c>
      <c r="R65" s="57">
        <v>0.76</v>
      </c>
      <c r="S65" s="62">
        <v>0.91</v>
      </c>
      <c r="T65" s="62">
        <v>0.09</v>
      </c>
      <c r="U65" s="57">
        <v>0.46</v>
      </c>
      <c r="V65" s="57">
        <v>0.79</v>
      </c>
    </row>
    <row r="66" spans="12:22" x14ac:dyDescent="0.35">
      <c r="M66" s="4" t="s">
        <v>10</v>
      </c>
      <c r="N66">
        <v>4820</v>
      </c>
      <c r="O66" s="1">
        <v>4628</v>
      </c>
      <c r="P66" s="142">
        <f t="shared" ref="P66:P69" si="14">(N66-N54)/N54</f>
        <v>-2.6852412679184333E-2</v>
      </c>
      <c r="Q66" s="142">
        <f t="shared" ref="Q66:Q68" si="15">(O66-N54)/N54</f>
        <v>-6.5616797900262466E-2</v>
      </c>
      <c r="R66" s="45">
        <v>0.85</v>
      </c>
      <c r="S66" s="62">
        <v>0.96</v>
      </c>
      <c r="T66" s="62">
        <v>0.04</v>
      </c>
      <c r="U66" s="46">
        <v>0.61</v>
      </c>
      <c r="V66" s="45">
        <v>1</v>
      </c>
    </row>
    <row r="67" spans="12:22" x14ac:dyDescent="0.35">
      <c r="M67" s="4" t="s">
        <v>11</v>
      </c>
      <c r="N67" s="1">
        <v>9887</v>
      </c>
      <c r="O67" s="1">
        <v>9440</v>
      </c>
      <c r="P67" s="142">
        <f t="shared" si="14"/>
        <v>0.20941896024464832</v>
      </c>
      <c r="Q67" s="142">
        <f t="shared" si="15"/>
        <v>0.1547400611620795</v>
      </c>
      <c r="R67" s="45">
        <v>0.9</v>
      </c>
      <c r="S67" s="62">
        <v>0.96</v>
      </c>
      <c r="T67" s="62">
        <v>0.04</v>
      </c>
      <c r="U67" s="141">
        <v>0.56999999999999995</v>
      </c>
      <c r="V67" s="45">
        <v>1</v>
      </c>
    </row>
    <row r="68" spans="12:22" x14ac:dyDescent="0.35">
      <c r="M68" s="4" t="s">
        <v>12</v>
      </c>
      <c r="N68" s="61">
        <v>23555</v>
      </c>
      <c r="O68" s="61">
        <v>20220</v>
      </c>
      <c r="P68" s="142">
        <f t="shared" si="14"/>
        <v>0.28701781226095507</v>
      </c>
      <c r="Q68" s="142">
        <f t="shared" si="15"/>
        <v>0.10479728991367064</v>
      </c>
      <c r="R68" s="54">
        <v>0.64</v>
      </c>
      <c r="S68" s="62">
        <v>0.86</v>
      </c>
      <c r="T68" s="62">
        <v>0.14000000000000001</v>
      </c>
      <c r="U68" s="45">
        <v>0.84</v>
      </c>
      <c r="V68" s="121" t="s">
        <v>16</v>
      </c>
    </row>
    <row r="69" spans="12:22" x14ac:dyDescent="0.35">
      <c r="M69" s="4" t="s">
        <v>13</v>
      </c>
      <c r="N69" s="212" t="s">
        <v>16</v>
      </c>
      <c r="O69" s="212" t="s">
        <v>16</v>
      </c>
      <c r="P69" s="142" t="e">
        <f t="shared" si="14"/>
        <v>#VALUE!</v>
      </c>
      <c r="Q69" s="142" t="e">
        <f t="shared" ref="Q69" si="16">(O69-N57)/O57</f>
        <v>#VALUE!</v>
      </c>
      <c r="R69" s="58" t="e">
        <v>#VALUE!</v>
      </c>
      <c r="S69" s="62" t="e">
        <f>Table11617201923242227[[#This Row],[Calls Handled]]/Table11617201923242227[[#This Row],[Calls Presented]]</f>
        <v>#VALUE!</v>
      </c>
      <c r="T69" s="62" t="e">
        <f>1-Table11617201923242227[[#This Row],[ANS]]</f>
        <v>#VALUE!</v>
      </c>
      <c r="U69" s="213" t="s">
        <v>16</v>
      </c>
      <c r="V69" s="58" t="e">
        <v>#VALUE!</v>
      </c>
    </row>
    <row r="70" spans="12:22" x14ac:dyDescent="0.35">
      <c r="M70" s="4" t="s">
        <v>14</v>
      </c>
      <c r="N70" s="10"/>
      <c r="O70" s="11"/>
      <c r="P70" s="11"/>
      <c r="Q70" s="11"/>
      <c r="R70" s="11"/>
      <c r="S70" s="11"/>
      <c r="T70" s="11"/>
      <c r="U70" s="11"/>
      <c r="V70" s="11"/>
    </row>
    <row r="71" spans="12:22" x14ac:dyDescent="0.35">
      <c r="M71" s="73" t="s">
        <v>0</v>
      </c>
      <c r="N71" s="74">
        <f>SUM(N65:N69)</f>
        <v>52354</v>
      </c>
      <c r="O71" s="74">
        <f>SUM(O65:O69)</f>
        <v>47217</v>
      </c>
      <c r="P71" s="147">
        <f>(Table11617201923242227[[#This Row],[Calls Presented]]-N59)/N59</f>
        <v>6.4949858627774054E-2</v>
      </c>
      <c r="Q71" s="147">
        <f>(Table11617201923242227[[#This Row],[Calls Handled]]-N59)/N59</f>
        <v>-3.9543540611460301E-2</v>
      </c>
      <c r="R71" s="75" t="e">
        <f>AVERAGEIF(R65:R69, "&lt;&gt;0")</f>
        <v>#VALUE!</v>
      </c>
      <c r="S71" s="75">
        <f>Table11617201923242227[[#This Row],[Calls Handled]]/Table11617201923242227[[#This Row],[Calls Presented]]</f>
        <v>0.90187951254918441</v>
      </c>
      <c r="T71" s="75">
        <f>1-Table11617201923242227[[#This Row],[ANS]]</f>
        <v>9.8120487450815586E-2</v>
      </c>
      <c r="U71" s="75">
        <f t="shared" ref="U71:V71" si="17">AVERAGEIF(U65:U69, "&lt;&gt;0")</f>
        <v>0.62</v>
      </c>
      <c r="V71" s="76" t="e">
        <f t="shared" si="17"/>
        <v>#VALUE!</v>
      </c>
    </row>
    <row r="74" spans="12:22" x14ac:dyDescent="0.35">
      <c r="L74" s="272" t="s">
        <v>142</v>
      </c>
      <c r="M74" s="272"/>
      <c r="N74" s="272"/>
      <c r="O74" s="272"/>
      <c r="P74" s="272"/>
      <c r="Q74" s="272"/>
      <c r="R74" s="272"/>
      <c r="S74" s="272"/>
      <c r="T74" s="272"/>
      <c r="U74" s="272"/>
    </row>
    <row r="75" spans="12:22" x14ac:dyDescent="0.35">
      <c r="L75" s="13" t="s">
        <v>1</v>
      </c>
      <c r="M75" s="14" t="s">
        <v>2</v>
      </c>
      <c r="N75" s="14" t="s">
        <v>15</v>
      </c>
      <c r="O75" s="14" t="s">
        <v>78</v>
      </c>
      <c r="P75" s="14" t="s">
        <v>79</v>
      </c>
      <c r="Q75" s="14" t="s">
        <v>3</v>
      </c>
      <c r="R75" s="14" t="s">
        <v>4</v>
      </c>
      <c r="S75" s="14" t="s">
        <v>5</v>
      </c>
      <c r="T75" s="14" t="s">
        <v>6</v>
      </c>
      <c r="U75" s="8" t="s">
        <v>7</v>
      </c>
    </row>
    <row r="76" spans="12:22" x14ac:dyDescent="0.35">
      <c r="L76" s="4" t="s">
        <v>8</v>
      </c>
      <c r="M76" s="1"/>
      <c r="N76" s="1"/>
      <c r="O76" s="1"/>
      <c r="P76" s="1"/>
      <c r="Q76" s="2">
        <v>0.86</v>
      </c>
      <c r="R76" s="2">
        <v>0.94</v>
      </c>
      <c r="S76" s="2">
        <v>0.06</v>
      </c>
      <c r="T76" s="2">
        <v>0.65</v>
      </c>
      <c r="U76" s="12">
        <v>0.95</v>
      </c>
    </row>
    <row r="77" spans="12:22" x14ac:dyDescent="0.35">
      <c r="L77" s="4" t="s">
        <v>9</v>
      </c>
      <c r="M77" s="61">
        <v>16522</v>
      </c>
      <c r="N77" s="61">
        <v>12837</v>
      </c>
      <c r="O77" s="142">
        <f>(M77-N65)/N65</f>
        <v>0.17243826284416691</v>
      </c>
      <c r="P77" s="142">
        <f>(N77-O65)/O65</f>
        <v>-7.1157862170314794E-3</v>
      </c>
      <c r="Q77" s="57">
        <v>0.54</v>
      </c>
      <c r="R77" s="62">
        <f>Table1161720192324222725[[#This Row],[Calls Handled]]/Table1161720192324222725[[#This Row],[Calls Presented]]</f>
        <v>0.7769640479360852</v>
      </c>
      <c r="S77" s="57">
        <f>1-Table1161720192324222725[[#This Row],[ANS]]</f>
        <v>0.2230359520639148</v>
      </c>
      <c r="T77" s="57">
        <v>0.56999999999999995</v>
      </c>
      <c r="U77" s="57">
        <v>0.83</v>
      </c>
    </row>
    <row r="78" spans="12:22" x14ac:dyDescent="0.35">
      <c r="L78" s="4" t="s">
        <v>10</v>
      </c>
      <c r="M78">
        <v>4494</v>
      </c>
      <c r="N78" s="1">
        <v>4305</v>
      </c>
      <c r="O78" s="142">
        <f t="shared" ref="O78:O80" si="18">(M78-N66)/N66</f>
        <v>-6.7634854771784228E-2</v>
      </c>
      <c r="P78" s="142">
        <f t="shared" ref="P78:P80" si="19">(N78-O66)/O66</f>
        <v>-6.9792566983578219E-2</v>
      </c>
      <c r="Q78" s="45">
        <v>0.89</v>
      </c>
      <c r="R78" s="62">
        <f>Table1161720192324222725[[#This Row],[Calls Handled]]/Table1161720192324222725[[#This Row],[Calls Presented]]</f>
        <v>0.95794392523364491</v>
      </c>
      <c r="S78" s="62">
        <f>1-Table1161720192324222725[[#This Row],[ANS]]</f>
        <v>4.2056074766355089E-2</v>
      </c>
      <c r="T78" s="141">
        <v>0.55000000000000004</v>
      </c>
      <c r="U78" s="45">
        <v>1</v>
      </c>
    </row>
    <row r="79" spans="12:22" x14ac:dyDescent="0.35">
      <c r="L79" s="4" t="s">
        <v>11</v>
      </c>
      <c r="M79" s="1">
        <v>9328</v>
      </c>
      <c r="N79" s="1">
        <v>8921</v>
      </c>
      <c r="O79" s="142">
        <f t="shared" si="18"/>
        <v>-5.6538889450793973E-2</v>
      </c>
      <c r="P79" s="142">
        <f t="shared" si="19"/>
        <v>-5.4978813559322035E-2</v>
      </c>
      <c r="Q79" s="45">
        <v>0.91</v>
      </c>
      <c r="R79" s="62">
        <f>Table1161720192324222725[[#This Row],[Calls Handled]]/Table1161720192324222725[[#This Row],[Calls Presented]]</f>
        <v>0.95636792452830188</v>
      </c>
      <c r="S79" s="62">
        <f>1-Table1161720192324222725[[#This Row],[ANS]]</f>
        <v>4.3632075471698117E-2</v>
      </c>
      <c r="T79" s="141">
        <v>0.54</v>
      </c>
      <c r="U79" s="45">
        <v>1</v>
      </c>
    </row>
    <row r="80" spans="12:22" x14ac:dyDescent="0.35">
      <c r="L80" s="4" t="s">
        <v>12</v>
      </c>
      <c r="M80" s="61">
        <v>23813</v>
      </c>
      <c r="N80" s="61">
        <v>21917</v>
      </c>
      <c r="O80" s="142">
        <f t="shared" si="18"/>
        <v>1.095308851623859E-2</v>
      </c>
      <c r="P80" s="142">
        <f t="shared" si="19"/>
        <v>8.3926805143422351E-2</v>
      </c>
      <c r="Q80" s="54">
        <v>0.77</v>
      </c>
      <c r="R80" s="62">
        <f>Table1161720192324222725[[#This Row],[Calls Handled]]/Table1161720192324222725[[#This Row],[Calls Presented]]</f>
        <v>0.92037962457481204</v>
      </c>
      <c r="S80" s="57">
        <f>1-Table1161720192324222725[[#This Row],[ANS]]</f>
        <v>7.9620375425187961E-2</v>
      </c>
      <c r="T80" s="45">
        <v>0.76</v>
      </c>
      <c r="U80" s="121" t="s">
        <v>16</v>
      </c>
    </row>
    <row r="81" spans="12:21" x14ac:dyDescent="0.35">
      <c r="L81" s="4" t="s">
        <v>13</v>
      </c>
      <c r="M81" s="10"/>
      <c r="N81" s="11"/>
      <c r="O81" s="11"/>
      <c r="P81" s="11"/>
      <c r="Q81" s="11"/>
      <c r="R81" s="11"/>
      <c r="S81" s="11"/>
      <c r="T81" s="11"/>
      <c r="U81" s="11"/>
    </row>
    <row r="82" spans="12:21" x14ac:dyDescent="0.35">
      <c r="L82" s="4" t="s">
        <v>14</v>
      </c>
      <c r="M82" s="10"/>
      <c r="N82" s="11"/>
      <c r="O82" s="11"/>
      <c r="P82" s="11"/>
      <c r="Q82" s="11"/>
      <c r="R82" s="11"/>
      <c r="S82" s="11"/>
      <c r="T82" s="11"/>
      <c r="U82" s="11"/>
    </row>
    <row r="83" spans="12:21" x14ac:dyDescent="0.35">
      <c r="L83" s="73" t="s">
        <v>0</v>
      </c>
      <c r="M83" s="74">
        <f>SUM(M77:M81)</f>
        <v>54157</v>
      </c>
      <c r="N83" s="74">
        <f>SUM(N77:N81)</f>
        <v>47980</v>
      </c>
      <c r="O83" s="263">
        <f>(Table1161720192324222725[[#This Row],[Calls Presented]]-N71)/N71</f>
        <v>3.443862933109218E-2</v>
      </c>
      <c r="P83" s="263">
        <f>(Table1161720192324222725[[#This Row],[Calls Handled]]-O71)/O71</f>
        <v>1.6159434102124236E-2</v>
      </c>
      <c r="Q83" s="75">
        <f>AVERAGEIF(Q77:Q81, "&lt;&gt;0")</f>
        <v>0.77750000000000008</v>
      </c>
      <c r="R83" s="75">
        <f>Table1161720192324222725[[#This Row],[Calls Handled]]/Table1161720192324222725[[#This Row],[Calls Presented]]</f>
        <v>0.88594272208578762</v>
      </c>
      <c r="S83" s="75">
        <f>1-Table1161720192324222725[[#This Row],[ANS]]</f>
        <v>0.11405727791421238</v>
      </c>
      <c r="T83" s="75">
        <f t="shared" ref="T83:U83" si="20">AVERAGEIF(T77:T81, "&lt;&gt;0")</f>
        <v>0.60499999999999998</v>
      </c>
      <c r="U83" s="76">
        <f t="shared" si="20"/>
        <v>0.94333333333333336</v>
      </c>
    </row>
  </sheetData>
  <mergeCells count="9">
    <mergeCell ref="L74:U74"/>
    <mergeCell ref="M62:V62"/>
    <mergeCell ref="L50:U50"/>
    <mergeCell ref="L38:U38"/>
    <mergeCell ref="B2:I2"/>
    <mergeCell ref="L2:U2"/>
    <mergeCell ref="A14:J14"/>
    <mergeCell ref="L14:U14"/>
    <mergeCell ref="L26:U26"/>
  </mergeCells>
  <phoneticPr fontId="8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46B-69CC-4747-8136-59CD881CC436}">
  <sheetPr codeName="Sheet12"/>
  <dimension ref="B2:G11"/>
  <sheetViews>
    <sheetView zoomScaleNormal="100" workbookViewId="0">
      <selection activeCell="G14" sqref="G14"/>
    </sheetView>
  </sheetViews>
  <sheetFormatPr defaultRowHeight="14.5" x14ac:dyDescent="0.35"/>
  <cols>
    <col min="2" max="7" width="12.6328125" customWidth="1"/>
  </cols>
  <sheetData>
    <row r="2" spans="2:7" x14ac:dyDescent="0.35">
      <c r="B2" s="269" t="s">
        <v>139</v>
      </c>
      <c r="C2" s="270"/>
      <c r="D2" s="270"/>
      <c r="E2" s="270"/>
      <c r="F2" s="270"/>
      <c r="G2" s="271"/>
    </row>
    <row r="3" spans="2:7" x14ac:dyDescent="0.35">
      <c r="B3" s="240" t="s">
        <v>1</v>
      </c>
      <c r="C3" s="241" t="s">
        <v>3</v>
      </c>
      <c r="D3" s="241" t="s">
        <v>4</v>
      </c>
      <c r="E3" s="241" t="s">
        <v>5</v>
      </c>
      <c r="F3" s="241" t="s">
        <v>6</v>
      </c>
      <c r="G3" s="242" t="s">
        <v>7</v>
      </c>
    </row>
    <row r="4" spans="2:7" x14ac:dyDescent="0.35">
      <c r="B4" s="243" t="s">
        <v>8</v>
      </c>
      <c r="C4" s="244">
        <v>0.86</v>
      </c>
      <c r="D4" s="244">
        <v>0.94</v>
      </c>
      <c r="E4" s="244">
        <v>0.06</v>
      </c>
      <c r="F4" s="244">
        <v>0.65</v>
      </c>
      <c r="G4" s="245">
        <v>0.95</v>
      </c>
    </row>
    <row r="5" spans="2:7" x14ac:dyDescent="0.35">
      <c r="B5" s="246" t="s">
        <v>9</v>
      </c>
      <c r="C5" s="247">
        <v>0.69</v>
      </c>
      <c r="D5" s="247">
        <v>0.86506526951425278</v>
      </c>
      <c r="E5" s="247">
        <v>0.13493473048574722</v>
      </c>
      <c r="F5" s="248">
        <v>0.51</v>
      </c>
      <c r="G5" s="249">
        <v>0.81</v>
      </c>
    </row>
    <row r="6" spans="2:7" x14ac:dyDescent="0.35">
      <c r="B6" s="243" t="s">
        <v>10</v>
      </c>
      <c r="C6" s="250">
        <v>0.88</v>
      </c>
      <c r="D6" s="251">
        <v>0.95871306268986467</v>
      </c>
      <c r="E6" s="251">
        <v>4.128693731013533E-2</v>
      </c>
      <c r="F6" s="252">
        <v>0.63</v>
      </c>
      <c r="G6" s="253">
        <v>1</v>
      </c>
    </row>
    <row r="7" spans="2:7" x14ac:dyDescent="0.35">
      <c r="B7" s="246" t="s">
        <v>11</v>
      </c>
      <c r="C7" s="254">
        <v>0.9</v>
      </c>
      <c r="D7" s="248">
        <v>0.95652800807439986</v>
      </c>
      <c r="E7" s="248">
        <v>4.347199192560014E-2</v>
      </c>
      <c r="F7" s="255">
        <v>0.56000000000000005</v>
      </c>
      <c r="G7" s="256">
        <v>1</v>
      </c>
    </row>
    <row r="8" spans="2:7" x14ac:dyDescent="0.35">
      <c r="B8" s="243" t="s">
        <v>12</v>
      </c>
      <c r="C8" s="257">
        <v>0.72</v>
      </c>
      <c r="D8" s="258">
        <v>0.89492297903194784</v>
      </c>
      <c r="E8" s="258">
        <v>0.10507702096805216</v>
      </c>
      <c r="F8" s="250">
        <v>0.77</v>
      </c>
      <c r="G8" s="259" t="s">
        <v>16</v>
      </c>
    </row>
    <row r="9" spans="2:7" x14ac:dyDescent="0.35">
      <c r="B9" s="246" t="s">
        <v>13</v>
      </c>
      <c r="C9" s="273" t="s">
        <v>140</v>
      </c>
      <c r="D9" s="274"/>
      <c r="E9" s="274"/>
      <c r="F9" s="274"/>
      <c r="G9" s="275"/>
    </row>
    <row r="10" spans="2:7" x14ac:dyDescent="0.35">
      <c r="B10" s="243" t="s">
        <v>14</v>
      </c>
      <c r="C10" s="276"/>
      <c r="D10" s="277"/>
      <c r="E10" s="277"/>
      <c r="F10" s="277"/>
      <c r="G10" s="278"/>
    </row>
    <row r="11" spans="2:7" x14ac:dyDescent="0.35">
      <c r="B11" s="260" t="s">
        <v>141</v>
      </c>
      <c r="C11" s="261">
        <v>0.79749999999999988</v>
      </c>
      <c r="D11" s="261">
        <v>0.92</v>
      </c>
      <c r="E11" s="261">
        <v>0.08</v>
      </c>
      <c r="F11" s="261">
        <v>0.61750000000000005</v>
      </c>
      <c r="G11" s="262">
        <v>0.93666666666666665</v>
      </c>
    </row>
  </sheetData>
  <mergeCells count="2">
    <mergeCell ref="B2:G2"/>
    <mergeCell ref="C9:G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AM367"/>
  <sheetViews>
    <sheetView zoomScale="70" zoomScaleNormal="7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R110" sqref="R110"/>
    </sheetView>
  </sheetViews>
  <sheetFormatPr defaultRowHeight="14.5" x14ac:dyDescent="0.35"/>
  <cols>
    <col min="2" max="2" width="19" style="15" bestFit="1" customWidth="1"/>
    <col min="3" max="3" width="7.36328125" style="15" customWidth="1"/>
    <col min="4" max="4" width="10.36328125" customWidth="1"/>
    <col min="5" max="5" width="10" customWidth="1"/>
    <col min="6" max="6" width="21" customWidth="1"/>
    <col min="7" max="7" width="19.90625" customWidth="1"/>
    <col min="8" max="8" width="21.81640625" bestFit="1" customWidth="1"/>
    <col min="9" max="9" width="18.36328125" bestFit="1" customWidth="1"/>
    <col min="10" max="10" width="21.7265625" customWidth="1"/>
    <col min="11" max="11" width="18.453125" customWidth="1"/>
    <col min="12" max="13" width="10.36328125" customWidth="1"/>
    <col min="14" max="16" width="11.36328125" customWidth="1"/>
    <col min="19" max="19" width="11" bestFit="1" customWidth="1"/>
    <col min="20" max="20" width="22.08984375" bestFit="1" customWidth="1"/>
    <col min="21" max="21" width="24.1796875" bestFit="1" customWidth="1"/>
    <col min="24" max="24" width="10.6328125" bestFit="1" customWidth="1"/>
  </cols>
  <sheetData>
    <row r="1" spans="1:25" x14ac:dyDescent="0.35">
      <c r="A1" s="26" t="s">
        <v>36</v>
      </c>
      <c r="B1" s="29" t="s">
        <v>55</v>
      </c>
      <c r="C1" s="29" t="s">
        <v>60</v>
      </c>
      <c r="D1" s="29" t="s">
        <v>59</v>
      </c>
      <c r="E1" s="29" t="s">
        <v>34</v>
      </c>
      <c r="F1" s="29" t="s">
        <v>62</v>
      </c>
      <c r="G1" s="29" t="s">
        <v>61</v>
      </c>
      <c r="H1" s="29" t="s">
        <v>56</v>
      </c>
      <c r="I1" s="29" t="s">
        <v>57</v>
      </c>
      <c r="J1" s="29" t="s">
        <v>103</v>
      </c>
      <c r="K1" s="29" t="s">
        <v>58</v>
      </c>
      <c r="L1" s="29" t="s">
        <v>32</v>
      </c>
      <c r="M1" s="29" t="s">
        <v>5</v>
      </c>
      <c r="N1" s="29" t="s">
        <v>4</v>
      </c>
      <c r="O1" s="29" t="s">
        <v>33</v>
      </c>
      <c r="P1" s="29" t="s">
        <v>7</v>
      </c>
      <c r="Q1" s="26" t="s">
        <v>82</v>
      </c>
      <c r="R1" s="26" t="s">
        <v>80</v>
      </c>
    </row>
    <row r="2" spans="1:25" x14ac:dyDescent="0.35">
      <c r="A2" s="22">
        <v>45017</v>
      </c>
      <c r="B2" s="37" t="s">
        <v>54</v>
      </c>
      <c r="C2" s="9" t="s">
        <v>97</v>
      </c>
      <c r="D2" s="1">
        <v>132</v>
      </c>
      <c r="E2" s="1">
        <v>128</v>
      </c>
      <c r="F2" s="66">
        <v>-0.131579</v>
      </c>
      <c r="G2" s="66">
        <v>-0.1293</v>
      </c>
      <c r="H2" s="1">
        <f>Table2[[#This Row],[Calls Off]]</f>
        <v>132</v>
      </c>
      <c r="I2" s="1">
        <f>Table2[[#This Row],[Calls Ans]]</f>
        <v>128</v>
      </c>
      <c r="J2" s="1">
        <f>Table2[[#This Row],[Calls Off]]</f>
        <v>132</v>
      </c>
      <c r="K2" s="1">
        <f>Table2[[#This Row],[Calls Ans]]</f>
        <v>128</v>
      </c>
      <c r="L2" s="18">
        <v>0.95</v>
      </c>
      <c r="M2" s="18">
        <v>0.03</v>
      </c>
      <c r="N2" s="18">
        <v>0.97</v>
      </c>
      <c r="O2" s="18">
        <v>0.3</v>
      </c>
      <c r="P2" s="18">
        <v>1</v>
      </c>
      <c r="Q2" s="227">
        <v>1.4120370370370369E-3</v>
      </c>
      <c r="R2" s="174">
        <v>4</v>
      </c>
    </row>
    <row r="3" spans="1:25" x14ac:dyDescent="0.35">
      <c r="A3" s="22">
        <v>45018</v>
      </c>
      <c r="B3" s="9" t="s">
        <v>48</v>
      </c>
      <c r="C3" s="9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224">
        <v>0</v>
      </c>
      <c r="R3" s="125">
        <v>0</v>
      </c>
    </row>
    <row r="4" spans="1:25" x14ac:dyDescent="0.35">
      <c r="A4" s="22">
        <v>45019</v>
      </c>
      <c r="B4" s="37" t="s">
        <v>49</v>
      </c>
      <c r="C4" s="9" t="s">
        <v>97</v>
      </c>
      <c r="D4" s="33">
        <v>490</v>
      </c>
      <c r="E4" s="33">
        <v>461</v>
      </c>
      <c r="F4" s="65">
        <v>-5.7689999999999998E-2</v>
      </c>
      <c r="G4" s="65">
        <v>-5.339E-2</v>
      </c>
      <c r="H4" s="33">
        <f>Table2[[#This Row],[Calls Off]]+H2</f>
        <v>622</v>
      </c>
      <c r="I4" s="33">
        <f>Table2[[#This Row],[Calls Ans]]+I2</f>
        <v>589</v>
      </c>
      <c r="J4" s="33">
        <f>Table2[[#This Row],[Calls Off]]+J2</f>
        <v>622</v>
      </c>
      <c r="K4" s="33">
        <f>Table2[[#This Row],[Calls Ans]]+K2</f>
        <v>589</v>
      </c>
      <c r="L4" s="38">
        <v>0.83</v>
      </c>
      <c r="M4" s="38">
        <v>0.06</v>
      </c>
      <c r="N4" s="38">
        <v>0.94</v>
      </c>
      <c r="O4" s="38">
        <v>0.8</v>
      </c>
      <c r="P4" s="38">
        <v>1</v>
      </c>
      <c r="Q4" s="228">
        <v>2.1180555555555553E-3</v>
      </c>
      <c r="R4" s="176">
        <v>4</v>
      </c>
    </row>
    <row r="5" spans="1:25" x14ac:dyDescent="0.35">
      <c r="A5" s="22">
        <v>45020</v>
      </c>
      <c r="B5" s="9" t="s">
        <v>50</v>
      </c>
      <c r="C5" s="9" t="s">
        <v>97</v>
      </c>
      <c r="D5" s="1">
        <v>423</v>
      </c>
      <c r="E5" s="1">
        <v>405</v>
      </c>
      <c r="F5" s="66">
        <v>-5.3691275167785234E-2</v>
      </c>
      <c r="G5" s="66">
        <v>-3.5714285714285712E-2</v>
      </c>
      <c r="H5" s="1">
        <f>H4+Table2[[#This Row],[Calls Off]]</f>
        <v>1045</v>
      </c>
      <c r="I5" s="1">
        <f>I4+Table2[[#This Row],[Calls Ans]]</f>
        <v>994</v>
      </c>
      <c r="J5" s="1">
        <f>J4+Table2[[#This Row],[Calls Off]]</f>
        <v>1045</v>
      </c>
      <c r="K5" s="1">
        <f>K4+Table2[[#This Row],[Calls Ans]]</f>
        <v>994</v>
      </c>
      <c r="L5" s="18">
        <v>0.9</v>
      </c>
      <c r="M5" s="18">
        <v>0.04</v>
      </c>
      <c r="N5" s="18">
        <v>0.96</v>
      </c>
      <c r="O5" s="18">
        <v>0.57999999999999996</v>
      </c>
      <c r="P5" s="18">
        <v>1</v>
      </c>
      <c r="Q5" s="224">
        <v>1.4120370370370369E-3</v>
      </c>
      <c r="R5" s="125">
        <v>4</v>
      </c>
    </row>
    <row r="6" spans="1:25" x14ac:dyDescent="0.35">
      <c r="A6" s="22">
        <v>45021</v>
      </c>
      <c r="B6" s="37" t="s">
        <v>51</v>
      </c>
      <c r="C6" s="9" t="s">
        <v>97</v>
      </c>
      <c r="D6" s="33">
        <v>367</v>
      </c>
      <c r="E6" s="33">
        <v>351</v>
      </c>
      <c r="F6" s="65">
        <v>-0.21914893617021278</v>
      </c>
      <c r="G6" s="65">
        <v>-0.21651785714285715</v>
      </c>
      <c r="H6" s="33">
        <f>H5+Table2[[#This Row],[Calls Off]]</f>
        <v>1412</v>
      </c>
      <c r="I6" s="33">
        <f>I5+Table2[[#This Row],[Calls Ans]]</f>
        <v>1345</v>
      </c>
      <c r="J6" s="1">
        <f>J5+Table2[[#This Row],[Calls Off]]</f>
        <v>1412</v>
      </c>
      <c r="K6" s="1">
        <f>K5+Table2[[#This Row],[Calls Ans]]</f>
        <v>1345</v>
      </c>
      <c r="L6" s="38">
        <v>0.89</v>
      </c>
      <c r="M6" s="38">
        <v>0.04</v>
      </c>
      <c r="N6" s="38">
        <v>0.96</v>
      </c>
      <c r="O6" s="38">
        <v>0.51</v>
      </c>
      <c r="P6" s="38">
        <v>1</v>
      </c>
      <c r="Q6" s="228">
        <v>1.4120370370370369E-3</v>
      </c>
      <c r="R6" s="176">
        <v>4</v>
      </c>
    </row>
    <row r="7" spans="1:25" x14ac:dyDescent="0.35">
      <c r="A7" s="22">
        <v>45022</v>
      </c>
      <c r="B7" s="9" t="s">
        <v>52</v>
      </c>
      <c r="C7" s="9" t="s">
        <v>97</v>
      </c>
      <c r="D7" s="1">
        <v>405</v>
      </c>
      <c r="E7" s="1">
        <v>383</v>
      </c>
      <c r="F7" s="66">
        <v>-9.7995545657015584E-2</v>
      </c>
      <c r="G7" s="66">
        <v>-0.12356979405034325</v>
      </c>
      <c r="H7" s="1">
        <f>H6+Table2[[#This Row],[Calls Off]]</f>
        <v>1817</v>
      </c>
      <c r="I7" s="1">
        <f>I6+Table2[[#This Row],[Calls Ans]]</f>
        <v>1728</v>
      </c>
      <c r="J7" s="1">
        <f>J6+Table2[[#This Row],[Calls Off]]</f>
        <v>1817</v>
      </c>
      <c r="K7" s="1">
        <f>K6+Table2[[#This Row],[Calls Ans]]</f>
        <v>1728</v>
      </c>
      <c r="L7" s="18">
        <v>0.85</v>
      </c>
      <c r="M7" s="18">
        <v>0.05</v>
      </c>
      <c r="N7" s="18">
        <v>0.95</v>
      </c>
      <c r="O7" s="18">
        <v>0.66</v>
      </c>
      <c r="P7" s="18">
        <v>1</v>
      </c>
      <c r="Q7" s="224">
        <v>2.1180555555555553E-3</v>
      </c>
      <c r="R7" s="125">
        <v>4</v>
      </c>
      <c r="S7" s="6" t="s">
        <v>71</v>
      </c>
      <c r="T7" s="7" t="s">
        <v>67</v>
      </c>
      <c r="U7" s="98" t="s">
        <v>68</v>
      </c>
      <c r="X7" t="s">
        <v>69</v>
      </c>
      <c r="Y7" s="16">
        <v>44655</v>
      </c>
    </row>
    <row r="8" spans="1:25" x14ac:dyDescent="0.35">
      <c r="A8" s="22">
        <v>45023</v>
      </c>
      <c r="B8" s="37" t="s">
        <v>53</v>
      </c>
      <c r="C8" s="9" t="s">
        <v>97</v>
      </c>
      <c r="D8" s="33">
        <v>0</v>
      </c>
      <c r="E8" s="33">
        <v>0</v>
      </c>
      <c r="F8" s="65">
        <v>0</v>
      </c>
      <c r="G8" s="65">
        <v>0</v>
      </c>
      <c r="H8" s="33">
        <v>0</v>
      </c>
      <c r="I8" s="33">
        <v>0</v>
      </c>
      <c r="J8" s="33">
        <v>0</v>
      </c>
      <c r="K8" s="33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228">
        <v>0</v>
      </c>
      <c r="R8" s="176">
        <v>0</v>
      </c>
      <c r="S8" s="28">
        <v>45020</v>
      </c>
      <c r="T8" s="1" cm="1">
        <f t="array" ref="T8">SUMIFS(calls_off_OECS,period_OECS,"&gt;="&amp;S8,period_OECS,"&lt;"&amp;S9)</f>
        <v>1318</v>
      </c>
      <c r="U8" s="99" cm="1">
        <f t="array" ref="U8">SUMIFS(calls_ans_OECS,period_OECS,"&gt;="&amp;S8,period_OECS,"&lt;"&amp;S9)</f>
        <v>1260</v>
      </c>
      <c r="X8" t="s">
        <v>70</v>
      </c>
      <c r="Y8" s="16">
        <v>44696</v>
      </c>
    </row>
    <row r="9" spans="1:25" x14ac:dyDescent="0.35">
      <c r="A9" s="22">
        <v>45024</v>
      </c>
      <c r="B9" s="9" t="s">
        <v>54</v>
      </c>
      <c r="C9" s="9" t="s">
        <v>97</v>
      </c>
      <c r="D9" s="1">
        <v>123</v>
      </c>
      <c r="E9" s="1">
        <v>121</v>
      </c>
      <c r="F9" s="66">
        <v>-0.71917808219178081</v>
      </c>
      <c r="G9" s="66">
        <v>-0.70772946859903396</v>
      </c>
      <c r="H9" s="1">
        <f>Table2[[#This Row],[Calls Off]]+H7</f>
        <v>1940</v>
      </c>
      <c r="I9" s="1">
        <f>Table2[[#This Row],[Calls Ans]]+I7</f>
        <v>1849</v>
      </c>
      <c r="J9" s="1">
        <f>J7+Table2[[#This Row],[Calls Off]]</f>
        <v>1940</v>
      </c>
      <c r="K9" s="1">
        <f>K7+Table2[[#This Row],[Calls Ans]]</f>
        <v>1849</v>
      </c>
      <c r="L9" s="18">
        <v>0.98</v>
      </c>
      <c r="M9" s="18">
        <v>0.02</v>
      </c>
      <c r="N9" s="18">
        <v>0.98</v>
      </c>
      <c r="O9" s="18">
        <v>0.31</v>
      </c>
      <c r="P9" s="18">
        <v>1</v>
      </c>
      <c r="Q9" s="224">
        <v>2.1180555555555553E-3</v>
      </c>
      <c r="R9" s="125">
        <v>5</v>
      </c>
      <c r="S9" s="28">
        <f>S8+7</f>
        <v>45027</v>
      </c>
      <c r="T9" s="1" cm="1">
        <f t="array" ref="T9">SUMIFS(calls_off_OECS,period_OECS,"&gt;="&amp;S9,period_OECS,"&lt;"&amp;S10)</f>
        <v>2416</v>
      </c>
      <c r="U9" s="99" cm="1">
        <f t="array" ref="U9">SUMIFS(calls_ans_OECS,period_OECS,"&gt;="&amp;S9,period_OECS,"&lt;"&amp;S10)</f>
        <v>2301</v>
      </c>
    </row>
    <row r="10" spans="1:25" x14ac:dyDescent="0.35">
      <c r="A10" s="22">
        <v>45025</v>
      </c>
      <c r="B10" s="37" t="s">
        <v>48</v>
      </c>
      <c r="C10" s="9" t="s">
        <v>97</v>
      </c>
      <c r="D10" s="33">
        <v>0</v>
      </c>
      <c r="E10" s="33">
        <v>0</v>
      </c>
      <c r="F10" s="65">
        <v>0</v>
      </c>
      <c r="G10" s="65">
        <v>0</v>
      </c>
      <c r="H10" s="33">
        <v>0</v>
      </c>
      <c r="I10" s="33">
        <v>0</v>
      </c>
      <c r="J10" s="33">
        <v>0</v>
      </c>
      <c r="K10" s="33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228">
        <v>0</v>
      </c>
      <c r="R10" s="176">
        <v>0</v>
      </c>
      <c r="S10" s="28">
        <f t="shared" ref="S10:S59" si="0">S9+7</f>
        <v>45034</v>
      </c>
      <c r="T10" s="1" cm="1">
        <f t="array" ref="T10">SUMIFS(calls_off_OECS,period_OECS,"&gt;="&amp;S10,period_OECS,"&lt;"&amp;S11)</f>
        <v>2263</v>
      </c>
      <c r="U10" s="99" cm="1">
        <f t="array" ref="U10">SUMIFS(calls_ans_OECS,period_OECS,"&gt;="&amp;S10,period_OECS,"&lt;"&amp;S11)</f>
        <v>2178</v>
      </c>
    </row>
    <row r="11" spans="1:25" x14ac:dyDescent="0.35">
      <c r="A11" s="22">
        <v>45026</v>
      </c>
      <c r="B11" s="9" t="s">
        <v>49</v>
      </c>
      <c r="C11" s="9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224">
        <v>0</v>
      </c>
      <c r="R11" s="125">
        <v>0</v>
      </c>
      <c r="S11" s="28">
        <f t="shared" si="0"/>
        <v>45041</v>
      </c>
      <c r="T11" s="1" cm="1">
        <f t="array" ref="T11">SUMIFS(calls_off_OECS,period_OECS,"&gt;="&amp;S11,period_OECS,"&lt;"&amp;S12)</f>
        <v>1908</v>
      </c>
      <c r="U11" s="99" cm="1">
        <f t="array" ref="U11">SUMIFS(calls_ans_OECS,period_OECS,"&gt;="&amp;S11,period_OECS,"&lt;"&amp;S12)</f>
        <v>1847</v>
      </c>
    </row>
    <row r="12" spans="1:25" x14ac:dyDescent="0.35">
      <c r="A12" s="22">
        <v>45027</v>
      </c>
      <c r="B12" s="37" t="s">
        <v>50</v>
      </c>
      <c r="C12" s="9" t="s">
        <v>97</v>
      </c>
      <c r="D12" s="33">
        <v>546</v>
      </c>
      <c r="E12" s="33">
        <v>498</v>
      </c>
      <c r="F12" s="65">
        <f>(Table2[[#This Row],[Calls Off]]-D5)/D5</f>
        <v>0.29078014184397161</v>
      </c>
      <c r="G12" s="65">
        <f>(Table2[[#This Row],[Calls Ans]]-E5)/E5</f>
        <v>0.22962962962962963</v>
      </c>
      <c r="H12" s="33">
        <f>H9+Table2[[#This Row],[Calls Off]]</f>
        <v>2486</v>
      </c>
      <c r="I12" s="33">
        <f>I9+Table2[[#This Row],[Calls Ans]]</f>
        <v>2347</v>
      </c>
      <c r="J12" s="33">
        <f>J9+Table2[[#This Row],[Calls Off]]</f>
        <v>2486</v>
      </c>
      <c r="K12" s="33">
        <f>K9+Table2[[#This Row],[Calls Ans]]</f>
        <v>2347</v>
      </c>
      <c r="L12" s="38">
        <v>0.78</v>
      </c>
      <c r="M12" s="38">
        <v>0.09</v>
      </c>
      <c r="N12" s="38">
        <v>0.91</v>
      </c>
      <c r="O12" s="38">
        <v>0.75</v>
      </c>
      <c r="P12" s="38">
        <v>1</v>
      </c>
      <c r="Q12" s="228">
        <v>2.1180555555555553E-3</v>
      </c>
      <c r="R12" s="176">
        <v>5</v>
      </c>
      <c r="S12" s="28">
        <f t="shared" si="0"/>
        <v>45048</v>
      </c>
      <c r="T12" s="1" cm="1">
        <f t="array" ref="T12">SUMIFS(calls_off_OECS,period_OECS,"&gt;="&amp;S12,period_OECS,"&lt;"&amp;S13)</f>
        <v>2514</v>
      </c>
      <c r="U12" s="99" cm="1">
        <f t="array" ref="U12">SUMIFS(calls_ans_OECS,period_OECS,"&gt;="&amp;S12,period_OECS,"&lt;"&amp;S13)</f>
        <v>2383</v>
      </c>
    </row>
    <row r="13" spans="1:25" x14ac:dyDescent="0.35">
      <c r="A13" s="22">
        <v>45028</v>
      </c>
      <c r="B13" s="9" t="s">
        <v>51</v>
      </c>
      <c r="C13" s="9" t="s">
        <v>97</v>
      </c>
      <c r="D13" s="1">
        <v>441</v>
      </c>
      <c r="E13" s="1">
        <v>418</v>
      </c>
      <c r="F13" s="66">
        <f>(Table2[[#This Row],[Calls Off]]-D6)/D6</f>
        <v>0.20163487738419619</v>
      </c>
      <c r="G13" s="66">
        <f>(Table2[[#This Row],[Calls Ans]]-E6)/E6</f>
        <v>0.19088319088319089</v>
      </c>
      <c r="H13" s="1">
        <f>H12+Table2[[#This Row],[Calls Off]]</f>
        <v>2927</v>
      </c>
      <c r="I13" s="1">
        <f>I12+Table2[[#This Row],[Calls Ans]]</f>
        <v>2765</v>
      </c>
      <c r="J13" s="1">
        <f>J12+Table2[[#This Row],[Calls Off]]</f>
        <v>2927</v>
      </c>
      <c r="K13" s="1">
        <f>K12+Table2[[#This Row],[Calls Ans]]</f>
        <v>2765</v>
      </c>
      <c r="L13" s="18">
        <v>0.87</v>
      </c>
      <c r="M13" s="18">
        <v>0.05</v>
      </c>
      <c r="N13" s="18">
        <v>0.95</v>
      </c>
      <c r="O13" s="18">
        <v>0.62</v>
      </c>
      <c r="P13" s="18">
        <v>1</v>
      </c>
      <c r="Q13" s="224">
        <v>1.4120370370370369E-3</v>
      </c>
      <c r="R13" s="125">
        <v>4</v>
      </c>
      <c r="S13" s="28">
        <f t="shared" si="0"/>
        <v>45055</v>
      </c>
      <c r="T13" s="1" cm="1">
        <f t="array" ref="T13">SUMIFS(calls_off_OECS,period_OECS,"&gt;="&amp;S13,period_OECS,"&lt;"&amp;S14)</f>
        <v>2286</v>
      </c>
      <c r="U13" s="99" cm="1">
        <f t="array" ref="U13">SUMIFS(calls_ans_OECS,period_OECS,"&gt;="&amp;S13,period_OECS,"&lt;"&amp;S14)</f>
        <v>2187</v>
      </c>
    </row>
    <row r="14" spans="1:25" x14ac:dyDescent="0.35">
      <c r="A14" s="22">
        <v>45029</v>
      </c>
      <c r="B14" s="37" t="s">
        <v>52</v>
      </c>
      <c r="C14" s="9" t="s">
        <v>97</v>
      </c>
      <c r="D14" s="33">
        <v>453</v>
      </c>
      <c r="E14" s="33">
        <v>441</v>
      </c>
      <c r="F14" s="66">
        <f>(Table2[[#This Row],[Calls Off]]-D7)/D7</f>
        <v>0.11851851851851852</v>
      </c>
      <c r="G14" s="66">
        <f>(Table2[[#This Row],[Calls Ans]]-E7)/E7</f>
        <v>0.1514360313315927</v>
      </c>
      <c r="H14" s="1">
        <f>H13+Table2[[#This Row],[Calls Off]]</f>
        <v>3380</v>
      </c>
      <c r="I14" s="1">
        <f>I13+Table2[[#This Row],[Calls Ans]]</f>
        <v>3206</v>
      </c>
      <c r="J14" s="1">
        <f>J13+Table2[[#This Row],[Calls Off]]</f>
        <v>3380</v>
      </c>
      <c r="K14" s="1">
        <f>K13+Table2[[#This Row],[Calls Ans]]</f>
        <v>3206</v>
      </c>
      <c r="L14" s="38">
        <v>0.9</v>
      </c>
      <c r="M14" s="38">
        <v>0.03</v>
      </c>
      <c r="N14" s="38">
        <v>0.97</v>
      </c>
      <c r="O14" s="38">
        <v>0.62</v>
      </c>
      <c r="P14" s="38">
        <v>1</v>
      </c>
      <c r="Q14" s="228">
        <v>1.4120370370370369E-3</v>
      </c>
      <c r="R14" s="176">
        <v>4</v>
      </c>
      <c r="S14" s="28">
        <f t="shared" si="0"/>
        <v>45062</v>
      </c>
      <c r="T14" s="1" cm="1">
        <f t="array" ref="T14">SUMIFS(calls_off_OECS,period_OECS,"&gt;="&amp;S14,period_OECS,"&lt;"&amp;S15)</f>
        <v>2136</v>
      </c>
      <c r="U14" s="99" cm="1">
        <f t="array" ref="U14">SUMIFS(calls_ans_OECS,period_OECS,"&gt;="&amp;S14,period_OECS,"&lt;"&amp;S15)</f>
        <v>2048</v>
      </c>
    </row>
    <row r="15" spans="1:25" x14ac:dyDescent="0.35">
      <c r="A15" s="22">
        <v>45030</v>
      </c>
      <c r="B15" s="9" t="s">
        <v>53</v>
      </c>
      <c r="C15" s="9" t="s">
        <v>97</v>
      </c>
      <c r="D15" s="1">
        <v>427</v>
      </c>
      <c r="E15" s="1">
        <v>409</v>
      </c>
      <c r="F15" s="66">
        <v>0</v>
      </c>
      <c r="G15" s="66">
        <v>0</v>
      </c>
      <c r="H15" s="1">
        <f>H14+Table2[[#This Row],[Calls Off]]</f>
        <v>3807</v>
      </c>
      <c r="I15" s="1">
        <f>I14+Table2[[#This Row],[Calls Ans]]</f>
        <v>3615</v>
      </c>
      <c r="J15" s="1">
        <f>J14+Table2[[#This Row],[Calls Off]]</f>
        <v>3807</v>
      </c>
      <c r="K15" s="1">
        <f>K14+Table2[[#This Row],[Calls Ans]]</f>
        <v>3615</v>
      </c>
      <c r="L15" s="18">
        <v>0.92</v>
      </c>
      <c r="M15" s="18">
        <v>0.04</v>
      </c>
      <c r="N15" s="18">
        <v>0.96</v>
      </c>
      <c r="O15" s="18">
        <v>0.71</v>
      </c>
      <c r="P15" s="18">
        <v>1</v>
      </c>
      <c r="Q15" s="224">
        <v>1.4120370370370369E-3</v>
      </c>
      <c r="R15" s="125">
        <v>4</v>
      </c>
      <c r="S15" s="28">
        <f>S14+7</f>
        <v>45069</v>
      </c>
      <c r="T15" s="1" cm="1">
        <f t="array" ref="T15">SUMIFS(calls_off_OECS,period_OECS,"&gt;="&amp;S15,period_OECS,"&lt;"&amp;S16)</f>
        <v>1842</v>
      </c>
      <c r="U15" s="99" cm="1">
        <f t="array" ref="U15">SUMIFS(calls_ans_OECS,period_OECS,"&gt;="&amp;S15,period_OECS,"&lt;"&amp;S16)</f>
        <v>1756</v>
      </c>
    </row>
    <row r="16" spans="1:25" x14ac:dyDescent="0.35">
      <c r="A16" s="22">
        <v>45031</v>
      </c>
      <c r="B16" s="37" t="s">
        <v>54</v>
      </c>
      <c r="C16" s="9" t="s">
        <v>97</v>
      </c>
      <c r="D16" s="33">
        <v>114</v>
      </c>
      <c r="E16" s="33">
        <v>113</v>
      </c>
      <c r="F16" s="66">
        <f>(Table2[[#This Row],[Calls Off]]-D9)/D9</f>
        <v>-7.3170731707317069E-2</v>
      </c>
      <c r="G16" s="66">
        <f>(Table2[[#This Row],[Calls Ans]]-E9)/E9</f>
        <v>-6.6115702479338845E-2</v>
      </c>
      <c r="H16" s="1">
        <f>H15+Table2[[#This Row],[Calls Off]]</f>
        <v>3921</v>
      </c>
      <c r="I16" s="1">
        <f>I15+Table2[[#This Row],[Calls Ans]]</f>
        <v>3728</v>
      </c>
      <c r="J16" s="1">
        <f>J15+Table2[[#This Row],[Calls Off]]</f>
        <v>3921</v>
      </c>
      <c r="K16" s="1">
        <f>K15+Table2[[#This Row],[Calls Ans]]</f>
        <v>3728</v>
      </c>
      <c r="L16" s="38">
        <v>0.97</v>
      </c>
      <c r="M16" s="38">
        <v>0.01</v>
      </c>
      <c r="N16" s="38">
        <v>0.99</v>
      </c>
      <c r="O16" s="38">
        <v>0.28000000000000003</v>
      </c>
      <c r="P16" s="38">
        <v>1</v>
      </c>
      <c r="Q16" s="228">
        <v>1.4120370370370369E-3</v>
      </c>
      <c r="R16" s="176">
        <v>4</v>
      </c>
      <c r="S16" s="28">
        <f t="shared" si="0"/>
        <v>45076</v>
      </c>
      <c r="T16" s="1" cm="1">
        <f t="array" ref="T16">SUMIFS(calls_off_OECS,period_OECS,"&gt;="&amp;S16,period_OECS,"&lt;"&amp;S17)</f>
        <v>2849</v>
      </c>
      <c r="U16" s="99" cm="1">
        <f t="array" ref="U16">SUMIFS(calls_ans_OECS,period_OECS,"&gt;="&amp;S16,period_OECS,"&lt;"&amp;S17)</f>
        <v>2698</v>
      </c>
    </row>
    <row r="17" spans="1:21" x14ac:dyDescent="0.35">
      <c r="A17" s="22">
        <v>45032</v>
      </c>
      <c r="B17" s="9" t="s">
        <v>48</v>
      </c>
      <c r="C17" s="9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224">
        <v>0</v>
      </c>
      <c r="R17" s="125">
        <v>0</v>
      </c>
      <c r="S17" s="28">
        <f t="shared" si="0"/>
        <v>45083</v>
      </c>
      <c r="T17" s="1" cm="1">
        <f t="array" ref="T17">SUMIFS(calls_off_OECS,period_OECS,"&gt;="&amp;S17,period_OECS,"&lt;"&amp;S18)</f>
        <v>2384</v>
      </c>
      <c r="U17" s="99" cm="1">
        <f t="array" ref="U17">SUMIFS(calls_ans_OECS,period_OECS,"&gt;="&amp;S17,period_OECS,"&lt;"&amp;S18)</f>
        <v>2250</v>
      </c>
    </row>
    <row r="18" spans="1:21" x14ac:dyDescent="0.35">
      <c r="A18" s="22">
        <v>45033</v>
      </c>
      <c r="B18" s="37" t="s">
        <v>49</v>
      </c>
      <c r="C18" s="9" t="s">
        <v>97</v>
      </c>
      <c r="D18" s="33">
        <v>435</v>
      </c>
      <c r="E18" s="33">
        <v>422</v>
      </c>
      <c r="F18" s="66">
        <v>0</v>
      </c>
      <c r="G18" s="66">
        <v>0</v>
      </c>
      <c r="H18" s="1">
        <f>H16+Table2[[#This Row],[Calls Off]]</f>
        <v>4356</v>
      </c>
      <c r="I18" s="1">
        <f>I16+Table2[[#This Row],[Calls Ans]]</f>
        <v>4150</v>
      </c>
      <c r="J18" s="1">
        <f>J16+Table2[[#This Row],[Calls Off]]</f>
        <v>4356</v>
      </c>
      <c r="K18" s="1">
        <f>K16+Table2[[#This Row],[Calls Ans]]</f>
        <v>4150</v>
      </c>
      <c r="L18" s="38">
        <v>0.92</v>
      </c>
      <c r="M18" s="38">
        <v>0.03</v>
      </c>
      <c r="N18" s="38">
        <v>0.97</v>
      </c>
      <c r="O18" s="38">
        <v>0.6</v>
      </c>
      <c r="P18" s="38">
        <v>1</v>
      </c>
      <c r="Q18" s="228">
        <v>1.4120370370370369E-3</v>
      </c>
      <c r="R18" s="176">
        <v>4</v>
      </c>
      <c r="S18" s="28">
        <f t="shared" si="0"/>
        <v>45090</v>
      </c>
      <c r="T18" s="1" cm="1">
        <f t="array" ref="T18">SUMIFS(calls_off_OECS,period_OECS,"&gt;="&amp;S18,period_OECS,"&lt;"&amp;S19)</f>
        <v>2208</v>
      </c>
      <c r="U18" s="99" cm="1">
        <f t="array" ref="U18">SUMIFS(calls_ans_OECS,period_OECS,"&gt;="&amp;S18,period_OECS,"&lt;"&amp;S19)</f>
        <v>2145</v>
      </c>
    </row>
    <row r="19" spans="1:21" x14ac:dyDescent="0.35">
      <c r="A19" s="22">
        <v>45034</v>
      </c>
      <c r="B19" s="9" t="s">
        <v>50</v>
      </c>
      <c r="C19" s="9" t="s">
        <v>97</v>
      </c>
      <c r="D19" s="1">
        <v>364</v>
      </c>
      <c r="E19" s="1">
        <v>353</v>
      </c>
      <c r="F19" s="66">
        <f>(Table2[[#This Row],[Calls Off]]-D12)/D12</f>
        <v>-0.33333333333333331</v>
      </c>
      <c r="G19" s="66">
        <f>(Table2[[#This Row],[Calls Ans]]-E12)/E12</f>
        <v>-0.29116465863453816</v>
      </c>
      <c r="H19" s="1">
        <f>H18+Table2[[#This Row],[Calls Off]]</f>
        <v>4720</v>
      </c>
      <c r="I19" s="1">
        <f>I18+Table2[[#This Row],[Calls Ans]]</f>
        <v>4503</v>
      </c>
      <c r="J19" s="1">
        <f>J18+Table2[[#This Row],[Calls Off]]</f>
        <v>4720</v>
      </c>
      <c r="K19" s="1">
        <f>K18+Table2[[#This Row],[Calls Ans]]</f>
        <v>4503</v>
      </c>
      <c r="L19" s="18">
        <v>0.89</v>
      </c>
      <c r="M19" s="18">
        <v>0.03</v>
      </c>
      <c r="N19" s="18">
        <v>0.97</v>
      </c>
      <c r="O19" s="18">
        <v>0.63</v>
      </c>
      <c r="P19" s="18">
        <v>1</v>
      </c>
      <c r="Q19" s="224">
        <v>2.1180555555555553E-3</v>
      </c>
      <c r="R19" s="125">
        <v>4</v>
      </c>
      <c r="S19" s="28">
        <f t="shared" si="0"/>
        <v>45097</v>
      </c>
      <c r="T19" s="1" cm="1">
        <f t="array" ref="T19">SUMIFS(calls_off_OECS,period_OECS,"&gt;="&amp;S19,period_OECS,"&lt;"&amp;S20)</f>
        <v>1420</v>
      </c>
      <c r="U19" s="99" cm="1">
        <f t="array" ref="U19">SUMIFS(calls_ans_OECS,period_OECS,"&gt;="&amp;S19,period_OECS,"&lt;"&amp;S20)</f>
        <v>1378</v>
      </c>
    </row>
    <row r="20" spans="1:21" x14ac:dyDescent="0.35">
      <c r="A20" s="22">
        <v>45035</v>
      </c>
      <c r="B20" s="37" t="s">
        <v>51</v>
      </c>
      <c r="C20" s="9" t="s">
        <v>97</v>
      </c>
      <c r="D20" s="33">
        <v>412</v>
      </c>
      <c r="E20" s="33">
        <v>398</v>
      </c>
      <c r="F20" s="66">
        <f>(Table2[[#This Row],[Calls Off]]-D13)/D13</f>
        <v>-6.5759637188208611E-2</v>
      </c>
      <c r="G20" s="66">
        <f>(Table2[[#This Row],[Calls Ans]]-E13)/E13</f>
        <v>-4.784688995215311E-2</v>
      </c>
      <c r="H20" s="1">
        <f>H19+Table2[[#This Row],[Calls Off]]</f>
        <v>5132</v>
      </c>
      <c r="I20" s="1">
        <f>I19+Table2[[#This Row],[Calls Ans]]</f>
        <v>4901</v>
      </c>
      <c r="J20" s="1">
        <f>J19+Table2[[#This Row],[Calls Off]]</f>
        <v>5132</v>
      </c>
      <c r="K20" s="1">
        <f>K19+Table2[[#This Row],[Calls Ans]]</f>
        <v>4901</v>
      </c>
      <c r="L20" s="38">
        <v>0.9</v>
      </c>
      <c r="M20" s="38">
        <v>0.03</v>
      </c>
      <c r="N20" s="38">
        <v>0.97</v>
      </c>
      <c r="O20" s="38">
        <v>0.56999999999999995</v>
      </c>
      <c r="P20" s="38">
        <v>1</v>
      </c>
      <c r="Q20" s="228">
        <v>1.4120370370370369E-3</v>
      </c>
      <c r="R20" s="176">
        <v>4</v>
      </c>
      <c r="S20" s="28">
        <f t="shared" si="0"/>
        <v>45104</v>
      </c>
      <c r="T20" s="1" cm="1">
        <f t="array" ref="T20">SUMIFS(calls_off_OECS,period_OECS,"&gt;="&amp;S20,period_OECS,"&lt;"&amp;S21)</f>
        <v>2151</v>
      </c>
      <c r="U20" s="99" cm="1">
        <f t="array" ref="U20">SUMIFS(calls_ans_OECS,period_OECS,"&gt;="&amp;S20,period_OECS,"&lt;"&amp;S21)</f>
        <v>2075</v>
      </c>
    </row>
    <row r="21" spans="1:21" x14ac:dyDescent="0.35">
      <c r="A21" s="22">
        <v>45036</v>
      </c>
      <c r="B21" s="9" t="s">
        <v>52</v>
      </c>
      <c r="C21" s="9" t="s">
        <v>97</v>
      </c>
      <c r="D21" s="1">
        <v>404</v>
      </c>
      <c r="E21" s="1">
        <v>393</v>
      </c>
      <c r="F21" s="66">
        <f>(Table2[[#This Row],[Calls Off]]-D14)/D14</f>
        <v>-0.10816777041942605</v>
      </c>
      <c r="G21" s="66">
        <f>(Table2[[#This Row],[Calls Ans]]-E14)/E14</f>
        <v>-0.10884353741496598</v>
      </c>
      <c r="H21" s="1">
        <f>H20+Table2[[#This Row],[Calls Off]]</f>
        <v>5536</v>
      </c>
      <c r="I21" s="1">
        <f>I20+Table2[[#This Row],[Calls Ans]]</f>
        <v>5294</v>
      </c>
      <c r="J21" s="1">
        <f>J20+Table2[[#This Row],[Calls Off]]</f>
        <v>5536</v>
      </c>
      <c r="K21" s="1">
        <f>K20+Table2[[#This Row],[Calls Ans]]</f>
        <v>5294</v>
      </c>
      <c r="L21" s="18">
        <v>0.95</v>
      </c>
      <c r="M21" s="18">
        <v>0.03</v>
      </c>
      <c r="N21" s="18">
        <v>0.97</v>
      </c>
      <c r="O21" s="18">
        <v>0.69</v>
      </c>
      <c r="P21" s="18">
        <v>1</v>
      </c>
      <c r="Q21" s="224">
        <v>2.1180555555555553E-3</v>
      </c>
      <c r="R21" s="125">
        <v>4</v>
      </c>
      <c r="S21" s="28">
        <f t="shared" si="0"/>
        <v>45111</v>
      </c>
      <c r="T21" s="1" cm="1">
        <f t="array" ref="T21">SUMIFS(calls_off_OECS,period_OECS,"&gt;="&amp;S21,period_OECS,"&lt;"&amp;S22)</f>
        <v>1937</v>
      </c>
      <c r="U21" s="99" cm="1">
        <f t="array" ref="U21">SUMIFS(calls_ans_OECS,period_OECS,"&gt;="&amp;S21,period_OECS,"&lt;"&amp;S22)</f>
        <v>1881</v>
      </c>
    </row>
    <row r="22" spans="1:21" x14ac:dyDescent="0.35">
      <c r="A22" s="22">
        <v>45037</v>
      </c>
      <c r="B22" s="37" t="s">
        <v>53</v>
      </c>
      <c r="C22" s="9" t="s">
        <v>97</v>
      </c>
      <c r="D22" s="33">
        <v>501</v>
      </c>
      <c r="E22" s="33">
        <v>480</v>
      </c>
      <c r="F22" s="66">
        <f>(Table2[[#This Row],[Calls Off]]-D15)/D15</f>
        <v>0.17330210772833723</v>
      </c>
      <c r="G22" s="66">
        <f>(Table2[[#This Row],[Calls Ans]]-E15)/E15</f>
        <v>0.17359413202933985</v>
      </c>
      <c r="H22" s="1">
        <f>H21+Table2[[#This Row],[Calls Off]]</f>
        <v>6037</v>
      </c>
      <c r="I22" s="1">
        <f>I21+Table2[[#This Row],[Calls Ans]]</f>
        <v>5774</v>
      </c>
      <c r="J22" s="1">
        <f>J21+Table2[[#This Row],[Calls Off]]</f>
        <v>6037</v>
      </c>
      <c r="K22" s="1">
        <f>K21+Table2[[#This Row],[Calls Ans]]</f>
        <v>5774</v>
      </c>
      <c r="L22" s="38">
        <v>0.9</v>
      </c>
      <c r="M22" s="38">
        <v>0.04</v>
      </c>
      <c r="N22" s="38">
        <v>0.96</v>
      </c>
      <c r="O22" s="38">
        <v>0.56999999999999995</v>
      </c>
      <c r="P22" s="38">
        <v>1</v>
      </c>
      <c r="Q22" s="228">
        <v>1.4120370370370369E-3</v>
      </c>
      <c r="R22" s="176">
        <v>5</v>
      </c>
      <c r="S22" s="34">
        <f t="shared" si="0"/>
        <v>45118</v>
      </c>
      <c r="T22" s="1" cm="1">
        <f t="array" ref="T22">SUMIFS(calls_off_OECS,period_OECS,"&gt;="&amp;S22,period_OECS,"&lt;"&amp;S23)</f>
        <v>1812</v>
      </c>
      <c r="U22" s="99" cm="1">
        <f t="array" ref="U22">SUMIFS(calls_ans_OECS,period_OECS,"&gt;="&amp;S22,period_OECS,"&lt;"&amp;S23)</f>
        <v>1750</v>
      </c>
    </row>
    <row r="23" spans="1:21" x14ac:dyDescent="0.35">
      <c r="A23" s="22">
        <v>45038</v>
      </c>
      <c r="B23" s="9" t="s">
        <v>54</v>
      </c>
      <c r="C23" s="9" t="s">
        <v>97</v>
      </c>
      <c r="D23" s="1">
        <v>115</v>
      </c>
      <c r="E23" s="1">
        <v>110</v>
      </c>
      <c r="F23" s="66">
        <f>(Table2[[#This Row],[Calls Off]]-D16)/D16</f>
        <v>8.771929824561403E-3</v>
      </c>
      <c r="G23" s="66">
        <f>(Table2[[#This Row],[Calls Ans]]-E16)/E16</f>
        <v>-2.6548672566371681E-2</v>
      </c>
      <c r="H23" s="1">
        <f>H22+Table2[[#This Row],[Calls Off]]</f>
        <v>6152</v>
      </c>
      <c r="I23" s="1">
        <f>I22+Table2[[#This Row],[Calls Ans]]</f>
        <v>5884</v>
      </c>
      <c r="J23" s="1">
        <f>J22+Table2[[#This Row],[Calls Off]]</f>
        <v>6152</v>
      </c>
      <c r="K23" s="1">
        <f>K22+Table2[[#This Row],[Calls Ans]]</f>
        <v>5884</v>
      </c>
      <c r="L23" s="18">
        <v>0.89</v>
      </c>
      <c r="M23" s="18">
        <v>0.04</v>
      </c>
      <c r="N23" s="18">
        <v>0.96</v>
      </c>
      <c r="O23" s="18">
        <v>0.38</v>
      </c>
      <c r="P23" s="18">
        <v>1</v>
      </c>
      <c r="Q23" s="224">
        <v>1.4120370370370369E-3</v>
      </c>
      <c r="R23" s="125">
        <v>3</v>
      </c>
      <c r="S23" s="34">
        <f t="shared" si="0"/>
        <v>45125</v>
      </c>
      <c r="T23" s="1" cm="1">
        <f t="array" ref="T23">SUMIFS(calls_off_OECS,period_OECS,"&gt;="&amp;S23,period_OECS,"&lt;"&amp;S24)</f>
        <v>0</v>
      </c>
      <c r="U23" s="99" cm="1">
        <f t="array" ref="U23">SUMIFS(calls_ans_OECS,period_OECS,"&gt;="&amp;S23,period_OECS,"&lt;"&amp;S24)</f>
        <v>0</v>
      </c>
    </row>
    <row r="24" spans="1:21" x14ac:dyDescent="0.35">
      <c r="A24" s="22">
        <v>45039</v>
      </c>
      <c r="B24" s="37" t="s">
        <v>48</v>
      </c>
      <c r="C24" s="9" t="s">
        <v>97</v>
      </c>
      <c r="D24" s="33">
        <v>0</v>
      </c>
      <c r="E24" s="33">
        <v>0</v>
      </c>
      <c r="F24" s="65">
        <v>0</v>
      </c>
      <c r="G24" s="65">
        <v>0</v>
      </c>
      <c r="H24" s="33">
        <v>0</v>
      </c>
      <c r="I24" s="33">
        <v>0</v>
      </c>
      <c r="J24" s="33">
        <v>0</v>
      </c>
      <c r="K24" s="33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228">
        <v>0</v>
      </c>
      <c r="R24" s="176">
        <v>0</v>
      </c>
      <c r="S24" s="34">
        <f t="shared" si="0"/>
        <v>45132</v>
      </c>
      <c r="T24" s="1" cm="1">
        <f t="array" ref="T24">SUMIFS(calls_off_OECS,period_OECS,"&gt;="&amp;S24,period_OECS,"&lt;"&amp;S25)</f>
        <v>0</v>
      </c>
      <c r="U24" s="99">
        <f>SUMIFS(E18:E264,A19:A265,"&gt;="&amp;S24,A18:A264,"&lt;"&amp;S25)</f>
        <v>0</v>
      </c>
    </row>
    <row r="25" spans="1:21" x14ac:dyDescent="0.35">
      <c r="A25" s="22">
        <v>45040</v>
      </c>
      <c r="B25" s="9" t="s">
        <v>49</v>
      </c>
      <c r="C25" s="9" t="s">
        <v>97</v>
      </c>
      <c r="D25" s="1">
        <v>467</v>
      </c>
      <c r="E25" s="1">
        <v>444</v>
      </c>
      <c r="F25" s="66">
        <f>(Table2[[#This Row],[Calls Off]]-D18)/D18</f>
        <v>7.3563218390804597E-2</v>
      </c>
      <c r="G25" s="66">
        <f>(Table2[[#This Row],[Calls Ans]]-E18)/E18</f>
        <v>5.2132701421800945E-2</v>
      </c>
      <c r="H25" s="1">
        <f>H23+Table2[[#This Row],[Calls Off]]</f>
        <v>6619</v>
      </c>
      <c r="I25" s="1">
        <f>I23+Table2[[#This Row],[Calls Ans]]</f>
        <v>6328</v>
      </c>
      <c r="J25" s="1">
        <f>J23+Table2[[#This Row],[Calls Off]]</f>
        <v>6619</v>
      </c>
      <c r="K25" s="1">
        <f>K23+Table2[[#This Row],[Calls Ans]]</f>
        <v>6328</v>
      </c>
      <c r="L25" s="18">
        <v>0.88</v>
      </c>
      <c r="M25" s="18">
        <v>0.05</v>
      </c>
      <c r="N25" s="18">
        <v>0.95</v>
      </c>
      <c r="O25" s="18">
        <v>0.65</v>
      </c>
      <c r="P25" s="18">
        <v>1</v>
      </c>
      <c r="Q25" s="224">
        <v>1.4120370370370369E-3</v>
      </c>
      <c r="R25" s="125">
        <v>4</v>
      </c>
      <c r="S25" s="34">
        <f t="shared" si="0"/>
        <v>45139</v>
      </c>
      <c r="T25" s="1" cm="1">
        <f t="array" ref="T25">SUMIFS(calls_off_OECS,period_OECS,"&gt;="&amp;S25,period_OECS,"&lt;"&amp;S26)</f>
        <v>0</v>
      </c>
      <c r="U25" s="99">
        <f>SUMIFS(E19:E259,A20:A260,"&gt;="&amp;S25,A19:A259,"&lt;"&amp;S26)</f>
        <v>0</v>
      </c>
    </row>
    <row r="26" spans="1:21" x14ac:dyDescent="0.35">
      <c r="A26" s="22">
        <v>45041</v>
      </c>
      <c r="B26" s="37" t="s">
        <v>50</v>
      </c>
      <c r="C26" s="9" t="s">
        <v>97</v>
      </c>
      <c r="D26" s="33">
        <v>397</v>
      </c>
      <c r="E26" s="33">
        <v>385</v>
      </c>
      <c r="F26" s="66">
        <f>(Table2[[#This Row],[Calls Off]]-D19)/D19</f>
        <v>9.0659340659340656E-2</v>
      </c>
      <c r="G26" s="66">
        <f>(Table2[[#This Row],[Calls Ans]]-E19)/E19</f>
        <v>9.0651558073654395E-2</v>
      </c>
      <c r="H26" s="1">
        <f>H25+Table2[[#This Row],[Calls Off]]</f>
        <v>7016</v>
      </c>
      <c r="I26" s="1">
        <f>I25+Table2[[#This Row],[Calls Ans]]</f>
        <v>6713</v>
      </c>
      <c r="J26" s="1">
        <f>J25+Table2[[#This Row],[Calls Off]]</f>
        <v>7016</v>
      </c>
      <c r="K26" s="1">
        <f>K25+Table2[[#This Row],[Calls Ans]]</f>
        <v>6713</v>
      </c>
      <c r="L26" s="38">
        <v>0.9</v>
      </c>
      <c r="M26" s="38">
        <v>0.03</v>
      </c>
      <c r="N26" s="38">
        <v>0.97</v>
      </c>
      <c r="O26" s="38">
        <v>0.47</v>
      </c>
      <c r="P26" s="38">
        <v>1</v>
      </c>
      <c r="Q26" s="228">
        <v>1.4120370370370369E-3</v>
      </c>
      <c r="R26" s="176">
        <v>5</v>
      </c>
      <c r="S26" s="34">
        <f t="shared" si="0"/>
        <v>45146</v>
      </c>
      <c r="T26" s="1" cm="1">
        <f t="array" ref="T26">SUMIFS(calls_off_OECS,period_OECS,"&gt;="&amp;S26,period_OECS,"&lt;"&amp;S27)</f>
        <v>0</v>
      </c>
      <c r="U26" s="99">
        <f>SUMIFS(E2:E367,A2:A367,"&gt;="&amp;S26,A2:A367,"&lt;"&amp;S27)</f>
        <v>0</v>
      </c>
    </row>
    <row r="27" spans="1:21" x14ac:dyDescent="0.35">
      <c r="A27" s="22">
        <v>45042</v>
      </c>
      <c r="B27" s="9" t="s">
        <v>51</v>
      </c>
      <c r="C27" s="9" t="s">
        <v>97</v>
      </c>
      <c r="D27" s="1">
        <v>456</v>
      </c>
      <c r="E27" s="1">
        <v>436</v>
      </c>
      <c r="F27" s="66">
        <f>(Table2[[#This Row],[Calls Off]]-D20)/D20</f>
        <v>0.10679611650485436</v>
      </c>
      <c r="G27" s="66">
        <f>(Table2[[#This Row],[Calls Ans]]-E20)/E20</f>
        <v>9.5477386934673364E-2</v>
      </c>
      <c r="H27" s="1">
        <f>H26+Table2[[#This Row],[Calls Off]]</f>
        <v>7472</v>
      </c>
      <c r="I27" s="1">
        <f>I26+Table2[[#This Row],[Calls Ans]]</f>
        <v>7149</v>
      </c>
      <c r="J27" s="1">
        <f>J26+Table2[[#This Row],[Calls Off]]</f>
        <v>7472</v>
      </c>
      <c r="K27" s="1">
        <f>K26+Table2[[#This Row],[Calls Ans]]</f>
        <v>7149</v>
      </c>
      <c r="L27" s="18">
        <v>0.88</v>
      </c>
      <c r="M27" s="18">
        <v>0.04</v>
      </c>
      <c r="N27" s="18">
        <v>0.96</v>
      </c>
      <c r="O27" s="18">
        <v>0.64</v>
      </c>
      <c r="P27" s="18">
        <v>1</v>
      </c>
      <c r="Q27" s="224">
        <v>1.4120370370370369E-3</v>
      </c>
      <c r="R27" s="125">
        <v>4</v>
      </c>
      <c r="S27" s="34">
        <f t="shared" si="0"/>
        <v>45153</v>
      </c>
      <c r="T27" s="1" cm="1">
        <f t="array" ref="T27">SUMIFS(calls_off_OECS,period_OECS,"&gt;="&amp;S27,period_OECS,"&lt;"&amp;S28)</f>
        <v>0</v>
      </c>
      <c r="U27" s="99">
        <f>SUMIFS(E3:E259,A3:A259,"&gt;="&amp;S27,A3:A259,"&lt;"&amp;S28)</f>
        <v>0</v>
      </c>
    </row>
    <row r="28" spans="1:21" x14ac:dyDescent="0.35">
      <c r="A28" s="22">
        <v>45043</v>
      </c>
      <c r="B28" s="37" t="s">
        <v>52</v>
      </c>
      <c r="C28" s="9" t="s">
        <v>97</v>
      </c>
      <c r="D28" s="33">
        <v>413</v>
      </c>
      <c r="E28" s="33">
        <v>409</v>
      </c>
      <c r="F28" s="66">
        <f>(Table2[[#This Row],[Calls Off]]-D21)/D21</f>
        <v>2.2277227722772276E-2</v>
      </c>
      <c r="G28" s="66">
        <f>(Table2[[#This Row],[Calls Ans]]-E21)/E21</f>
        <v>4.0712468193384227E-2</v>
      </c>
      <c r="H28" s="1">
        <f>H27+Table2[[#This Row],[Calls Off]]</f>
        <v>7885</v>
      </c>
      <c r="I28" s="1">
        <f>I27+Table2[[#This Row],[Calls Ans]]</f>
        <v>7558</v>
      </c>
      <c r="J28" s="1">
        <f>J27+Table2[[#This Row],[Calls Off]]</f>
        <v>7885</v>
      </c>
      <c r="K28" s="1">
        <f>K27+Table2[[#This Row],[Calls Ans]]</f>
        <v>7558</v>
      </c>
      <c r="L28" s="38">
        <v>0.89</v>
      </c>
      <c r="M28" s="38">
        <v>0.01</v>
      </c>
      <c r="N28" s="38">
        <v>0.99</v>
      </c>
      <c r="O28" s="38">
        <v>0.7</v>
      </c>
      <c r="P28" s="38">
        <v>1</v>
      </c>
      <c r="Q28" s="228">
        <v>2.1180555555555553E-3</v>
      </c>
      <c r="R28" s="176">
        <v>4</v>
      </c>
      <c r="S28" s="34">
        <f t="shared" si="0"/>
        <v>45160</v>
      </c>
      <c r="T28" s="1" cm="1">
        <f t="array" ref="T28">SUMIFS(calls_off_OECS,period_OECS,"&gt;="&amp;S28,period_OECS,"&lt;"&amp;S29)</f>
        <v>0</v>
      </c>
      <c r="U28" s="99">
        <f>SUMIFS(Table2[Calls Ans],Table2[Date],"&gt;="&amp;S28,A2:A367,"&lt;"&amp;S29)</f>
        <v>0</v>
      </c>
    </row>
    <row r="29" spans="1:21" x14ac:dyDescent="0.35">
      <c r="A29" s="22">
        <v>45044</v>
      </c>
      <c r="B29" s="9" t="s">
        <v>53</v>
      </c>
      <c r="C29" s="9" t="s">
        <v>97</v>
      </c>
      <c r="D29" s="1">
        <v>469</v>
      </c>
      <c r="E29" s="1">
        <v>448</v>
      </c>
      <c r="F29" s="66">
        <f>(Table2[[#This Row],[Calls Off]]-D22)/D22</f>
        <v>-6.3872255489021951E-2</v>
      </c>
      <c r="G29" s="66">
        <f>(Table2[[#This Row],[Calls Ans]]-E22)/E22</f>
        <v>-6.6666666666666666E-2</v>
      </c>
      <c r="H29" s="1">
        <f>H28+Table2[[#This Row],[Calls Off]]</f>
        <v>8354</v>
      </c>
      <c r="I29" s="1">
        <f>I28+Table2[[#This Row],[Calls Ans]]</f>
        <v>8006</v>
      </c>
      <c r="J29" s="1">
        <f>J28+Table2[[#This Row],[Calls Off]]</f>
        <v>8354</v>
      </c>
      <c r="K29" s="1">
        <f>K28+Table2[[#This Row],[Calls Ans]]</f>
        <v>8006</v>
      </c>
      <c r="L29" s="18">
        <v>0.89</v>
      </c>
      <c r="M29" s="18">
        <v>0.04</v>
      </c>
      <c r="N29" s="18">
        <v>0.96</v>
      </c>
      <c r="O29" s="18">
        <v>0.5</v>
      </c>
      <c r="P29" s="18">
        <v>1</v>
      </c>
      <c r="Q29" s="224">
        <v>1.4120370370370369E-3</v>
      </c>
      <c r="R29" s="125">
        <v>5</v>
      </c>
      <c r="S29" s="34">
        <f t="shared" si="0"/>
        <v>45167</v>
      </c>
      <c r="T29" s="1" cm="1">
        <f t="array" ref="T29">SUMIFS(calls_off_OECS,period_OECS,"&gt;="&amp;S29,period_OECS,"&lt;"&amp;S30)</f>
        <v>0</v>
      </c>
      <c r="U29" s="99">
        <f>SUMIFS(Table2[Calls Ans],Table2[Date],"&gt;="&amp;S29,Table2[Date],"&lt;"&amp;S30)</f>
        <v>0</v>
      </c>
    </row>
    <row r="30" spans="1:21" x14ac:dyDescent="0.35">
      <c r="A30" s="22">
        <v>45045</v>
      </c>
      <c r="B30" s="37" t="s">
        <v>54</v>
      </c>
      <c r="C30" s="9" t="s">
        <v>97</v>
      </c>
      <c r="D30" s="33">
        <v>173</v>
      </c>
      <c r="E30" s="33">
        <v>169</v>
      </c>
      <c r="F30" s="66">
        <f>(Table2[[#This Row],[Calls Off]]-D23)/D23</f>
        <v>0.5043478260869565</v>
      </c>
      <c r="G30" s="66">
        <f>(Table2[[#This Row],[Calls Ans]]-E23)/E23</f>
        <v>0.53636363636363638</v>
      </c>
      <c r="H30" s="1">
        <f>H29+Table2[[#This Row],[Calls Off]]</f>
        <v>8527</v>
      </c>
      <c r="I30" s="1">
        <f>I29+Table2[[#This Row],[Calls Ans]]</f>
        <v>8175</v>
      </c>
      <c r="J30" s="1">
        <f>J29+Table2[[#This Row],[Calls Off]]</f>
        <v>8527</v>
      </c>
      <c r="K30" s="1">
        <f>K29+Table2[[#This Row],[Calls Ans]]</f>
        <v>8175</v>
      </c>
      <c r="L30" s="38">
        <v>0.94</v>
      </c>
      <c r="M30" s="38">
        <v>0.02</v>
      </c>
      <c r="N30" s="38">
        <v>0.98</v>
      </c>
      <c r="O30" s="38">
        <v>0.39</v>
      </c>
      <c r="P30" s="38">
        <v>1</v>
      </c>
      <c r="Q30" s="228">
        <v>1.4120370370370369E-3</v>
      </c>
      <c r="R30" s="176">
        <v>4</v>
      </c>
      <c r="S30" s="34">
        <f t="shared" si="0"/>
        <v>45174</v>
      </c>
      <c r="T30" s="1" cm="1">
        <f t="array" ref="T30">SUMIFS(calls_off_OECS,period_OECS,"&gt;="&amp;S30,period_OECS,"&lt;"&amp;S31)</f>
        <v>0</v>
      </c>
      <c r="U30" s="99">
        <f>SUMIFS(Table2[Calls Ans],Table2[Date],"&gt;="&amp;S30,Table2[Date],"&lt;"&amp;S31)</f>
        <v>0</v>
      </c>
    </row>
    <row r="31" spans="1:21" x14ac:dyDescent="0.35">
      <c r="A31" s="22">
        <v>45046</v>
      </c>
      <c r="B31" s="9" t="s">
        <v>48</v>
      </c>
      <c r="C31" s="9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224">
        <v>0</v>
      </c>
      <c r="R31" s="125">
        <v>0</v>
      </c>
      <c r="S31" s="34">
        <f t="shared" si="0"/>
        <v>45181</v>
      </c>
      <c r="T31" s="1" cm="1">
        <f t="array" ref="T31">SUMIFS(calls_off_OECS,period_OECS,"&gt;="&amp;S31,period_OECS,"&lt;"&amp;S32)</f>
        <v>0</v>
      </c>
      <c r="U31" s="99">
        <f>SUMIFS(Table2[Calls Ans],Table2[Date],"&gt;="&amp;S31,Table2[Date],"&lt;"&amp;S32)</f>
        <v>0</v>
      </c>
    </row>
    <row r="32" spans="1:21" x14ac:dyDescent="0.35">
      <c r="A32" s="22">
        <v>45047</v>
      </c>
      <c r="B32" s="37" t="s">
        <v>49</v>
      </c>
      <c r="C32" s="9" t="s">
        <v>97</v>
      </c>
      <c r="D32" s="33">
        <v>0</v>
      </c>
      <c r="E32" s="33">
        <v>0</v>
      </c>
      <c r="F32" s="65">
        <v>0</v>
      </c>
      <c r="G32" s="65">
        <v>0</v>
      </c>
      <c r="H32" s="33">
        <v>0</v>
      </c>
      <c r="I32" s="33">
        <v>0</v>
      </c>
      <c r="J32" s="33">
        <v>0</v>
      </c>
      <c r="K32" s="33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228">
        <v>0</v>
      </c>
      <c r="R32" s="176">
        <v>0</v>
      </c>
      <c r="S32" s="34">
        <f t="shared" si="0"/>
        <v>45188</v>
      </c>
      <c r="T32" s="1" cm="1">
        <f t="array" ref="T32">SUMIFS(calls_off_OECS,period_OECS,"&gt;="&amp;S32,period_OECS,"&lt;"&amp;S33)</f>
        <v>0</v>
      </c>
      <c r="U32" s="99">
        <f>SUMIFS(Table2[Calls Ans],Table2[Date],"&gt;="&amp;S32,Table2[Date],"&lt;"&amp;S33)</f>
        <v>0</v>
      </c>
    </row>
    <row r="33" spans="1:21" x14ac:dyDescent="0.35">
      <c r="A33" s="22">
        <v>45048</v>
      </c>
      <c r="B33" s="9" t="s">
        <v>50</v>
      </c>
      <c r="C33" s="9" t="s">
        <v>97</v>
      </c>
      <c r="D33" s="1">
        <v>540</v>
      </c>
      <c r="E33" s="1">
        <v>512</v>
      </c>
      <c r="F33" s="66">
        <f>(Table2[[#This Row],[Calls Off]]-D26)/D26</f>
        <v>0.3602015113350126</v>
      </c>
      <c r="G33" s="66">
        <f>(Table2[[#This Row],[Calls Ans]]-E26)/E26</f>
        <v>0.32987012987012987</v>
      </c>
      <c r="H33" s="1">
        <f>H32+Table2[[#This Row],[Calls Off]]</f>
        <v>540</v>
      </c>
      <c r="I33" s="1">
        <f>I32+Table2[[#This Row],[Calls Ans]]</f>
        <v>512</v>
      </c>
      <c r="J33" s="1">
        <f>J30+Table2[[#This Row],[Calls Off]]</f>
        <v>9067</v>
      </c>
      <c r="K33" s="1">
        <f>K30+Table2[[#This Row],[Calls Ans]]</f>
        <v>8687</v>
      </c>
      <c r="L33" s="18">
        <v>0.83</v>
      </c>
      <c r="M33" s="18">
        <v>0.05</v>
      </c>
      <c r="N33" s="18">
        <v>0.95</v>
      </c>
      <c r="O33" s="18">
        <v>0.71</v>
      </c>
      <c r="P33" s="18">
        <v>1</v>
      </c>
      <c r="Q33" s="224">
        <v>2.1180555555555553E-3</v>
      </c>
      <c r="R33" s="125">
        <v>5</v>
      </c>
      <c r="S33" s="34">
        <f t="shared" si="0"/>
        <v>45195</v>
      </c>
      <c r="T33" s="1" cm="1">
        <f t="array" ref="T33">SUMIFS(calls_off_OECS,period_OECS,"&gt;="&amp;S33,period_OECS,"&lt;"&amp;S34)</f>
        <v>0</v>
      </c>
      <c r="U33" s="99">
        <f>SUMIFS(Table2[Calls Ans],Table2[Date],"&gt;="&amp;S33,Table2[Date],"&lt;"&amp;S34)</f>
        <v>0</v>
      </c>
    </row>
    <row r="34" spans="1:21" x14ac:dyDescent="0.35">
      <c r="A34" s="22">
        <v>45049</v>
      </c>
      <c r="B34" s="37" t="s">
        <v>51</v>
      </c>
      <c r="C34" s="37" t="s">
        <v>97</v>
      </c>
      <c r="D34" s="33">
        <v>484</v>
      </c>
      <c r="E34" s="33">
        <v>457</v>
      </c>
      <c r="F34" s="66">
        <f>(Table2[[#This Row],[Calls Off]]-D27)/D27</f>
        <v>6.1403508771929821E-2</v>
      </c>
      <c r="G34" s="66">
        <f>(Table2[[#This Row],[Calls Ans]]-E27)/E27</f>
        <v>4.8165137614678902E-2</v>
      </c>
      <c r="H34" s="1">
        <f>H33+Table2[[#This Row],[Calls Off]]</f>
        <v>1024</v>
      </c>
      <c r="I34" s="1">
        <f>I33+Table2[[#This Row],[Calls Ans]]</f>
        <v>969</v>
      </c>
      <c r="J34" s="1">
        <f>J33+Table2[[#This Row],[Calls Off]]</f>
        <v>9551</v>
      </c>
      <c r="K34" s="1">
        <f>K33+Table2[[#This Row],[Calls Ans]]</f>
        <v>9144</v>
      </c>
      <c r="L34" s="38">
        <v>0.83</v>
      </c>
      <c r="M34" s="38">
        <v>0.06</v>
      </c>
      <c r="N34" s="38">
        <v>0.94</v>
      </c>
      <c r="O34" s="38">
        <v>0.65</v>
      </c>
      <c r="P34" s="38">
        <v>1</v>
      </c>
      <c r="Q34" s="228">
        <v>2.1180555555555553E-3</v>
      </c>
      <c r="R34" s="176">
        <v>5</v>
      </c>
      <c r="S34" s="34">
        <f t="shared" si="0"/>
        <v>45202</v>
      </c>
      <c r="T34" s="1" cm="1">
        <f t="array" ref="T34">SUMIFS(calls_off_OECS,period_OECS,"&gt;="&amp;S34,period_OECS,"&lt;"&amp;S35)</f>
        <v>0</v>
      </c>
      <c r="U34" s="99">
        <f>SUMIFS(Table2[Calls Ans],Table2[Date],"&gt;="&amp;S34,Table2[Date],"&lt;"&amp;S35)</f>
        <v>0</v>
      </c>
    </row>
    <row r="35" spans="1:21" x14ac:dyDescent="0.35">
      <c r="A35" s="22">
        <v>45050</v>
      </c>
      <c r="B35" s="9" t="s">
        <v>52</v>
      </c>
      <c r="C35" s="9" t="s">
        <v>97</v>
      </c>
      <c r="D35" s="1">
        <v>450</v>
      </c>
      <c r="E35" s="1">
        <v>426</v>
      </c>
      <c r="F35" s="66">
        <f>(Table2[[#This Row],[Calls Off]]-D28)/D28</f>
        <v>8.9588377723970949E-2</v>
      </c>
      <c r="G35" s="66">
        <f>(Table2[[#This Row],[Calls Ans]]-E28)/E28</f>
        <v>4.1564792176039117E-2</v>
      </c>
      <c r="H35" s="1">
        <f>H34+Table2[[#This Row],[Calls Off]]</f>
        <v>1474</v>
      </c>
      <c r="I35" s="1">
        <f>I34+Table2[[#This Row],[Calls Ans]]</f>
        <v>1395</v>
      </c>
      <c r="J35" s="1">
        <f>J34+Table2[[#This Row],[Calls Off]]</f>
        <v>10001</v>
      </c>
      <c r="K35" s="1">
        <f>K34+Table2[[#This Row],[Calls Ans]]</f>
        <v>9570</v>
      </c>
      <c r="L35" s="18">
        <v>0.9</v>
      </c>
      <c r="M35" s="18">
        <v>0.05</v>
      </c>
      <c r="N35" s="18">
        <v>0.95</v>
      </c>
      <c r="O35" s="18">
        <v>0.59</v>
      </c>
      <c r="P35" s="18">
        <v>1</v>
      </c>
      <c r="Q35" s="224">
        <v>2.1180555555555553E-3</v>
      </c>
      <c r="R35" s="125">
        <v>5</v>
      </c>
      <c r="S35" s="34">
        <f>S34+7</f>
        <v>45209</v>
      </c>
      <c r="T35" s="1" cm="1">
        <f t="array" ref="T35">SUMIFS(calls_off_OECS,period_OECS,"&gt;="&amp;S35,period_OECS,"&lt;"&amp;S36)</f>
        <v>0</v>
      </c>
      <c r="U35" s="99">
        <f>SUMIFS(Table2[Calls Ans],Table2[Date],"&gt;="&amp;S35,Table2[Date],"&lt;"&amp;S36)</f>
        <v>0</v>
      </c>
    </row>
    <row r="36" spans="1:21" x14ac:dyDescent="0.35">
      <c r="A36" s="22">
        <v>45051</v>
      </c>
      <c r="B36" s="37" t="s">
        <v>53</v>
      </c>
      <c r="C36" s="37" t="s">
        <v>97</v>
      </c>
      <c r="D36" s="33">
        <v>454</v>
      </c>
      <c r="E36" s="33">
        <v>429</v>
      </c>
      <c r="F36" s="66">
        <f>(Table2[[#This Row],[Calls Off]]-D29)/D29</f>
        <v>-3.1982942430703626E-2</v>
      </c>
      <c r="G36" s="66">
        <f>(Table2[[#This Row],[Calls Ans]]-E29)/E29</f>
        <v>-4.2410714285714288E-2</v>
      </c>
      <c r="H36" s="1">
        <f>H35+Table2[[#This Row],[Calls Off]]</f>
        <v>1928</v>
      </c>
      <c r="I36" s="1">
        <f>I35+Table2[[#This Row],[Calls Ans]]</f>
        <v>1824</v>
      </c>
      <c r="J36" s="1">
        <f>J35+Table2[[#This Row],[Calls Off]]</f>
        <v>10455</v>
      </c>
      <c r="K36" s="1">
        <f>K35+Table2[[#This Row],[Calls Ans]]</f>
        <v>9999</v>
      </c>
      <c r="L36" s="38">
        <v>0.85</v>
      </c>
      <c r="M36" s="38">
        <v>0.06</v>
      </c>
      <c r="N36" s="38">
        <v>0.94</v>
      </c>
      <c r="O36" s="38">
        <v>0.6</v>
      </c>
      <c r="P36" s="38">
        <v>1</v>
      </c>
      <c r="Q36" s="228">
        <v>2.1180555555555553E-3</v>
      </c>
      <c r="R36" s="176">
        <v>5</v>
      </c>
      <c r="S36" s="34">
        <f t="shared" si="0"/>
        <v>45216</v>
      </c>
      <c r="T36" s="1" cm="1">
        <f t="array" ref="T36">SUMIFS(calls_off_OECS,period_OECS,"&gt;="&amp;S36,period_OECS,"&lt;"&amp;S37)</f>
        <v>0</v>
      </c>
      <c r="U36" s="99">
        <f>SUMIFS(Table2[Calls Ans],Table2[Date],"&gt;="&amp;S36,Table2[Date],"&lt;"&amp;S37)</f>
        <v>0</v>
      </c>
    </row>
    <row r="37" spans="1:21" x14ac:dyDescent="0.35">
      <c r="A37" s="22">
        <v>45052</v>
      </c>
      <c r="B37" s="9" t="s">
        <v>54</v>
      </c>
      <c r="C37" s="9" t="s">
        <v>97</v>
      </c>
      <c r="D37" s="1">
        <v>157</v>
      </c>
      <c r="E37" s="1">
        <v>151</v>
      </c>
      <c r="F37" s="66">
        <f>(Table2[[#This Row],[Calls Off]]-D30)/D30</f>
        <v>-9.2485549132947972E-2</v>
      </c>
      <c r="G37" s="66">
        <f>(Table2[[#This Row],[Calls Ans]]-E30)/E30</f>
        <v>-0.10650887573964497</v>
      </c>
      <c r="H37" s="1">
        <f>H36+Table2[[#This Row],[Calls Off]]</f>
        <v>2085</v>
      </c>
      <c r="I37" s="1">
        <f>I36+Table2[[#This Row],[Calls Ans]]</f>
        <v>1975</v>
      </c>
      <c r="J37" s="1">
        <f>J36+Table2[[#This Row],[Calls Off]]</f>
        <v>10612</v>
      </c>
      <c r="K37" s="1">
        <f>K36+Table2[[#This Row],[Calls Ans]]</f>
        <v>10150</v>
      </c>
      <c r="L37" s="18">
        <v>0.94</v>
      </c>
      <c r="M37" s="18">
        <v>0.04</v>
      </c>
      <c r="N37" s="18">
        <v>0.96</v>
      </c>
      <c r="O37" s="18">
        <v>0.46</v>
      </c>
      <c r="P37" s="18">
        <v>1</v>
      </c>
      <c r="Q37" s="224">
        <v>2.1180555555555553E-3</v>
      </c>
      <c r="R37" s="125">
        <v>4</v>
      </c>
      <c r="S37" s="34">
        <f t="shared" si="0"/>
        <v>45223</v>
      </c>
      <c r="T37" s="1" cm="1">
        <f t="array" ref="T37">SUMIFS(calls_off_OECS,period_OECS,"&gt;="&amp;S37,period_OECS,"&lt;"&amp;S38)</f>
        <v>0</v>
      </c>
      <c r="U37" s="99">
        <f>SUMIFS(Table2[Calls Ans],Table2[Date],"&gt;="&amp;S37,Table2[Date],"&lt;"&amp;S38)</f>
        <v>0</v>
      </c>
    </row>
    <row r="38" spans="1:21" x14ac:dyDescent="0.35">
      <c r="A38" s="22">
        <v>45053</v>
      </c>
      <c r="B38" s="37" t="s">
        <v>48</v>
      </c>
      <c r="C38" s="37" t="s">
        <v>97</v>
      </c>
      <c r="D38" s="33">
        <v>0</v>
      </c>
      <c r="E38" s="33">
        <v>0</v>
      </c>
      <c r="F38" s="65">
        <v>0</v>
      </c>
      <c r="G38" s="65">
        <v>0</v>
      </c>
      <c r="H38" s="33">
        <v>0</v>
      </c>
      <c r="I38" s="33">
        <v>0</v>
      </c>
      <c r="J38" s="33">
        <v>0</v>
      </c>
      <c r="K38" s="33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228">
        <v>0</v>
      </c>
      <c r="R38" s="176">
        <v>0</v>
      </c>
      <c r="S38" s="34">
        <f t="shared" si="0"/>
        <v>45230</v>
      </c>
      <c r="T38" s="1" cm="1">
        <f t="array" ref="T38">SUMIFS(calls_off_OECS,period_OECS,"&gt;="&amp;S38,period_OECS,"&lt;"&amp;S39)</f>
        <v>0</v>
      </c>
      <c r="U38" s="99">
        <f>SUMIFS(Table2[Calls Ans],Table2[Date],"&gt;="&amp;S38,Table2[Date],"&lt;"&amp;S39)</f>
        <v>0</v>
      </c>
    </row>
    <row r="39" spans="1:21" x14ac:dyDescent="0.35">
      <c r="A39" s="22">
        <v>45054</v>
      </c>
      <c r="B39" s="9" t="s">
        <v>49</v>
      </c>
      <c r="C39" s="9" t="s">
        <v>97</v>
      </c>
      <c r="D39" s="1">
        <v>429</v>
      </c>
      <c r="E39" s="1">
        <v>408</v>
      </c>
      <c r="F39" s="66">
        <f>IFERROR((Table2[[#This Row],[Calls Off]]-D32)/D32,0)</f>
        <v>0</v>
      </c>
      <c r="G39" s="66">
        <f>IFERROR((Table2[[#This Row],[Calls Ans]]-E32)/E32,0)</f>
        <v>0</v>
      </c>
      <c r="H39" s="1">
        <f>H37+Table2[[#This Row],[Calls Off]]</f>
        <v>2514</v>
      </c>
      <c r="I39" s="1">
        <f>I37+Table2[[#This Row],[Calls Ans]]</f>
        <v>2383</v>
      </c>
      <c r="J39" s="1">
        <f>J37+Table2[[#This Row],[Calls Off]]</f>
        <v>11041</v>
      </c>
      <c r="K39" s="1">
        <f>K37+Table2[[#This Row],[Calls Ans]]</f>
        <v>10558</v>
      </c>
      <c r="L39" s="18">
        <v>0.88</v>
      </c>
      <c r="M39" s="18">
        <v>0.05</v>
      </c>
      <c r="N39" s="18">
        <v>0.95</v>
      </c>
      <c r="O39" s="18">
        <v>0.56000000000000005</v>
      </c>
      <c r="P39" s="18">
        <v>1</v>
      </c>
      <c r="Q39" s="224">
        <v>1.4120370370370369E-3</v>
      </c>
      <c r="R39" s="125">
        <v>5</v>
      </c>
      <c r="S39" s="34">
        <f t="shared" si="0"/>
        <v>45237</v>
      </c>
      <c r="T39" s="1" cm="1">
        <f t="array" ref="T39">SUMIFS(calls_off_OECS,period_OECS,"&gt;="&amp;S39,period_OECS,"&lt;"&amp;S40)</f>
        <v>0</v>
      </c>
      <c r="U39" s="99">
        <f>SUMIFS(Table2[Calls Ans],Table2[Date],"&gt;="&amp;S39,Table2[Date],"&lt;"&amp;S40)</f>
        <v>0</v>
      </c>
    </row>
    <row r="40" spans="1:21" x14ac:dyDescent="0.35">
      <c r="A40" s="22">
        <v>45055</v>
      </c>
      <c r="B40" s="37" t="s">
        <v>50</v>
      </c>
      <c r="C40" s="37" t="s">
        <v>97</v>
      </c>
      <c r="D40" s="33">
        <v>453</v>
      </c>
      <c r="E40" s="33">
        <v>425</v>
      </c>
      <c r="F40" s="66">
        <f>IFERROR((Table2[[#This Row],[Calls Off]]-D33)/D33,0)</f>
        <v>-0.16111111111111112</v>
      </c>
      <c r="G40" s="66">
        <f>IFERROR((Table2[[#This Row],[Calls Ans]]-E33)/E33,0)</f>
        <v>-0.169921875</v>
      </c>
      <c r="H40" s="1">
        <f>H39+Table2[[#This Row],[Calls Off]]</f>
        <v>2967</v>
      </c>
      <c r="I40" s="1">
        <f>I39+Table2[[#This Row],[Calls Ans]]</f>
        <v>2808</v>
      </c>
      <c r="J40" s="1">
        <f>J39+Table2[[#This Row],[Calls Off]]</f>
        <v>11494</v>
      </c>
      <c r="K40" s="1">
        <f>K39+Table2[[#This Row],[Calls Ans]]</f>
        <v>10983</v>
      </c>
      <c r="L40" s="38">
        <v>0.86</v>
      </c>
      <c r="M40" s="38">
        <v>0.06</v>
      </c>
      <c r="N40" s="38">
        <v>0.94</v>
      </c>
      <c r="O40" s="38">
        <v>0.62</v>
      </c>
      <c r="P40" s="38">
        <v>1</v>
      </c>
      <c r="Q40" s="228">
        <v>2.1180555555555553E-3</v>
      </c>
      <c r="R40" s="176">
        <v>5</v>
      </c>
      <c r="S40" s="34">
        <f t="shared" si="0"/>
        <v>45244</v>
      </c>
      <c r="T40" s="1" cm="1">
        <f t="array" ref="T40">SUMIFS(calls_off_OECS,period_OECS,"&gt;="&amp;S40,period_OECS,"&lt;"&amp;S41)</f>
        <v>0</v>
      </c>
      <c r="U40" s="99">
        <f>SUMIFS(Table2[Calls Ans],Table2[Date],"&gt;="&amp;S40,Table2[Date],"&lt;"&amp;S41)</f>
        <v>0</v>
      </c>
    </row>
    <row r="41" spans="1:21" x14ac:dyDescent="0.35">
      <c r="A41" s="22">
        <v>45056</v>
      </c>
      <c r="B41" s="9" t="s">
        <v>51</v>
      </c>
      <c r="C41" s="9" t="s">
        <v>97</v>
      </c>
      <c r="D41" s="1">
        <v>442</v>
      </c>
      <c r="E41" s="1">
        <v>420</v>
      </c>
      <c r="F41" s="66">
        <f>IFERROR((Table2[[#This Row],[Calls Off]]-D34)/D34,0)</f>
        <v>-8.6776859504132234E-2</v>
      </c>
      <c r="G41" s="66">
        <f>IFERROR((Table2[[#This Row],[Calls Ans]]-E34)/E34,0)</f>
        <v>-8.0962800875273522E-2</v>
      </c>
      <c r="H41" s="1">
        <f>H40+Table2[[#This Row],[Calls Off]]</f>
        <v>3409</v>
      </c>
      <c r="I41" s="1">
        <f>I40+Table2[[#This Row],[Calls Ans]]</f>
        <v>3228</v>
      </c>
      <c r="J41" s="1">
        <f>J40+Table2[[#This Row],[Calls Off]]</f>
        <v>11936</v>
      </c>
      <c r="K41" s="1">
        <f>K40+Table2[[#This Row],[Calls Ans]]</f>
        <v>11403</v>
      </c>
      <c r="L41" s="18">
        <v>0.89</v>
      </c>
      <c r="M41" s="18">
        <v>0.05</v>
      </c>
      <c r="N41" s="18">
        <v>0.95</v>
      </c>
      <c r="O41" s="18">
        <v>0.61</v>
      </c>
      <c r="P41" s="18">
        <v>1</v>
      </c>
      <c r="Q41" s="224">
        <v>2.1180555555555553E-3</v>
      </c>
      <c r="R41" s="125">
        <v>5</v>
      </c>
      <c r="S41" s="34">
        <f t="shared" si="0"/>
        <v>45251</v>
      </c>
      <c r="T41" s="1" cm="1">
        <f t="array" ref="T41">SUMIFS(calls_off_OECS,period_OECS,"&gt;="&amp;S41,period_OECS,"&lt;"&amp;S42)</f>
        <v>0</v>
      </c>
      <c r="U41" s="99" cm="1">
        <f t="array" ref="U41">SUMIFS(calls_ans_OECS, period_OECS,"&gt;="&amp;S41,period_OECS,"&lt;"&amp;S42)</f>
        <v>0</v>
      </c>
    </row>
    <row r="42" spans="1:21" x14ac:dyDescent="0.35">
      <c r="A42" s="22">
        <v>45057</v>
      </c>
      <c r="B42" s="37" t="s">
        <v>52</v>
      </c>
      <c r="C42" s="37" t="s">
        <v>97</v>
      </c>
      <c r="D42" s="33">
        <v>365</v>
      </c>
      <c r="E42" s="33">
        <v>352</v>
      </c>
      <c r="F42" s="66">
        <f>IFERROR((Table2[[#This Row],[Calls Off]]-D35)/D35,0)</f>
        <v>-0.18888888888888888</v>
      </c>
      <c r="G42" s="66">
        <f>IFERROR((Table2[[#This Row],[Calls Ans]]-E35)/E35,0)</f>
        <v>-0.17370892018779344</v>
      </c>
      <c r="H42" s="1">
        <f>H41+Table2[[#This Row],[Calls Off]]</f>
        <v>3774</v>
      </c>
      <c r="I42" s="1">
        <f>I41+Table2[[#This Row],[Calls Ans]]</f>
        <v>3580</v>
      </c>
      <c r="J42" s="1">
        <f>J41+Table2[[#This Row],[Calls Off]]</f>
        <v>12301</v>
      </c>
      <c r="K42" s="1">
        <f>K41+Table2[[#This Row],[Calls Ans]]</f>
        <v>11755</v>
      </c>
      <c r="L42" s="38">
        <v>0.96</v>
      </c>
      <c r="M42" s="38">
        <v>0.04</v>
      </c>
      <c r="N42" s="38">
        <v>0.96</v>
      </c>
      <c r="O42" s="38">
        <v>0.5</v>
      </c>
      <c r="P42" s="38">
        <v>1</v>
      </c>
      <c r="Q42" s="228">
        <v>1.4120370370370369E-3</v>
      </c>
      <c r="R42" s="176">
        <v>4</v>
      </c>
      <c r="S42" s="34">
        <f t="shared" si="0"/>
        <v>45258</v>
      </c>
      <c r="T42" s="1" cm="1">
        <f t="array" ref="T42">SUMIFS(calls_off_OECS,period_OECS,"&gt;="&amp;S42,period_OECS,"&lt;"&amp;S43)</f>
        <v>0</v>
      </c>
      <c r="U42" s="99" cm="1">
        <f t="array" ref="U42">SUMIFS(calls_ans_OECS, period_OECS,"&gt;="&amp;S42,period_OECS,"&lt;"&amp;S43)</f>
        <v>0</v>
      </c>
    </row>
    <row r="43" spans="1:21" x14ac:dyDescent="0.35">
      <c r="A43" s="22">
        <v>45058</v>
      </c>
      <c r="B43" s="9" t="s">
        <v>53</v>
      </c>
      <c r="C43" s="9" t="s">
        <v>97</v>
      </c>
      <c r="D43" s="1">
        <v>402</v>
      </c>
      <c r="E43" s="1">
        <v>390</v>
      </c>
      <c r="F43" s="66">
        <f>IFERROR((Table2[[#This Row],[Calls Off]]-D36)/D36,0)</f>
        <v>-0.11453744493392071</v>
      </c>
      <c r="G43" s="66">
        <f>IFERROR((Table2[[#This Row],[Calls Ans]]-E36)/E36,0)</f>
        <v>-9.0909090909090912E-2</v>
      </c>
      <c r="H43" s="1">
        <f>H42+Table2[[#This Row],[Calls Off]]</f>
        <v>4176</v>
      </c>
      <c r="I43" s="1">
        <f>I42+Table2[[#This Row],[Calls Ans]]</f>
        <v>3970</v>
      </c>
      <c r="J43" s="1">
        <f>J42+Table2[[#This Row],[Calls Off]]</f>
        <v>12703</v>
      </c>
      <c r="K43" s="1">
        <f>K42+Table2[[#This Row],[Calls Ans]]</f>
        <v>12145</v>
      </c>
      <c r="L43" s="18">
        <v>0.93</v>
      </c>
      <c r="M43" s="18">
        <v>0.03</v>
      </c>
      <c r="N43" s="18">
        <v>0.97</v>
      </c>
      <c r="O43" s="18">
        <v>0.56999999999999995</v>
      </c>
      <c r="P43" s="18">
        <v>1</v>
      </c>
      <c r="Q43" s="224">
        <v>1.4120370370370369E-3</v>
      </c>
      <c r="R43" s="125">
        <v>4</v>
      </c>
      <c r="S43" s="34">
        <f t="shared" si="0"/>
        <v>45265</v>
      </c>
      <c r="T43" s="1" cm="1">
        <f t="array" ref="T43">SUMIFS(calls_off_OECS,period_OECS,"&gt;="&amp;S43,period_OECS,"&lt;"&amp;S44)</f>
        <v>0</v>
      </c>
      <c r="U43" s="99" cm="1">
        <f t="array" ref="U43">SUMIFS(calls_ans_OECS, period_OECS,"&gt;="&amp;S43,period_OECS,"&lt;"&amp;S44)</f>
        <v>0</v>
      </c>
    </row>
    <row r="44" spans="1:21" x14ac:dyDescent="0.35">
      <c r="A44" s="22">
        <v>45059</v>
      </c>
      <c r="B44" s="37" t="s">
        <v>54</v>
      </c>
      <c r="C44" s="37" t="s">
        <v>97</v>
      </c>
      <c r="D44" s="33">
        <v>158</v>
      </c>
      <c r="E44" s="33">
        <v>150</v>
      </c>
      <c r="F44" s="66">
        <f>IFERROR((Table2[[#This Row],[Calls Off]]-D37)/D37,0)</f>
        <v>6.369426751592357E-3</v>
      </c>
      <c r="G44" s="66">
        <f>IFERROR((Table2[[#This Row],[Calls Ans]]-E37)/E37,0)</f>
        <v>-6.6225165562913907E-3</v>
      </c>
      <c r="H44" s="1">
        <f>H43+Table2[[#This Row],[Calls Off]]</f>
        <v>4334</v>
      </c>
      <c r="I44" s="1">
        <f>I43+Table2[[#This Row],[Calls Ans]]</f>
        <v>4120</v>
      </c>
      <c r="J44" s="1">
        <f>J43+Table2[[#This Row],[Calls Off]]</f>
        <v>12861</v>
      </c>
      <c r="K44" s="1">
        <f>K43+Table2[[#This Row],[Calls Ans]]</f>
        <v>12295</v>
      </c>
      <c r="L44" s="38">
        <v>0.92</v>
      </c>
      <c r="M44" s="38">
        <v>0.05</v>
      </c>
      <c r="N44" s="38">
        <v>0.95</v>
      </c>
      <c r="O44" s="38">
        <v>0.47</v>
      </c>
      <c r="P44" s="38">
        <v>1</v>
      </c>
      <c r="Q44" s="228">
        <v>2.1180555555555553E-3</v>
      </c>
      <c r="R44" s="176">
        <v>4</v>
      </c>
      <c r="S44" s="34">
        <f t="shared" si="0"/>
        <v>45272</v>
      </c>
      <c r="T44" s="1" cm="1">
        <f t="array" ref="T44">SUMIFS(calls_off_OECS,period_OECS,"&gt;="&amp;S44,period_OECS,"&lt;"&amp;S45)</f>
        <v>0</v>
      </c>
      <c r="U44" s="99" cm="1">
        <f t="array" ref="U44">SUMIFS(calls_ans_OECS, period_OECS,"&gt;="&amp;S44,period_OECS,"&lt;"&amp;S45)</f>
        <v>0</v>
      </c>
    </row>
    <row r="45" spans="1:21" x14ac:dyDescent="0.35">
      <c r="A45" s="22">
        <v>45060</v>
      </c>
      <c r="B45" s="9" t="s">
        <v>48</v>
      </c>
      <c r="C45" s="9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224">
        <v>0</v>
      </c>
      <c r="R45" s="125">
        <v>0</v>
      </c>
      <c r="S45" s="34">
        <f t="shared" si="0"/>
        <v>45279</v>
      </c>
      <c r="T45" s="1" cm="1">
        <f t="array" ref="T45">SUMIFS(calls_off_OECS,period_OECS,"&gt;="&amp;S45,period_OECS,"&lt;"&amp;S46)</f>
        <v>0</v>
      </c>
      <c r="U45" s="99" cm="1">
        <f t="array" ref="U45">SUMIFS(calls_ans_OECS, period_OECS,"&gt;="&amp;S45,period_OECS,"&lt;"&amp;S46)</f>
        <v>0</v>
      </c>
    </row>
    <row r="46" spans="1:21" x14ac:dyDescent="0.35">
      <c r="A46" s="22">
        <v>45061</v>
      </c>
      <c r="B46" s="37" t="s">
        <v>49</v>
      </c>
      <c r="C46" s="37" t="s">
        <v>97</v>
      </c>
      <c r="D46" s="33">
        <v>466</v>
      </c>
      <c r="E46" s="33">
        <v>450</v>
      </c>
      <c r="F46" s="66">
        <f>IFERROR((Table2[[#This Row],[Calls Off]]-D39)/D39,0)</f>
        <v>8.6247086247086241E-2</v>
      </c>
      <c r="G46" s="66">
        <f>IFERROR((Table2[[#This Row],[Calls Ans]]-E39)/E39,0)</f>
        <v>0.10294117647058823</v>
      </c>
      <c r="H46" s="1">
        <f>H44+Table2[[#This Row],[Calls Off]]</f>
        <v>4800</v>
      </c>
      <c r="I46" s="1">
        <f>I44+Table2[[#This Row],[Calls Ans]]</f>
        <v>4570</v>
      </c>
      <c r="J46" s="1">
        <f>J44+Table2[[#This Row],[Calls Off]]</f>
        <v>13327</v>
      </c>
      <c r="K46" s="1">
        <f>K44+Table2[[#This Row],[Calls Ans]]</f>
        <v>12745</v>
      </c>
      <c r="L46" s="38">
        <v>0.9</v>
      </c>
      <c r="M46" s="38">
        <v>0.03</v>
      </c>
      <c r="N46" s="38">
        <v>0.97</v>
      </c>
      <c r="O46" s="38">
        <v>0.55000000000000004</v>
      </c>
      <c r="P46" s="38">
        <v>1</v>
      </c>
      <c r="Q46" s="228">
        <v>2.1180555555555553E-3</v>
      </c>
      <c r="R46" s="176">
        <v>5</v>
      </c>
      <c r="S46" s="34">
        <f t="shared" si="0"/>
        <v>45286</v>
      </c>
      <c r="T46" s="1" cm="1">
        <f t="array" ref="T46">SUMIFS(calls_off_OECS,period_OECS,"&gt;="&amp;S46,period_OECS,"&lt;"&amp;S47)</f>
        <v>0</v>
      </c>
      <c r="U46" s="99" cm="1">
        <f t="array" ref="U46">SUMIFS(calls_ans_OECS, period_OECS,"&gt;="&amp;S46,period_OECS,"&lt;"&amp;S47)</f>
        <v>0</v>
      </c>
    </row>
    <row r="47" spans="1:21" x14ac:dyDescent="0.35">
      <c r="A47" s="22">
        <v>45062</v>
      </c>
      <c r="B47" s="9" t="s">
        <v>50</v>
      </c>
      <c r="C47" s="9" t="s">
        <v>97</v>
      </c>
      <c r="D47" s="1">
        <v>406</v>
      </c>
      <c r="E47" s="1">
        <v>390</v>
      </c>
      <c r="F47" s="66">
        <f>IFERROR((Table2[[#This Row],[Calls Off]]-D40)/D40,0)</f>
        <v>-0.10375275938189846</v>
      </c>
      <c r="G47" s="66">
        <f>IFERROR((Table2[[#This Row],[Calls Ans]]-E40)/E40,0)</f>
        <v>-8.2352941176470587E-2</v>
      </c>
      <c r="H47" s="1">
        <f>H46+Table2[[#This Row],[Calls Off]]</f>
        <v>5206</v>
      </c>
      <c r="I47" s="1">
        <f>I46+Table2[[#This Row],[Calls Ans]]</f>
        <v>4960</v>
      </c>
      <c r="J47" s="1">
        <f>J46+Table2[[#This Row],[Calls Off]]</f>
        <v>13733</v>
      </c>
      <c r="K47" s="1">
        <f>K46+Table2[[#This Row],[Calls Ans]]</f>
        <v>13135</v>
      </c>
      <c r="L47" s="18">
        <v>0.92</v>
      </c>
      <c r="M47" s="18">
        <v>0.04</v>
      </c>
      <c r="N47" s="18">
        <v>0.96</v>
      </c>
      <c r="O47" s="18">
        <v>0.56999999999999995</v>
      </c>
      <c r="P47" s="18">
        <v>1</v>
      </c>
      <c r="Q47" s="224">
        <v>2.1180555555555553E-3</v>
      </c>
      <c r="R47" s="125">
        <v>5</v>
      </c>
      <c r="S47" s="34">
        <f t="shared" si="0"/>
        <v>45293</v>
      </c>
      <c r="T47" s="1" cm="1">
        <f t="array" ref="T47">SUMIFS(calls_off_OECS,period_OECS,"&gt;="&amp;S47,period_OECS,"&lt;"&amp;S48)</f>
        <v>0</v>
      </c>
      <c r="U47" s="99" cm="1">
        <f t="array" ref="U47">SUMIFS(calls_ans_OECS, period_OECS,"&gt;="&amp;S47,period_OECS,"&lt;"&amp;S48)</f>
        <v>0</v>
      </c>
    </row>
    <row r="48" spans="1:21" x14ac:dyDescent="0.35">
      <c r="A48" s="22">
        <v>45063</v>
      </c>
      <c r="B48" s="37" t="s">
        <v>51</v>
      </c>
      <c r="C48" s="37" t="s">
        <v>97</v>
      </c>
      <c r="D48" s="33">
        <v>416</v>
      </c>
      <c r="E48" s="33">
        <v>397</v>
      </c>
      <c r="F48" s="66">
        <f>IFERROR((Table2[[#This Row],[Calls Off]]-D41)/D41,0)</f>
        <v>-5.8823529411764705E-2</v>
      </c>
      <c r="G48" s="66">
        <f>IFERROR((Table2[[#This Row],[Calls Ans]]-E41)/E41,0)</f>
        <v>-5.4761904761904762E-2</v>
      </c>
      <c r="H48" s="1">
        <f>H47+Table2[[#This Row],[Calls Off]]</f>
        <v>5622</v>
      </c>
      <c r="I48" s="1">
        <f>I47+Table2[[#This Row],[Calls Ans]]</f>
        <v>5357</v>
      </c>
      <c r="J48" s="1">
        <f>J47+Table2[[#This Row],[Calls Off]]</f>
        <v>14149</v>
      </c>
      <c r="K48" s="1">
        <f>K47+Table2[[#This Row],[Calls Ans]]</f>
        <v>13532</v>
      </c>
      <c r="L48" s="38">
        <v>0.91</v>
      </c>
      <c r="M48" s="38">
        <v>0.05</v>
      </c>
      <c r="N48" s="38">
        <v>0.95</v>
      </c>
      <c r="O48" s="38">
        <v>0.47</v>
      </c>
      <c r="P48" s="38">
        <v>1</v>
      </c>
      <c r="Q48" s="228">
        <v>1.4120370370370369E-3</v>
      </c>
      <c r="R48" s="176">
        <v>5</v>
      </c>
      <c r="S48" s="34">
        <f t="shared" si="0"/>
        <v>45300</v>
      </c>
      <c r="T48" s="1" cm="1">
        <f t="array" ref="T48">SUMIFS(calls_off_OECS,period_OECS,"&gt;="&amp;S48,period_OECS,"&lt;"&amp;S49)</f>
        <v>0</v>
      </c>
      <c r="U48" s="99" cm="1">
        <f t="array" ref="U48">SUMIFS(calls_ans_OECS, period_OECS,"&gt;="&amp;S48,period_OECS,"&lt;"&amp;S49)</f>
        <v>0</v>
      </c>
    </row>
    <row r="49" spans="1:21" x14ac:dyDescent="0.35">
      <c r="A49" s="22">
        <v>45064</v>
      </c>
      <c r="B49" s="9" t="s">
        <v>52</v>
      </c>
      <c r="C49" s="9" t="s">
        <v>97</v>
      </c>
      <c r="D49" s="1">
        <v>366</v>
      </c>
      <c r="E49" s="1">
        <v>353</v>
      </c>
      <c r="F49" s="66">
        <f>IFERROR((Table2[[#This Row],[Calls Off]]-D42)/D42,0)</f>
        <v>2.7397260273972603E-3</v>
      </c>
      <c r="G49" s="66">
        <f>IFERROR((Table2[[#This Row],[Calls Ans]]-E42)/E42,0)</f>
        <v>2.840909090909091E-3</v>
      </c>
      <c r="H49" s="1">
        <f>H48+Table2[[#This Row],[Calls Off]]</f>
        <v>5988</v>
      </c>
      <c r="I49" s="1">
        <f>I48+Table2[[#This Row],[Calls Ans]]</f>
        <v>5710</v>
      </c>
      <c r="J49" s="1">
        <f>J48+Table2[[#This Row],[Calls Off]]</f>
        <v>14515</v>
      </c>
      <c r="K49" s="1">
        <f>K48+Table2[[#This Row],[Calls Ans]]</f>
        <v>13885</v>
      </c>
      <c r="L49" s="18">
        <v>0.93</v>
      </c>
      <c r="M49" s="18">
        <v>0.04</v>
      </c>
      <c r="N49" s="18">
        <v>0.96</v>
      </c>
      <c r="O49" s="18">
        <v>0.5</v>
      </c>
      <c r="P49" s="18">
        <v>1</v>
      </c>
      <c r="Q49" s="224">
        <v>2.1180555555555553E-3</v>
      </c>
      <c r="R49" s="125">
        <v>5</v>
      </c>
      <c r="S49" s="34">
        <f t="shared" si="0"/>
        <v>45307</v>
      </c>
      <c r="T49" s="1" cm="1">
        <f t="array" ref="T49">SUMIFS(calls_off_OECS,period_OECS,"&gt;="&amp;S49,period_OECS,"&lt;"&amp;S50)</f>
        <v>0</v>
      </c>
      <c r="U49" s="99" cm="1">
        <f t="array" ref="U49">SUMIFS(calls_ans_OECS, period_OECS,"&gt;="&amp;S49,period_OECS,"&lt;"&amp;S50)</f>
        <v>0</v>
      </c>
    </row>
    <row r="50" spans="1:21" x14ac:dyDescent="0.35">
      <c r="A50" s="22">
        <v>45065</v>
      </c>
      <c r="B50" s="37" t="s">
        <v>53</v>
      </c>
      <c r="C50" s="37" t="s">
        <v>97</v>
      </c>
      <c r="D50" s="33">
        <v>377</v>
      </c>
      <c r="E50" s="33">
        <v>359</v>
      </c>
      <c r="F50" s="66">
        <f>IFERROR((Table2[[#This Row],[Calls Off]]-D43)/D43,0)</f>
        <v>-6.2189054726368161E-2</v>
      </c>
      <c r="G50" s="66">
        <f>IFERROR((Table2[[#This Row],[Calls Ans]]-E43)/E43,0)</f>
        <v>-7.9487179487179482E-2</v>
      </c>
      <c r="H50" s="1">
        <f>H49+Table2[[#This Row],[Calls Off]]</f>
        <v>6365</v>
      </c>
      <c r="I50" s="1">
        <f>I49+Table2[[#This Row],[Calls Ans]]</f>
        <v>6069</v>
      </c>
      <c r="J50" s="1">
        <f>J49+Table2[[#This Row],[Calls Off]]</f>
        <v>14892</v>
      </c>
      <c r="K50" s="1">
        <f>K49+Table2[[#This Row],[Calls Ans]]</f>
        <v>14244</v>
      </c>
      <c r="L50" s="38">
        <v>0.92</v>
      </c>
      <c r="M50" s="38">
        <v>0.05</v>
      </c>
      <c r="N50" s="38">
        <v>0.95</v>
      </c>
      <c r="O50" s="38">
        <v>0.63</v>
      </c>
      <c r="P50" s="38">
        <v>1</v>
      </c>
      <c r="Q50" s="228">
        <v>2.1180555555555553E-3</v>
      </c>
      <c r="R50" s="176">
        <v>5</v>
      </c>
      <c r="S50" s="34">
        <f t="shared" si="0"/>
        <v>45314</v>
      </c>
      <c r="T50" s="1" cm="1">
        <f t="array" ref="T50">SUMIFS(calls_off_OECS,period_OECS,"&gt;="&amp;S50,period_OECS,"&lt;"&amp;S51)</f>
        <v>0</v>
      </c>
      <c r="U50" s="99" cm="1">
        <f t="array" ref="U50">SUMIFS(calls_ans_OECS, period_OECS,"&gt;="&amp;S50,period_OECS,"&lt;"&amp;S51)</f>
        <v>0</v>
      </c>
    </row>
    <row r="51" spans="1:21" x14ac:dyDescent="0.35">
      <c r="A51" s="22">
        <v>45066</v>
      </c>
      <c r="B51" s="9" t="s">
        <v>54</v>
      </c>
      <c r="C51" s="9" t="s">
        <v>97</v>
      </c>
      <c r="D51" s="1">
        <v>135</v>
      </c>
      <c r="E51" s="1">
        <v>132</v>
      </c>
      <c r="F51" s="66">
        <f>IFERROR((Table2[[#This Row],[Calls Off]]-D44)/D44,0)</f>
        <v>-0.14556962025316456</v>
      </c>
      <c r="G51" s="66">
        <f>IFERROR((Table2[[#This Row],[Calls Ans]]-E44)/E44,0)</f>
        <v>-0.12</v>
      </c>
      <c r="H51" s="1">
        <f>H50+Table2[[#This Row],[Calls Off]]</f>
        <v>6500</v>
      </c>
      <c r="I51" s="1">
        <f>I50+Table2[[#This Row],[Calls Ans]]</f>
        <v>6201</v>
      </c>
      <c r="J51" s="1">
        <f>J50+Table2[[#This Row],[Calls Off]]</f>
        <v>15027</v>
      </c>
      <c r="K51" s="1">
        <f>K50+Table2[[#This Row],[Calls Ans]]</f>
        <v>14376</v>
      </c>
      <c r="L51" s="18">
        <v>0.95</v>
      </c>
      <c r="M51" s="18">
        <v>0.02</v>
      </c>
      <c r="N51" s="18">
        <v>0.98</v>
      </c>
      <c r="O51" s="18">
        <v>0.43</v>
      </c>
      <c r="P51" s="18">
        <v>1</v>
      </c>
      <c r="Q51" s="224">
        <v>1.4120370370370369E-3</v>
      </c>
      <c r="R51" s="125">
        <v>5</v>
      </c>
      <c r="S51" s="34">
        <f t="shared" si="0"/>
        <v>45321</v>
      </c>
      <c r="T51" s="1" cm="1">
        <f t="array" ref="T51">SUMIFS(calls_off_OECS,period_OECS,"&gt;="&amp;S51,period_OECS,"&lt;"&amp;S52)</f>
        <v>0</v>
      </c>
      <c r="U51" s="99" cm="1">
        <f t="array" ref="U51">SUMIFS(calls_ans_OECS, period_OECS,"&gt;="&amp;S51,period_OECS,"&lt;"&amp;S52)</f>
        <v>0</v>
      </c>
    </row>
    <row r="52" spans="1:21" x14ac:dyDescent="0.35">
      <c r="A52" s="22">
        <v>45067</v>
      </c>
      <c r="B52" s="37" t="s">
        <v>48</v>
      </c>
      <c r="C52" s="37" t="s">
        <v>97</v>
      </c>
      <c r="D52" s="33">
        <v>0</v>
      </c>
      <c r="E52" s="33">
        <v>0</v>
      </c>
      <c r="F52" s="65">
        <v>0</v>
      </c>
      <c r="G52" s="65">
        <v>0</v>
      </c>
      <c r="H52" s="33">
        <v>0</v>
      </c>
      <c r="I52" s="33">
        <v>0</v>
      </c>
      <c r="J52" s="33">
        <v>0</v>
      </c>
      <c r="K52" s="33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228">
        <v>0</v>
      </c>
      <c r="R52" s="176">
        <v>0</v>
      </c>
      <c r="S52" s="34">
        <f t="shared" si="0"/>
        <v>45328</v>
      </c>
      <c r="T52" s="1" cm="1">
        <f t="array" ref="T52">SUMIFS(calls_off_OECS,period_OECS,"&gt;="&amp;S52,period_OECS,"&lt;"&amp;S53)</f>
        <v>0</v>
      </c>
      <c r="U52" s="99" cm="1">
        <f t="array" ref="U52">SUMIFS(calls_ans_OECS, period_OECS,"&gt;="&amp;S52,period_OECS,"&lt;"&amp;S53)</f>
        <v>0</v>
      </c>
    </row>
    <row r="53" spans="1:21" x14ac:dyDescent="0.35">
      <c r="A53" s="22">
        <v>45068</v>
      </c>
      <c r="B53" s="9" t="s">
        <v>49</v>
      </c>
      <c r="C53" s="9" t="s">
        <v>97</v>
      </c>
      <c r="D53" s="1">
        <v>436</v>
      </c>
      <c r="E53" s="1">
        <v>417</v>
      </c>
      <c r="F53" s="66">
        <f>IFERROR((Table2[[#This Row],[Calls Off]]-D46)/D46,0)</f>
        <v>-6.4377682403433473E-2</v>
      </c>
      <c r="G53" s="66">
        <f>IFERROR((Table2[[#This Row],[Calls Ans]]-E46)/E46,0)</f>
        <v>-7.3333333333333334E-2</v>
      </c>
      <c r="H53" s="1">
        <f>H51+Table2[[#This Row],[Calls Off]]</f>
        <v>6936</v>
      </c>
      <c r="I53" s="1">
        <f>I51+Table2[[#This Row],[Calls Ans]]</f>
        <v>6618</v>
      </c>
      <c r="J53" s="1">
        <f>J51+Table2[[#This Row],[Calls Off]]</f>
        <v>15463</v>
      </c>
      <c r="K53" s="1">
        <f>K51+Table2[[#This Row],[Calls Ans]]</f>
        <v>14793</v>
      </c>
      <c r="L53" s="18">
        <v>0.87</v>
      </c>
      <c r="M53" s="18">
        <v>0.05</v>
      </c>
      <c r="N53" s="18">
        <v>0.95</v>
      </c>
      <c r="O53" s="18">
        <v>0.3</v>
      </c>
      <c r="P53" s="18">
        <v>1</v>
      </c>
      <c r="Q53" s="224">
        <v>2.1180555555555553E-3</v>
      </c>
      <c r="R53" s="125">
        <v>5</v>
      </c>
      <c r="S53" s="34">
        <f t="shared" si="0"/>
        <v>45335</v>
      </c>
      <c r="T53" s="1" cm="1">
        <f t="array" ref="T53">SUMIFS(calls_off_OECS,period_OECS,"&gt;="&amp;S53,period_OECS,"&lt;"&amp;S54)</f>
        <v>0</v>
      </c>
      <c r="U53" s="99" cm="1">
        <f t="array" ref="U53">SUMIFS(calls_ans_OECS, period_OECS,"&gt;="&amp;S53,period_OECS,"&lt;"&amp;S54)</f>
        <v>0</v>
      </c>
    </row>
    <row r="54" spans="1:21" x14ac:dyDescent="0.35">
      <c r="A54" s="22">
        <v>45069</v>
      </c>
      <c r="B54" s="37" t="s">
        <v>50</v>
      </c>
      <c r="C54" s="37" t="s">
        <v>97</v>
      </c>
      <c r="D54" s="33">
        <v>475</v>
      </c>
      <c r="E54" s="33">
        <v>448</v>
      </c>
      <c r="F54" s="66">
        <f>IFERROR((Table2[[#This Row],[Calls Off]]-D47)/D47,0)</f>
        <v>0.16995073891625614</v>
      </c>
      <c r="G54" s="66">
        <f>IFERROR((Table2[[#This Row],[Calls Ans]]-E47)/E47,0)</f>
        <v>0.14871794871794872</v>
      </c>
      <c r="H54" s="1">
        <f>H53+Table2[[#This Row],[Calls Off]]</f>
        <v>7411</v>
      </c>
      <c r="I54" s="1">
        <f>I53+Table2[[#This Row],[Calls Ans]]</f>
        <v>7066</v>
      </c>
      <c r="J54" s="1">
        <f>J53+Table2[[#This Row],[Calls Off]]</f>
        <v>15938</v>
      </c>
      <c r="K54" s="1">
        <f>K53+Table2[[#This Row],[Calls Ans]]</f>
        <v>15241</v>
      </c>
      <c r="L54" s="38">
        <v>0.83</v>
      </c>
      <c r="M54" s="38">
        <v>0.06</v>
      </c>
      <c r="N54" s="38">
        <v>0.94</v>
      </c>
      <c r="O54" s="38">
        <v>0.68</v>
      </c>
      <c r="P54" s="38">
        <v>1</v>
      </c>
      <c r="Q54" s="228">
        <v>2.1180555555555553E-3</v>
      </c>
      <c r="R54" s="176">
        <v>5</v>
      </c>
      <c r="S54" s="34">
        <f t="shared" si="0"/>
        <v>45342</v>
      </c>
      <c r="T54" s="1" cm="1">
        <f t="array" ref="T54">SUMIFS(calls_off_OECS,period_OECS,"&gt;="&amp;S54,period_OECS,"&lt;"&amp;S55)</f>
        <v>0</v>
      </c>
      <c r="U54" s="99" cm="1">
        <f t="array" ref="U54">SUMIFS(calls_ans_OECS, period_OECS,"&gt;="&amp;S54,period_OECS,"&lt;"&amp;S55)</f>
        <v>0</v>
      </c>
    </row>
    <row r="55" spans="1:21" x14ac:dyDescent="0.35">
      <c r="A55" s="22">
        <v>45070</v>
      </c>
      <c r="B55" s="9" t="s">
        <v>51</v>
      </c>
      <c r="C55" s="9" t="s">
        <v>97</v>
      </c>
      <c r="D55" s="1">
        <v>397</v>
      </c>
      <c r="E55" s="1">
        <v>375</v>
      </c>
      <c r="F55" s="66">
        <f>IFERROR((Table2[[#This Row],[Calls Off]]-D48)/D48,0)</f>
        <v>-4.567307692307692E-2</v>
      </c>
      <c r="G55" s="66">
        <f>IFERROR((Table2[[#This Row],[Calls Ans]]-E48)/E48,0)</f>
        <v>-5.5415617128463476E-2</v>
      </c>
      <c r="H55" s="1">
        <f>H54+Table2[[#This Row],[Calls Off]]</f>
        <v>7808</v>
      </c>
      <c r="I55" s="1">
        <f>I54+Table2[[#This Row],[Calls Ans]]</f>
        <v>7441</v>
      </c>
      <c r="J55" s="1">
        <f>J54+Table2[[#This Row],[Calls Off]]</f>
        <v>16335</v>
      </c>
      <c r="K55" s="1">
        <f>K54+Table2[[#This Row],[Calls Ans]]</f>
        <v>15616</v>
      </c>
      <c r="L55" s="18">
        <v>0.9</v>
      </c>
      <c r="M55" s="18">
        <v>0.06</v>
      </c>
      <c r="N55" s="18">
        <v>0.94</v>
      </c>
      <c r="O55" s="18">
        <v>0.66</v>
      </c>
      <c r="P55" s="18">
        <v>1</v>
      </c>
      <c r="Q55" s="224">
        <v>2.8240740740740739E-3</v>
      </c>
      <c r="R55" s="125">
        <v>5</v>
      </c>
      <c r="S55" s="34">
        <f t="shared" si="0"/>
        <v>45349</v>
      </c>
      <c r="T55" s="1" cm="1">
        <f t="array" ref="T55">SUMIFS(calls_off_OECS,period_OECS,"&gt;="&amp;S55,period_OECS,"&lt;"&amp;S56)</f>
        <v>0</v>
      </c>
      <c r="U55" s="99" cm="1">
        <f t="array" ref="U55">SUMIFS(calls_ans_OECS, period_OECS,"&gt;="&amp;S55,period_OECS,"&lt;"&amp;S56)</f>
        <v>0</v>
      </c>
    </row>
    <row r="56" spans="1:21" x14ac:dyDescent="0.35">
      <c r="A56" s="22">
        <v>45071</v>
      </c>
      <c r="B56" s="37" t="s">
        <v>52</v>
      </c>
      <c r="C56" s="37" t="s">
        <v>97</v>
      </c>
      <c r="D56" s="33">
        <v>388</v>
      </c>
      <c r="E56" s="33">
        <v>373</v>
      </c>
      <c r="F56" s="66">
        <f>IFERROR((Table2[[#This Row],[Calls Off]]-D49)/D49,0)</f>
        <v>6.0109289617486336E-2</v>
      </c>
      <c r="G56" s="66">
        <f>IFERROR((Table2[[#This Row],[Calls Ans]]-E49)/E49,0)</f>
        <v>5.6657223796033995E-2</v>
      </c>
      <c r="H56" s="1">
        <f>H55+Table2[[#This Row],[Calls Off]]</f>
        <v>8196</v>
      </c>
      <c r="I56" s="1">
        <f>I55+Table2[[#This Row],[Calls Ans]]</f>
        <v>7814</v>
      </c>
      <c r="J56" s="1">
        <f>J55+Table2[[#This Row],[Calls Off]]</f>
        <v>16723</v>
      </c>
      <c r="K56" s="1">
        <f>K55+Table2[[#This Row],[Calls Ans]]</f>
        <v>15989</v>
      </c>
      <c r="L56" s="38">
        <v>0.88</v>
      </c>
      <c r="M56" s="38">
        <v>0.04</v>
      </c>
      <c r="N56" s="38">
        <v>0.96</v>
      </c>
      <c r="O56" s="38">
        <v>0.65</v>
      </c>
      <c r="P56" s="38">
        <v>1</v>
      </c>
      <c r="Q56" s="228">
        <v>2.1180555555555553E-3</v>
      </c>
      <c r="R56" s="176">
        <v>4</v>
      </c>
      <c r="S56" s="34">
        <f t="shared" si="0"/>
        <v>45356</v>
      </c>
      <c r="T56" s="1" cm="1">
        <f t="array" ref="T56">SUMIFS(calls_off_OECS,period_OECS,"&gt;="&amp;S56,period_OECS,"&lt;"&amp;S57)</f>
        <v>0</v>
      </c>
      <c r="U56" s="99" cm="1">
        <f t="array" ref="U56">SUMIFS(calls_ans_OECS, period_OECS,"&gt;="&amp;S56,period_OECS,"&lt;"&amp;S57)</f>
        <v>0</v>
      </c>
    </row>
    <row r="57" spans="1:21" x14ac:dyDescent="0.35">
      <c r="A57" s="22">
        <v>45072</v>
      </c>
      <c r="B57" s="9" t="s">
        <v>53</v>
      </c>
      <c r="C57" s="9" t="s">
        <v>97</v>
      </c>
      <c r="D57" s="1">
        <v>456</v>
      </c>
      <c r="E57" s="1">
        <v>436</v>
      </c>
      <c r="F57" s="66">
        <f>IFERROR((Table2[[#This Row],[Calls Off]]-D50)/D50,0)</f>
        <v>0.20954907161803712</v>
      </c>
      <c r="G57" s="66">
        <f>IFERROR((Table2[[#This Row],[Calls Ans]]-E50)/E50,0)</f>
        <v>0.21448467966573817</v>
      </c>
      <c r="H57" s="1">
        <f>H56+Table2[[#This Row],[Calls Off]]</f>
        <v>8652</v>
      </c>
      <c r="I57" s="1">
        <f>I56+Table2[[#This Row],[Calls Ans]]</f>
        <v>8250</v>
      </c>
      <c r="J57" s="1">
        <f>J56+Table2[[#This Row],[Calls Off]]</f>
        <v>17179</v>
      </c>
      <c r="K57" s="1">
        <f>K56+Table2[[#This Row],[Calls Ans]]</f>
        <v>16425</v>
      </c>
      <c r="L57" s="18">
        <v>0.89</v>
      </c>
      <c r="M57" s="18">
        <v>0.04</v>
      </c>
      <c r="N57" s="18">
        <v>0.96</v>
      </c>
      <c r="O57" s="18">
        <v>0.64</v>
      </c>
      <c r="P57" s="18">
        <v>1</v>
      </c>
      <c r="Q57" s="224">
        <v>1.4120370370370369E-3</v>
      </c>
      <c r="R57" s="125">
        <v>4</v>
      </c>
      <c r="S57" s="34">
        <f t="shared" si="0"/>
        <v>45363</v>
      </c>
      <c r="T57" s="1" cm="1">
        <f t="array" ref="T57">SUMIFS(calls_off_OECS,period_OECS,"&gt;="&amp;S57,period_OECS,"&lt;"&amp;S58)</f>
        <v>0</v>
      </c>
      <c r="U57" s="99" cm="1">
        <f t="array" ref="U57">SUMIFS(calls_ans_OECS, period_OECS,"&gt;="&amp;S57,period_OECS,"&lt;"&amp;S58)</f>
        <v>0</v>
      </c>
    </row>
    <row r="58" spans="1:21" x14ac:dyDescent="0.35">
      <c r="A58" s="22">
        <v>45073</v>
      </c>
      <c r="B58" s="37" t="s">
        <v>54</v>
      </c>
      <c r="C58" s="37" t="s">
        <v>97</v>
      </c>
      <c r="D58" s="33">
        <v>126</v>
      </c>
      <c r="E58" s="33">
        <v>124</v>
      </c>
      <c r="F58" s="66">
        <f>IFERROR((Table2[[#This Row],[Calls Off]]-D51)/D51,0)</f>
        <v>-6.6666666666666666E-2</v>
      </c>
      <c r="G58" s="66">
        <f>IFERROR((Table2[[#This Row],[Calls Ans]]-E51)/E51,0)</f>
        <v>-6.0606060606060608E-2</v>
      </c>
      <c r="H58" s="1">
        <f>H57+Table2[[#This Row],[Calls Off]]</f>
        <v>8778</v>
      </c>
      <c r="I58" s="1">
        <f>I57+Table2[[#This Row],[Calls Ans]]</f>
        <v>8374</v>
      </c>
      <c r="J58" s="1">
        <f>J57+Table2[[#This Row],[Calls Off]]</f>
        <v>17305</v>
      </c>
      <c r="K58" s="1">
        <f>K57+Table2[[#This Row],[Calls Ans]]</f>
        <v>16549</v>
      </c>
      <c r="L58" s="38">
        <v>0.98</v>
      </c>
      <c r="M58" s="38">
        <v>0.02</v>
      </c>
      <c r="N58" s="38">
        <v>0.98</v>
      </c>
      <c r="O58" s="38">
        <v>0.37</v>
      </c>
      <c r="P58" s="38">
        <v>1</v>
      </c>
      <c r="Q58" s="228">
        <v>2.1180555555555553E-3</v>
      </c>
      <c r="R58" s="176">
        <v>4</v>
      </c>
      <c r="S58" s="34">
        <f t="shared" si="0"/>
        <v>45370</v>
      </c>
      <c r="T58" s="1" cm="1">
        <f t="array" ref="T58">SUMIFS(calls_off_OECS,period_OECS,"&gt;="&amp;S58,period_OECS,"&lt;"&amp;S59)</f>
        <v>0</v>
      </c>
      <c r="U58" s="99" cm="1">
        <f t="array" ref="U58">SUMIFS(calls_ans_OECS, period_OECS,"&gt;="&amp;S58,period_OECS,"&lt;"&amp;S59)</f>
        <v>0</v>
      </c>
    </row>
    <row r="59" spans="1:21" x14ac:dyDescent="0.35">
      <c r="A59" s="22">
        <v>45074</v>
      </c>
      <c r="B59" s="9" t="s">
        <v>48</v>
      </c>
      <c r="C59" s="9" t="s">
        <v>97</v>
      </c>
      <c r="D59" s="1">
        <v>0</v>
      </c>
      <c r="E59" s="1">
        <v>0</v>
      </c>
      <c r="F59" s="66">
        <v>0</v>
      </c>
      <c r="G59" s="66">
        <v>0</v>
      </c>
      <c r="H59" s="1">
        <v>0</v>
      </c>
      <c r="I59" s="1">
        <v>0</v>
      </c>
      <c r="J59" s="1">
        <v>0</v>
      </c>
      <c r="K59" s="1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224">
        <v>0</v>
      </c>
      <c r="R59" s="125">
        <v>0</v>
      </c>
      <c r="S59" s="34">
        <f t="shared" si="0"/>
        <v>45377</v>
      </c>
      <c r="T59" s="1" cm="1">
        <f t="array" ref="T59">SUMIFS(calls_off_OECS,period_OECS,"&gt;="&amp;S59,period_OECS,"&lt;"&amp;S60)</f>
        <v>0</v>
      </c>
      <c r="U59" s="99">
        <f>SUMIFS(E53:E160,A54:A161,"&gt;="&amp;S59,A53:A160,"&lt;"&amp;S60)</f>
        <v>0</v>
      </c>
    </row>
    <row r="60" spans="1:21" x14ac:dyDescent="0.35">
      <c r="A60" s="22">
        <v>45075</v>
      </c>
      <c r="B60" s="37" t="s">
        <v>49</v>
      </c>
      <c r="C60" s="37" t="s">
        <v>97</v>
      </c>
      <c r="D60" s="33">
        <v>0</v>
      </c>
      <c r="E60" s="33">
        <v>0</v>
      </c>
      <c r="F60" s="65">
        <v>0</v>
      </c>
      <c r="G60" s="65">
        <v>0</v>
      </c>
      <c r="H60" s="33">
        <v>0</v>
      </c>
      <c r="I60" s="33">
        <v>0</v>
      </c>
      <c r="J60" s="33">
        <v>0</v>
      </c>
      <c r="K60" s="33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228">
        <v>0</v>
      </c>
      <c r="R60" s="176">
        <v>0</v>
      </c>
    </row>
    <row r="61" spans="1:21" x14ac:dyDescent="0.35">
      <c r="A61" s="22">
        <v>45076</v>
      </c>
      <c r="B61" s="9" t="s">
        <v>50</v>
      </c>
      <c r="C61" s="9" t="s">
        <v>97</v>
      </c>
      <c r="D61" s="1">
        <v>597</v>
      </c>
      <c r="E61" s="1">
        <v>573</v>
      </c>
      <c r="F61" s="66">
        <f>IFERROR((Table2[[#This Row],[Calls Off]]-D54)/D54,0)</f>
        <v>0.25684210526315787</v>
      </c>
      <c r="G61" s="66">
        <f>IFERROR((Table2[[#This Row],[Calls Ans]]-E54)/E54,0)</f>
        <v>0.27901785714285715</v>
      </c>
      <c r="H61" s="1">
        <f>H58+Table2[[#This Row],[Calls Off]]</f>
        <v>9375</v>
      </c>
      <c r="I61" s="1">
        <f>I58+Table2[[#This Row],[Calls Ans]]</f>
        <v>8947</v>
      </c>
      <c r="J61" s="1">
        <f>J58+Table2[[#This Row],[Calls Off]]</f>
        <v>17902</v>
      </c>
      <c r="K61" s="1">
        <f>K58+Table2[[#This Row],[Calls Ans]]</f>
        <v>17122</v>
      </c>
      <c r="L61" s="18">
        <v>0.88</v>
      </c>
      <c r="M61" s="18">
        <v>0.04</v>
      </c>
      <c r="N61" s="18">
        <v>0.96</v>
      </c>
      <c r="O61" s="18">
        <v>0.8</v>
      </c>
      <c r="P61" s="18">
        <v>1</v>
      </c>
      <c r="Q61" s="224">
        <v>2.1180555555555553E-3</v>
      </c>
      <c r="R61" s="125">
        <v>5</v>
      </c>
    </row>
    <row r="62" spans="1:21" x14ac:dyDescent="0.35">
      <c r="A62" s="22">
        <v>45077</v>
      </c>
      <c r="B62" s="37" t="s">
        <v>51</v>
      </c>
      <c r="C62" s="37" t="s">
        <v>97</v>
      </c>
      <c r="D62" s="33">
        <v>512</v>
      </c>
      <c r="E62" s="33">
        <v>493</v>
      </c>
      <c r="F62" s="66">
        <f>IFERROR((Table2[[#This Row],[Calls Off]]-D55)/D55,0)</f>
        <v>0.28967254408060455</v>
      </c>
      <c r="G62" s="66">
        <f>IFERROR((Table2[[#This Row],[Calls Ans]]-E55)/E55,0)</f>
        <v>0.31466666666666665</v>
      </c>
      <c r="H62" s="1">
        <f>H61+Table2[[#This Row],[Calls Off]]</f>
        <v>9887</v>
      </c>
      <c r="I62" s="1">
        <f>I61+Table2[[#This Row],[Calls Ans]]</f>
        <v>9440</v>
      </c>
      <c r="J62" s="1">
        <f>J61+Table2[[#This Row],[Calls Off]]</f>
        <v>18414</v>
      </c>
      <c r="K62" s="1">
        <f>K61+Table2[[#This Row],[Calls Ans]]</f>
        <v>17615</v>
      </c>
      <c r="L62" s="38">
        <v>0.88</v>
      </c>
      <c r="M62" s="38">
        <v>0.04</v>
      </c>
      <c r="N62" s="38">
        <v>0.96</v>
      </c>
      <c r="O62" s="38">
        <v>0.7</v>
      </c>
      <c r="P62" s="38">
        <v>1</v>
      </c>
      <c r="Q62" s="228">
        <v>2.1180555555555553E-3</v>
      </c>
      <c r="R62" s="176">
        <v>5</v>
      </c>
    </row>
    <row r="63" spans="1:21" x14ac:dyDescent="0.35">
      <c r="A63" s="22">
        <v>45078</v>
      </c>
      <c r="B63" s="9" t="s">
        <v>52</v>
      </c>
      <c r="C63" s="37" t="s">
        <v>97</v>
      </c>
      <c r="D63" s="1">
        <v>495</v>
      </c>
      <c r="E63" s="1">
        <v>456</v>
      </c>
      <c r="F63" s="66">
        <f>IFERROR((Table2[[#This Row],[Calls Off]]-D56)/D56,0)</f>
        <v>0.27577319587628868</v>
      </c>
      <c r="G63" s="66">
        <f>IFERROR((Table2[[#This Row],[Calls Ans]]-E56)/E56,0)</f>
        <v>0.22252010723860591</v>
      </c>
      <c r="H63" s="1">
        <f>Table2[[#This Row],[Calls Off]]</f>
        <v>495</v>
      </c>
      <c r="I63" s="1">
        <f>Table2[[#This Row],[Calls Ans]]</f>
        <v>456</v>
      </c>
      <c r="J63" s="1">
        <f>J62+Table2[[#This Row],[Calls Off]]</f>
        <v>18909</v>
      </c>
      <c r="K63" s="1">
        <f>K62+Table2[[#This Row],[Calls Ans]]</f>
        <v>18071</v>
      </c>
      <c r="L63" s="18">
        <v>0.84</v>
      </c>
      <c r="M63" s="18">
        <v>0.08</v>
      </c>
      <c r="N63" s="18">
        <v>0.92</v>
      </c>
      <c r="O63" s="18">
        <v>0.67</v>
      </c>
      <c r="P63" s="18">
        <v>1</v>
      </c>
      <c r="Q63" s="224">
        <v>2.1180555555555553E-3</v>
      </c>
      <c r="R63" s="125">
        <v>5</v>
      </c>
      <c r="T63">
        <f>AVERAGEIF(P63:P92,"&lt;&gt;0")</f>
        <v>1</v>
      </c>
    </row>
    <row r="64" spans="1:21" x14ac:dyDescent="0.35">
      <c r="A64" s="22">
        <v>45079</v>
      </c>
      <c r="B64" s="37" t="s">
        <v>53</v>
      </c>
      <c r="C64" s="37" t="s">
        <v>97</v>
      </c>
      <c r="D64" s="33">
        <v>492</v>
      </c>
      <c r="E64" s="33">
        <v>470</v>
      </c>
      <c r="F64" s="66">
        <f>IFERROR((Table2[[#This Row],[Calls Off]]-D57)/D57,0)</f>
        <v>7.8947368421052627E-2</v>
      </c>
      <c r="G64" s="66">
        <f>IFERROR((Table2[[#This Row],[Calls Ans]]-E57)/E57,0)</f>
        <v>7.7981651376146793E-2</v>
      </c>
      <c r="H64" s="1">
        <f>H63+Table2[[#This Row],[Calls Off]]</f>
        <v>987</v>
      </c>
      <c r="I64" s="1">
        <f>I63+Table2[[#This Row],[Calls Ans]]</f>
        <v>926</v>
      </c>
      <c r="J64" s="1">
        <f>J63+Table2[[#This Row],[Calls Off]]</f>
        <v>19401</v>
      </c>
      <c r="K64" s="1">
        <f>K63+Table2[[#This Row],[Calls Ans]]</f>
        <v>18541</v>
      </c>
      <c r="L64" s="38">
        <v>0.88</v>
      </c>
      <c r="M64" s="38">
        <v>0.04</v>
      </c>
      <c r="N64" s="38">
        <v>0.96</v>
      </c>
      <c r="O64" s="38">
        <v>0.67</v>
      </c>
      <c r="P64" s="38">
        <v>1</v>
      </c>
      <c r="Q64" s="228">
        <v>2.1180555555555553E-3</v>
      </c>
      <c r="R64" s="176">
        <v>5</v>
      </c>
    </row>
    <row r="65" spans="1:18" x14ac:dyDescent="0.35">
      <c r="A65" s="22">
        <v>45080</v>
      </c>
      <c r="B65" s="9" t="s">
        <v>54</v>
      </c>
      <c r="C65" s="37" t="s">
        <v>97</v>
      </c>
      <c r="D65" s="1">
        <v>147</v>
      </c>
      <c r="E65" s="1">
        <v>142</v>
      </c>
      <c r="F65" s="66">
        <f>IFERROR((Table2[[#This Row],[Calls Off]]-D58)/D58,0)</f>
        <v>0.16666666666666666</v>
      </c>
      <c r="G65" s="66">
        <f>IFERROR((Table2[[#This Row],[Calls Ans]]-E58)/E58,0)</f>
        <v>0.14516129032258066</v>
      </c>
      <c r="H65" s="1">
        <f>H64+Table2[[#This Row],[Calls Off]]</f>
        <v>1134</v>
      </c>
      <c r="I65" s="1">
        <f>I64+Table2[[#This Row],[Calls Ans]]</f>
        <v>1068</v>
      </c>
      <c r="J65" s="1">
        <f>J64+Table2[[#This Row],[Calls Off]]</f>
        <v>19548</v>
      </c>
      <c r="K65" s="1">
        <f>K64+Table2[[#This Row],[Calls Ans]]</f>
        <v>18683</v>
      </c>
      <c r="L65" s="18">
        <v>0.93</v>
      </c>
      <c r="M65" s="18">
        <v>0.03</v>
      </c>
      <c r="N65" s="18">
        <v>0.97</v>
      </c>
      <c r="O65" s="18">
        <v>0.34</v>
      </c>
      <c r="P65" s="18">
        <v>1</v>
      </c>
      <c r="Q65" s="224">
        <v>2.1180555555555553E-3</v>
      </c>
      <c r="R65" s="125">
        <v>5</v>
      </c>
    </row>
    <row r="66" spans="1:18" x14ac:dyDescent="0.35">
      <c r="A66" s="22">
        <v>45081</v>
      </c>
      <c r="B66" s="37" t="s">
        <v>48</v>
      </c>
      <c r="C66" s="37" t="s">
        <v>97</v>
      </c>
      <c r="D66" s="33">
        <v>0</v>
      </c>
      <c r="E66" s="33">
        <v>0</v>
      </c>
      <c r="F66" s="65">
        <v>0</v>
      </c>
      <c r="G66" s="65">
        <v>0</v>
      </c>
      <c r="H66" s="33">
        <v>0</v>
      </c>
      <c r="I66" s="33">
        <v>0</v>
      </c>
      <c r="J66" s="33">
        <v>0</v>
      </c>
      <c r="K66" s="33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228">
        <v>0</v>
      </c>
      <c r="R66" s="176">
        <v>0</v>
      </c>
    </row>
    <row r="67" spans="1:18" x14ac:dyDescent="0.35">
      <c r="A67" s="22">
        <v>45082</v>
      </c>
      <c r="B67" s="9" t="s">
        <v>49</v>
      </c>
      <c r="C67" s="37" t="s">
        <v>97</v>
      </c>
      <c r="D67" s="1">
        <v>606</v>
      </c>
      <c r="E67" s="1">
        <v>564</v>
      </c>
      <c r="F67" s="66">
        <f>IFERROR((Table2[[#This Row],[Calls Off]]-D60)/D60,0)</f>
        <v>0</v>
      </c>
      <c r="G67" s="66">
        <f>IFERROR((Table2[[#This Row],[Calls Ans]]-E60)/E60,0)</f>
        <v>0</v>
      </c>
      <c r="H67" s="1">
        <f>H65+Table2[[#This Row],[Calls Off]]</f>
        <v>1740</v>
      </c>
      <c r="I67" s="1">
        <f>I65+Table2[[#This Row],[Calls Ans]]</f>
        <v>1632</v>
      </c>
      <c r="J67" s="1">
        <f>J65+Table2[[#This Row],[Calls Off]]</f>
        <v>20154</v>
      </c>
      <c r="K67" s="1">
        <f>K65+Table2[[#This Row],[Calls Ans]]</f>
        <v>19247</v>
      </c>
      <c r="L67" s="18">
        <v>0.82</v>
      </c>
      <c r="M67" s="18">
        <v>7.0000000000000007E-2</v>
      </c>
      <c r="N67" s="18">
        <v>0.93</v>
      </c>
      <c r="O67" s="18">
        <v>0.67</v>
      </c>
      <c r="P67" s="18">
        <v>1</v>
      </c>
      <c r="Q67" s="224">
        <v>1.4120370370370369E-3</v>
      </c>
      <c r="R67" s="125">
        <v>5</v>
      </c>
    </row>
    <row r="68" spans="1:18" x14ac:dyDescent="0.35">
      <c r="A68" s="22">
        <v>45083</v>
      </c>
      <c r="B68" s="37" t="s">
        <v>50</v>
      </c>
      <c r="C68" s="37" t="s">
        <v>97</v>
      </c>
      <c r="D68" s="33">
        <v>481</v>
      </c>
      <c r="E68" s="33">
        <v>459</v>
      </c>
      <c r="F68" s="66">
        <f>IFERROR((Table2[[#This Row],[Calls Off]]-D61)/D61,0)</f>
        <v>-0.19430485762144054</v>
      </c>
      <c r="G68" s="66">
        <f>IFERROR((Table2[[#This Row],[Calls Ans]]-E61)/E61,0)</f>
        <v>-0.19895287958115182</v>
      </c>
      <c r="H68" s="1">
        <f>H67+Table2[[#This Row],[Calls Off]]</f>
        <v>2221</v>
      </c>
      <c r="I68" s="1">
        <f>I67+Table2[[#This Row],[Calls Ans]]</f>
        <v>2091</v>
      </c>
      <c r="J68" s="1">
        <f>J67+Table2[[#This Row],[Calls Off]]</f>
        <v>20635</v>
      </c>
      <c r="K68" s="1">
        <f>K67+Table2[[#This Row],[Calls Ans]]</f>
        <v>19706</v>
      </c>
      <c r="L68" s="38">
        <v>0.88</v>
      </c>
      <c r="M68" s="38">
        <v>0.05</v>
      </c>
      <c r="N68" s="38">
        <v>0.95</v>
      </c>
      <c r="O68" s="38">
        <v>0.7</v>
      </c>
      <c r="P68" s="38">
        <v>1</v>
      </c>
      <c r="Q68" s="228">
        <v>2.1180555555555553E-3</v>
      </c>
      <c r="R68" s="176">
        <v>5</v>
      </c>
    </row>
    <row r="69" spans="1:18" x14ac:dyDescent="0.35">
      <c r="A69" s="22">
        <v>45084</v>
      </c>
      <c r="B69" s="9" t="s">
        <v>51</v>
      </c>
      <c r="C69" s="37" t="s">
        <v>97</v>
      </c>
      <c r="D69" s="1">
        <v>471</v>
      </c>
      <c r="E69" s="1">
        <v>451</v>
      </c>
      <c r="F69" s="66">
        <f>IFERROR((Table2[[#This Row],[Calls Off]]-D62)/D62,0)</f>
        <v>-8.0078125E-2</v>
      </c>
      <c r="G69" s="66">
        <f>IFERROR((Table2[[#This Row],[Calls Ans]]-E62)/E62,0)</f>
        <v>-8.5192697768762676E-2</v>
      </c>
      <c r="H69" s="1">
        <f>H68+Table2[[#This Row],[Calls Off]]</f>
        <v>2692</v>
      </c>
      <c r="I69" s="1">
        <f>I68+Table2[[#This Row],[Calls Ans]]</f>
        <v>2542</v>
      </c>
      <c r="J69" s="1">
        <f>J68+Table2[[#This Row],[Calls Off]]</f>
        <v>21106</v>
      </c>
      <c r="K69" s="1">
        <f>K68+Table2[[#This Row],[Calls Ans]]</f>
        <v>20157</v>
      </c>
      <c r="L69" s="18">
        <v>0.89</v>
      </c>
      <c r="M69" s="18">
        <v>0.04</v>
      </c>
      <c r="N69" s="18">
        <v>0.96</v>
      </c>
      <c r="O69" s="18">
        <v>0.66</v>
      </c>
      <c r="P69" s="18">
        <v>1</v>
      </c>
      <c r="Q69" s="224">
        <v>2.1180555555555553E-3</v>
      </c>
      <c r="R69" s="125">
        <v>5</v>
      </c>
    </row>
    <row r="70" spans="1:18" x14ac:dyDescent="0.35">
      <c r="A70" s="22">
        <v>45085</v>
      </c>
      <c r="B70" s="37" t="s">
        <v>52</v>
      </c>
      <c r="C70" s="37" t="s">
        <v>97</v>
      </c>
      <c r="D70" s="33">
        <v>273</v>
      </c>
      <c r="E70" s="33">
        <v>265</v>
      </c>
      <c r="F70" s="66">
        <f>IFERROR((Table2[[#This Row],[Calls Off]]-D63)/D63,0)</f>
        <v>-0.44848484848484849</v>
      </c>
      <c r="G70" s="66">
        <f>IFERROR((Table2[[#This Row],[Calls Ans]]-E63)/E63,0)</f>
        <v>-0.41885964912280704</v>
      </c>
      <c r="H70" s="1">
        <f>H69+Table2[[#This Row],[Calls Off]]</f>
        <v>2965</v>
      </c>
      <c r="I70" s="1">
        <f>I69+Table2[[#This Row],[Calls Ans]]</f>
        <v>2807</v>
      </c>
      <c r="J70" s="1">
        <f>J69+Table2[[#This Row],[Calls Off]]</f>
        <v>21379</v>
      </c>
      <c r="K70" s="1">
        <f>K69+Table2[[#This Row],[Calls Ans]]</f>
        <v>20422</v>
      </c>
      <c r="L70" s="38">
        <v>0.96</v>
      </c>
      <c r="M70" s="38">
        <v>0.03</v>
      </c>
      <c r="N70" s="38">
        <v>0.97</v>
      </c>
      <c r="O70" s="38">
        <v>0.39</v>
      </c>
      <c r="P70" s="38">
        <v>1</v>
      </c>
      <c r="Q70" s="228">
        <v>2.1180555555555553E-3</v>
      </c>
      <c r="R70" s="176">
        <v>5</v>
      </c>
    </row>
    <row r="71" spans="1:18" x14ac:dyDescent="0.35">
      <c r="A71" s="22">
        <v>45086</v>
      </c>
      <c r="B71" s="9" t="s">
        <v>53</v>
      </c>
      <c r="C71" s="37" t="s">
        <v>97</v>
      </c>
      <c r="D71" s="1">
        <v>440</v>
      </c>
      <c r="E71" s="1">
        <v>416</v>
      </c>
      <c r="F71" s="66">
        <f>IFERROR((Table2[[#This Row],[Calls Off]]-D64)/D64,0)</f>
        <v>-0.10569105691056911</v>
      </c>
      <c r="G71" s="66">
        <f>IFERROR((Table2[[#This Row],[Calls Ans]]-E64)/E64,0)</f>
        <v>-0.1148936170212766</v>
      </c>
      <c r="H71" s="1">
        <f>H70+Table2[[#This Row],[Calls Off]]</f>
        <v>3405</v>
      </c>
      <c r="I71" s="1">
        <f>I70+Table2[[#This Row],[Calls Ans]]</f>
        <v>3223</v>
      </c>
      <c r="J71" s="1">
        <f>J70+Table2[[#This Row],[Calls Off]]</f>
        <v>21819</v>
      </c>
      <c r="K71" s="1">
        <f>K70+Table2[[#This Row],[Calls Ans]]</f>
        <v>20838</v>
      </c>
      <c r="L71" s="18">
        <v>0.9</v>
      </c>
      <c r="M71" s="18">
        <v>0.05</v>
      </c>
      <c r="N71" s="18">
        <v>0.95</v>
      </c>
      <c r="O71" s="18">
        <v>0.6</v>
      </c>
      <c r="P71" s="18">
        <v>1</v>
      </c>
      <c r="Q71" s="224">
        <v>2.1180555555555553E-3</v>
      </c>
      <c r="R71" s="125">
        <v>5</v>
      </c>
    </row>
    <row r="72" spans="1:18" x14ac:dyDescent="0.35">
      <c r="A72" s="22">
        <v>45087</v>
      </c>
      <c r="B72" s="37" t="s">
        <v>54</v>
      </c>
      <c r="C72" s="37" t="s">
        <v>97</v>
      </c>
      <c r="D72" s="33">
        <v>172</v>
      </c>
      <c r="E72" s="33">
        <v>166</v>
      </c>
      <c r="F72" s="66">
        <f>IFERROR((Table2[[#This Row],[Calls Off]]-D65)/D65,0)</f>
        <v>0.17006802721088435</v>
      </c>
      <c r="G72" s="66">
        <f>IFERROR((Table2[[#This Row],[Calls Ans]]-E65)/E65,0)</f>
        <v>0.16901408450704225</v>
      </c>
      <c r="H72" s="1">
        <f>H71+Table2[[#This Row],[Calls Off]]</f>
        <v>3577</v>
      </c>
      <c r="I72" s="1">
        <f>I71+Table2[[#This Row],[Calls Ans]]</f>
        <v>3389</v>
      </c>
      <c r="J72" s="1">
        <f>J71+Table2[[#This Row],[Calls Off]]</f>
        <v>21991</v>
      </c>
      <c r="K72" s="1">
        <f>K71+Table2[[#This Row],[Calls Ans]]</f>
        <v>21004</v>
      </c>
      <c r="L72" s="38">
        <v>0.9</v>
      </c>
      <c r="M72" s="38">
        <v>0.03</v>
      </c>
      <c r="N72" s="38">
        <v>0.97</v>
      </c>
      <c r="O72" s="38">
        <v>0.33</v>
      </c>
      <c r="P72" s="38">
        <v>1</v>
      </c>
      <c r="Q72" s="228">
        <v>1.4120370370370369E-3</v>
      </c>
      <c r="R72" s="176">
        <v>5</v>
      </c>
    </row>
    <row r="73" spans="1:18" x14ac:dyDescent="0.35">
      <c r="A73" s="22">
        <v>45088</v>
      </c>
      <c r="B73" s="9" t="s">
        <v>48</v>
      </c>
      <c r="C73" s="37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224">
        <v>0</v>
      </c>
      <c r="R73" s="125">
        <v>0</v>
      </c>
    </row>
    <row r="74" spans="1:18" x14ac:dyDescent="0.35">
      <c r="A74" s="22">
        <v>45089</v>
      </c>
      <c r="B74" s="37" t="s">
        <v>49</v>
      </c>
      <c r="C74" s="37" t="s">
        <v>97</v>
      </c>
      <c r="D74" s="33">
        <v>547</v>
      </c>
      <c r="E74" s="33">
        <v>493</v>
      </c>
      <c r="F74" s="66">
        <f>IFERROR((Table2[[#This Row],[Calls Off]]-D67)/D67,0)</f>
        <v>-9.7359735973597358E-2</v>
      </c>
      <c r="G74" s="66">
        <f>IFERROR((Table2[[#This Row],[Calls Ans]]-E67)/E67,0)</f>
        <v>-0.12588652482269502</v>
      </c>
      <c r="H74" s="1">
        <f>H72+Table2[[#This Row],[Calls Off]]</f>
        <v>4124</v>
      </c>
      <c r="I74" s="1">
        <f>I72+Table2[[#This Row],[Calls Ans]]</f>
        <v>3882</v>
      </c>
      <c r="J74" s="1">
        <f>J72+Table2[[#This Row],[Calls Off]]</f>
        <v>22538</v>
      </c>
      <c r="K74" s="1">
        <f>K72+Table2[[#This Row],[Calls Ans]]</f>
        <v>21497</v>
      </c>
      <c r="L74" s="38">
        <v>0.79</v>
      </c>
      <c r="M74" s="38">
        <v>0.1</v>
      </c>
      <c r="N74" s="38">
        <v>0.9</v>
      </c>
      <c r="O74" s="38">
        <v>0.87</v>
      </c>
      <c r="P74" s="38">
        <v>1</v>
      </c>
      <c r="Q74" s="228">
        <v>2.1180555555555553E-3</v>
      </c>
      <c r="R74" s="176">
        <v>4</v>
      </c>
    </row>
    <row r="75" spans="1:18" x14ac:dyDescent="0.35">
      <c r="A75" s="22">
        <v>45090</v>
      </c>
      <c r="B75" s="9" t="s">
        <v>50</v>
      </c>
      <c r="C75" s="37" t="s">
        <v>97</v>
      </c>
      <c r="D75" s="1">
        <v>452</v>
      </c>
      <c r="E75" s="1">
        <v>432</v>
      </c>
      <c r="F75" s="66">
        <f>IFERROR((Table2[[#This Row],[Calls Off]]-D68)/D68,0)</f>
        <v>-6.0291060291060294E-2</v>
      </c>
      <c r="G75" s="66">
        <f>IFERROR((Table2[[#This Row],[Calls Ans]]-E68)/E68,0)</f>
        <v>-5.8823529411764705E-2</v>
      </c>
      <c r="H75" s="1">
        <f>H74+Table2[[#This Row],[Calls Off]]</f>
        <v>4576</v>
      </c>
      <c r="I75" s="1">
        <f>I74+Table2[[#This Row],[Calls Ans]]</f>
        <v>4314</v>
      </c>
      <c r="J75" s="1">
        <f>J74+Table2[[#This Row],[Calls Off]]</f>
        <v>22990</v>
      </c>
      <c r="K75" s="1">
        <f>K74+Table2[[#This Row],[Calls Ans]]</f>
        <v>21929</v>
      </c>
      <c r="L75" s="18">
        <v>0.88</v>
      </c>
      <c r="M75" s="18">
        <v>0.04</v>
      </c>
      <c r="N75" s="18">
        <v>0.96</v>
      </c>
      <c r="O75" s="18">
        <v>0.6</v>
      </c>
      <c r="P75" s="18">
        <v>1</v>
      </c>
      <c r="Q75" s="224">
        <v>2.1180555555555553E-3</v>
      </c>
      <c r="R75" s="125">
        <v>5</v>
      </c>
    </row>
    <row r="76" spans="1:18" x14ac:dyDescent="0.35">
      <c r="A76" s="22">
        <v>45091</v>
      </c>
      <c r="B76" s="37" t="s">
        <v>51</v>
      </c>
      <c r="C76" s="37" t="s">
        <v>97</v>
      </c>
      <c r="D76" s="33">
        <v>473</v>
      </c>
      <c r="E76" s="33">
        <v>458</v>
      </c>
      <c r="F76" s="66">
        <f>IFERROR((Table2[[#This Row],[Calls Off]]-D69)/D69,0)</f>
        <v>4.246284501061571E-3</v>
      </c>
      <c r="G76" s="66">
        <f>IFERROR((Table2[[#This Row],[Calls Ans]]-E69)/E69,0)</f>
        <v>1.5521064301552107E-2</v>
      </c>
      <c r="H76" s="1">
        <f>H75+Table2[[#This Row],[Calls Off]]</f>
        <v>5049</v>
      </c>
      <c r="I76" s="1">
        <f>I75+Table2[[#This Row],[Calls Ans]]</f>
        <v>4772</v>
      </c>
      <c r="J76" s="1">
        <f>J75+Table2[[#This Row],[Calls Off]]</f>
        <v>23463</v>
      </c>
      <c r="K76" s="1">
        <f>K75+Table2[[#This Row],[Calls Ans]]</f>
        <v>22387</v>
      </c>
      <c r="L76" s="38">
        <v>0.92</v>
      </c>
      <c r="M76" s="38">
        <v>0.03</v>
      </c>
      <c r="N76" s="38">
        <v>0.97</v>
      </c>
      <c r="O76" s="38">
        <v>0.64</v>
      </c>
      <c r="P76" s="38">
        <v>1</v>
      </c>
      <c r="Q76" s="228">
        <v>2.1180555555555553E-3</v>
      </c>
      <c r="R76" s="176">
        <v>5</v>
      </c>
    </row>
    <row r="77" spans="1:18" x14ac:dyDescent="0.35">
      <c r="A77" s="22">
        <v>45092</v>
      </c>
      <c r="B77" s="9" t="s">
        <v>52</v>
      </c>
      <c r="C77" s="37" t="s">
        <v>97</v>
      </c>
      <c r="D77" s="1">
        <v>395</v>
      </c>
      <c r="E77" s="1">
        <v>388</v>
      </c>
      <c r="F77" s="66">
        <f>IFERROR((Table2[[#This Row],[Calls Off]]-D70)/D70,0)</f>
        <v>0.44688644688644691</v>
      </c>
      <c r="G77" s="66">
        <f>IFERROR((Table2[[#This Row],[Calls Ans]]-E70)/E70,0)</f>
        <v>0.46415094339622642</v>
      </c>
      <c r="H77" s="1">
        <f>H76+Table2[[#This Row],[Calls Off]]</f>
        <v>5444</v>
      </c>
      <c r="I77" s="1">
        <f>I76+Table2[[#This Row],[Calls Ans]]</f>
        <v>5160</v>
      </c>
      <c r="J77" s="1">
        <f>J76+Table2[[#This Row],[Calls Off]]</f>
        <v>23858</v>
      </c>
      <c r="K77" s="1">
        <f>K76+Table2[[#This Row],[Calls Ans]]</f>
        <v>22775</v>
      </c>
      <c r="L77" s="18">
        <v>0.95</v>
      </c>
      <c r="M77" s="18">
        <v>0.02</v>
      </c>
      <c r="N77" s="18">
        <v>0.98</v>
      </c>
      <c r="O77" s="18">
        <v>0.53</v>
      </c>
      <c r="P77" s="18">
        <v>1</v>
      </c>
      <c r="Q77" s="224">
        <v>2.1180555555555553E-3</v>
      </c>
      <c r="R77" s="125">
        <v>5</v>
      </c>
    </row>
    <row r="78" spans="1:18" x14ac:dyDescent="0.35">
      <c r="A78" s="22">
        <v>45093</v>
      </c>
      <c r="B78" s="37" t="s">
        <v>53</v>
      </c>
      <c r="C78" s="37" t="s">
        <v>97</v>
      </c>
      <c r="D78" s="33">
        <v>385</v>
      </c>
      <c r="E78" s="33">
        <v>375</v>
      </c>
      <c r="F78" s="66">
        <f>IFERROR((Table2[[#This Row],[Calls Off]]-D71)/D71,0)</f>
        <v>-0.125</v>
      </c>
      <c r="G78" s="66">
        <f>IFERROR((Table2[[#This Row],[Calls Ans]]-E71)/E71,0)</f>
        <v>-9.8557692307692304E-2</v>
      </c>
      <c r="H78" s="1">
        <f>H77+Table2[[#This Row],[Calls Off]]</f>
        <v>5829</v>
      </c>
      <c r="I78" s="1">
        <f>I77+Table2[[#This Row],[Calls Ans]]</f>
        <v>5535</v>
      </c>
      <c r="J78" s="1">
        <f>J77+Table2[[#This Row],[Calls Off]]</f>
        <v>24243</v>
      </c>
      <c r="K78" s="1">
        <f>K77+Table2[[#This Row],[Calls Ans]]</f>
        <v>23150</v>
      </c>
      <c r="L78" s="38">
        <v>0.95</v>
      </c>
      <c r="M78" s="38">
        <v>0.03</v>
      </c>
      <c r="N78" s="38">
        <v>0.97</v>
      </c>
      <c r="O78" s="38">
        <v>0.43</v>
      </c>
      <c r="P78" s="38">
        <v>1</v>
      </c>
      <c r="Q78" s="228">
        <v>1.4120370370370369E-3</v>
      </c>
      <c r="R78" s="176">
        <v>5</v>
      </c>
    </row>
    <row r="79" spans="1:18" x14ac:dyDescent="0.35">
      <c r="A79" s="22">
        <v>45094</v>
      </c>
      <c r="B79" s="9" t="s">
        <v>54</v>
      </c>
      <c r="C79" s="37" t="s">
        <v>97</v>
      </c>
      <c r="D79" s="1">
        <v>111</v>
      </c>
      <c r="E79" s="1">
        <v>110</v>
      </c>
      <c r="F79" s="66">
        <f>IFERROR((Table2[[#This Row],[Calls Off]]-D72)/D72,0)</f>
        <v>-0.35465116279069769</v>
      </c>
      <c r="G79" s="66">
        <f>IFERROR((Table2[[#This Row],[Calls Ans]]-E72)/E72,0)</f>
        <v>-0.33734939759036142</v>
      </c>
      <c r="H79" s="1">
        <f>H78+Table2[[#This Row],[Calls Off]]</f>
        <v>5940</v>
      </c>
      <c r="I79" s="1">
        <f>I78+Table2[[#This Row],[Calls Ans]]</f>
        <v>5645</v>
      </c>
      <c r="J79" s="1">
        <f>J78+Table2[[#This Row],[Calls Off]]</f>
        <v>24354</v>
      </c>
      <c r="K79" s="1">
        <f>K78+Table2[[#This Row],[Calls Ans]]</f>
        <v>23260</v>
      </c>
      <c r="L79" s="18">
        <v>0.96</v>
      </c>
      <c r="M79" s="18">
        <v>0.01</v>
      </c>
      <c r="N79" s="18">
        <v>0.99</v>
      </c>
      <c r="O79" s="18">
        <v>0.34</v>
      </c>
      <c r="P79" s="18">
        <v>1</v>
      </c>
      <c r="Q79" s="224">
        <v>2.1180555555555553E-3</v>
      </c>
      <c r="R79" s="125">
        <v>4</v>
      </c>
    </row>
    <row r="80" spans="1:18" x14ac:dyDescent="0.35">
      <c r="A80" s="22">
        <v>45095</v>
      </c>
      <c r="B80" s="37" t="s">
        <v>48</v>
      </c>
      <c r="C80" s="37" t="s">
        <v>97</v>
      </c>
      <c r="D80" s="33">
        <v>0</v>
      </c>
      <c r="E80" s="33">
        <v>0</v>
      </c>
      <c r="F80" s="65">
        <v>0</v>
      </c>
      <c r="G80" s="65">
        <v>0</v>
      </c>
      <c r="H80" s="33">
        <v>0</v>
      </c>
      <c r="I80" s="33">
        <v>0</v>
      </c>
      <c r="J80" s="33">
        <v>0</v>
      </c>
      <c r="K80" s="33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228">
        <v>0</v>
      </c>
      <c r="R80" s="176">
        <v>0</v>
      </c>
    </row>
    <row r="81" spans="1:20" x14ac:dyDescent="0.35">
      <c r="A81" s="22">
        <v>45096</v>
      </c>
      <c r="B81" s="9" t="s">
        <v>49</v>
      </c>
      <c r="C81" s="37" t="s">
        <v>97</v>
      </c>
      <c r="D81" s="1">
        <v>392</v>
      </c>
      <c r="E81" s="1">
        <v>382</v>
      </c>
      <c r="F81" s="66">
        <f>IFERROR((Table2[[#This Row],[Calls Off]]-D74)/D74,0)</f>
        <v>-0.28336380255941501</v>
      </c>
      <c r="G81" s="66">
        <f>IFERROR((Table2[[#This Row],[Calls Ans]]-E74)/E74,0)</f>
        <v>-0.22515212981744423</v>
      </c>
      <c r="H81" s="1">
        <f>H79+Table2[[#This Row],[Calls Off]]</f>
        <v>6332</v>
      </c>
      <c r="I81" s="1">
        <f>I79+Table2[[#This Row],[Calls Ans]]</f>
        <v>6027</v>
      </c>
      <c r="J81" s="1">
        <f>J79+Table2[[#This Row],[Calls Off]]</f>
        <v>24746</v>
      </c>
      <c r="K81" s="1">
        <f>K79+Table2[[#This Row],[Calls Ans]]</f>
        <v>23642</v>
      </c>
      <c r="L81" s="18">
        <v>0.96</v>
      </c>
      <c r="M81" s="18">
        <v>0.03</v>
      </c>
      <c r="N81" s="18">
        <v>0.97</v>
      </c>
      <c r="O81" s="18">
        <v>0.53</v>
      </c>
      <c r="P81" s="18">
        <v>1</v>
      </c>
      <c r="Q81" s="224">
        <v>2.1180555555555553E-3</v>
      </c>
      <c r="R81" s="125">
        <v>5</v>
      </c>
      <c r="T81">
        <f>AVERAGEIF(P82:P88,"&lt;&gt;0")</f>
        <v>1</v>
      </c>
    </row>
    <row r="82" spans="1:20" x14ac:dyDescent="0.35">
      <c r="A82" s="22">
        <v>45097</v>
      </c>
      <c r="B82" s="37" t="s">
        <v>50</v>
      </c>
      <c r="C82" s="37" t="s">
        <v>97</v>
      </c>
      <c r="D82" s="33">
        <v>335</v>
      </c>
      <c r="E82" s="33">
        <v>324</v>
      </c>
      <c r="F82" s="66">
        <f>IFERROR((Table2[[#This Row],[Calls Off]]-D75)/D75,0)</f>
        <v>-0.25884955752212391</v>
      </c>
      <c r="G82" s="66">
        <f>IFERROR((Table2[[#This Row],[Calls Ans]]-E75)/E75,0)</f>
        <v>-0.25</v>
      </c>
      <c r="H82" s="1">
        <f>H81+Table2[[#This Row],[Calls Off]]</f>
        <v>6667</v>
      </c>
      <c r="I82" s="1">
        <f>I81+Table2[[#This Row],[Calls Ans]]</f>
        <v>6351</v>
      </c>
      <c r="J82" s="1">
        <f>J81+Table2[[#This Row],[Calls Off]]</f>
        <v>25081</v>
      </c>
      <c r="K82" s="1">
        <f>K81+Table2[[#This Row],[Calls Ans]]</f>
        <v>23966</v>
      </c>
      <c r="L82" s="38">
        <v>0.95</v>
      </c>
      <c r="M82" s="38">
        <v>0.03</v>
      </c>
      <c r="N82" s="38">
        <v>0.97</v>
      </c>
      <c r="O82" s="38">
        <v>0.39</v>
      </c>
      <c r="P82" s="38">
        <v>1</v>
      </c>
      <c r="Q82" s="228">
        <v>1.4120370370370369E-3</v>
      </c>
      <c r="R82" s="176">
        <v>5</v>
      </c>
    </row>
    <row r="83" spans="1:20" x14ac:dyDescent="0.35">
      <c r="A83" s="22">
        <v>45098</v>
      </c>
      <c r="B83" s="9" t="s">
        <v>51</v>
      </c>
      <c r="C83" s="37" t="s">
        <v>97</v>
      </c>
      <c r="D83" s="1">
        <v>315</v>
      </c>
      <c r="E83" s="1">
        <v>310</v>
      </c>
      <c r="F83" s="66">
        <f>IFERROR((Table2[[#This Row],[Calls Off]]-D76)/D76,0)</f>
        <v>-0.33403805496828753</v>
      </c>
      <c r="G83" s="66">
        <f>IFERROR((Table2[[#This Row],[Calls Ans]]-E76)/E76,0)</f>
        <v>-0.32314410480349343</v>
      </c>
      <c r="H83" s="1">
        <f>H82+Table2[[#This Row],[Calls Off]]</f>
        <v>6982</v>
      </c>
      <c r="I83" s="1">
        <f>I82+Table2[[#This Row],[Calls Ans]]</f>
        <v>6661</v>
      </c>
      <c r="J83" s="1">
        <f>J82+Table2[[#This Row],[Calls Off]]</f>
        <v>25396</v>
      </c>
      <c r="K83" s="1">
        <f>K82+Table2[[#This Row],[Calls Ans]]</f>
        <v>24276</v>
      </c>
      <c r="L83" s="18">
        <v>0.95</v>
      </c>
      <c r="M83" s="18">
        <v>0.02</v>
      </c>
      <c r="N83" s="18">
        <v>0.98</v>
      </c>
      <c r="O83" s="18">
        <v>0.36</v>
      </c>
      <c r="P83" s="18">
        <v>1</v>
      </c>
      <c r="Q83" s="224">
        <v>1.4120370370370369E-3</v>
      </c>
      <c r="R83" s="125">
        <v>5</v>
      </c>
    </row>
    <row r="84" spans="1:20" x14ac:dyDescent="0.35">
      <c r="A84" s="22">
        <v>45099</v>
      </c>
      <c r="B84" s="37" t="s">
        <v>52</v>
      </c>
      <c r="C84" s="37" t="s">
        <v>97</v>
      </c>
      <c r="D84" s="33">
        <v>189</v>
      </c>
      <c r="E84" s="33">
        <v>181</v>
      </c>
      <c r="F84" s="66">
        <f>IFERROR((Table2[[#This Row],[Calls Off]]-D77)/D77,0)</f>
        <v>-0.52151898734177216</v>
      </c>
      <c r="G84" s="66">
        <f>IFERROR((Table2[[#This Row],[Calls Ans]]-E77)/E77,0)</f>
        <v>-0.53350515463917525</v>
      </c>
      <c r="H84" s="1">
        <f>H83+Table2[[#This Row],[Calls Off]]</f>
        <v>7171</v>
      </c>
      <c r="I84" s="1">
        <f>I83+Table2[[#This Row],[Calls Ans]]</f>
        <v>6842</v>
      </c>
      <c r="J84" s="1">
        <f>J83+Table2[[#This Row],[Calls Off]]</f>
        <v>25585</v>
      </c>
      <c r="K84" s="1">
        <f>K83+Table2[[#This Row],[Calls Ans]]</f>
        <v>24457</v>
      </c>
      <c r="L84" s="38">
        <v>0.92</v>
      </c>
      <c r="M84" s="38">
        <v>0.04</v>
      </c>
      <c r="N84" s="38">
        <v>0.96</v>
      </c>
      <c r="O84" s="38">
        <v>0.43</v>
      </c>
      <c r="P84" s="38">
        <v>1</v>
      </c>
      <c r="Q84" s="228">
        <v>2.1180555555555553E-3</v>
      </c>
      <c r="R84" s="176">
        <v>5</v>
      </c>
    </row>
    <row r="85" spans="1:20" x14ac:dyDescent="0.35">
      <c r="A85" s="22">
        <v>45100</v>
      </c>
      <c r="B85" s="9" t="s">
        <v>53</v>
      </c>
      <c r="C85" s="37" t="s">
        <v>97</v>
      </c>
      <c r="D85" s="1">
        <v>0</v>
      </c>
      <c r="E85" s="1">
        <v>0</v>
      </c>
      <c r="F85" s="66">
        <v>0</v>
      </c>
      <c r="G85" s="66">
        <v>0</v>
      </c>
      <c r="H85" s="1">
        <v>0</v>
      </c>
      <c r="I85" s="1">
        <v>0</v>
      </c>
      <c r="J85" s="1">
        <v>0</v>
      </c>
      <c r="K85" s="1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224">
        <v>0</v>
      </c>
      <c r="R85" s="125">
        <v>0</v>
      </c>
    </row>
    <row r="86" spans="1:20" x14ac:dyDescent="0.35">
      <c r="A86" s="22">
        <v>45101</v>
      </c>
      <c r="B86" s="37" t="s">
        <v>54</v>
      </c>
      <c r="C86" s="37" t="s">
        <v>97</v>
      </c>
      <c r="D86" s="33">
        <v>129</v>
      </c>
      <c r="E86" s="33">
        <v>126</v>
      </c>
      <c r="F86" s="66">
        <f>IFERROR((Table2[[#This Row],[Calls Off]]-D79)/D79,0)</f>
        <v>0.16216216216216217</v>
      </c>
      <c r="G86" s="66">
        <f>IFERROR((Table2[[#This Row],[Calls Ans]]-E79)/E79,0)</f>
        <v>0.14545454545454545</v>
      </c>
      <c r="H86" s="1">
        <f>H84+Table2[[#This Row],[Calls Off]]</f>
        <v>7300</v>
      </c>
      <c r="I86" s="1">
        <f>I84+Table2[[#This Row],[Calls Ans]]</f>
        <v>6968</v>
      </c>
      <c r="J86" s="1">
        <f>J84+Table2[[#This Row],[Calls Off]]</f>
        <v>25714</v>
      </c>
      <c r="K86" s="1">
        <f>K84+Table2[[#This Row],[Calls Ans]]</f>
        <v>24583</v>
      </c>
      <c r="L86" s="38">
        <v>0.9</v>
      </c>
      <c r="M86" s="38">
        <v>0.02</v>
      </c>
      <c r="N86" s="38">
        <v>0.98</v>
      </c>
      <c r="O86" s="38">
        <v>0.54</v>
      </c>
      <c r="P86" s="38">
        <v>1</v>
      </c>
      <c r="Q86" s="228">
        <v>2.1180555555555553E-3</v>
      </c>
      <c r="R86" s="176">
        <v>3</v>
      </c>
    </row>
    <row r="87" spans="1:20" x14ac:dyDescent="0.35">
      <c r="A87" s="22">
        <v>45102</v>
      </c>
      <c r="B87" s="9" t="s">
        <v>48</v>
      </c>
      <c r="C87" s="37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224">
        <v>0</v>
      </c>
      <c r="R87" s="125">
        <v>0</v>
      </c>
    </row>
    <row r="88" spans="1:20" x14ac:dyDescent="0.35">
      <c r="A88" s="22">
        <v>45103</v>
      </c>
      <c r="B88" s="37" t="s">
        <v>49</v>
      </c>
      <c r="C88" s="37" t="s">
        <v>97</v>
      </c>
      <c r="D88" s="33">
        <v>452</v>
      </c>
      <c r="E88" s="33">
        <v>437</v>
      </c>
      <c r="F88" s="66">
        <f>IFERROR((Table2[[#This Row],[Calls Off]]-D81)/D81,0)</f>
        <v>0.15306122448979592</v>
      </c>
      <c r="G88" s="66">
        <f>IFERROR((Table2[[#This Row],[Calls Ans]]-E81)/E81,0)</f>
        <v>0.14397905759162305</v>
      </c>
      <c r="H88" s="1">
        <f>H86+Table2[[#This Row],[Calls Off]]</f>
        <v>7752</v>
      </c>
      <c r="I88" s="1">
        <f>I86+Table2[[#This Row],[Calls Ans]]</f>
        <v>7405</v>
      </c>
      <c r="J88" s="1">
        <f>J86+Table2[[#This Row],[Calls Off]]</f>
        <v>26166</v>
      </c>
      <c r="K88" s="1">
        <f>K86+Table2[[#This Row],[Calls Ans]]</f>
        <v>25020</v>
      </c>
      <c r="L88" s="38">
        <v>0.9</v>
      </c>
      <c r="M88" s="38">
        <v>0.03</v>
      </c>
      <c r="N88" s="38">
        <v>0.97</v>
      </c>
      <c r="O88" s="38">
        <v>0.62</v>
      </c>
      <c r="P88" s="38">
        <v>1</v>
      </c>
      <c r="Q88" s="228">
        <v>2.1180555555555553E-3</v>
      </c>
      <c r="R88" s="176">
        <v>5</v>
      </c>
    </row>
    <row r="89" spans="1:20" x14ac:dyDescent="0.35">
      <c r="A89" s="22">
        <v>45104</v>
      </c>
      <c r="B89" s="9" t="s">
        <v>50</v>
      </c>
      <c r="C89" s="37" t="s">
        <v>97</v>
      </c>
      <c r="D89" s="1">
        <v>407</v>
      </c>
      <c r="E89" s="1">
        <v>394</v>
      </c>
      <c r="F89" s="66">
        <f>IFERROR((Table2[[#This Row],[Calls Off]]-D82)/D82,0)</f>
        <v>0.21492537313432836</v>
      </c>
      <c r="G89" s="66">
        <f>IFERROR((Table2[[#This Row],[Calls Ans]]-E82)/E82,0)</f>
        <v>0.21604938271604937</v>
      </c>
      <c r="H89" s="1">
        <f>H88+Table2[[#This Row],[Calls Off]]</f>
        <v>8159</v>
      </c>
      <c r="I89" s="1">
        <f>I88+Table2[[#This Row],[Calls Ans]]</f>
        <v>7799</v>
      </c>
      <c r="J89" s="1">
        <f>J88+Table2[[#This Row],[Calls Off]]</f>
        <v>26573</v>
      </c>
      <c r="K89" s="1">
        <f>K88+Table2[[#This Row],[Calls Ans]]</f>
        <v>25414</v>
      </c>
      <c r="L89" s="18">
        <v>0.92</v>
      </c>
      <c r="M89" s="18">
        <v>0.03</v>
      </c>
      <c r="N89" s="18">
        <v>0.97</v>
      </c>
      <c r="O89" s="18">
        <v>0.54</v>
      </c>
      <c r="P89" s="18">
        <v>1</v>
      </c>
      <c r="Q89" s="224">
        <v>2.2222222222222222E-3</v>
      </c>
      <c r="R89" s="125">
        <v>5</v>
      </c>
    </row>
    <row r="90" spans="1:20" x14ac:dyDescent="0.35">
      <c r="A90" s="22">
        <v>45105</v>
      </c>
      <c r="B90" s="37" t="s">
        <v>51</v>
      </c>
      <c r="C90" s="37" t="s">
        <v>97</v>
      </c>
      <c r="D90" s="33">
        <v>381</v>
      </c>
      <c r="E90" s="33">
        <v>370</v>
      </c>
      <c r="F90" s="66">
        <f>IFERROR((Table2[[#This Row],[Calls Off]]-D83)/D83,0)</f>
        <v>0.20952380952380953</v>
      </c>
      <c r="G90" s="66">
        <f>IFERROR((Table2[[#This Row],[Calls Ans]]-E83)/E83,0)</f>
        <v>0.19354838709677419</v>
      </c>
      <c r="H90" s="1">
        <f>H89+Table2[[#This Row],[Calls Off]]</f>
        <v>8540</v>
      </c>
      <c r="I90" s="1">
        <f>I89+Table2[[#This Row],[Calls Ans]]</f>
        <v>8169</v>
      </c>
      <c r="J90" s="1">
        <f>J89+Table2[[#This Row],[Calls Off]]</f>
        <v>26954</v>
      </c>
      <c r="K90" s="1">
        <f>K89+Table2[[#This Row],[Calls Ans]]</f>
        <v>25784</v>
      </c>
      <c r="L90" s="38">
        <v>0.95</v>
      </c>
      <c r="M90" s="38">
        <v>0.03</v>
      </c>
      <c r="N90" s="38">
        <v>0.97</v>
      </c>
      <c r="O90" s="38">
        <v>0.43</v>
      </c>
      <c r="P90" s="38">
        <v>1</v>
      </c>
      <c r="Q90" s="228">
        <v>1.9675925925925928E-3</v>
      </c>
      <c r="R90" s="176">
        <v>5</v>
      </c>
    </row>
    <row r="91" spans="1:20" x14ac:dyDescent="0.35">
      <c r="A91" s="22">
        <v>45106</v>
      </c>
      <c r="B91" s="9" t="s">
        <v>52</v>
      </c>
      <c r="C91" s="37" t="s">
        <v>97</v>
      </c>
      <c r="D91" s="1">
        <v>408</v>
      </c>
      <c r="E91" s="1">
        <v>389</v>
      </c>
      <c r="F91" s="66">
        <f>IFERROR((Table2[[#This Row],[Calls Off]]-D84)/D84,0)</f>
        <v>1.1587301587301588</v>
      </c>
      <c r="G91" s="66">
        <f>IFERROR((Table2[[#This Row],[Calls Ans]]-E84)/E84,0)</f>
        <v>1.149171270718232</v>
      </c>
      <c r="H91" s="1">
        <f>H90+Table2[[#This Row],[Calls Off]]</f>
        <v>8948</v>
      </c>
      <c r="I91" s="1">
        <f>I90+Table2[[#This Row],[Calls Ans]]</f>
        <v>8558</v>
      </c>
      <c r="J91" s="1">
        <f>J90+Table2[[#This Row],[Calls Off]]</f>
        <v>27362</v>
      </c>
      <c r="K91" s="1">
        <f>K90+Table2[[#This Row],[Calls Ans]]</f>
        <v>26173</v>
      </c>
      <c r="L91" s="18">
        <v>0.93</v>
      </c>
      <c r="M91" s="18">
        <v>0.05</v>
      </c>
      <c r="N91" s="18">
        <v>0.95</v>
      </c>
      <c r="O91" s="18">
        <v>0.55000000000000004</v>
      </c>
      <c r="P91" s="18">
        <v>1</v>
      </c>
      <c r="Q91" s="224">
        <v>2.1874999999999998E-3</v>
      </c>
      <c r="R91" s="125">
        <v>5</v>
      </c>
    </row>
    <row r="92" spans="1:20" x14ac:dyDescent="0.35">
      <c r="A92" s="22">
        <v>45107</v>
      </c>
      <c r="B92" s="86" t="s">
        <v>53</v>
      </c>
      <c r="C92" s="37" t="s">
        <v>97</v>
      </c>
      <c r="D92" s="79">
        <v>380</v>
      </c>
      <c r="E92" s="79">
        <v>363</v>
      </c>
      <c r="F92" s="87">
        <f>IFERROR((Table2[[#This Row],[Calls Off]]-D85)/D85,0)</f>
        <v>0</v>
      </c>
      <c r="G92" s="87">
        <f>IFERROR((Table2[[#This Row],[Calls Ans]]-E85)/E85,0)</f>
        <v>0</v>
      </c>
      <c r="H92" s="79">
        <f>H91+Table2[[#This Row],[Calls Off]]</f>
        <v>9328</v>
      </c>
      <c r="I92" s="79">
        <f>I91+Table2[[#This Row],[Calls Ans]]</f>
        <v>8921</v>
      </c>
      <c r="J92" s="79">
        <f>J91+Table2[[#This Row],[Calls Off]]</f>
        <v>27742</v>
      </c>
      <c r="K92" s="79">
        <f>K91+Table2[[#This Row],[Calls Ans]]</f>
        <v>26536</v>
      </c>
      <c r="L92" s="88">
        <v>0.91</v>
      </c>
      <c r="M92" s="88">
        <v>0.04</v>
      </c>
      <c r="N92" s="88">
        <v>0.96</v>
      </c>
      <c r="O92" s="88">
        <v>0.59</v>
      </c>
      <c r="P92" s="88">
        <v>1</v>
      </c>
      <c r="Q92" s="228">
        <v>2.1180555555555553E-3</v>
      </c>
      <c r="R92" s="176">
        <v>5</v>
      </c>
    </row>
    <row r="93" spans="1:20" x14ac:dyDescent="0.35">
      <c r="A93" s="22">
        <v>45108</v>
      </c>
      <c r="B93" s="9" t="s">
        <v>54</v>
      </c>
      <c r="C93" s="37" t="s">
        <v>97</v>
      </c>
      <c r="D93" s="1">
        <v>148</v>
      </c>
      <c r="E93" s="1">
        <v>145</v>
      </c>
      <c r="F93" s="66">
        <f>IFERROR((Table2[[#This Row],[Calls Off]]-D86)/D86,0)</f>
        <v>0.14728682170542637</v>
      </c>
      <c r="G93" s="66">
        <f>IFERROR((Table2[[#This Row],[Calls Ans]]-E86)/E86,0)</f>
        <v>0.15079365079365079</v>
      </c>
      <c r="H93" s="1">
        <f>Table2[[#This Row],[Calls Off]]</f>
        <v>148</v>
      </c>
      <c r="I93" s="1">
        <f>Table2[[#This Row],[Calls Ans]]</f>
        <v>145</v>
      </c>
      <c r="J93" s="1">
        <f>J92+Table2[[#This Row],[Calls Off]]</f>
        <v>27890</v>
      </c>
      <c r="K93" s="1">
        <f>K92+Table2[[#This Row],[Calls Ans]]</f>
        <v>26681</v>
      </c>
      <c r="L93" s="18">
        <v>0.94</v>
      </c>
      <c r="M93" s="18">
        <v>0.02</v>
      </c>
      <c r="N93" s="18">
        <v>0.98</v>
      </c>
      <c r="O93" s="18">
        <v>0.36</v>
      </c>
      <c r="P93" s="18">
        <v>1</v>
      </c>
      <c r="Q93" s="224">
        <v>2.0138888888888888E-3</v>
      </c>
      <c r="R93" s="125">
        <v>4</v>
      </c>
    </row>
    <row r="94" spans="1:20" x14ac:dyDescent="0.35">
      <c r="A94" s="22">
        <v>45109</v>
      </c>
      <c r="B94" s="37" t="s">
        <v>48</v>
      </c>
      <c r="C94" s="37" t="s">
        <v>97</v>
      </c>
      <c r="D94" s="33">
        <v>0</v>
      </c>
      <c r="E94" s="33">
        <v>0</v>
      </c>
      <c r="F94" s="65">
        <v>0</v>
      </c>
      <c r="G94" s="65">
        <v>0</v>
      </c>
      <c r="H94" s="33">
        <v>0</v>
      </c>
      <c r="I94" s="33">
        <v>0</v>
      </c>
      <c r="J94" s="33">
        <v>0</v>
      </c>
      <c r="K94" s="33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228">
        <v>0</v>
      </c>
      <c r="R94" s="176">
        <v>0</v>
      </c>
    </row>
    <row r="95" spans="1:20" x14ac:dyDescent="0.35">
      <c r="A95" s="22">
        <v>45110</v>
      </c>
      <c r="B95" s="9" t="s">
        <v>49</v>
      </c>
      <c r="C95" s="37" t="s">
        <v>97</v>
      </c>
      <c r="D95" s="1">
        <v>427</v>
      </c>
      <c r="E95" s="1">
        <v>414</v>
      </c>
      <c r="F95" s="66">
        <f>IFERROR((Table2[[#This Row],[Calls Off]]-D88)/D88,0)</f>
        <v>-5.5309734513274339E-2</v>
      </c>
      <c r="G95" s="66">
        <f>IFERROR((Table2[[#This Row],[Calls Ans]]-E88)/E88,0)</f>
        <v>-5.2631578947368418E-2</v>
      </c>
      <c r="H95" s="1">
        <f>H93+Table2[[#This Row],[Calls Off]]</f>
        <v>575</v>
      </c>
      <c r="I95" s="1">
        <f>I93+Table2[[#This Row],[Calls Ans]]</f>
        <v>559</v>
      </c>
      <c r="J95" s="1">
        <f>J93+Table2[[#This Row],[Calls Off]]</f>
        <v>28317</v>
      </c>
      <c r="K95" s="1">
        <f>K93+Table2[[#This Row],[Calls Ans]]</f>
        <v>27095</v>
      </c>
      <c r="L95" s="18">
        <v>0.92</v>
      </c>
      <c r="M95" s="18">
        <v>0.03</v>
      </c>
      <c r="N95" s="18">
        <v>0.97</v>
      </c>
      <c r="O95" s="18">
        <v>0.61</v>
      </c>
      <c r="P95" s="18">
        <v>1</v>
      </c>
      <c r="Q95" s="224">
        <v>2.3032407407407407E-3</v>
      </c>
      <c r="R95" s="125">
        <v>5</v>
      </c>
    </row>
    <row r="96" spans="1:20" x14ac:dyDescent="0.35">
      <c r="A96" s="22">
        <v>45111</v>
      </c>
      <c r="B96" s="37" t="s">
        <v>50</v>
      </c>
      <c r="C96" s="37" t="s">
        <v>97</v>
      </c>
      <c r="D96" s="33">
        <v>247</v>
      </c>
      <c r="E96" s="33">
        <v>239</v>
      </c>
      <c r="F96" s="66">
        <f>IFERROR((Table2[[#This Row],[Calls Off]]-D89)/D89,0)</f>
        <v>-0.3931203931203931</v>
      </c>
      <c r="G96" s="66">
        <f>IFERROR((Table2[[#This Row],[Calls Ans]]-E89)/E89,0)</f>
        <v>-0.39340101522842641</v>
      </c>
      <c r="H96" s="1">
        <f>H95+Table2[[#This Row],[Calls Off]]</f>
        <v>822</v>
      </c>
      <c r="I96" s="1">
        <f>I95+Table2[[#This Row],[Calls Ans]]</f>
        <v>798</v>
      </c>
      <c r="J96" s="1">
        <f>J95+Table2[[#This Row],[Calls Off]]</f>
        <v>28564</v>
      </c>
      <c r="K96" s="1">
        <f>K95+Table2[[#This Row],[Calls Ans]]</f>
        <v>27334</v>
      </c>
      <c r="L96" s="38">
        <v>0.94</v>
      </c>
      <c r="M96" s="38">
        <v>0.03</v>
      </c>
      <c r="N96" s="38">
        <v>0.97</v>
      </c>
      <c r="O96" s="38">
        <v>0.37</v>
      </c>
      <c r="P96" s="38">
        <v>1</v>
      </c>
      <c r="Q96" s="228">
        <v>2.3726851851851851E-3</v>
      </c>
      <c r="R96" s="176">
        <v>5</v>
      </c>
    </row>
    <row r="97" spans="1:18" x14ac:dyDescent="0.35">
      <c r="A97" s="22">
        <v>45112</v>
      </c>
      <c r="B97" s="36" t="s">
        <v>51</v>
      </c>
      <c r="C97" s="37" t="s">
        <v>97</v>
      </c>
      <c r="D97" s="44">
        <v>389</v>
      </c>
      <c r="E97" s="1">
        <v>380</v>
      </c>
      <c r="F97" s="66">
        <f>IFERROR((Table2[[#This Row],[Calls Off]]-D90)/D90,0)</f>
        <v>2.0997375328083989E-2</v>
      </c>
      <c r="G97" s="66">
        <f>IFERROR((Table2[[#This Row],[Calls Ans]]-E90)/E90,0)</f>
        <v>2.7027027027027029E-2</v>
      </c>
      <c r="H97" s="1">
        <f>H96+Table2[[#This Row],[Calls Off]]</f>
        <v>1211</v>
      </c>
      <c r="I97" s="1">
        <f>I96+Table2[[#This Row],[Calls Ans]]</f>
        <v>1178</v>
      </c>
      <c r="J97" s="1">
        <f>J96+Table2[[#This Row],[Calls Off]]</f>
        <v>28953</v>
      </c>
      <c r="K97" s="1">
        <f>K96+Table2[[#This Row],[Calls Ans]]</f>
        <v>27714</v>
      </c>
      <c r="L97" s="18">
        <v>0.94</v>
      </c>
      <c r="M97" s="18">
        <v>0.02</v>
      </c>
      <c r="N97" s="18">
        <v>0.98</v>
      </c>
      <c r="O97" s="18">
        <v>0.56000000000000005</v>
      </c>
      <c r="P97" s="18">
        <v>1</v>
      </c>
      <c r="Q97" s="224">
        <v>2.2916666666666667E-3</v>
      </c>
      <c r="R97" s="125">
        <v>5</v>
      </c>
    </row>
    <row r="98" spans="1:18" x14ac:dyDescent="0.35">
      <c r="A98" s="22">
        <v>45113</v>
      </c>
      <c r="B98" s="35" t="s">
        <v>52</v>
      </c>
      <c r="C98" s="37" t="s">
        <v>97</v>
      </c>
      <c r="D98" s="43">
        <v>411</v>
      </c>
      <c r="E98" s="33">
        <v>400</v>
      </c>
      <c r="F98" s="66">
        <f>IFERROR((Table2[[#This Row],[Calls Off]]-D91)/D91,0)</f>
        <v>7.3529411764705881E-3</v>
      </c>
      <c r="G98" s="66">
        <f>IFERROR((Table2[[#This Row],[Calls Ans]]-E91)/E91,0)</f>
        <v>2.8277634961439587E-2</v>
      </c>
      <c r="H98" s="1">
        <f>H97+Table2[[#This Row],[Calls Off]]</f>
        <v>1622</v>
      </c>
      <c r="I98" s="1">
        <f>I97+Table2[[#This Row],[Calls Ans]]</f>
        <v>1578</v>
      </c>
      <c r="J98" s="1">
        <f>J97+Table2[[#This Row],[Calls Off]]</f>
        <v>29364</v>
      </c>
      <c r="K98" s="1">
        <f>K97+Table2[[#This Row],[Calls Ans]]</f>
        <v>28114</v>
      </c>
      <c r="L98" s="38">
        <v>0.95</v>
      </c>
      <c r="M98" s="38">
        <v>0.03</v>
      </c>
      <c r="N98" s="38">
        <v>0.97</v>
      </c>
      <c r="O98" s="38">
        <v>0.57999999999999996</v>
      </c>
      <c r="P98" s="38">
        <v>1</v>
      </c>
      <c r="Q98" s="228">
        <v>2.2800925925925927E-3</v>
      </c>
      <c r="R98" s="176">
        <v>5</v>
      </c>
    </row>
    <row r="99" spans="1:18" x14ac:dyDescent="0.35">
      <c r="A99" s="22">
        <v>45114</v>
      </c>
      <c r="B99" s="36" t="s">
        <v>53</v>
      </c>
      <c r="C99" s="37" t="s">
        <v>97</v>
      </c>
      <c r="D99" s="44">
        <v>431</v>
      </c>
      <c r="E99" s="1">
        <v>414</v>
      </c>
      <c r="F99" s="66">
        <f>IFERROR((Table2[[#This Row],[Calls Off]]-D92)/D92,0)</f>
        <v>0.13421052631578947</v>
      </c>
      <c r="G99" s="66">
        <f>IFERROR((Table2[[#This Row],[Calls Ans]]-E92)/E92,0)</f>
        <v>0.14049586776859505</v>
      </c>
      <c r="H99" s="1">
        <f>H98+Table2[[#This Row],[Calls Off]]</f>
        <v>2053</v>
      </c>
      <c r="I99" s="1">
        <f>I98+Table2[[#This Row],[Calls Ans]]</f>
        <v>1992</v>
      </c>
      <c r="J99" s="1">
        <f>J98+Table2[[#This Row],[Calls Off]]</f>
        <v>29795</v>
      </c>
      <c r="K99" s="1">
        <f>K98+Table2[[#This Row],[Calls Ans]]</f>
        <v>28528</v>
      </c>
      <c r="L99" s="18">
        <v>0.9</v>
      </c>
      <c r="M99" s="18">
        <v>0.04</v>
      </c>
      <c r="N99" s="18">
        <v>0.96</v>
      </c>
      <c r="O99" s="18">
        <v>0.59</v>
      </c>
      <c r="P99" s="18">
        <v>1</v>
      </c>
      <c r="Q99" s="224">
        <v>2.1759259259259258E-3</v>
      </c>
      <c r="R99" s="125">
        <v>5</v>
      </c>
    </row>
    <row r="100" spans="1:18" x14ac:dyDescent="0.35">
      <c r="A100" s="22">
        <v>45115</v>
      </c>
      <c r="B100" s="35" t="s">
        <v>54</v>
      </c>
      <c r="C100" s="37" t="s">
        <v>97</v>
      </c>
      <c r="D100" s="43">
        <v>142</v>
      </c>
      <c r="E100" s="33">
        <v>135</v>
      </c>
      <c r="F100" s="66">
        <f>IFERROR((Table2[[#This Row],[Calls Off]]-D93)/D93,0)</f>
        <v>-4.0540540540540543E-2</v>
      </c>
      <c r="G100" s="66">
        <f>IFERROR((Table2[[#This Row],[Calls Ans]]-E93)/E93,0)</f>
        <v>-6.8965517241379309E-2</v>
      </c>
      <c r="H100" s="1">
        <f>H99+Table2[[#This Row],[Calls Off]]</f>
        <v>2195</v>
      </c>
      <c r="I100" s="1">
        <f>I99+Table2[[#This Row],[Calls Ans]]</f>
        <v>2127</v>
      </c>
      <c r="J100" s="1">
        <f>J98+Table2[[#This Row],[Calls Off]]</f>
        <v>29506</v>
      </c>
      <c r="K100" s="1">
        <f>K98+Table2[[#This Row],[Calls Ans]]</f>
        <v>28249</v>
      </c>
      <c r="L100" s="38">
        <v>0.95</v>
      </c>
      <c r="M100" s="38">
        <v>0.05</v>
      </c>
      <c r="N100" s="38">
        <v>0.95</v>
      </c>
      <c r="O100" s="38">
        <v>0.33</v>
      </c>
      <c r="P100" s="38">
        <v>1</v>
      </c>
      <c r="Q100" s="228">
        <v>1.9212962962962962E-3</v>
      </c>
      <c r="R100" s="176">
        <v>4</v>
      </c>
    </row>
    <row r="101" spans="1:18" x14ac:dyDescent="0.35">
      <c r="A101" s="22">
        <v>45116</v>
      </c>
      <c r="B101" s="36" t="s">
        <v>48</v>
      </c>
      <c r="C101" s="37" t="s">
        <v>97</v>
      </c>
      <c r="D101" s="44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224">
        <v>0</v>
      </c>
      <c r="R101" s="125">
        <v>0</v>
      </c>
    </row>
    <row r="102" spans="1:18" x14ac:dyDescent="0.35">
      <c r="A102" s="22">
        <v>45117</v>
      </c>
      <c r="B102" s="35" t="s">
        <v>49</v>
      </c>
      <c r="C102" s="37" t="s">
        <v>97</v>
      </c>
      <c r="D102" s="43">
        <v>317</v>
      </c>
      <c r="E102" s="33">
        <v>313</v>
      </c>
      <c r="F102" s="66">
        <f>IFERROR((Table2[[#This Row],[Calls Off]]-D95)/D95,0)</f>
        <v>-0.2576112412177986</v>
      </c>
      <c r="G102" s="66">
        <f>IFERROR((Table2[[#This Row],[Calls Ans]]-E95)/E95,0)</f>
        <v>-0.24396135265700483</v>
      </c>
      <c r="H102" s="1">
        <f>H100+Table2[[#This Row],[Calls Off]]</f>
        <v>2512</v>
      </c>
      <c r="I102" s="1">
        <f>I100+Table2[[#This Row],[Calls Ans]]</f>
        <v>2440</v>
      </c>
      <c r="J102" s="1">
        <f>J100+Table2[[#This Row],[Calls Off]]</f>
        <v>29823</v>
      </c>
      <c r="K102" s="1">
        <f>K100+Table2[[#This Row],[Calls Ans]]</f>
        <v>28562</v>
      </c>
      <c r="L102" s="89">
        <v>0.97</v>
      </c>
      <c r="M102" s="38">
        <v>0.01</v>
      </c>
      <c r="N102" s="38">
        <v>0.99</v>
      </c>
      <c r="O102" s="38">
        <v>0.45</v>
      </c>
      <c r="P102" s="38">
        <v>1</v>
      </c>
      <c r="Q102" s="228">
        <v>2.1874999999999998E-3</v>
      </c>
      <c r="R102" s="176">
        <v>5</v>
      </c>
    </row>
    <row r="103" spans="1:18" x14ac:dyDescent="0.35">
      <c r="A103" s="22">
        <v>45118</v>
      </c>
      <c r="B103" s="36" t="s">
        <v>50</v>
      </c>
      <c r="C103" s="37" t="s">
        <v>97</v>
      </c>
      <c r="D103" s="44">
        <v>255</v>
      </c>
      <c r="E103" s="44">
        <v>247</v>
      </c>
      <c r="F103" s="66">
        <f>IFERROR((Table2[[#This Row],[Calls Off]]-D96)/D96,0)</f>
        <v>3.2388663967611336E-2</v>
      </c>
      <c r="G103" s="66">
        <f>IFERROR((Table2[[#This Row],[Calls Ans]]-E96)/E96,0)</f>
        <v>3.3472803347280332E-2</v>
      </c>
      <c r="H103" s="1">
        <f>H102+Table2[[#This Row],[Calls Off]]</f>
        <v>2767</v>
      </c>
      <c r="I103" s="1">
        <f>I102+Table2[[#This Row],[Calls Ans]]</f>
        <v>2687</v>
      </c>
      <c r="J103" s="1">
        <f>J102+Table2[[#This Row],[Calls Off]]</f>
        <v>30078</v>
      </c>
      <c r="K103" s="1">
        <f>K102+Table2[[#This Row],[Calls Ans]]</f>
        <v>28809</v>
      </c>
      <c r="L103" s="89">
        <v>0.97</v>
      </c>
      <c r="M103" s="89">
        <v>0.03</v>
      </c>
      <c r="N103" s="89">
        <v>0.97</v>
      </c>
      <c r="O103" s="89">
        <v>0.45</v>
      </c>
      <c r="P103" s="89">
        <v>1</v>
      </c>
      <c r="Q103" s="224">
        <v>2.1759259259259258E-3</v>
      </c>
      <c r="R103" s="125">
        <v>4</v>
      </c>
    </row>
    <row r="104" spans="1:18" x14ac:dyDescent="0.35">
      <c r="A104" s="22">
        <v>45119</v>
      </c>
      <c r="B104" s="35" t="s">
        <v>51</v>
      </c>
      <c r="C104" s="37" t="s">
        <v>97</v>
      </c>
      <c r="D104" s="43">
        <v>380</v>
      </c>
      <c r="E104" s="43">
        <v>370</v>
      </c>
      <c r="F104" s="66">
        <f>IFERROR((Table2[[#This Row],[Calls Off]]-D97)/D97,0)</f>
        <v>-2.313624678663239E-2</v>
      </c>
      <c r="G104" s="66">
        <f>IFERROR((Table2[[#This Row],[Calls Ans]]-E97)/E97,0)</f>
        <v>-2.6315789473684209E-2</v>
      </c>
      <c r="H104" s="1">
        <f>H103+Table2[[#This Row],[Calls Off]]</f>
        <v>3147</v>
      </c>
      <c r="I104" s="1">
        <f>I103+Table2[[#This Row],[Calls Ans]]</f>
        <v>3057</v>
      </c>
      <c r="J104" s="1">
        <f>J103+Table2[[#This Row],[Calls Off]]</f>
        <v>30458</v>
      </c>
      <c r="K104" s="1">
        <f>K103+Table2[[#This Row],[Calls Ans]]</f>
        <v>29179</v>
      </c>
      <c r="L104" s="90">
        <v>0.95</v>
      </c>
      <c r="M104" s="90">
        <v>0.03</v>
      </c>
      <c r="N104" s="90">
        <v>0.97</v>
      </c>
      <c r="O104" s="90">
        <v>0.54</v>
      </c>
      <c r="P104" s="90">
        <v>1</v>
      </c>
      <c r="Q104" s="228">
        <v>2.2106481481481478E-3</v>
      </c>
      <c r="R104" s="176">
        <v>5</v>
      </c>
    </row>
    <row r="105" spans="1:18" x14ac:dyDescent="0.35">
      <c r="A105" s="22">
        <v>45120</v>
      </c>
      <c r="B105" s="36" t="s">
        <v>52</v>
      </c>
      <c r="C105" s="37" t="s">
        <v>97</v>
      </c>
      <c r="D105" s="44">
        <v>327</v>
      </c>
      <c r="E105" s="44">
        <v>312</v>
      </c>
      <c r="F105" s="66">
        <f>IFERROR((Table2[[#This Row],[Calls Off]]-D98)/D98,0)</f>
        <v>-0.20437956204379562</v>
      </c>
      <c r="G105" s="66">
        <f>IFERROR((Table2[[#This Row],[Calls Ans]]-E98)/E98,0)</f>
        <v>-0.22</v>
      </c>
      <c r="H105" s="1">
        <f>H104+Table2[[#This Row],[Calls Off]]</f>
        <v>3474</v>
      </c>
      <c r="I105" s="1">
        <f>I104+Table2[[#This Row],[Calls Ans]]</f>
        <v>3369</v>
      </c>
      <c r="J105" s="1">
        <f>J104+Table2[[#This Row],[Calls Off]]</f>
        <v>30785</v>
      </c>
      <c r="K105" s="1">
        <f>K104+Table2[[#This Row],[Calls Ans]]</f>
        <v>29491</v>
      </c>
      <c r="L105" s="89">
        <v>0.92</v>
      </c>
      <c r="M105" s="89">
        <v>0.05</v>
      </c>
      <c r="N105" s="89">
        <v>0.95</v>
      </c>
      <c r="O105" s="89">
        <v>0.56000000000000005</v>
      </c>
      <c r="P105" s="89">
        <v>1</v>
      </c>
      <c r="Q105" s="224">
        <v>2.2222222222222222E-3</v>
      </c>
      <c r="R105" s="125">
        <v>4</v>
      </c>
    </row>
    <row r="106" spans="1:18" x14ac:dyDescent="0.35">
      <c r="A106" s="22">
        <v>45121</v>
      </c>
      <c r="B106" s="35" t="s">
        <v>53</v>
      </c>
      <c r="C106" s="37" t="s">
        <v>97</v>
      </c>
      <c r="D106" s="43">
        <v>370</v>
      </c>
      <c r="E106" s="43">
        <v>357</v>
      </c>
      <c r="F106" s="66">
        <f>IFERROR((Table2[[#This Row],[Calls Off]]-D99)/D99,0)</f>
        <v>-0.14153132250580047</v>
      </c>
      <c r="G106" s="66">
        <f>IFERROR((Table2[[#This Row],[Calls Ans]]-E99)/E99,0)</f>
        <v>-0.13768115942028986</v>
      </c>
      <c r="H106" s="1">
        <f>H105+Table2[[#This Row],[Calls Off]]</f>
        <v>3844</v>
      </c>
      <c r="I106" s="1">
        <f>I105+Table2[[#This Row],[Calls Ans]]</f>
        <v>3726</v>
      </c>
      <c r="J106" s="1">
        <f>J105+Table2[[#This Row],[Calls Off]]</f>
        <v>31155</v>
      </c>
      <c r="K106" s="1">
        <f>K105+Table2[[#This Row],[Calls Ans]]</f>
        <v>29848</v>
      </c>
      <c r="L106" s="90">
        <v>0.9</v>
      </c>
      <c r="M106" s="90">
        <v>0.04</v>
      </c>
      <c r="N106" s="90">
        <v>0.96</v>
      </c>
      <c r="O106" s="90">
        <v>0.62</v>
      </c>
      <c r="P106" s="90">
        <v>1</v>
      </c>
      <c r="Q106" s="228">
        <v>2.1064814814814813E-3</v>
      </c>
      <c r="R106" s="176">
        <v>4</v>
      </c>
    </row>
    <row r="107" spans="1:18" x14ac:dyDescent="0.35">
      <c r="A107" s="22">
        <v>45122</v>
      </c>
      <c r="B107" s="36" t="s">
        <v>54</v>
      </c>
      <c r="C107" s="37" t="s">
        <v>97</v>
      </c>
      <c r="D107" s="44">
        <v>113</v>
      </c>
      <c r="E107" s="44">
        <v>112</v>
      </c>
      <c r="F107" s="66">
        <f>IFERROR((Table2[[#This Row],[Calls Off]]-D100)/D100,0)</f>
        <v>-0.20422535211267606</v>
      </c>
      <c r="G107" s="66">
        <f>IFERROR((Table2[[#This Row],[Calls Ans]]-E100)/E100,0)</f>
        <v>-0.17037037037037037</v>
      </c>
      <c r="H107" s="1">
        <f>H106+Table2[[#This Row],[Calls Off]]</f>
        <v>3957</v>
      </c>
      <c r="I107" s="1">
        <f>I106+Table2[[#This Row],[Calls Ans]]</f>
        <v>3838</v>
      </c>
      <c r="J107" s="1">
        <f>J106+Table2[[#This Row],[Calls Off]]</f>
        <v>31268</v>
      </c>
      <c r="K107" s="1">
        <f>K106+Table2[[#This Row],[Calls Ans]]</f>
        <v>29960</v>
      </c>
      <c r="L107" s="89">
        <v>0.95</v>
      </c>
      <c r="M107" s="89">
        <v>0.01</v>
      </c>
      <c r="N107" s="89">
        <v>0.99</v>
      </c>
      <c r="O107" s="89">
        <v>0.37</v>
      </c>
      <c r="P107" s="89">
        <v>1</v>
      </c>
      <c r="Q107" s="224">
        <v>2.5347222222222221E-3</v>
      </c>
      <c r="R107" s="125">
        <v>4</v>
      </c>
    </row>
    <row r="108" spans="1:18" x14ac:dyDescent="0.35">
      <c r="A108" s="22">
        <v>45123</v>
      </c>
      <c r="B108" s="35" t="s">
        <v>48</v>
      </c>
      <c r="C108" s="37" t="s">
        <v>97</v>
      </c>
      <c r="D108" s="43">
        <v>0</v>
      </c>
      <c r="E108" s="43">
        <v>0</v>
      </c>
      <c r="F108" s="66">
        <v>0</v>
      </c>
      <c r="G108" s="66">
        <v>0</v>
      </c>
      <c r="H108" s="1">
        <v>0</v>
      </c>
      <c r="I108" s="1">
        <v>0</v>
      </c>
      <c r="J108" s="1">
        <v>0</v>
      </c>
      <c r="K108" s="1">
        <v>0</v>
      </c>
      <c r="L108" s="90">
        <v>0</v>
      </c>
      <c r="M108" s="90">
        <v>0</v>
      </c>
      <c r="N108" s="90">
        <v>0</v>
      </c>
      <c r="O108" s="90">
        <v>0</v>
      </c>
      <c r="P108" s="90">
        <v>0</v>
      </c>
      <c r="Q108" s="228">
        <v>0</v>
      </c>
      <c r="R108" s="176">
        <v>0</v>
      </c>
    </row>
    <row r="109" spans="1:18" x14ac:dyDescent="0.35">
      <c r="A109" s="22">
        <v>45124</v>
      </c>
      <c r="B109" s="36" t="s">
        <v>49</v>
      </c>
      <c r="C109" s="37" t="s">
        <v>97</v>
      </c>
      <c r="D109" s="44">
        <v>367</v>
      </c>
      <c r="E109" s="44">
        <v>352</v>
      </c>
      <c r="F109" s="66">
        <f>IFERROR((Table2[[#This Row],[Calls Off]]-D102)/D102,0)</f>
        <v>0.15772870662460567</v>
      </c>
      <c r="G109" s="66">
        <f>IFERROR((Table2[[#This Row],[Calls Ans]]-E102)/E102,0)</f>
        <v>0.12460063897763578</v>
      </c>
      <c r="H109" s="1">
        <f>H107+Table2[[#This Row],[Calls Off]]</f>
        <v>4324</v>
      </c>
      <c r="I109" s="1">
        <f>I107+Table2[[#This Row],[Calls Ans]]</f>
        <v>4190</v>
      </c>
      <c r="J109" s="1">
        <f>J107+Table2[[#This Row],[Calls Off]]</f>
        <v>31635</v>
      </c>
      <c r="K109" s="1">
        <f>K107+Table2[[#This Row],[Calls Ans]]</f>
        <v>30312</v>
      </c>
      <c r="L109" s="89">
        <v>0.93</v>
      </c>
      <c r="M109" s="89">
        <v>0.04</v>
      </c>
      <c r="N109" s="89">
        <v>0.96</v>
      </c>
      <c r="O109" s="89">
        <v>0.61</v>
      </c>
      <c r="P109" s="89">
        <v>1</v>
      </c>
      <c r="Q109" s="224">
        <v>2.0833333333333333E-3</v>
      </c>
      <c r="R109" s="125">
        <v>4</v>
      </c>
    </row>
    <row r="110" spans="1:18" x14ac:dyDescent="0.35">
      <c r="A110" s="22">
        <v>45125</v>
      </c>
      <c r="B110" s="36"/>
      <c r="C110" s="37" t="s">
        <v>97</v>
      </c>
      <c r="D110" s="44"/>
      <c r="E110" s="44"/>
      <c r="F110" s="66"/>
      <c r="G110" s="66"/>
      <c r="H110" s="1"/>
      <c r="I110" s="1"/>
      <c r="J110" s="1"/>
      <c r="K110" s="1"/>
      <c r="L110" s="89"/>
      <c r="M110" s="89"/>
      <c r="N110" s="89"/>
      <c r="O110" s="89"/>
      <c r="P110" s="89"/>
      <c r="Q110" s="228"/>
      <c r="R110" s="176"/>
    </row>
    <row r="111" spans="1:18" x14ac:dyDescent="0.35">
      <c r="A111" s="22">
        <v>45126</v>
      </c>
      <c r="B111" s="36"/>
      <c r="C111" s="37" t="s">
        <v>97</v>
      </c>
      <c r="D111" s="44"/>
      <c r="E111" s="44"/>
      <c r="F111" s="66"/>
      <c r="G111" s="66"/>
      <c r="H111" s="1"/>
      <c r="I111" s="1"/>
      <c r="J111" s="1"/>
      <c r="K111" s="1"/>
      <c r="L111" s="89"/>
      <c r="M111" s="89"/>
      <c r="N111" s="89"/>
      <c r="O111" s="89"/>
      <c r="P111" s="89"/>
      <c r="Q111" s="224"/>
      <c r="R111" s="125"/>
    </row>
    <row r="112" spans="1:18" x14ac:dyDescent="0.35">
      <c r="A112" s="22">
        <v>45127</v>
      </c>
      <c r="B112" s="36"/>
      <c r="C112" s="37" t="s">
        <v>97</v>
      </c>
      <c r="D112" s="44"/>
      <c r="E112" s="44"/>
      <c r="F112" s="66"/>
      <c r="G112" s="66"/>
      <c r="H112" s="1"/>
      <c r="I112" s="1"/>
      <c r="J112" s="1"/>
      <c r="K112" s="1"/>
      <c r="L112" s="89"/>
      <c r="M112" s="89"/>
      <c r="N112" s="89"/>
      <c r="O112" s="89"/>
      <c r="P112" s="89"/>
      <c r="Q112" s="228"/>
      <c r="R112" s="176"/>
    </row>
    <row r="113" spans="1:21" x14ac:dyDescent="0.35">
      <c r="A113" s="22">
        <v>45128</v>
      </c>
      <c r="B113" s="36"/>
      <c r="C113" s="37" t="s">
        <v>97</v>
      </c>
      <c r="D113" s="44"/>
      <c r="E113" s="44"/>
      <c r="F113" s="66"/>
      <c r="G113" s="66"/>
      <c r="H113" s="1"/>
      <c r="I113" s="1"/>
      <c r="J113" s="1"/>
      <c r="K113" s="1"/>
      <c r="L113" s="89"/>
      <c r="M113" s="89"/>
      <c r="N113" s="89"/>
      <c r="O113" s="89"/>
      <c r="P113" s="89"/>
      <c r="Q113" s="224"/>
      <c r="R113" s="125"/>
    </row>
    <row r="114" spans="1:21" x14ac:dyDescent="0.35">
      <c r="A114" s="22">
        <v>45129</v>
      </c>
      <c r="B114" s="36"/>
      <c r="C114" s="37" t="s">
        <v>97</v>
      </c>
      <c r="D114" s="44"/>
      <c r="E114" s="44"/>
      <c r="F114" s="66"/>
      <c r="G114" s="66"/>
      <c r="H114" s="1"/>
      <c r="I114" s="1"/>
      <c r="J114" s="1"/>
      <c r="K114" s="1"/>
      <c r="L114" s="89"/>
      <c r="M114" s="89"/>
      <c r="N114" s="89"/>
      <c r="O114" s="89"/>
      <c r="P114" s="89"/>
      <c r="Q114" s="228"/>
      <c r="R114" s="176"/>
    </row>
    <row r="115" spans="1:21" x14ac:dyDescent="0.35">
      <c r="A115" s="22">
        <v>45130</v>
      </c>
      <c r="B115" s="36"/>
      <c r="C115" s="37" t="s">
        <v>97</v>
      </c>
      <c r="D115" s="44"/>
      <c r="E115" s="44"/>
      <c r="F115" s="66"/>
      <c r="G115" s="66"/>
      <c r="H115" s="1"/>
      <c r="I115" s="1"/>
      <c r="J115" s="1"/>
      <c r="K115" s="1"/>
      <c r="L115" s="89"/>
      <c r="M115" s="89"/>
      <c r="N115" s="89"/>
      <c r="O115" s="89"/>
      <c r="P115" s="89"/>
      <c r="Q115" s="224"/>
      <c r="R115" s="125"/>
    </row>
    <row r="116" spans="1:21" x14ac:dyDescent="0.35">
      <c r="A116" s="22">
        <v>45131</v>
      </c>
      <c r="B116" s="36"/>
      <c r="C116" s="37" t="s">
        <v>97</v>
      </c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228"/>
      <c r="R116" s="176"/>
    </row>
    <row r="117" spans="1:21" x14ac:dyDescent="0.35">
      <c r="A117" s="22">
        <v>45132</v>
      </c>
      <c r="B117" s="36"/>
      <c r="C117" s="37" t="s">
        <v>97</v>
      </c>
      <c r="D117" s="44"/>
      <c r="E117" s="44"/>
      <c r="F117" s="66"/>
      <c r="G117" s="66"/>
      <c r="H117" s="1"/>
      <c r="I117" s="1"/>
      <c r="J117" s="1"/>
      <c r="K117" s="1"/>
      <c r="L117" s="89"/>
      <c r="M117" s="89"/>
      <c r="N117" s="89"/>
      <c r="O117" s="89"/>
      <c r="P117" s="89"/>
      <c r="Q117" s="224"/>
      <c r="R117" s="125"/>
    </row>
    <row r="118" spans="1:21" x14ac:dyDescent="0.35">
      <c r="A118" s="22">
        <v>45133</v>
      </c>
      <c r="B118" s="36"/>
      <c r="C118" s="37" t="s">
        <v>97</v>
      </c>
      <c r="D118" s="44"/>
      <c r="E118" s="44"/>
      <c r="F118" s="66"/>
      <c r="G118" s="66"/>
      <c r="H118" s="1"/>
      <c r="I118" s="1"/>
      <c r="J118" s="1"/>
      <c r="K118" s="1"/>
      <c r="L118" s="89"/>
      <c r="M118" s="89"/>
      <c r="N118" s="89"/>
      <c r="O118" s="89"/>
      <c r="P118" s="89"/>
      <c r="Q118" s="228"/>
      <c r="R118" s="176"/>
    </row>
    <row r="119" spans="1:21" x14ac:dyDescent="0.35">
      <c r="A119" s="22">
        <v>45134</v>
      </c>
      <c r="B119" s="36"/>
      <c r="C119" s="37" t="s">
        <v>97</v>
      </c>
      <c r="D119" s="44"/>
      <c r="E119" s="44"/>
      <c r="F119" s="66"/>
      <c r="G119" s="66"/>
      <c r="H119" s="1"/>
      <c r="I119" s="1"/>
      <c r="J119" s="1"/>
      <c r="K119" s="1"/>
      <c r="L119" s="89"/>
      <c r="M119" s="89"/>
      <c r="N119" s="89"/>
      <c r="O119" s="89"/>
      <c r="P119" s="89"/>
      <c r="Q119" s="224"/>
      <c r="R119" s="125"/>
    </row>
    <row r="120" spans="1:21" x14ac:dyDescent="0.35">
      <c r="A120" s="22">
        <v>45135</v>
      </c>
      <c r="B120" s="36"/>
      <c r="C120" s="37" t="s">
        <v>97</v>
      </c>
      <c r="D120" s="44"/>
      <c r="E120" s="44"/>
      <c r="F120" s="66"/>
      <c r="G120" s="66"/>
      <c r="H120" s="1"/>
      <c r="I120" s="1"/>
      <c r="J120" s="1"/>
      <c r="K120" s="1"/>
      <c r="L120" s="89"/>
      <c r="M120" s="89"/>
      <c r="N120" s="89"/>
      <c r="O120" s="89"/>
      <c r="P120" s="89"/>
      <c r="Q120" s="228"/>
      <c r="R120" s="176"/>
    </row>
    <row r="121" spans="1:21" x14ac:dyDescent="0.35">
      <c r="A121" s="22">
        <v>45136</v>
      </c>
      <c r="B121" s="36"/>
      <c r="C121" s="37" t="s">
        <v>97</v>
      </c>
      <c r="D121" s="44"/>
      <c r="E121" s="44"/>
      <c r="F121" s="66"/>
      <c r="G121" s="66"/>
      <c r="H121" s="1"/>
      <c r="I121" s="1"/>
      <c r="J121" s="1"/>
      <c r="K121" s="1"/>
      <c r="L121" s="89"/>
      <c r="M121" s="89"/>
      <c r="N121" s="89"/>
      <c r="O121" s="89"/>
      <c r="P121" s="89"/>
      <c r="Q121" s="224"/>
      <c r="R121" s="125"/>
    </row>
    <row r="122" spans="1:21" x14ac:dyDescent="0.35">
      <c r="A122" s="22">
        <v>45137</v>
      </c>
      <c r="B122" s="36"/>
      <c r="C122" s="37" t="s">
        <v>97</v>
      </c>
      <c r="D122" s="44"/>
      <c r="E122" s="44"/>
      <c r="F122" s="66"/>
      <c r="G122" s="66"/>
      <c r="H122" s="1"/>
      <c r="I122" s="1"/>
      <c r="J122" s="1"/>
      <c r="K122" s="1"/>
      <c r="L122" s="89"/>
      <c r="M122" s="89"/>
      <c r="N122" s="89"/>
      <c r="O122" s="89"/>
      <c r="P122" s="89"/>
      <c r="Q122" s="228"/>
      <c r="R122" s="176"/>
    </row>
    <row r="123" spans="1:21" x14ac:dyDescent="0.35">
      <c r="A123" s="22">
        <v>45138</v>
      </c>
      <c r="B123" s="36"/>
      <c r="C123" s="37" t="s">
        <v>97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224"/>
      <c r="R123" s="125"/>
    </row>
    <row r="124" spans="1:21" x14ac:dyDescent="0.35">
      <c r="A124" s="22">
        <v>45139</v>
      </c>
      <c r="B124" s="51"/>
      <c r="C124" s="37" t="s">
        <v>97</v>
      </c>
      <c r="D124" s="100"/>
      <c r="E124" s="100"/>
      <c r="F124" s="80"/>
      <c r="G124" s="80"/>
      <c r="H124" s="52"/>
      <c r="I124" s="52"/>
      <c r="J124" s="52"/>
      <c r="K124" s="52"/>
      <c r="L124" s="101"/>
      <c r="M124" s="101"/>
      <c r="N124" s="101"/>
      <c r="O124" s="101"/>
      <c r="P124" s="101"/>
      <c r="Q124" s="228"/>
      <c r="R124" s="176"/>
    </row>
    <row r="125" spans="1:21" x14ac:dyDescent="0.35">
      <c r="A125" s="22">
        <v>45140</v>
      </c>
      <c r="B125" s="36"/>
      <c r="C125" s="37" t="s">
        <v>97</v>
      </c>
      <c r="D125" s="44"/>
      <c r="E125" s="44"/>
      <c r="F125" s="66"/>
      <c r="G125" s="66"/>
      <c r="H125" s="1"/>
      <c r="I125" s="1"/>
      <c r="J125" s="1"/>
      <c r="K125" s="1"/>
      <c r="L125" s="89"/>
      <c r="M125" s="89"/>
      <c r="N125" s="89"/>
      <c r="O125" s="89"/>
      <c r="P125" s="89"/>
      <c r="Q125" s="224"/>
      <c r="R125" s="125"/>
    </row>
    <row r="126" spans="1:21" x14ac:dyDescent="0.35">
      <c r="A126" s="22">
        <v>45141</v>
      </c>
      <c r="B126" s="36"/>
      <c r="C126" s="37" t="s">
        <v>97</v>
      </c>
      <c r="D126" s="44"/>
      <c r="E126" s="44"/>
      <c r="F126" s="66"/>
      <c r="G126" s="66"/>
      <c r="H126" s="44"/>
      <c r="I126" s="44"/>
      <c r="J126" s="44"/>
      <c r="K126" s="44"/>
      <c r="L126" s="89"/>
      <c r="M126" s="89"/>
      <c r="N126" s="89"/>
      <c r="O126" s="89"/>
      <c r="P126" s="89"/>
      <c r="Q126" s="228"/>
      <c r="R126" s="176"/>
    </row>
    <row r="127" spans="1:21" x14ac:dyDescent="0.35">
      <c r="A127" s="22">
        <v>45142</v>
      </c>
      <c r="B127" s="36"/>
      <c r="C127" s="37" t="s">
        <v>97</v>
      </c>
      <c r="D127" s="44"/>
      <c r="E127" s="44"/>
      <c r="F127" s="66"/>
      <c r="G127" s="66"/>
      <c r="H127" s="1"/>
      <c r="I127" s="1"/>
      <c r="J127" s="1"/>
      <c r="K127" s="1"/>
      <c r="L127" s="89"/>
      <c r="M127" s="89"/>
      <c r="N127" s="89"/>
      <c r="O127" s="89"/>
      <c r="P127" s="89"/>
      <c r="Q127" s="224"/>
      <c r="R127" s="125"/>
      <c r="T127" t="s">
        <v>63</v>
      </c>
      <c r="U127" s="16">
        <v>44682</v>
      </c>
    </row>
    <row r="128" spans="1:21" x14ac:dyDescent="0.35">
      <c r="A128" s="22">
        <v>45143</v>
      </c>
      <c r="B128" s="36"/>
      <c r="C128" s="37" t="s">
        <v>97</v>
      </c>
      <c r="D128" s="44"/>
      <c r="E128" s="44"/>
      <c r="F128" s="66"/>
      <c r="G128" s="66"/>
      <c r="H128" s="1"/>
      <c r="I128" s="1"/>
      <c r="J128" s="1"/>
      <c r="K128" s="1"/>
      <c r="L128" s="89"/>
      <c r="M128" s="89"/>
      <c r="N128" s="89"/>
      <c r="O128" s="89"/>
      <c r="P128" s="89"/>
      <c r="Q128" s="228"/>
      <c r="R128" s="176"/>
      <c r="T128" t="s">
        <v>64</v>
      </c>
      <c r="U128" s="16">
        <v>44704</v>
      </c>
    </row>
    <row r="129" spans="1:39" x14ac:dyDescent="0.35">
      <c r="A129" s="22">
        <v>45144</v>
      </c>
      <c r="B129" s="36"/>
      <c r="C129" s="37" t="s">
        <v>97</v>
      </c>
      <c r="D129" s="44"/>
      <c r="E129" s="44"/>
      <c r="F129" s="66"/>
      <c r="G129" s="66"/>
      <c r="H129" s="44"/>
      <c r="I129" s="44"/>
      <c r="J129" s="44"/>
      <c r="K129" s="44"/>
      <c r="L129" s="89"/>
      <c r="M129" s="89"/>
      <c r="N129" s="89"/>
      <c r="O129" s="89"/>
      <c r="P129" s="89"/>
      <c r="Q129" s="224"/>
      <c r="R129" s="125"/>
    </row>
    <row r="130" spans="1:39" x14ac:dyDescent="0.35">
      <c r="A130" s="22">
        <v>45145</v>
      </c>
      <c r="B130" s="36"/>
      <c r="C130" s="37" t="s">
        <v>97</v>
      </c>
      <c r="D130" s="44"/>
      <c r="E130" s="44"/>
      <c r="F130" s="66"/>
      <c r="G130" s="66"/>
      <c r="H130" s="1"/>
      <c r="I130" s="1"/>
      <c r="J130" s="1"/>
      <c r="K130" s="1"/>
      <c r="L130" s="89"/>
      <c r="M130" s="89"/>
      <c r="N130" s="89"/>
      <c r="O130" s="89"/>
      <c r="P130" s="89"/>
      <c r="Q130" s="228"/>
      <c r="R130" s="176"/>
    </row>
    <row r="131" spans="1:39" x14ac:dyDescent="0.35">
      <c r="A131" s="22">
        <v>45146</v>
      </c>
      <c r="B131" s="36"/>
      <c r="C131" s="37" t="s">
        <v>97</v>
      </c>
      <c r="D131" s="44"/>
      <c r="E131" s="44"/>
      <c r="F131" s="66"/>
      <c r="G131" s="66"/>
      <c r="H131" s="44"/>
      <c r="I131" s="44"/>
      <c r="J131" s="44"/>
      <c r="K131" s="44"/>
      <c r="L131" s="89"/>
      <c r="M131" s="89"/>
      <c r="N131" s="89"/>
      <c r="O131" s="89"/>
      <c r="P131" s="89"/>
      <c r="Q131" s="224"/>
      <c r="R131" s="125"/>
    </row>
    <row r="132" spans="1:39" x14ac:dyDescent="0.35">
      <c r="A132" s="22">
        <v>45147</v>
      </c>
      <c r="B132" s="36"/>
      <c r="C132" s="37" t="s">
        <v>97</v>
      </c>
      <c r="D132" s="44"/>
      <c r="E132" s="44"/>
      <c r="F132" s="66"/>
      <c r="G132" s="66"/>
      <c r="H132" s="44"/>
      <c r="I132" s="1"/>
      <c r="J132" s="1"/>
      <c r="K132" s="1"/>
      <c r="L132" s="18"/>
      <c r="M132" s="89"/>
      <c r="N132" s="89"/>
      <c r="O132" s="89"/>
      <c r="P132" s="89"/>
      <c r="Q132" s="228"/>
      <c r="R132" s="176"/>
    </row>
    <row r="133" spans="1:39" x14ac:dyDescent="0.35">
      <c r="A133" s="22">
        <v>45148</v>
      </c>
      <c r="B133" s="36"/>
      <c r="C133" s="37" t="s">
        <v>97</v>
      </c>
      <c r="D133" s="44"/>
      <c r="E133" s="44"/>
      <c r="F133" s="66"/>
      <c r="G133" s="66"/>
      <c r="H133" s="44"/>
      <c r="I133" s="1"/>
      <c r="J133" s="1"/>
      <c r="K133" s="1"/>
      <c r="L133" s="18"/>
      <c r="M133" s="89"/>
      <c r="N133" s="89"/>
      <c r="O133" s="89"/>
      <c r="P133" s="89"/>
      <c r="Q133" s="224"/>
      <c r="R133" s="125"/>
    </row>
    <row r="134" spans="1:39" x14ac:dyDescent="0.35">
      <c r="A134" s="22">
        <v>45149</v>
      </c>
      <c r="B134" s="36"/>
      <c r="C134" s="37" t="s">
        <v>97</v>
      </c>
      <c r="D134" s="44"/>
      <c r="E134" s="44"/>
      <c r="F134" s="66"/>
      <c r="G134" s="66"/>
      <c r="H134" s="44"/>
      <c r="I134" s="1"/>
      <c r="J134" s="1"/>
      <c r="K134" s="1"/>
      <c r="L134" s="18"/>
      <c r="M134" s="89"/>
      <c r="N134" s="89"/>
      <c r="O134" s="89"/>
      <c r="P134" s="89"/>
      <c r="Q134" s="228"/>
      <c r="R134" s="176"/>
      <c r="AL134" s="279" t="s">
        <v>86</v>
      </c>
      <c r="AM134" s="279"/>
    </row>
    <row r="135" spans="1:39" x14ac:dyDescent="0.35">
      <c r="A135" s="22">
        <v>45150</v>
      </c>
      <c r="B135" s="36"/>
      <c r="C135" s="37" t="s">
        <v>97</v>
      </c>
      <c r="D135" s="44"/>
      <c r="E135" s="44"/>
      <c r="F135" s="66"/>
      <c r="G135" s="66"/>
      <c r="H135" s="44"/>
      <c r="I135" s="1"/>
      <c r="J135" s="1"/>
      <c r="K135" s="1"/>
      <c r="L135" s="18"/>
      <c r="M135" s="89"/>
      <c r="N135" s="89"/>
      <c r="O135" s="89"/>
      <c r="P135" s="89"/>
      <c r="Q135" s="224"/>
      <c r="R135" s="125"/>
      <c r="AL135" t="s">
        <v>87</v>
      </c>
      <c r="AM135" t="s">
        <v>88</v>
      </c>
    </row>
    <row r="136" spans="1:39" x14ac:dyDescent="0.35">
      <c r="A136" s="22">
        <v>45151</v>
      </c>
      <c r="B136" s="36"/>
      <c r="C136" s="37" t="s">
        <v>97</v>
      </c>
      <c r="D136" s="44"/>
      <c r="E136" s="44"/>
      <c r="F136" s="66"/>
      <c r="G136" s="66"/>
      <c r="H136" s="44"/>
      <c r="I136" s="1"/>
      <c r="J136" s="1"/>
      <c r="K136" s="1"/>
      <c r="L136" s="18"/>
      <c r="M136" s="89"/>
      <c r="N136" s="89"/>
      <c r="O136" s="89"/>
      <c r="P136" s="89"/>
      <c r="Q136" s="228"/>
      <c r="R136" s="176"/>
      <c r="AL136" t="s">
        <v>89</v>
      </c>
      <c r="AM136" s="164">
        <v>0</v>
      </c>
    </row>
    <row r="137" spans="1:39" x14ac:dyDescent="0.35">
      <c r="A137" s="22">
        <v>45152</v>
      </c>
      <c r="B137" s="36"/>
      <c r="C137" s="37" t="s">
        <v>97</v>
      </c>
      <c r="D137" s="44"/>
      <c r="E137" s="44"/>
      <c r="F137" s="66"/>
      <c r="G137" s="66"/>
      <c r="H137" s="1"/>
      <c r="I137" s="1"/>
      <c r="J137" s="1"/>
      <c r="K137" s="1"/>
      <c r="L137" s="89"/>
      <c r="M137" s="89"/>
      <c r="N137" s="89"/>
      <c r="O137" s="89"/>
      <c r="P137" s="89"/>
      <c r="Q137" s="224"/>
      <c r="R137" s="125"/>
      <c r="AL137" t="s">
        <v>90</v>
      </c>
      <c r="AM137" s="164">
        <v>0.10416666666666667</v>
      </c>
    </row>
    <row r="138" spans="1:39" x14ac:dyDescent="0.35">
      <c r="A138" s="22">
        <v>45153</v>
      </c>
      <c r="B138" s="36"/>
      <c r="C138" s="37" t="s">
        <v>97</v>
      </c>
      <c r="D138" s="44"/>
      <c r="E138" s="44"/>
      <c r="F138" s="66"/>
      <c r="G138" s="66"/>
      <c r="H138" s="44"/>
      <c r="I138" s="1"/>
      <c r="J138" s="1"/>
      <c r="K138" s="1"/>
      <c r="L138" s="18"/>
      <c r="M138" s="89"/>
      <c r="N138" s="89"/>
      <c r="O138" s="89"/>
      <c r="P138" s="89"/>
      <c r="Q138" s="228"/>
      <c r="R138" s="176"/>
      <c r="AL138" t="s">
        <v>91</v>
      </c>
      <c r="AM138" s="164">
        <v>0.10416666666666667</v>
      </c>
    </row>
    <row r="139" spans="1:39" x14ac:dyDescent="0.35">
      <c r="A139" s="22">
        <v>45154</v>
      </c>
      <c r="B139" s="36"/>
      <c r="C139" s="37" t="s">
        <v>97</v>
      </c>
      <c r="D139" s="44"/>
      <c r="E139" s="44"/>
      <c r="F139" s="66"/>
      <c r="G139" s="66"/>
      <c r="H139" s="44"/>
      <c r="I139" s="1"/>
      <c r="J139" s="1"/>
      <c r="K139" s="1"/>
      <c r="L139" s="89"/>
      <c r="M139" s="89"/>
      <c r="N139" s="89"/>
      <c r="O139" s="89"/>
      <c r="P139" s="89"/>
      <c r="Q139" s="224"/>
      <c r="R139" s="125"/>
      <c r="AL139" t="s">
        <v>92</v>
      </c>
      <c r="AM139" s="164">
        <v>0.20833333333333334</v>
      </c>
    </row>
    <row r="140" spans="1:39" x14ac:dyDescent="0.35">
      <c r="A140" s="22">
        <v>45155</v>
      </c>
      <c r="B140" s="36"/>
      <c r="C140" s="37" t="s">
        <v>97</v>
      </c>
      <c r="D140" s="44"/>
      <c r="E140" s="44"/>
      <c r="F140" s="66"/>
      <c r="G140" s="66"/>
      <c r="H140" s="44"/>
      <c r="I140" s="1"/>
      <c r="J140" s="1"/>
      <c r="K140" s="1"/>
      <c r="L140" s="18"/>
      <c r="M140" s="89"/>
      <c r="N140" s="89"/>
      <c r="O140" s="89"/>
      <c r="P140" s="89"/>
      <c r="Q140" s="228"/>
      <c r="R140" s="176"/>
      <c r="AL140" t="s">
        <v>88</v>
      </c>
      <c r="AM140" s="164" t="e" cm="1">
        <f t="array" ref="AM140">AVERAGEIF(chart_ATT_OECS, "&lt;&gt;0")</f>
        <v>#N/A</v>
      </c>
    </row>
    <row r="141" spans="1:39" x14ac:dyDescent="0.35">
      <c r="A141" s="22">
        <v>45156</v>
      </c>
      <c r="B141" s="36"/>
      <c r="C141" s="37" t="s">
        <v>97</v>
      </c>
      <c r="D141" s="44"/>
      <c r="E141" s="44"/>
      <c r="F141" s="66"/>
      <c r="G141" s="66"/>
      <c r="H141" s="1"/>
      <c r="I141" s="1"/>
      <c r="J141" s="1"/>
      <c r="K141" s="1"/>
      <c r="L141" s="89"/>
      <c r="M141" s="89"/>
      <c r="N141" s="89"/>
      <c r="O141" s="89"/>
      <c r="P141" s="89"/>
      <c r="Q141" s="224"/>
      <c r="R141" s="125"/>
    </row>
    <row r="142" spans="1:39" x14ac:dyDescent="0.35">
      <c r="A142" s="22">
        <v>45157</v>
      </c>
      <c r="B142" s="36"/>
      <c r="C142" s="37" t="s">
        <v>97</v>
      </c>
      <c r="D142" s="44"/>
      <c r="E142" s="44"/>
      <c r="F142" s="66"/>
      <c r="G142" s="66"/>
      <c r="H142" s="44"/>
      <c r="I142" s="1"/>
      <c r="J142" s="1"/>
      <c r="K142" s="1"/>
      <c r="L142" s="18"/>
      <c r="M142" s="89"/>
      <c r="N142" s="89"/>
      <c r="O142" s="89"/>
      <c r="P142" s="89"/>
      <c r="Q142" s="228"/>
      <c r="R142" s="176"/>
    </row>
    <row r="143" spans="1:39" x14ac:dyDescent="0.35">
      <c r="A143" s="22">
        <v>45158</v>
      </c>
      <c r="B143" s="36"/>
      <c r="C143" s="37" t="s">
        <v>97</v>
      </c>
      <c r="D143" s="44"/>
      <c r="E143" s="44"/>
      <c r="F143" s="66"/>
      <c r="G143" s="66"/>
      <c r="H143" s="1"/>
      <c r="I143" s="1"/>
      <c r="J143" s="1"/>
      <c r="K143" s="1"/>
      <c r="L143" s="89"/>
      <c r="M143" s="89"/>
      <c r="N143" s="89"/>
      <c r="O143" s="89"/>
      <c r="P143" s="89"/>
      <c r="Q143" s="224"/>
      <c r="R143" s="125"/>
    </row>
    <row r="144" spans="1:39" x14ac:dyDescent="0.35">
      <c r="A144" s="22">
        <v>45159</v>
      </c>
      <c r="B144" s="36"/>
      <c r="C144" s="37" t="s">
        <v>97</v>
      </c>
      <c r="D144" s="44"/>
      <c r="E144" s="44"/>
      <c r="F144" s="66"/>
      <c r="G144" s="66"/>
      <c r="H144" s="44"/>
      <c r="I144" s="1"/>
      <c r="J144" s="1"/>
      <c r="K144" s="1"/>
      <c r="L144" s="1"/>
      <c r="M144" s="89"/>
      <c r="N144" s="89"/>
      <c r="O144" s="89"/>
      <c r="P144" s="89"/>
      <c r="Q144" s="228"/>
      <c r="R144" s="176"/>
    </row>
    <row r="145" spans="1:21" x14ac:dyDescent="0.35">
      <c r="A145" s="22">
        <v>45160</v>
      </c>
      <c r="B145" s="36"/>
      <c r="C145" s="37" t="s">
        <v>97</v>
      </c>
      <c r="D145" s="44"/>
      <c r="E145" s="44"/>
      <c r="F145" s="66"/>
      <c r="G145" s="66"/>
      <c r="H145" s="1"/>
      <c r="I145" s="1"/>
      <c r="J145" s="1"/>
      <c r="K145" s="1"/>
      <c r="L145" s="89"/>
      <c r="M145" s="89"/>
      <c r="N145" s="89"/>
      <c r="O145" s="89"/>
      <c r="P145" s="89"/>
      <c r="Q145" s="224"/>
      <c r="R145" s="125"/>
    </row>
    <row r="146" spans="1:21" x14ac:dyDescent="0.35">
      <c r="A146" s="22">
        <v>45161</v>
      </c>
      <c r="B146" s="36"/>
      <c r="C146" s="37" t="s">
        <v>97</v>
      </c>
      <c r="D146" s="44"/>
      <c r="E146" s="44"/>
      <c r="F146" s="66"/>
      <c r="G146" s="66"/>
      <c r="H146" s="44"/>
      <c r="I146" s="1"/>
      <c r="J146" s="1"/>
      <c r="K146" s="1"/>
      <c r="L146" s="18"/>
      <c r="M146" s="89"/>
      <c r="N146" s="89"/>
      <c r="O146" s="89"/>
      <c r="P146" s="89"/>
      <c r="Q146" s="228"/>
      <c r="R146" s="176"/>
    </row>
    <row r="147" spans="1:21" x14ac:dyDescent="0.35">
      <c r="A147" s="22">
        <v>45162</v>
      </c>
      <c r="B147" s="36"/>
      <c r="C147" s="37" t="s">
        <v>97</v>
      </c>
      <c r="D147" s="44"/>
      <c r="E147" s="44"/>
      <c r="F147" s="66"/>
      <c r="G147" s="66"/>
      <c r="H147" s="1"/>
      <c r="I147" s="1"/>
      <c r="J147" s="1"/>
      <c r="K147" s="1"/>
      <c r="L147" s="89"/>
      <c r="M147" s="89"/>
      <c r="N147" s="89"/>
      <c r="O147" s="89"/>
      <c r="P147" s="89"/>
      <c r="Q147" s="224"/>
      <c r="R147" s="125"/>
    </row>
    <row r="148" spans="1:21" x14ac:dyDescent="0.35">
      <c r="A148" s="22">
        <v>45163</v>
      </c>
      <c r="B148" s="36"/>
      <c r="C148" s="37" t="s">
        <v>97</v>
      </c>
      <c r="D148" s="44"/>
      <c r="E148" s="44"/>
      <c r="F148" s="66"/>
      <c r="G148" s="66"/>
      <c r="H148" s="44"/>
      <c r="I148" s="1"/>
      <c r="J148" s="1"/>
      <c r="K148" s="1"/>
      <c r="L148" s="18"/>
      <c r="M148" s="89"/>
      <c r="N148" s="89"/>
      <c r="O148" s="89"/>
      <c r="P148" s="89"/>
      <c r="Q148" s="228"/>
      <c r="R148" s="176"/>
    </row>
    <row r="149" spans="1:21" x14ac:dyDescent="0.35">
      <c r="A149" s="22">
        <v>45164</v>
      </c>
      <c r="B149" s="36"/>
      <c r="C149" s="37" t="s">
        <v>97</v>
      </c>
      <c r="D149" s="44"/>
      <c r="E149" s="44"/>
      <c r="F149" s="66"/>
      <c r="G149" s="66"/>
      <c r="H149" s="1"/>
      <c r="I149" s="1"/>
      <c r="J149" s="1"/>
      <c r="K149" s="1"/>
      <c r="L149" s="89"/>
      <c r="M149" s="89"/>
      <c r="N149" s="89"/>
      <c r="O149" s="89"/>
      <c r="P149" s="89"/>
      <c r="Q149" s="224"/>
      <c r="R149" s="125"/>
    </row>
    <row r="150" spans="1:21" x14ac:dyDescent="0.35">
      <c r="A150" s="22">
        <v>45165</v>
      </c>
      <c r="B150" s="36"/>
      <c r="C150" s="37" t="s">
        <v>97</v>
      </c>
      <c r="D150" s="44"/>
      <c r="E150" s="44"/>
      <c r="F150" s="66"/>
      <c r="G150" s="66"/>
      <c r="H150" s="44"/>
      <c r="I150" s="1"/>
      <c r="J150" s="1"/>
      <c r="K150" s="1"/>
      <c r="L150" s="18"/>
      <c r="M150" s="89"/>
      <c r="N150" s="89"/>
      <c r="O150" s="89"/>
      <c r="P150" s="89"/>
      <c r="Q150" s="228"/>
      <c r="R150" s="176"/>
    </row>
    <row r="151" spans="1:21" x14ac:dyDescent="0.35">
      <c r="A151" s="22">
        <v>45166</v>
      </c>
      <c r="B151" s="36"/>
      <c r="C151" s="37" t="s">
        <v>97</v>
      </c>
      <c r="D151" s="44"/>
      <c r="E151" s="44"/>
      <c r="F151" s="66"/>
      <c r="G151" s="66"/>
      <c r="H151" s="1"/>
      <c r="I151" s="1"/>
      <c r="J151" s="1"/>
      <c r="K151" s="1"/>
      <c r="L151" s="89"/>
      <c r="M151" s="89"/>
      <c r="N151" s="89"/>
      <c r="O151" s="89"/>
      <c r="P151" s="89"/>
      <c r="Q151" s="224"/>
      <c r="R151" s="125"/>
    </row>
    <row r="152" spans="1:21" x14ac:dyDescent="0.35">
      <c r="A152" s="22">
        <v>45167</v>
      </c>
      <c r="B152" s="36"/>
      <c r="C152" s="37" t="s">
        <v>97</v>
      </c>
      <c r="D152" s="44"/>
      <c r="E152" s="44"/>
      <c r="F152" s="66"/>
      <c r="G152" s="66"/>
      <c r="H152" s="44"/>
      <c r="I152" s="1"/>
      <c r="J152" s="1"/>
      <c r="K152" s="1"/>
      <c r="L152" s="18"/>
      <c r="M152" s="89"/>
      <c r="N152" s="89"/>
      <c r="O152" s="89"/>
      <c r="P152" s="89"/>
      <c r="Q152" s="228"/>
      <c r="R152" s="176"/>
    </row>
    <row r="153" spans="1:21" x14ac:dyDescent="0.35">
      <c r="A153" s="22">
        <v>45168</v>
      </c>
      <c r="B153" s="36"/>
      <c r="C153" s="37" t="s">
        <v>97</v>
      </c>
      <c r="D153" s="44"/>
      <c r="E153" s="44"/>
      <c r="F153" s="66"/>
      <c r="G153" s="66"/>
      <c r="H153" s="1"/>
      <c r="I153" s="1"/>
      <c r="J153" s="1"/>
      <c r="K153" s="1"/>
      <c r="L153" s="89"/>
      <c r="M153" s="89"/>
      <c r="N153" s="89"/>
      <c r="O153" s="89"/>
      <c r="P153" s="89"/>
      <c r="Q153" s="224"/>
      <c r="R153" s="176"/>
    </row>
    <row r="154" spans="1:21" s="119" customFormat="1" x14ac:dyDescent="0.35">
      <c r="A154" s="22">
        <v>45169</v>
      </c>
      <c r="B154" s="113"/>
      <c r="C154" s="37" t="s">
        <v>97</v>
      </c>
      <c r="D154" s="114"/>
      <c r="E154" s="114"/>
      <c r="F154" s="115"/>
      <c r="G154" s="115"/>
      <c r="H154" s="114"/>
      <c r="I154" s="116"/>
      <c r="J154" s="116"/>
      <c r="K154" s="116"/>
      <c r="L154" s="117"/>
      <c r="M154" s="118"/>
      <c r="N154" s="118"/>
      <c r="O154" s="118"/>
      <c r="P154" s="118"/>
      <c r="Q154" s="228"/>
      <c r="R154" s="177"/>
      <c r="S154"/>
      <c r="T154"/>
      <c r="U154"/>
    </row>
    <row r="155" spans="1:21" x14ac:dyDescent="0.35">
      <c r="A155" s="22">
        <v>45170</v>
      </c>
      <c r="B155" s="36"/>
      <c r="C155" s="37" t="s">
        <v>97</v>
      </c>
      <c r="D155" s="44"/>
      <c r="E155" s="44"/>
      <c r="F155" s="66"/>
      <c r="G155" s="66"/>
      <c r="H155" s="1"/>
      <c r="I155" s="1"/>
      <c r="J155" s="1"/>
      <c r="K155" s="1"/>
      <c r="L155" s="89"/>
      <c r="M155" s="89"/>
      <c r="N155" s="89"/>
      <c r="O155" s="89"/>
      <c r="P155" s="89"/>
      <c r="Q155" s="224"/>
      <c r="R155" s="125"/>
    </row>
    <row r="156" spans="1:21" x14ac:dyDescent="0.35">
      <c r="A156" s="22">
        <v>45171</v>
      </c>
      <c r="B156" s="35"/>
      <c r="C156" s="37" t="s">
        <v>97</v>
      </c>
      <c r="D156" s="44"/>
      <c r="E156" s="44"/>
      <c r="F156" s="66"/>
      <c r="G156" s="66"/>
      <c r="H156" s="44"/>
      <c r="I156" s="1"/>
      <c r="J156" s="1"/>
      <c r="K156" s="1"/>
      <c r="L156" s="18"/>
      <c r="M156" s="89"/>
      <c r="N156" s="89"/>
      <c r="O156" s="89"/>
      <c r="P156" s="89"/>
      <c r="Q156" s="228"/>
      <c r="R156" s="176"/>
    </row>
    <row r="157" spans="1:21" x14ac:dyDescent="0.35">
      <c r="A157" s="22">
        <v>45172</v>
      </c>
      <c r="B157" s="36"/>
      <c r="C157" s="37" t="s">
        <v>97</v>
      </c>
      <c r="D157" s="44"/>
      <c r="E157" s="44"/>
      <c r="F157" s="66"/>
      <c r="G157" s="66"/>
      <c r="H157" s="1"/>
      <c r="I157" s="1"/>
      <c r="J157" s="1"/>
      <c r="K157" s="1"/>
      <c r="L157" s="89"/>
      <c r="M157" s="89"/>
      <c r="N157" s="89"/>
      <c r="O157" s="89"/>
      <c r="P157" s="89"/>
      <c r="Q157" s="224"/>
      <c r="R157" s="125"/>
    </row>
    <row r="158" spans="1:21" x14ac:dyDescent="0.35">
      <c r="A158" s="22">
        <v>45173</v>
      </c>
      <c r="B158" s="35"/>
      <c r="C158" s="37" t="s">
        <v>97</v>
      </c>
      <c r="D158" s="44"/>
      <c r="E158" s="44"/>
      <c r="F158" s="66"/>
      <c r="G158" s="66"/>
      <c r="H158" s="44"/>
      <c r="I158" s="1"/>
      <c r="J158" s="1"/>
      <c r="K158" s="1"/>
      <c r="L158" s="18"/>
      <c r="M158" s="89"/>
      <c r="N158" s="89"/>
      <c r="O158" s="89"/>
      <c r="P158" s="89"/>
      <c r="Q158" s="228"/>
      <c r="R158" s="176"/>
    </row>
    <row r="159" spans="1:21" x14ac:dyDescent="0.35">
      <c r="A159" s="22">
        <v>45174</v>
      </c>
      <c r="B159" s="36"/>
      <c r="C159" s="37" t="s">
        <v>97</v>
      </c>
      <c r="D159" s="44"/>
      <c r="E159" s="44"/>
      <c r="F159" s="66"/>
      <c r="G159" s="66"/>
      <c r="H159" s="1"/>
      <c r="I159" s="1"/>
      <c r="J159" s="1"/>
      <c r="K159" s="1"/>
      <c r="L159" s="89"/>
      <c r="M159" s="89"/>
      <c r="N159" s="89"/>
      <c r="O159" s="89"/>
      <c r="P159" s="89"/>
      <c r="Q159" s="224"/>
      <c r="R159" s="125"/>
    </row>
    <row r="160" spans="1:21" x14ac:dyDescent="0.35">
      <c r="A160" s="22">
        <v>45175</v>
      </c>
      <c r="B160" s="35"/>
      <c r="C160" s="37" t="s">
        <v>97</v>
      </c>
      <c r="D160" s="43"/>
      <c r="E160" s="43"/>
      <c r="F160" s="66"/>
      <c r="G160" s="66"/>
      <c r="H160" s="33"/>
      <c r="I160" s="33"/>
      <c r="J160" s="33"/>
      <c r="K160" s="33"/>
      <c r="L160" s="90"/>
      <c r="M160" s="90"/>
      <c r="N160" s="90"/>
      <c r="O160" s="90"/>
      <c r="P160" s="90"/>
      <c r="Q160" s="228"/>
      <c r="R160" s="176"/>
    </row>
    <row r="161" spans="1:18" x14ac:dyDescent="0.35">
      <c r="A161" s="22">
        <v>45176</v>
      </c>
      <c r="B161" s="36"/>
      <c r="C161" s="37" t="s">
        <v>97</v>
      </c>
      <c r="D161" s="44"/>
      <c r="E161" s="44"/>
      <c r="F161" s="66"/>
      <c r="G161" s="66"/>
      <c r="H161" s="1"/>
      <c r="I161" s="1"/>
      <c r="J161" s="1"/>
      <c r="K161" s="1"/>
      <c r="L161" s="89"/>
      <c r="M161" s="89"/>
      <c r="N161" s="89"/>
      <c r="O161" s="89"/>
      <c r="P161" s="89"/>
      <c r="Q161" s="224"/>
      <c r="R161" s="125"/>
    </row>
    <row r="162" spans="1:18" x14ac:dyDescent="0.35">
      <c r="A162" s="22">
        <v>45177</v>
      </c>
      <c r="B162" s="36"/>
      <c r="C162" s="37" t="s">
        <v>97</v>
      </c>
      <c r="D162" s="44"/>
      <c r="E162" s="44"/>
      <c r="F162" s="66"/>
      <c r="G162" s="66"/>
      <c r="H162" s="44"/>
      <c r="I162" s="1"/>
      <c r="J162" s="1"/>
      <c r="K162" s="1"/>
      <c r="L162" s="18"/>
      <c r="M162" s="89"/>
      <c r="N162" s="89"/>
      <c r="O162" s="89"/>
      <c r="P162" s="89"/>
      <c r="Q162" s="228"/>
      <c r="R162" s="125"/>
    </row>
    <row r="163" spans="1:18" x14ac:dyDescent="0.35">
      <c r="A163" s="22">
        <v>45178</v>
      </c>
      <c r="B163" s="36"/>
      <c r="C163" s="37" t="s">
        <v>97</v>
      </c>
      <c r="D163" s="44"/>
      <c r="E163" s="44"/>
      <c r="F163" s="66"/>
      <c r="G163" s="66"/>
      <c r="H163" s="1"/>
      <c r="I163" s="1"/>
      <c r="J163" s="1"/>
      <c r="K163" s="1"/>
      <c r="L163" s="89"/>
      <c r="M163" s="89"/>
      <c r="N163" s="89"/>
      <c r="O163" s="89"/>
      <c r="P163" s="89"/>
      <c r="Q163" s="224"/>
      <c r="R163" s="125"/>
    </row>
    <row r="164" spans="1:18" x14ac:dyDescent="0.35">
      <c r="A164" s="22">
        <v>45179</v>
      </c>
      <c r="B164" s="35"/>
      <c r="C164" s="37" t="s">
        <v>97</v>
      </c>
      <c r="D164" s="44"/>
      <c r="E164" s="44"/>
      <c r="F164" s="66"/>
      <c r="G164" s="66"/>
      <c r="H164" s="44"/>
      <c r="I164" s="1"/>
      <c r="J164" s="1"/>
      <c r="K164" s="1"/>
      <c r="L164" s="18"/>
      <c r="M164" s="89"/>
      <c r="N164" s="89"/>
      <c r="O164" s="89"/>
      <c r="P164" s="89"/>
      <c r="Q164" s="228"/>
      <c r="R164" s="176"/>
    </row>
    <row r="165" spans="1:18" x14ac:dyDescent="0.35">
      <c r="A165" s="22">
        <v>45180</v>
      </c>
      <c r="B165" s="36"/>
      <c r="C165" s="37" t="s">
        <v>97</v>
      </c>
      <c r="D165" s="44"/>
      <c r="E165" s="44"/>
      <c r="F165" s="66"/>
      <c r="G165" s="66"/>
      <c r="H165" s="1"/>
      <c r="I165" s="1"/>
      <c r="J165" s="1"/>
      <c r="K165" s="1"/>
      <c r="L165" s="89"/>
      <c r="M165" s="89"/>
      <c r="N165" s="89"/>
      <c r="O165" s="89"/>
      <c r="P165" s="89"/>
      <c r="Q165" s="224"/>
      <c r="R165" s="125"/>
    </row>
    <row r="166" spans="1:18" x14ac:dyDescent="0.35">
      <c r="A166" s="22">
        <v>45181</v>
      </c>
      <c r="B166" s="35"/>
      <c r="C166" s="37" t="s">
        <v>97</v>
      </c>
      <c r="D166" s="43"/>
      <c r="E166" s="43"/>
      <c r="F166" s="66"/>
      <c r="G166" s="66"/>
      <c r="H166" s="1"/>
      <c r="I166" s="1"/>
      <c r="J166" s="1"/>
      <c r="K166" s="1"/>
      <c r="L166" s="90"/>
      <c r="M166" s="90"/>
      <c r="N166" s="89"/>
      <c r="O166" s="90"/>
      <c r="P166" s="90"/>
      <c r="Q166" s="228"/>
      <c r="R166" s="176"/>
    </row>
    <row r="167" spans="1:18" x14ac:dyDescent="0.35">
      <c r="A167" s="22">
        <v>45182</v>
      </c>
      <c r="B167" s="36"/>
      <c r="C167" s="37" t="s">
        <v>97</v>
      </c>
      <c r="D167" s="44"/>
      <c r="E167" s="44"/>
      <c r="F167" s="66"/>
      <c r="G167" s="66"/>
      <c r="H167" s="1"/>
      <c r="I167" s="1"/>
      <c r="J167" s="1"/>
      <c r="K167" s="1"/>
      <c r="L167" s="89"/>
      <c r="M167" s="89"/>
      <c r="N167" s="89"/>
      <c r="O167" s="89"/>
      <c r="P167" s="89"/>
      <c r="Q167" s="224"/>
      <c r="R167" s="125"/>
    </row>
    <row r="168" spans="1:18" x14ac:dyDescent="0.35">
      <c r="A168" s="22">
        <v>45183</v>
      </c>
      <c r="B168" s="35"/>
      <c r="C168" s="37" t="s">
        <v>97</v>
      </c>
      <c r="D168" s="44"/>
      <c r="E168" s="44"/>
      <c r="F168" s="66"/>
      <c r="G168" s="66"/>
      <c r="H168" s="1"/>
      <c r="I168" s="1"/>
      <c r="J168" s="1"/>
      <c r="K168" s="1"/>
      <c r="L168" s="89"/>
      <c r="M168" s="89"/>
      <c r="N168" s="89"/>
      <c r="O168" s="89"/>
      <c r="P168" s="89"/>
      <c r="Q168" s="228"/>
      <c r="R168" s="125"/>
    </row>
    <row r="169" spans="1:18" x14ac:dyDescent="0.35">
      <c r="A169" s="22">
        <v>45184</v>
      </c>
      <c r="B169" s="36"/>
      <c r="C169" s="37" t="s">
        <v>97</v>
      </c>
      <c r="D169" s="44"/>
      <c r="E169" s="44"/>
      <c r="F169" s="66"/>
      <c r="G169" s="66"/>
      <c r="H169" s="44"/>
      <c r="I169" s="1"/>
      <c r="J169" s="1"/>
      <c r="K169" s="1"/>
      <c r="L169" s="89"/>
      <c r="M169" s="89"/>
      <c r="N169" s="89"/>
      <c r="O169" s="89"/>
      <c r="P169" s="89"/>
      <c r="Q169" s="224"/>
      <c r="R169" s="125"/>
    </row>
    <row r="170" spans="1:18" x14ac:dyDescent="0.35">
      <c r="A170" s="22">
        <v>45185</v>
      </c>
      <c r="B170" s="35"/>
      <c r="C170" s="37" t="s">
        <v>97</v>
      </c>
      <c r="D170" s="43"/>
      <c r="E170" s="43"/>
      <c r="F170" s="66"/>
      <c r="G170" s="66"/>
      <c r="H170" s="1"/>
      <c r="I170" s="1"/>
      <c r="J170" s="1"/>
      <c r="K170" s="1"/>
      <c r="L170" s="90"/>
      <c r="M170" s="90"/>
      <c r="N170" s="89"/>
      <c r="O170" s="90"/>
      <c r="P170" s="89"/>
      <c r="Q170" s="228"/>
      <c r="R170" s="176"/>
    </row>
    <row r="171" spans="1:18" x14ac:dyDescent="0.35">
      <c r="A171" s="22">
        <v>45186</v>
      </c>
      <c r="B171" s="36"/>
      <c r="C171" s="37" t="s">
        <v>97</v>
      </c>
      <c r="D171" s="44"/>
      <c r="E171" s="44"/>
      <c r="F171" s="66"/>
      <c r="G171" s="66"/>
      <c r="H171" s="44"/>
      <c r="I171" s="1"/>
      <c r="J171" s="1"/>
      <c r="K171" s="1"/>
      <c r="L171" s="89"/>
      <c r="M171" s="89"/>
      <c r="N171" s="89"/>
      <c r="O171" s="89"/>
      <c r="P171" s="89"/>
      <c r="Q171" s="224"/>
      <c r="R171" s="125"/>
    </row>
    <row r="172" spans="1:18" x14ac:dyDescent="0.35">
      <c r="A172" s="22">
        <v>45187</v>
      </c>
      <c r="B172" s="35"/>
      <c r="C172" s="37" t="s">
        <v>97</v>
      </c>
      <c r="D172" s="43"/>
      <c r="E172" s="43"/>
      <c r="F172" s="66"/>
      <c r="G172" s="66"/>
      <c r="H172" s="33"/>
      <c r="I172" s="33"/>
      <c r="J172" s="33"/>
      <c r="K172" s="33"/>
      <c r="L172" s="90"/>
      <c r="M172" s="90"/>
      <c r="N172" s="90"/>
      <c r="O172" s="90"/>
      <c r="P172" s="90"/>
      <c r="Q172" s="228"/>
      <c r="R172" s="176"/>
    </row>
    <row r="173" spans="1:18" x14ac:dyDescent="0.35">
      <c r="A173" s="22">
        <v>45188</v>
      </c>
      <c r="B173" s="36"/>
      <c r="C173" s="37" t="s">
        <v>97</v>
      </c>
      <c r="D173" s="44"/>
      <c r="E173" s="44"/>
      <c r="F173" s="66"/>
      <c r="G173" s="66"/>
      <c r="H173" s="1"/>
      <c r="I173" s="1"/>
      <c r="J173" s="1"/>
      <c r="K173" s="1"/>
      <c r="L173" s="89"/>
      <c r="M173" s="89"/>
      <c r="N173" s="89"/>
      <c r="O173" s="89"/>
      <c r="P173" s="89"/>
      <c r="Q173" s="224"/>
      <c r="R173" s="125"/>
    </row>
    <row r="174" spans="1:18" x14ac:dyDescent="0.35">
      <c r="A174" s="22">
        <v>45189</v>
      </c>
      <c r="B174" s="35"/>
      <c r="C174" s="37" t="s">
        <v>97</v>
      </c>
      <c r="D174" s="43"/>
      <c r="E174" s="43"/>
      <c r="F174" s="66"/>
      <c r="G174" s="66"/>
      <c r="H174" s="33"/>
      <c r="I174" s="33"/>
      <c r="J174" s="33"/>
      <c r="K174" s="33"/>
      <c r="L174" s="90"/>
      <c r="M174" s="90"/>
      <c r="N174" s="89"/>
      <c r="O174" s="89"/>
      <c r="P174" s="90"/>
      <c r="Q174" s="228"/>
      <c r="R174" s="176"/>
    </row>
    <row r="175" spans="1:18" x14ac:dyDescent="0.35">
      <c r="A175" s="22">
        <v>45190</v>
      </c>
      <c r="B175" s="36"/>
      <c r="C175" s="37" t="s">
        <v>97</v>
      </c>
      <c r="D175" s="44"/>
      <c r="E175" s="44"/>
      <c r="F175" s="66"/>
      <c r="G175" s="66"/>
      <c r="H175" s="1"/>
      <c r="I175" s="1"/>
      <c r="J175" s="1"/>
      <c r="K175" s="1"/>
      <c r="L175" s="89"/>
      <c r="M175" s="89"/>
      <c r="N175" s="89"/>
      <c r="O175" s="89"/>
      <c r="P175" s="89"/>
      <c r="Q175" s="224"/>
      <c r="R175" s="125"/>
    </row>
    <row r="176" spans="1:18" x14ac:dyDescent="0.35">
      <c r="A176" s="22">
        <v>45191</v>
      </c>
      <c r="B176" s="35"/>
      <c r="C176" s="37" t="s">
        <v>97</v>
      </c>
      <c r="D176" s="43"/>
      <c r="E176" s="43"/>
      <c r="F176" s="66"/>
      <c r="G176" s="66"/>
      <c r="H176" s="44"/>
      <c r="I176" s="1"/>
      <c r="J176" s="1"/>
      <c r="K176" s="1"/>
      <c r="L176" s="90"/>
      <c r="M176" s="90"/>
      <c r="N176" s="89"/>
      <c r="O176" s="90"/>
      <c r="P176" s="90"/>
      <c r="Q176" s="228"/>
      <c r="R176" s="176"/>
    </row>
    <row r="177" spans="1:21" x14ac:dyDescent="0.35">
      <c r="A177" s="22">
        <v>45192</v>
      </c>
      <c r="B177" s="36"/>
      <c r="C177" s="37" t="s">
        <v>97</v>
      </c>
      <c r="D177" s="44"/>
      <c r="E177" s="44"/>
      <c r="F177" s="66"/>
      <c r="G177" s="66"/>
      <c r="H177" s="1"/>
      <c r="I177" s="1"/>
      <c r="J177" s="1"/>
      <c r="K177" s="1"/>
      <c r="L177" s="89"/>
      <c r="M177" s="89"/>
      <c r="N177" s="89"/>
      <c r="O177" s="89"/>
      <c r="P177" s="90"/>
      <c r="Q177" s="224"/>
      <c r="R177" s="125"/>
    </row>
    <row r="178" spans="1:21" x14ac:dyDescent="0.35">
      <c r="A178" s="22">
        <v>45193</v>
      </c>
      <c r="B178" s="35"/>
      <c r="C178" s="37" t="s">
        <v>97</v>
      </c>
      <c r="D178" s="43"/>
      <c r="E178" s="43"/>
      <c r="F178" s="66"/>
      <c r="G178" s="66"/>
      <c r="H178" s="44"/>
      <c r="I178" s="1"/>
      <c r="J178" s="1"/>
      <c r="K178" s="1"/>
      <c r="L178" s="90"/>
      <c r="M178" s="90"/>
      <c r="N178" s="89"/>
      <c r="O178" s="90"/>
      <c r="P178" s="90"/>
      <c r="Q178" s="228"/>
      <c r="R178" s="176"/>
      <c r="S178">
        <f>AVERAGEIF(P48:P54,"&lt;&gt;0")</f>
        <v>1</v>
      </c>
    </row>
    <row r="179" spans="1:21" x14ac:dyDescent="0.35">
      <c r="A179" s="22">
        <v>45194</v>
      </c>
      <c r="B179" s="36"/>
      <c r="C179" s="37" t="s">
        <v>97</v>
      </c>
      <c r="D179" s="44"/>
      <c r="E179" s="44"/>
      <c r="F179" s="66"/>
      <c r="G179" s="66"/>
      <c r="H179" s="1"/>
      <c r="I179" s="1"/>
      <c r="J179" s="1"/>
      <c r="K179" s="1"/>
      <c r="L179" s="89"/>
      <c r="M179" s="89"/>
      <c r="N179" s="89"/>
      <c r="O179" s="89"/>
      <c r="P179" s="89"/>
      <c r="Q179" s="224"/>
      <c r="R179" s="125"/>
    </row>
    <row r="180" spans="1:21" x14ac:dyDescent="0.35">
      <c r="A180" s="22">
        <v>45195</v>
      </c>
      <c r="B180" s="36"/>
      <c r="C180" s="37" t="s">
        <v>97</v>
      </c>
      <c r="D180" s="44"/>
      <c r="E180" s="44"/>
      <c r="F180" s="66"/>
      <c r="G180" s="66"/>
      <c r="H180" s="44"/>
      <c r="I180" s="1"/>
      <c r="J180" s="1"/>
      <c r="K180" s="1"/>
      <c r="L180" s="18"/>
      <c r="M180" s="89"/>
      <c r="N180" s="89"/>
      <c r="O180" s="89"/>
      <c r="P180" s="89"/>
      <c r="Q180" s="228"/>
      <c r="R180" s="125"/>
    </row>
    <row r="181" spans="1:21" x14ac:dyDescent="0.35">
      <c r="A181" s="22">
        <v>45196</v>
      </c>
      <c r="B181" s="36"/>
      <c r="C181" s="37" t="s">
        <v>97</v>
      </c>
      <c r="D181" s="44"/>
      <c r="E181" s="44"/>
      <c r="F181" s="66"/>
      <c r="G181" s="66"/>
      <c r="H181" s="44"/>
      <c r="I181" s="1"/>
      <c r="J181" s="1"/>
      <c r="K181" s="1"/>
      <c r="L181" s="89"/>
      <c r="M181" s="89"/>
      <c r="N181" s="89"/>
      <c r="O181" s="89"/>
      <c r="P181" s="89"/>
      <c r="Q181" s="224"/>
      <c r="R181" s="125"/>
    </row>
    <row r="182" spans="1:21" x14ac:dyDescent="0.35">
      <c r="A182" s="22">
        <v>45197</v>
      </c>
      <c r="B182" s="35"/>
      <c r="C182" s="37" t="s">
        <v>97</v>
      </c>
      <c r="D182" s="44"/>
      <c r="E182" s="44"/>
      <c r="F182" s="66"/>
      <c r="G182" s="66"/>
      <c r="H182" s="44"/>
      <c r="I182" s="1"/>
      <c r="J182" s="1"/>
      <c r="K182" s="1"/>
      <c r="L182" s="18"/>
      <c r="M182" s="89"/>
      <c r="N182" s="89"/>
      <c r="O182" s="89"/>
      <c r="P182" s="89"/>
      <c r="Q182" s="228"/>
      <c r="R182" s="176"/>
    </row>
    <row r="183" spans="1:21" x14ac:dyDescent="0.35">
      <c r="A183" s="22">
        <v>45198</v>
      </c>
      <c r="B183" s="36"/>
      <c r="C183" s="37" t="s">
        <v>97</v>
      </c>
      <c r="D183" s="44"/>
      <c r="E183" s="44"/>
      <c r="F183" s="66"/>
      <c r="G183" s="66"/>
      <c r="H183" s="44"/>
      <c r="I183" s="1"/>
      <c r="J183" s="1"/>
      <c r="K183" s="1"/>
      <c r="L183" s="89"/>
      <c r="M183" s="89"/>
      <c r="N183" s="89"/>
      <c r="O183" s="89"/>
      <c r="P183" s="89"/>
      <c r="Q183" s="224"/>
      <c r="R183" s="125"/>
      <c r="S183" t="s">
        <v>74</v>
      </c>
    </row>
    <row r="184" spans="1:21" s="50" customFormat="1" x14ac:dyDescent="0.35">
      <c r="A184" s="22">
        <v>45199</v>
      </c>
      <c r="B184" s="102"/>
      <c r="C184" s="37" t="s">
        <v>97</v>
      </c>
      <c r="D184" s="100"/>
      <c r="E184" s="100"/>
      <c r="F184" s="80"/>
      <c r="G184" s="80"/>
      <c r="H184" s="100"/>
      <c r="I184" s="52"/>
      <c r="J184" s="52"/>
      <c r="K184" s="52"/>
      <c r="L184" s="53"/>
      <c r="M184" s="101"/>
      <c r="N184" s="101"/>
      <c r="O184" s="101"/>
      <c r="P184" s="101"/>
      <c r="Q184" s="228"/>
      <c r="R184" s="178"/>
      <c r="S184" s="119"/>
      <c r="T184" s="119"/>
      <c r="U184" s="119"/>
    </row>
    <row r="185" spans="1:21" x14ac:dyDescent="0.35">
      <c r="A185" s="22">
        <v>45200</v>
      </c>
      <c r="B185" s="36"/>
      <c r="C185" s="37" t="s">
        <v>97</v>
      </c>
      <c r="D185" s="44"/>
      <c r="E185" s="44"/>
      <c r="F185" s="66"/>
      <c r="G185" s="66"/>
      <c r="H185" s="44"/>
      <c r="I185" s="1"/>
      <c r="J185" s="1"/>
      <c r="K185" s="1"/>
      <c r="L185" s="89"/>
      <c r="M185" s="89"/>
      <c r="N185" s="89"/>
      <c r="O185" s="89"/>
      <c r="P185" s="89"/>
      <c r="Q185" s="224"/>
      <c r="R185" s="125"/>
    </row>
    <row r="186" spans="1:21" x14ac:dyDescent="0.35">
      <c r="A186" s="22">
        <v>45201</v>
      </c>
      <c r="B186" s="35"/>
      <c r="C186" s="37" t="s">
        <v>97</v>
      </c>
      <c r="D186" s="44"/>
      <c r="E186" s="44"/>
      <c r="F186" s="66"/>
      <c r="G186" s="66"/>
      <c r="H186" s="1"/>
      <c r="I186" s="1"/>
      <c r="J186" s="1"/>
      <c r="K186" s="1"/>
      <c r="L186" s="89"/>
      <c r="M186" s="89"/>
      <c r="N186" s="89"/>
      <c r="O186" s="89"/>
      <c r="P186" s="89"/>
      <c r="Q186" s="228"/>
      <c r="R186" s="125"/>
    </row>
    <row r="187" spans="1:21" x14ac:dyDescent="0.35">
      <c r="A187" s="22">
        <v>45202</v>
      </c>
      <c r="B187" s="36"/>
      <c r="C187" s="37" t="s">
        <v>97</v>
      </c>
      <c r="D187" s="44"/>
      <c r="E187" s="44"/>
      <c r="F187" s="66"/>
      <c r="G187" s="66"/>
      <c r="H187" s="44"/>
      <c r="I187" s="1"/>
      <c r="J187" s="1"/>
      <c r="K187" s="1"/>
      <c r="L187" s="89"/>
      <c r="M187" s="89"/>
      <c r="N187" s="89"/>
      <c r="O187" s="89"/>
      <c r="P187" s="89"/>
      <c r="Q187" s="224"/>
      <c r="R187" s="125"/>
    </row>
    <row r="188" spans="1:21" x14ac:dyDescent="0.35">
      <c r="A188" s="22">
        <v>45203</v>
      </c>
      <c r="B188" s="35"/>
      <c r="C188" s="37" t="s">
        <v>97</v>
      </c>
      <c r="D188" s="43"/>
      <c r="E188" s="43"/>
      <c r="F188" s="66"/>
      <c r="G188" s="66"/>
      <c r="H188" s="43"/>
      <c r="I188" s="33"/>
      <c r="J188" s="33"/>
      <c r="K188" s="33"/>
      <c r="L188" s="90"/>
      <c r="M188" s="90"/>
      <c r="N188" s="90"/>
      <c r="O188" s="90"/>
      <c r="P188" s="90"/>
      <c r="Q188" s="228"/>
      <c r="R188" s="125"/>
    </row>
    <row r="189" spans="1:21" x14ac:dyDescent="0.35">
      <c r="A189" s="22">
        <v>45204</v>
      </c>
      <c r="B189" s="36"/>
      <c r="C189" s="37" t="s">
        <v>97</v>
      </c>
      <c r="D189" s="44"/>
      <c r="E189" s="44"/>
      <c r="F189" s="66"/>
      <c r="G189" s="66"/>
      <c r="H189" s="44"/>
      <c r="I189" s="1"/>
      <c r="J189" s="1"/>
      <c r="K189" s="1"/>
      <c r="L189" s="89"/>
      <c r="M189" s="89"/>
      <c r="N189" s="89"/>
      <c r="O189" s="89"/>
      <c r="P189" s="89"/>
      <c r="Q189" s="224"/>
      <c r="R189" s="125"/>
    </row>
    <row r="190" spans="1:21" x14ac:dyDescent="0.35">
      <c r="A190" s="22">
        <v>45205</v>
      </c>
      <c r="B190" s="35"/>
      <c r="C190" s="37" t="s">
        <v>97</v>
      </c>
      <c r="D190" s="43"/>
      <c r="E190" s="43"/>
      <c r="F190" s="66"/>
      <c r="G190" s="66"/>
      <c r="H190" s="43"/>
      <c r="I190" s="33"/>
      <c r="J190" s="33"/>
      <c r="K190" s="33"/>
      <c r="L190" s="90"/>
      <c r="M190" s="90"/>
      <c r="N190" s="90"/>
      <c r="O190" s="90"/>
      <c r="P190" s="90"/>
      <c r="Q190" s="228"/>
      <c r="R190" s="125"/>
    </row>
    <row r="191" spans="1:21" x14ac:dyDescent="0.35">
      <c r="A191" s="22">
        <v>45206</v>
      </c>
      <c r="B191" s="36"/>
      <c r="C191" s="37" t="s">
        <v>97</v>
      </c>
      <c r="D191" s="44"/>
      <c r="E191" s="44"/>
      <c r="F191" s="66"/>
      <c r="G191" s="66"/>
      <c r="H191" s="44"/>
      <c r="I191" s="1"/>
      <c r="J191" s="1"/>
      <c r="K191" s="1"/>
      <c r="L191" s="89"/>
      <c r="M191" s="89"/>
      <c r="N191" s="89"/>
      <c r="O191" s="89"/>
      <c r="P191" s="89"/>
      <c r="Q191" s="224"/>
      <c r="R191" s="125"/>
    </row>
    <row r="192" spans="1:21" x14ac:dyDescent="0.35">
      <c r="A192" s="22">
        <v>45207</v>
      </c>
      <c r="B192" s="35"/>
      <c r="C192" s="37" t="s">
        <v>97</v>
      </c>
      <c r="D192" s="43"/>
      <c r="E192" s="43"/>
      <c r="F192" s="66"/>
      <c r="G192" s="66"/>
      <c r="H192" s="43"/>
      <c r="I192" s="33"/>
      <c r="J192" s="33"/>
      <c r="K192" s="33"/>
      <c r="L192" s="90"/>
      <c r="M192" s="90"/>
      <c r="N192" s="90"/>
      <c r="O192" s="90"/>
      <c r="P192" s="90"/>
      <c r="Q192" s="228"/>
      <c r="R192" s="125"/>
    </row>
    <row r="193" spans="1:18" x14ac:dyDescent="0.35">
      <c r="A193" s="22">
        <v>45208</v>
      </c>
      <c r="B193" s="36"/>
      <c r="C193" s="37" t="s">
        <v>97</v>
      </c>
      <c r="D193" s="44"/>
      <c r="E193" s="44"/>
      <c r="F193" s="66"/>
      <c r="G193" s="66"/>
      <c r="H193" s="1"/>
      <c r="I193" s="1"/>
      <c r="J193" s="1"/>
      <c r="K193" s="1"/>
      <c r="L193" s="89"/>
      <c r="M193" s="89"/>
      <c r="N193" s="89"/>
      <c r="O193" s="89"/>
      <c r="P193" s="89"/>
      <c r="Q193" s="224"/>
      <c r="R193" s="125"/>
    </row>
    <row r="194" spans="1:18" x14ac:dyDescent="0.35">
      <c r="A194" s="22">
        <v>45209</v>
      </c>
      <c r="B194" s="35"/>
      <c r="C194" s="37" t="s">
        <v>97</v>
      </c>
      <c r="D194" s="43"/>
      <c r="E194" s="43"/>
      <c r="F194" s="66"/>
      <c r="G194" s="66"/>
      <c r="H194" s="43"/>
      <c r="I194" s="33"/>
      <c r="J194" s="33"/>
      <c r="K194" s="33"/>
      <c r="L194" s="90"/>
      <c r="M194" s="90"/>
      <c r="N194" s="90"/>
      <c r="O194" s="90"/>
      <c r="P194" s="90"/>
      <c r="Q194" s="228"/>
      <c r="R194" s="125"/>
    </row>
    <row r="195" spans="1:18" x14ac:dyDescent="0.35">
      <c r="A195" s="22">
        <v>45210</v>
      </c>
      <c r="B195" s="36"/>
      <c r="C195" s="37" t="s">
        <v>97</v>
      </c>
      <c r="D195" s="44"/>
      <c r="E195" s="44"/>
      <c r="F195" s="66"/>
      <c r="G195" s="66"/>
      <c r="H195" s="1"/>
      <c r="I195" s="1"/>
      <c r="J195" s="1"/>
      <c r="K195" s="1"/>
      <c r="L195" s="89"/>
      <c r="M195" s="89"/>
      <c r="N195" s="89"/>
      <c r="O195" s="89"/>
      <c r="P195" s="89"/>
      <c r="Q195" s="224"/>
      <c r="R195" s="125"/>
    </row>
    <row r="196" spans="1:18" x14ac:dyDescent="0.35">
      <c r="A196" s="22">
        <v>45211</v>
      </c>
      <c r="B196" s="35"/>
      <c r="C196" s="37" t="s">
        <v>97</v>
      </c>
      <c r="D196" s="43"/>
      <c r="E196" s="43"/>
      <c r="F196" s="66"/>
      <c r="G196" s="66"/>
      <c r="H196" s="43"/>
      <c r="I196" s="33"/>
      <c r="J196" s="33"/>
      <c r="K196" s="33"/>
      <c r="L196" s="90"/>
      <c r="M196" s="90"/>
      <c r="N196" s="90"/>
      <c r="O196" s="90"/>
      <c r="P196" s="90"/>
      <c r="Q196" s="228"/>
      <c r="R196" s="125"/>
    </row>
    <row r="197" spans="1:18" x14ac:dyDescent="0.35">
      <c r="A197" s="22">
        <v>45212</v>
      </c>
      <c r="B197" s="36"/>
      <c r="C197" s="37" t="s">
        <v>97</v>
      </c>
      <c r="D197" s="44"/>
      <c r="E197" s="44"/>
      <c r="F197" s="66"/>
      <c r="G197" s="66"/>
      <c r="H197" s="1"/>
      <c r="I197" s="1"/>
      <c r="J197" s="1"/>
      <c r="K197" s="1"/>
      <c r="L197" s="89"/>
      <c r="M197" s="89"/>
      <c r="N197" s="89"/>
      <c r="O197" s="89"/>
      <c r="P197" s="89"/>
      <c r="Q197" s="224"/>
      <c r="R197" s="125"/>
    </row>
    <row r="198" spans="1:18" x14ac:dyDescent="0.35">
      <c r="A198" s="22">
        <v>45213</v>
      </c>
      <c r="B198" s="35"/>
      <c r="C198" s="37" t="s">
        <v>97</v>
      </c>
      <c r="D198" s="43"/>
      <c r="E198" s="43"/>
      <c r="F198" s="66"/>
      <c r="G198" s="66"/>
      <c r="H198" s="43"/>
      <c r="I198" s="33"/>
      <c r="J198" s="33"/>
      <c r="K198" s="33"/>
      <c r="L198" s="90"/>
      <c r="M198" s="90"/>
      <c r="N198" s="90"/>
      <c r="O198" s="90"/>
      <c r="P198" s="90"/>
      <c r="Q198" s="228"/>
      <c r="R198" s="125"/>
    </row>
    <row r="199" spans="1:18" x14ac:dyDescent="0.35">
      <c r="A199" s="22">
        <v>45214</v>
      </c>
      <c r="B199" s="36"/>
      <c r="C199" s="37" t="s">
        <v>97</v>
      </c>
      <c r="D199" s="44"/>
      <c r="E199" s="44"/>
      <c r="F199" s="66"/>
      <c r="G199" s="66"/>
      <c r="H199" s="1"/>
      <c r="I199" s="1"/>
      <c r="J199" s="1"/>
      <c r="K199" s="1"/>
      <c r="L199" s="89"/>
      <c r="M199" s="89"/>
      <c r="N199" s="89"/>
      <c r="O199" s="89"/>
      <c r="P199" s="89"/>
      <c r="Q199" s="224"/>
      <c r="R199" s="125"/>
    </row>
    <row r="200" spans="1:18" x14ac:dyDescent="0.35">
      <c r="A200" s="22">
        <v>45215</v>
      </c>
      <c r="B200" s="36"/>
      <c r="C200" s="37" t="s">
        <v>97</v>
      </c>
      <c r="D200" s="44"/>
      <c r="E200" s="44"/>
      <c r="F200" s="66"/>
      <c r="G200" s="66"/>
      <c r="H200" s="1"/>
      <c r="I200" s="1"/>
      <c r="J200" s="1"/>
      <c r="K200" s="1"/>
      <c r="L200" s="89"/>
      <c r="M200" s="89"/>
      <c r="N200" s="89"/>
      <c r="O200" s="89"/>
      <c r="P200" s="89"/>
      <c r="Q200" s="228"/>
      <c r="R200" s="125"/>
    </row>
    <row r="201" spans="1:18" x14ac:dyDescent="0.35">
      <c r="A201" s="22">
        <v>45216</v>
      </c>
      <c r="B201" s="36"/>
      <c r="C201" s="37" t="s">
        <v>97</v>
      </c>
      <c r="D201" s="44"/>
      <c r="E201" s="44"/>
      <c r="F201" s="66"/>
      <c r="G201" s="66"/>
      <c r="H201" s="1"/>
      <c r="I201" s="1"/>
      <c r="J201" s="1"/>
      <c r="K201" s="1"/>
      <c r="L201" s="89"/>
      <c r="M201" s="89"/>
      <c r="N201" s="89"/>
      <c r="O201" s="89"/>
      <c r="P201" s="89"/>
      <c r="Q201" s="224"/>
      <c r="R201" s="125"/>
    </row>
    <row r="202" spans="1:18" x14ac:dyDescent="0.35">
      <c r="A202" s="22">
        <v>45217</v>
      </c>
      <c r="B202" s="36"/>
      <c r="C202" s="37" t="s">
        <v>97</v>
      </c>
      <c r="D202" s="44"/>
      <c r="E202" s="44"/>
      <c r="F202" s="66"/>
      <c r="G202" s="66"/>
      <c r="H202" s="43"/>
      <c r="I202" s="33"/>
      <c r="J202" s="33"/>
      <c r="K202" s="33"/>
      <c r="L202" s="89"/>
      <c r="M202" s="89"/>
      <c r="N202" s="89"/>
      <c r="O202" s="89"/>
      <c r="P202" s="89"/>
      <c r="Q202" s="228"/>
      <c r="R202" s="125"/>
    </row>
    <row r="203" spans="1:18" x14ac:dyDescent="0.35">
      <c r="A203" s="22">
        <v>45218</v>
      </c>
      <c r="B203" s="36"/>
      <c r="C203" s="37" t="s">
        <v>97</v>
      </c>
      <c r="D203" s="44"/>
      <c r="E203" s="44"/>
      <c r="F203" s="66"/>
      <c r="G203" s="66"/>
      <c r="H203" s="1"/>
      <c r="I203" s="1"/>
      <c r="J203" s="1"/>
      <c r="K203" s="1"/>
      <c r="L203" s="89"/>
      <c r="M203" s="89"/>
      <c r="N203" s="89"/>
      <c r="O203" s="89"/>
      <c r="P203" s="89"/>
      <c r="Q203" s="224"/>
      <c r="R203" s="125"/>
    </row>
    <row r="204" spans="1:18" x14ac:dyDescent="0.35">
      <c r="A204" s="22">
        <v>45219</v>
      </c>
      <c r="B204" s="36"/>
      <c r="C204" s="37" t="s">
        <v>97</v>
      </c>
      <c r="D204" s="44"/>
      <c r="E204" s="44"/>
      <c r="F204" s="66"/>
      <c r="G204" s="66"/>
      <c r="H204" s="1"/>
      <c r="I204" s="1"/>
      <c r="J204" s="1"/>
      <c r="K204" s="1"/>
      <c r="L204" s="89"/>
      <c r="M204" s="89"/>
      <c r="N204" s="89"/>
      <c r="O204" s="89"/>
      <c r="P204" s="89"/>
      <c r="Q204" s="228"/>
      <c r="R204" s="125"/>
    </row>
    <row r="205" spans="1:18" x14ac:dyDescent="0.35">
      <c r="A205" s="22">
        <v>45220</v>
      </c>
      <c r="B205" s="36"/>
      <c r="C205" s="37" t="s">
        <v>97</v>
      </c>
      <c r="D205" s="44"/>
      <c r="E205" s="44"/>
      <c r="F205" s="66"/>
      <c r="G205" s="66"/>
      <c r="H205" s="1"/>
      <c r="I205" s="1"/>
      <c r="J205" s="1"/>
      <c r="K205" s="1"/>
      <c r="L205" s="89"/>
      <c r="M205" s="89"/>
      <c r="N205" s="89"/>
      <c r="O205" s="89"/>
      <c r="P205" s="89"/>
      <c r="Q205" s="224"/>
      <c r="R205" s="125"/>
    </row>
    <row r="206" spans="1:18" x14ac:dyDescent="0.35">
      <c r="A206" s="22">
        <v>45221</v>
      </c>
      <c r="B206" s="35"/>
      <c r="C206" s="37" t="s">
        <v>97</v>
      </c>
      <c r="D206" s="44"/>
      <c r="E206" s="44"/>
      <c r="F206" s="66"/>
      <c r="G206" s="66"/>
      <c r="H206" s="1"/>
      <c r="I206" s="1"/>
      <c r="J206" s="1"/>
      <c r="K206" s="1"/>
      <c r="L206" s="89"/>
      <c r="M206" s="89"/>
      <c r="N206" s="89"/>
      <c r="O206" s="89"/>
      <c r="P206" s="89"/>
      <c r="Q206" s="228"/>
      <c r="R206" s="125"/>
    </row>
    <row r="207" spans="1:18" x14ac:dyDescent="0.35">
      <c r="A207" s="22">
        <v>45222</v>
      </c>
      <c r="B207" s="36"/>
      <c r="C207" s="37" t="s">
        <v>97</v>
      </c>
      <c r="D207" s="44"/>
      <c r="E207" s="44"/>
      <c r="F207" s="66"/>
      <c r="G207" s="66"/>
      <c r="H207" s="1"/>
      <c r="I207" s="1"/>
      <c r="J207" s="1"/>
      <c r="K207" s="1"/>
      <c r="L207" s="89"/>
      <c r="M207" s="89"/>
      <c r="N207" s="89"/>
      <c r="O207" s="89"/>
      <c r="P207" s="89"/>
      <c r="Q207" s="224"/>
      <c r="R207" s="125"/>
    </row>
    <row r="208" spans="1:18" x14ac:dyDescent="0.35">
      <c r="A208" s="22">
        <v>45223</v>
      </c>
      <c r="B208" s="35"/>
      <c r="C208" s="37" t="s">
        <v>97</v>
      </c>
      <c r="D208" s="44"/>
      <c r="E208" s="44"/>
      <c r="F208" s="66"/>
      <c r="G208" s="66"/>
      <c r="H208" s="43"/>
      <c r="I208" s="33"/>
      <c r="J208" s="33"/>
      <c r="K208" s="33"/>
      <c r="L208" s="89"/>
      <c r="M208" s="89"/>
      <c r="N208" s="89"/>
      <c r="O208" s="89"/>
      <c r="P208" s="89"/>
      <c r="Q208" s="228"/>
      <c r="R208" s="125"/>
    </row>
    <row r="209" spans="1:21" x14ac:dyDescent="0.35">
      <c r="A209" s="22">
        <v>45224</v>
      </c>
      <c r="B209" s="36"/>
      <c r="C209" s="37" t="s">
        <v>97</v>
      </c>
      <c r="D209" s="44"/>
      <c r="E209" s="44"/>
      <c r="F209" s="66"/>
      <c r="G209" s="66"/>
      <c r="H209" s="1"/>
      <c r="I209" s="1"/>
      <c r="J209" s="1"/>
      <c r="K209" s="1"/>
      <c r="L209" s="89"/>
      <c r="M209" s="89"/>
      <c r="N209" s="89"/>
      <c r="O209" s="89"/>
      <c r="P209" s="89"/>
      <c r="Q209" s="224"/>
      <c r="R209" s="125"/>
      <c r="S209" s="50"/>
      <c r="T209" s="50"/>
      <c r="U209" s="50"/>
    </row>
    <row r="210" spans="1:21" x14ac:dyDescent="0.35">
      <c r="A210" s="22">
        <v>45225</v>
      </c>
      <c r="B210" s="35"/>
      <c r="C210" s="37" t="s">
        <v>97</v>
      </c>
      <c r="D210" s="44"/>
      <c r="E210" s="44"/>
      <c r="F210" s="66"/>
      <c r="G210" s="66"/>
      <c r="H210" s="1"/>
      <c r="I210" s="1"/>
      <c r="J210" s="1"/>
      <c r="K210" s="1"/>
      <c r="L210" s="89"/>
      <c r="M210" s="89"/>
      <c r="N210" s="89"/>
      <c r="O210" s="89"/>
      <c r="P210" s="89"/>
      <c r="Q210" s="228"/>
      <c r="R210" s="125"/>
    </row>
    <row r="211" spans="1:21" x14ac:dyDescent="0.35">
      <c r="A211" s="22">
        <v>45226</v>
      </c>
      <c r="B211" s="36"/>
      <c r="C211" s="37" t="s">
        <v>97</v>
      </c>
      <c r="D211" s="44"/>
      <c r="E211" s="44"/>
      <c r="F211" s="66"/>
      <c r="G211" s="66"/>
      <c r="H211" s="1"/>
      <c r="I211" s="1"/>
      <c r="J211" s="1"/>
      <c r="K211" s="1"/>
      <c r="L211" s="89"/>
      <c r="M211" s="89"/>
      <c r="N211" s="89"/>
      <c r="O211" s="89"/>
      <c r="P211" s="89"/>
      <c r="Q211" s="224"/>
      <c r="R211" s="125"/>
    </row>
    <row r="212" spans="1:21" x14ac:dyDescent="0.35">
      <c r="A212" s="22">
        <v>45227</v>
      </c>
      <c r="B212" s="35"/>
      <c r="C212" s="37" t="s">
        <v>97</v>
      </c>
      <c r="D212" s="44"/>
      <c r="E212" s="44"/>
      <c r="F212" s="66"/>
      <c r="G212" s="66"/>
      <c r="H212" s="1"/>
      <c r="I212" s="1"/>
      <c r="J212" s="1"/>
      <c r="K212" s="1"/>
      <c r="L212" s="89"/>
      <c r="M212" s="89"/>
      <c r="N212" s="89"/>
      <c r="O212" s="89"/>
      <c r="P212" s="89"/>
      <c r="Q212" s="228"/>
      <c r="R212" s="125"/>
    </row>
    <row r="213" spans="1:21" x14ac:dyDescent="0.35">
      <c r="A213" s="22">
        <v>45228</v>
      </c>
      <c r="B213" s="36"/>
      <c r="C213" s="37" t="s">
        <v>97</v>
      </c>
      <c r="D213" s="44"/>
      <c r="E213" s="44"/>
      <c r="F213" s="66"/>
      <c r="G213" s="66"/>
      <c r="H213" s="1"/>
      <c r="I213" s="1"/>
      <c r="J213" s="1"/>
      <c r="K213" s="1"/>
      <c r="L213" s="89"/>
      <c r="M213" s="89"/>
      <c r="N213" s="89"/>
      <c r="O213" s="89"/>
      <c r="P213" s="89"/>
      <c r="Q213" s="224"/>
      <c r="R213" s="125"/>
    </row>
    <row r="214" spans="1:21" x14ac:dyDescent="0.35">
      <c r="A214" s="22">
        <v>45229</v>
      </c>
      <c r="B214" s="35"/>
      <c r="C214" s="37" t="s">
        <v>97</v>
      </c>
      <c r="D214" s="44"/>
      <c r="E214" s="44"/>
      <c r="F214" s="66"/>
      <c r="G214" s="66"/>
      <c r="H214" s="43"/>
      <c r="I214" s="33"/>
      <c r="J214" s="33"/>
      <c r="K214" s="33"/>
      <c r="L214" s="89"/>
      <c r="M214" s="89"/>
      <c r="N214" s="89"/>
      <c r="O214" s="89"/>
      <c r="P214" s="89"/>
      <c r="Q214" s="228"/>
      <c r="R214" s="125"/>
    </row>
    <row r="215" spans="1:21" s="50" customFormat="1" x14ac:dyDescent="0.35">
      <c r="A215" s="22">
        <v>45230</v>
      </c>
      <c r="B215" s="51"/>
      <c r="C215" s="37" t="s">
        <v>97</v>
      </c>
      <c r="D215" s="100"/>
      <c r="E215" s="100"/>
      <c r="F215" s="80"/>
      <c r="G215" s="80"/>
      <c r="H215" s="52"/>
      <c r="I215" s="52"/>
      <c r="J215" s="52"/>
      <c r="K215" s="52"/>
      <c r="L215" s="101"/>
      <c r="M215" s="101"/>
      <c r="N215" s="101"/>
      <c r="O215" s="101"/>
      <c r="P215" s="101"/>
      <c r="Q215" s="224"/>
      <c r="R215" s="179"/>
      <c r="S215"/>
      <c r="T215"/>
      <c r="U215"/>
    </row>
    <row r="216" spans="1:21" x14ac:dyDescent="0.35">
      <c r="A216" s="22">
        <v>45231</v>
      </c>
      <c r="B216" s="36"/>
      <c r="C216" s="37" t="s">
        <v>97</v>
      </c>
      <c r="D216" s="43"/>
      <c r="E216" s="43"/>
      <c r="F216" s="66"/>
      <c r="G216" s="66"/>
      <c r="H216" s="33"/>
      <c r="I216" s="33"/>
      <c r="J216" s="33"/>
      <c r="K216" s="33"/>
      <c r="L216" s="90"/>
      <c r="M216" s="90"/>
      <c r="N216" s="90"/>
      <c r="O216" s="90"/>
      <c r="P216" s="90"/>
      <c r="Q216" s="228"/>
      <c r="R216" s="125"/>
    </row>
    <row r="217" spans="1:21" x14ac:dyDescent="0.35">
      <c r="A217" s="22">
        <v>45232</v>
      </c>
      <c r="B217" s="36"/>
      <c r="C217" s="37" t="s">
        <v>97</v>
      </c>
      <c r="D217" s="44"/>
      <c r="E217" s="44"/>
      <c r="F217" s="66"/>
      <c r="G217" s="66"/>
      <c r="H217" s="1"/>
      <c r="I217" s="1"/>
      <c r="J217" s="1"/>
      <c r="K217" s="1"/>
      <c r="L217" s="89"/>
      <c r="M217" s="89"/>
      <c r="N217" s="89"/>
      <c r="O217" s="89"/>
      <c r="P217" s="89"/>
      <c r="Q217" s="224"/>
      <c r="R217" s="125"/>
    </row>
    <row r="218" spans="1:21" x14ac:dyDescent="0.35">
      <c r="A218" s="22">
        <v>45233</v>
      </c>
      <c r="B218" s="35"/>
      <c r="C218" s="37" t="s">
        <v>97</v>
      </c>
      <c r="D218" s="44"/>
      <c r="E218" s="44"/>
      <c r="F218" s="66"/>
      <c r="G218" s="66"/>
      <c r="H218" s="1"/>
      <c r="I218" s="1"/>
      <c r="J218" s="1"/>
      <c r="K218" s="1"/>
      <c r="L218" s="89"/>
      <c r="M218" s="89"/>
      <c r="N218" s="89"/>
      <c r="O218" s="89"/>
      <c r="P218" s="89"/>
      <c r="Q218" s="228"/>
      <c r="R218" s="125"/>
    </row>
    <row r="219" spans="1:21" x14ac:dyDescent="0.35">
      <c r="A219" s="22">
        <v>45234</v>
      </c>
      <c r="B219" s="36"/>
      <c r="C219" s="37" t="s">
        <v>97</v>
      </c>
      <c r="D219" s="44"/>
      <c r="E219" s="44"/>
      <c r="F219" s="66"/>
      <c r="G219" s="66"/>
      <c r="H219" s="1"/>
      <c r="I219" s="1"/>
      <c r="J219" s="1"/>
      <c r="K219" s="1"/>
      <c r="L219" s="89"/>
      <c r="M219" s="89"/>
      <c r="N219" s="89"/>
      <c r="O219" s="89"/>
      <c r="P219" s="89"/>
      <c r="Q219" s="224"/>
      <c r="R219" s="125"/>
    </row>
    <row r="220" spans="1:21" x14ac:dyDescent="0.35">
      <c r="A220" s="22">
        <v>45235</v>
      </c>
      <c r="B220" s="35"/>
      <c r="C220" s="37" t="s">
        <v>97</v>
      </c>
      <c r="D220" s="44"/>
      <c r="E220" s="44"/>
      <c r="F220" s="66"/>
      <c r="G220" s="66"/>
      <c r="H220" s="43"/>
      <c r="I220" s="33"/>
      <c r="J220" s="33"/>
      <c r="K220" s="33"/>
      <c r="L220" s="89"/>
      <c r="M220" s="89"/>
      <c r="N220" s="89"/>
      <c r="O220" s="89"/>
      <c r="P220" s="89"/>
      <c r="Q220" s="228"/>
      <c r="R220" s="125"/>
    </row>
    <row r="221" spans="1:21" x14ac:dyDescent="0.35">
      <c r="A221" s="22">
        <v>45236</v>
      </c>
      <c r="B221" s="36"/>
      <c r="C221" s="37" t="s">
        <v>97</v>
      </c>
      <c r="D221" s="44"/>
      <c r="E221" s="44"/>
      <c r="F221" s="66"/>
      <c r="G221" s="66"/>
      <c r="H221" s="1"/>
      <c r="I221" s="1"/>
      <c r="J221" s="1"/>
      <c r="K221" s="1"/>
      <c r="L221" s="89"/>
      <c r="M221" s="89"/>
      <c r="N221" s="89"/>
      <c r="O221" s="89"/>
      <c r="P221" s="89"/>
      <c r="Q221" s="224"/>
      <c r="R221" s="125"/>
    </row>
    <row r="222" spans="1:21" x14ac:dyDescent="0.35">
      <c r="A222" s="22">
        <v>45237</v>
      </c>
      <c r="B222" s="35"/>
      <c r="C222" s="37" t="s">
        <v>97</v>
      </c>
      <c r="D222" s="44"/>
      <c r="E222" s="44"/>
      <c r="F222" s="66"/>
      <c r="G222" s="66"/>
      <c r="H222" s="43"/>
      <c r="I222" s="33"/>
      <c r="J222" s="33"/>
      <c r="K222" s="33"/>
      <c r="L222" s="89"/>
      <c r="M222" s="89"/>
      <c r="N222" s="89"/>
      <c r="O222" s="89"/>
      <c r="P222" s="89"/>
      <c r="Q222" s="228"/>
      <c r="R222" s="125"/>
    </row>
    <row r="223" spans="1:21" x14ac:dyDescent="0.35">
      <c r="A223" s="22">
        <v>45238</v>
      </c>
      <c r="B223" s="36"/>
      <c r="C223" s="37" t="s">
        <v>97</v>
      </c>
      <c r="D223" s="44"/>
      <c r="E223" s="44"/>
      <c r="F223" s="66"/>
      <c r="G223" s="66"/>
      <c r="H223" s="1"/>
      <c r="I223" s="1"/>
      <c r="J223" s="1"/>
      <c r="K223" s="1"/>
      <c r="L223" s="89"/>
      <c r="M223" s="89"/>
      <c r="N223" s="89"/>
      <c r="O223" s="89"/>
      <c r="P223" s="89"/>
      <c r="Q223" s="224"/>
      <c r="R223" s="125"/>
    </row>
    <row r="224" spans="1:21" x14ac:dyDescent="0.35">
      <c r="A224" s="22">
        <v>45239</v>
      </c>
      <c r="B224" s="35"/>
      <c r="C224" s="37" t="s">
        <v>97</v>
      </c>
      <c r="D224" s="44"/>
      <c r="E224" s="44"/>
      <c r="F224" s="66"/>
      <c r="G224" s="66"/>
      <c r="H224" s="43"/>
      <c r="I224" s="33"/>
      <c r="J224" s="33"/>
      <c r="K224" s="33"/>
      <c r="L224" s="89"/>
      <c r="M224" s="89"/>
      <c r="N224" s="89"/>
      <c r="O224" s="89"/>
      <c r="P224" s="89"/>
      <c r="Q224" s="228"/>
      <c r="R224" s="125"/>
    </row>
    <row r="225" spans="1:21" x14ac:dyDescent="0.35">
      <c r="A225" s="22">
        <v>45240</v>
      </c>
      <c r="B225" s="36"/>
      <c r="C225" s="37" t="s">
        <v>97</v>
      </c>
      <c r="D225" s="44"/>
      <c r="E225" s="44"/>
      <c r="F225" s="66"/>
      <c r="G225" s="66"/>
      <c r="H225" s="1"/>
      <c r="I225" s="1"/>
      <c r="J225" s="1"/>
      <c r="K225" s="1"/>
      <c r="L225" s="89"/>
      <c r="M225" s="89"/>
      <c r="N225" s="89"/>
      <c r="O225" s="89"/>
      <c r="P225" s="89"/>
      <c r="Q225" s="224"/>
      <c r="R225" s="125"/>
    </row>
    <row r="226" spans="1:21" x14ac:dyDescent="0.35">
      <c r="A226" s="22">
        <v>45241</v>
      </c>
      <c r="B226" s="35"/>
      <c r="C226" s="37" t="s">
        <v>97</v>
      </c>
      <c r="D226" s="44"/>
      <c r="E226" s="44"/>
      <c r="F226" s="66"/>
      <c r="G226" s="66"/>
      <c r="H226" s="43"/>
      <c r="I226" s="33"/>
      <c r="J226" s="33"/>
      <c r="K226" s="33"/>
      <c r="L226" s="89"/>
      <c r="M226" s="89"/>
      <c r="N226" s="89"/>
      <c r="O226" s="89"/>
      <c r="P226" s="89"/>
      <c r="Q226" s="228"/>
      <c r="R226" s="125"/>
    </row>
    <row r="227" spans="1:21" x14ac:dyDescent="0.35">
      <c r="A227" s="22">
        <v>45242</v>
      </c>
      <c r="B227" s="36"/>
      <c r="C227" s="37" t="s">
        <v>97</v>
      </c>
      <c r="D227" s="44"/>
      <c r="E227" s="44"/>
      <c r="F227" s="66"/>
      <c r="G227" s="66"/>
      <c r="H227" s="1"/>
      <c r="I227" s="1"/>
      <c r="J227" s="1"/>
      <c r="K227" s="1"/>
      <c r="L227" s="89"/>
      <c r="M227" s="89"/>
      <c r="N227" s="89"/>
      <c r="O227" s="89"/>
      <c r="P227" s="89"/>
      <c r="Q227" s="224"/>
      <c r="R227" s="125"/>
    </row>
    <row r="228" spans="1:21" x14ac:dyDescent="0.35">
      <c r="A228" s="22">
        <v>45243</v>
      </c>
      <c r="B228" s="35"/>
      <c r="C228" s="37" t="s">
        <v>97</v>
      </c>
      <c r="D228" s="44"/>
      <c r="E228" s="44"/>
      <c r="F228" s="66"/>
      <c r="G228" s="66"/>
      <c r="H228" s="43"/>
      <c r="I228" s="33"/>
      <c r="J228" s="33"/>
      <c r="K228" s="33"/>
      <c r="L228" s="89"/>
      <c r="M228" s="89"/>
      <c r="N228" s="89"/>
      <c r="O228" s="89"/>
      <c r="P228" s="89"/>
      <c r="Q228" s="228"/>
      <c r="R228" s="125"/>
    </row>
    <row r="229" spans="1:21" x14ac:dyDescent="0.35">
      <c r="A229" s="22">
        <v>45244</v>
      </c>
      <c r="B229" s="36"/>
      <c r="C229" s="37" t="s">
        <v>97</v>
      </c>
      <c r="D229" s="44"/>
      <c r="E229" s="44"/>
      <c r="F229" s="66"/>
      <c r="G229" s="66"/>
      <c r="H229" s="1"/>
      <c r="I229" s="1"/>
      <c r="J229" s="1"/>
      <c r="K229" s="1"/>
      <c r="L229" s="89"/>
      <c r="M229" s="89"/>
      <c r="N229" s="89"/>
      <c r="O229" s="89"/>
      <c r="P229" s="89"/>
      <c r="Q229" s="224"/>
      <c r="R229" s="125"/>
    </row>
    <row r="230" spans="1:21" x14ac:dyDescent="0.35">
      <c r="A230" s="22">
        <v>45245</v>
      </c>
      <c r="B230" s="35"/>
      <c r="C230" s="37" t="s">
        <v>97</v>
      </c>
      <c r="D230" s="44"/>
      <c r="E230" s="44"/>
      <c r="F230" s="66"/>
      <c r="G230" s="66"/>
      <c r="H230" s="1"/>
      <c r="I230" s="1"/>
      <c r="J230" s="1"/>
      <c r="K230" s="1"/>
      <c r="L230" s="89"/>
      <c r="M230" s="89"/>
      <c r="N230" s="89"/>
      <c r="O230" s="89"/>
      <c r="P230" s="89"/>
      <c r="Q230" s="228"/>
      <c r="R230" s="125"/>
    </row>
    <row r="231" spans="1:21" x14ac:dyDescent="0.35">
      <c r="A231" s="22">
        <v>45246</v>
      </c>
      <c r="B231" s="36"/>
      <c r="C231" s="37" t="s">
        <v>97</v>
      </c>
      <c r="D231" s="44"/>
      <c r="E231" s="44"/>
      <c r="F231" s="66"/>
      <c r="G231" s="66"/>
      <c r="H231" s="1"/>
      <c r="I231" s="1"/>
      <c r="J231" s="1"/>
      <c r="K231" s="1"/>
      <c r="L231" s="89"/>
      <c r="M231" s="89"/>
      <c r="N231" s="89"/>
      <c r="O231" s="89"/>
      <c r="P231" s="89"/>
      <c r="Q231" s="224"/>
      <c r="R231" s="125"/>
      <c r="S231" t="e">
        <f>AVERAGEIF(P185:P215,"&lt;&gt;0")</f>
        <v>#DIV/0!</v>
      </c>
    </row>
    <row r="232" spans="1:21" x14ac:dyDescent="0.35">
      <c r="A232" s="22">
        <v>45247</v>
      </c>
      <c r="B232" s="35"/>
      <c r="C232" s="37" t="s">
        <v>97</v>
      </c>
      <c r="D232" s="44"/>
      <c r="E232" s="44"/>
      <c r="F232" s="66"/>
      <c r="G232" s="66"/>
      <c r="H232" s="1"/>
      <c r="I232" s="1"/>
      <c r="J232" s="1"/>
      <c r="K232" s="1"/>
      <c r="L232" s="89"/>
      <c r="M232" s="89"/>
      <c r="N232" s="89"/>
      <c r="O232" s="89"/>
      <c r="P232" s="89"/>
      <c r="Q232" s="228"/>
      <c r="R232" s="125"/>
    </row>
    <row r="233" spans="1:21" x14ac:dyDescent="0.35">
      <c r="A233" s="22">
        <v>45248</v>
      </c>
      <c r="B233" s="36"/>
      <c r="C233" s="37" t="s">
        <v>97</v>
      </c>
      <c r="D233" s="44"/>
      <c r="E233" s="44"/>
      <c r="F233" s="66"/>
      <c r="G233" s="66"/>
      <c r="H233" s="1"/>
      <c r="I233" s="1"/>
      <c r="J233" s="1"/>
      <c r="K233" s="1"/>
      <c r="L233" s="89"/>
      <c r="M233" s="89"/>
      <c r="N233" s="89"/>
      <c r="O233" s="89"/>
      <c r="P233" s="89"/>
      <c r="Q233" s="224"/>
      <c r="R233" s="125"/>
    </row>
    <row r="234" spans="1:21" x14ac:dyDescent="0.35">
      <c r="A234" s="22">
        <v>45249</v>
      </c>
      <c r="B234" s="35"/>
      <c r="C234" s="37" t="s">
        <v>97</v>
      </c>
      <c r="D234" s="44"/>
      <c r="E234" s="44"/>
      <c r="F234" s="66"/>
      <c r="G234" s="66"/>
      <c r="H234" s="1"/>
      <c r="I234" s="1"/>
      <c r="J234" s="1"/>
      <c r="K234" s="1"/>
      <c r="L234" s="89"/>
      <c r="M234" s="89"/>
      <c r="N234" s="89"/>
      <c r="O234" s="89"/>
      <c r="P234" s="89"/>
      <c r="Q234" s="228"/>
      <c r="R234" s="125"/>
    </row>
    <row r="235" spans="1:21" x14ac:dyDescent="0.35">
      <c r="A235" s="22">
        <v>45250</v>
      </c>
      <c r="B235" s="36"/>
      <c r="C235" s="37" t="s">
        <v>97</v>
      </c>
      <c r="D235" s="44"/>
      <c r="E235" s="44"/>
      <c r="F235" s="66"/>
      <c r="G235" s="66"/>
      <c r="H235" s="1"/>
      <c r="I235" s="1"/>
      <c r="J235" s="1"/>
      <c r="K235" s="1"/>
      <c r="L235" s="89"/>
      <c r="M235" s="89"/>
      <c r="N235" s="89"/>
      <c r="O235" s="89"/>
      <c r="P235" s="89"/>
      <c r="Q235" s="224"/>
      <c r="R235" s="125"/>
      <c r="S235" s="50"/>
      <c r="T235" s="50"/>
      <c r="U235" s="50"/>
    </row>
    <row r="236" spans="1:21" x14ac:dyDescent="0.35">
      <c r="A236" s="22">
        <v>45251</v>
      </c>
      <c r="B236" s="35"/>
      <c r="C236" s="37" t="s">
        <v>97</v>
      </c>
      <c r="D236" s="44"/>
      <c r="E236" s="44"/>
      <c r="F236" s="66"/>
      <c r="G236" s="66"/>
      <c r="H236" s="1"/>
      <c r="I236" s="1"/>
      <c r="J236" s="1"/>
      <c r="K236" s="1"/>
      <c r="L236" s="89"/>
      <c r="M236" s="89"/>
      <c r="N236" s="89"/>
      <c r="O236" s="89"/>
      <c r="P236" s="89"/>
      <c r="Q236" s="228"/>
      <c r="R236" s="125"/>
    </row>
    <row r="237" spans="1:21" x14ac:dyDescent="0.35">
      <c r="A237" s="22">
        <v>45252</v>
      </c>
      <c r="B237" s="36"/>
      <c r="C237" s="37" t="s">
        <v>97</v>
      </c>
      <c r="D237" s="44"/>
      <c r="E237" s="44"/>
      <c r="F237" s="66"/>
      <c r="G237" s="66"/>
      <c r="H237" s="1"/>
      <c r="I237" s="1"/>
      <c r="J237" s="1"/>
      <c r="K237" s="1"/>
      <c r="L237" s="89"/>
      <c r="M237" s="89"/>
      <c r="N237" s="89"/>
      <c r="O237" s="89"/>
      <c r="P237" s="89"/>
      <c r="Q237" s="224"/>
      <c r="R237" s="125"/>
    </row>
    <row r="238" spans="1:21" x14ac:dyDescent="0.35">
      <c r="A238" s="22">
        <v>45253</v>
      </c>
      <c r="B238" s="35"/>
      <c r="C238" s="37" t="s">
        <v>97</v>
      </c>
      <c r="D238" s="44"/>
      <c r="E238" s="44"/>
      <c r="F238" s="66"/>
      <c r="G238" s="66"/>
      <c r="H238" s="1"/>
      <c r="I238" s="1"/>
      <c r="J238" s="1"/>
      <c r="K238" s="1"/>
      <c r="L238" s="89"/>
      <c r="M238" s="89"/>
      <c r="N238" s="89"/>
      <c r="O238" s="89"/>
      <c r="P238" s="89"/>
      <c r="Q238" s="228"/>
      <c r="R238" s="125"/>
    </row>
    <row r="239" spans="1:21" x14ac:dyDescent="0.35">
      <c r="A239" s="22">
        <v>45254</v>
      </c>
      <c r="B239" s="36"/>
      <c r="C239" s="37" t="s">
        <v>97</v>
      </c>
      <c r="D239" s="44"/>
      <c r="E239" s="44"/>
      <c r="F239" s="66"/>
      <c r="G239" s="66"/>
      <c r="H239" s="1"/>
      <c r="I239" s="1"/>
      <c r="J239" s="1"/>
      <c r="K239" s="1"/>
      <c r="L239" s="89"/>
      <c r="M239" s="89"/>
      <c r="N239" s="89"/>
      <c r="O239" s="89"/>
      <c r="P239" s="89"/>
      <c r="Q239" s="224"/>
      <c r="R239" s="125"/>
    </row>
    <row r="240" spans="1:21" x14ac:dyDescent="0.35">
      <c r="A240" s="22">
        <v>45255</v>
      </c>
      <c r="B240" s="35"/>
      <c r="C240" s="37" t="s">
        <v>97</v>
      </c>
      <c r="D240" s="44"/>
      <c r="E240" s="44"/>
      <c r="F240" s="66"/>
      <c r="G240" s="66"/>
      <c r="H240" s="1"/>
      <c r="I240" s="1"/>
      <c r="J240" s="1"/>
      <c r="K240" s="1"/>
      <c r="L240" s="89"/>
      <c r="M240" s="89"/>
      <c r="N240" s="89"/>
      <c r="O240" s="89"/>
      <c r="P240" s="89"/>
      <c r="Q240" s="228"/>
      <c r="R240" s="125"/>
    </row>
    <row r="241" spans="1:21" x14ac:dyDescent="0.35">
      <c r="A241" s="22">
        <v>45256</v>
      </c>
      <c r="B241" s="36"/>
      <c r="C241" s="37" t="s">
        <v>97</v>
      </c>
      <c r="D241" s="44"/>
      <c r="E241" s="44"/>
      <c r="F241" s="66"/>
      <c r="G241" s="66"/>
      <c r="H241" s="1"/>
      <c r="I241" s="1"/>
      <c r="J241" s="1"/>
      <c r="K241" s="1"/>
      <c r="L241" s="89"/>
      <c r="M241" s="89"/>
      <c r="N241" s="89"/>
      <c r="O241" s="89"/>
      <c r="P241" s="89"/>
      <c r="Q241" s="224"/>
      <c r="R241" s="125"/>
    </row>
    <row r="242" spans="1:21" x14ac:dyDescent="0.35">
      <c r="A242" s="22">
        <v>45257</v>
      </c>
      <c r="B242" s="35"/>
      <c r="C242" s="37" t="s">
        <v>97</v>
      </c>
      <c r="D242" s="44"/>
      <c r="E242" s="44"/>
      <c r="F242" s="66"/>
      <c r="G242" s="66"/>
      <c r="H242" s="1"/>
      <c r="I242" s="1"/>
      <c r="J242" s="1"/>
      <c r="K242" s="1"/>
      <c r="L242" s="89"/>
      <c r="M242" s="89"/>
      <c r="N242" s="89"/>
      <c r="O242" s="89"/>
      <c r="P242" s="89"/>
      <c r="Q242" s="228"/>
      <c r="R242" s="125"/>
    </row>
    <row r="243" spans="1:21" x14ac:dyDescent="0.35">
      <c r="A243" s="22">
        <v>45258</v>
      </c>
      <c r="B243" s="36"/>
      <c r="C243" s="37" t="s">
        <v>97</v>
      </c>
      <c r="D243" s="44"/>
      <c r="E243" s="44"/>
      <c r="F243" s="66"/>
      <c r="G243" s="66"/>
      <c r="H243" s="1"/>
      <c r="I243" s="1"/>
      <c r="J243" s="1"/>
      <c r="K243" s="1"/>
      <c r="L243" s="89"/>
      <c r="M243" s="89"/>
      <c r="N243" s="89"/>
      <c r="O243" s="89"/>
      <c r="P243" s="89"/>
      <c r="Q243" s="224"/>
      <c r="R243" s="125"/>
    </row>
    <row r="244" spans="1:21" x14ac:dyDescent="0.35">
      <c r="A244" s="22">
        <v>45259</v>
      </c>
      <c r="B244" s="35"/>
      <c r="C244" s="37" t="s">
        <v>97</v>
      </c>
      <c r="D244" s="44"/>
      <c r="E244" s="44"/>
      <c r="F244" s="66"/>
      <c r="G244" s="66"/>
      <c r="H244" s="1"/>
      <c r="I244" s="1"/>
      <c r="J244" s="1"/>
      <c r="K244" s="1"/>
      <c r="L244" s="89"/>
      <c r="M244" s="89"/>
      <c r="N244" s="89"/>
      <c r="O244" s="89"/>
      <c r="P244" s="89"/>
      <c r="Q244" s="228"/>
      <c r="R244" s="125"/>
    </row>
    <row r="245" spans="1:21" x14ac:dyDescent="0.35">
      <c r="A245" s="22">
        <v>45260</v>
      </c>
      <c r="B245" s="36"/>
      <c r="C245" s="37" t="s">
        <v>97</v>
      </c>
      <c r="D245" s="44"/>
      <c r="E245" s="44"/>
      <c r="F245" s="66"/>
      <c r="G245" s="66"/>
      <c r="H245" s="1"/>
      <c r="I245" s="1"/>
      <c r="J245" s="1"/>
      <c r="K245" s="1"/>
      <c r="L245" s="89"/>
      <c r="M245" s="89"/>
      <c r="N245" s="89"/>
      <c r="O245" s="89"/>
      <c r="P245" s="89"/>
      <c r="Q245" s="224"/>
      <c r="R245" s="125"/>
    </row>
    <row r="246" spans="1:21" s="50" customFormat="1" x14ac:dyDescent="0.35">
      <c r="A246" s="22">
        <v>45261</v>
      </c>
      <c r="B246" s="102"/>
      <c r="C246" s="37" t="s">
        <v>97</v>
      </c>
      <c r="D246" s="100"/>
      <c r="E246" s="100"/>
      <c r="F246" s="80"/>
      <c r="G246" s="80"/>
      <c r="H246" s="52"/>
      <c r="I246" s="52"/>
      <c r="J246" s="52"/>
      <c r="K246" s="52"/>
      <c r="L246" s="101"/>
      <c r="M246" s="101"/>
      <c r="N246" s="101"/>
      <c r="O246" s="101"/>
      <c r="P246" s="101"/>
      <c r="Q246" s="228"/>
      <c r="R246" s="179"/>
      <c r="S246"/>
      <c r="T246"/>
      <c r="U246"/>
    </row>
    <row r="247" spans="1:21" x14ac:dyDescent="0.35">
      <c r="A247" s="22">
        <v>45262</v>
      </c>
      <c r="B247" s="36"/>
      <c r="C247" s="37" t="s">
        <v>97</v>
      </c>
      <c r="D247" s="44"/>
      <c r="E247" s="44"/>
      <c r="F247" s="66"/>
      <c r="G247" s="66"/>
      <c r="H247" s="1"/>
      <c r="I247" s="1"/>
      <c r="J247" s="1"/>
      <c r="K247" s="1"/>
      <c r="L247" s="89"/>
      <c r="M247" s="89"/>
      <c r="N247" s="89"/>
      <c r="O247" s="89"/>
      <c r="P247" s="89"/>
      <c r="Q247" s="224"/>
      <c r="R247" s="125"/>
    </row>
    <row r="248" spans="1:21" x14ac:dyDescent="0.35">
      <c r="A248" s="22">
        <v>45263</v>
      </c>
      <c r="B248" s="35"/>
      <c r="C248" s="37" t="s">
        <v>97</v>
      </c>
      <c r="D248" s="44"/>
      <c r="E248" s="44"/>
      <c r="F248" s="66"/>
      <c r="G248" s="66"/>
      <c r="H248" s="1"/>
      <c r="I248" s="1"/>
      <c r="J248" s="1"/>
      <c r="K248" s="1"/>
      <c r="L248" s="89"/>
      <c r="M248" s="89"/>
      <c r="N248" s="89"/>
      <c r="O248" s="89"/>
      <c r="P248" s="89"/>
      <c r="Q248" s="228"/>
      <c r="R248" s="125"/>
    </row>
    <row r="249" spans="1:21" x14ac:dyDescent="0.35">
      <c r="A249" s="22">
        <v>45264</v>
      </c>
      <c r="B249" s="36"/>
      <c r="C249" s="37" t="s">
        <v>97</v>
      </c>
      <c r="D249" s="44"/>
      <c r="E249" s="44"/>
      <c r="F249" s="66"/>
      <c r="G249" s="66"/>
      <c r="H249" s="1"/>
      <c r="I249" s="1"/>
      <c r="J249" s="1"/>
      <c r="K249" s="1"/>
      <c r="L249" s="89"/>
      <c r="M249" s="89"/>
      <c r="N249" s="89"/>
      <c r="O249" s="89"/>
      <c r="P249" s="89"/>
      <c r="Q249" s="224"/>
      <c r="R249" s="125"/>
    </row>
    <row r="250" spans="1:21" x14ac:dyDescent="0.35">
      <c r="A250" s="22">
        <v>45265</v>
      </c>
      <c r="B250" s="35"/>
      <c r="C250" s="37" t="s">
        <v>97</v>
      </c>
      <c r="D250" s="44"/>
      <c r="E250" s="44"/>
      <c r="F250" s="66"/>
      <c r="G250" s="66"/>
      <c r="H250" s="1"/>
      <c r="I250" s="1"/>
      <c r="J250" s="1"/>
      <c r="K250" s="1"/>
      <c r="L250" s="89"/>
      <c r="M250" s="89"/>
      <c r="N250" s="89"/>
      <c r="O250" s="89"/>
      <c r="P250" s="89"/>
      <c r="Q250" s="228"/>
      <c r="R250" s="125"/>
    </row>
    <row r="251" spans="1:21" x14ac:dyDescent="0.35">
      <c r="A251" s="22">
        <v>45266</v>
      </c>
      <c r="B251" s="36"/>
      <c r="C251" s="37" t="s">
        <v>97</v>
      </c>
      <c r="D251" s="44"/>
      <c r="E251" s="44"/>
      <c r="F251" s="66"/>
      <c r="G251" s="66"/>
      <c r="H251" s="1"/>
      <c r="I251" s="1"/>
      <c r="J251" s="1"/>
      <c r="K251" s="1"/>
      <c r="L251" s="89"/>
      <c r="M251" s="89"/>
      <c r="N251" s="89"/>
      <c r="O251" s="89"/>
      <c r="P251" s="89"/>
      <c r="Q251" s="224"/>
      <c r="R251" s="125"/>
    </row>
    <row r="252" spans="1:21" x14ac:dyDescent="0.35">
      <c r="A252" s="22">
        <v>45267</v>
      </c>
      <c r="B252" s="35"/>
      <c r="C252" s="37" t="s">
        <v>97</v>
      </c>
      <c r="D252" s="43"/>
      <c r="E252" s="43"/>
      <c r="F252" s="66"/>
      <c r="G252" s="66"/>
      <c r="H252" s="33"/>
      <c r="I252" s="33"/>
      <c r="J252" s="33"/>
      <c r="K252" s="33"/>
      <c r="L252" s="90"/>
      <c r="M252" s="90"/>
      <c r="N252" s="90"/>
      <c r="O252" s="90"/>
      <c r="P252" s="90"/>
      <c r="Q252" s="228"/>
      <c r="R252" s="176"/>
    </row>
    <row r="253" spans="1:21" x14ac:dyDescent="0.35">
      <c r="A253" s="22">
        <v>45268</v>
      </c>
      <c r="B253" s="36"/>
      <c r="C253" s="37" t="s">
        <v>97</v>
      </c>
      <c r="D253" s="44"/>
      <c r="E253" s="44"/>
      <c r="F253" s="66"/>
      <c r="G253" s="66"/>
      <c r="H253" s="1"/>
      <c r="I253" s="1"/>
      <c r="J253" s="1"/>
      <c r="K253" s="1"/>
      <c r="L253" s="18"/>
      <c r="M253" s="89"/>
      <c r="N253" s="89"/>
      <c r="O253" s="89"/>
      <c r="P253" s="89"/>
      <c r="Q253" s="224"/>
      <c r="R253" s="125"/>
    </row>
    <row r="254" spans="1:21" x14ac:dyDescent="0.35">
      <c r="A254" s="22">
        <v>45269</v>
      </c>
      <c r="B254" s="36"/>
      <c r="C254" s="37" t="s">
        <v>97</v>
      </c>
      <c r="D254" s="43"/>
      <c r="E254" s="43"/>
      <c r="F254" s="66"/>
      <c r="G254" s="66"/>
      <c r="H254" s="1"/>
      <c r="I254" s="33"/>
      <c r="J254" s="33"/>
      <c r="K254" s="33"/>
      <c r="L254" s="38"/>
      <c r="M254" s="90"/>
      <c r="N254" s="90"/>
      <c r="O254" s="90"/>
      <c r="P254" s="90"/>
      <c r="Q254" s="228"/>
      <c r="R254" s="125"/>
    </row>
    <row r="255" spans="1:21" x14ac:dyDescent="0.35">
      <c r="A255" s="22">
        <v>45270</v>
      </c>
      <c r="B255" s="36"/>
      <c r="C255" s="37" t="s">
        <v>97</v>
      </c>
      <c r="D255" s="44"/>
      <c r="E255" s="44"/>
      <c r="F255" s="66"/>
      <c r="G255" s="66"/>
      <c r="H255" s="1"/>
      <c r="I255" s="1"/>
      <c r="J255" s="1"/>
      <c r="K255" s="1"/>
      <c r="L255" s="18"/>
      <c r="M255" s="89"/>
      <c r="N255" s="89"/>
      <c r="O255" s="89"/>
      <c r="P255" s="89"/>
      <c r="Q255" s="224"/>
      <c r="R255" s="125"/>
    </row>
    <row r="256" spans="1:21" x14ac:dyDescent="0.35">
      <c r="A256" s="22">
        <v>45271</v>
      </c>
      <c r="B256" s="36"/>
      <c r="C256" s="37" t="s">
        <v>97</v>
      </c>
      <c r="D256" s="43"/>
      <c r="E256" s="43"/>
      <c r="F256" s="66"/>
      <c r="G256" s="66"/>
      <c r="H256" s="1"/>
      <c r="I256" s="33"/>
      <c r="J256" s="33"/>
      <c r="K256" s="33"/>
      <c r="L256" s="38"/>
      <c r="M256" s="90"/>
      <c r="N256" s="90"/>
      <c r="O256" s="90"/>
      <c r="P256" s="90"/>
      <c r="Q256" s="228"/>
      <c r="R256" s="125"/>
    </row>
    <row r="257" spans="1:21" x14ac:dyDescent="0.35">
      <c r="A257" s="22">
        <v>45272</v>
      </c>
      <c r="B257" s="36"/>
      <c r="C257" s="37" t="s">
        <v>97</v>
      </c>
      <c r="D257" s="44"/>
      <c r="E257" s="44"/>
      <c r="F257" s="66"/>
      <c r="G257" s="66"/>
      <c r="H257" s="1"/>
      <c r="I257" s="1"/>
      <c r="J257" s="1"/>
      <c r="K257" s="1"/>
      <c r="L257" s="18"/>
      <c r="M257" s="89"/>
      <c r="N257" s="89"/>
      <c r="O257" s="89"/>
      <c r="P257" s="89"/>
      <c r="Q257" s="224"/>
      <c r="R257" s="125"/>
      <c r="S257">
        <f>AVERAGEIF(P1:P367,"&lt;&gt;0")</f>
        <v>1</v>
      </c>
    </row>
    <row r="258" spans="1:21" x14ac:dyDescent="0.35">
      <c r="A258" s="22">
        <v>45273</v>
      </c>
      <c r="B258" s="35"/>
      <c r="C258" s="37" t="s">
        <v>97</v>
      </c>
      <c r="D258" s="43"/>
      <c r="E258" s="43"/>
      <c r="F258" s="66"/>
      <c r="G258" s="66"/>
      <c r="H258" s="33"/>
      <c r="I258" s="33"/>
      <c r="J258" s="33"/>
      <c r="K258" s="33"/>
      <c r="L258" s="38"/>
      <c r="M258" s="90"/>
      <c r="N258" s="90"/>
      <c r="O258" s="90"/>
      <c r="P258" s="90"/>
      <c r="Q258" s="228"/>
      <c r="R258" s="125"/>
    </row>
    <row r="259" spans="1:21" x14ac:dyDescent="0.35">
      <c r="A259" s="22">
        <v>45274</v>
      </c>
      <c r="B259" s="36"/>
      <c r="C259" s="37" t="s">
        <v>97</v>
      </c>
      <c r="D259" s="44"/>
      <c r="E259" s="44"/>
      <c r="F259" s="66"/>
      <c r="G259" s="66"/>
      <c r="H259" s="1"/>
      <c r="I259" s="1"/>
      <c r="J259" s="1"/>
      <c r="K259" s="1"/>
      <c r="L259" s="18"/>
      <c r="M259" s="89"/>
      <c r="N259" s="89"/>
      <c r="O259" s="89"/>
      <c r="P259" s="89"/>
      <c r="Q259" s="224"/>
      <c r="R259" s="125"/>
    </row>
    <row r="260" spans="1:21" x14ac:dyDescent="0.35">
      <c r="A260" s="22">
        <v>45275</v>
      </c>
      <c r="B260" s="35"/>
      <c r="C260" s="37" t="s">
        <v>97</v>
      </c>
      <c r="D260" s="43"/>
      <c r="E260" s="43"/>
      <c r="F260" s="66"/>
      <c r="G260" s="66"/>
      <c r="H260" s="33"/>
      <c r="I260" s="33"/>
      <c r="J260" s="33"/>
      <c r="K260" s="33"/>
      <c r="L260" s="38"/>
      <c r="M260" s="90"/>
      <c r="N260" s="90"/>
      <c r="O260" s="90"/>
      <c r="P260" s="90"/>
      <c r="Q260" s="228"/>
      <c r="R260" s="125"/>
    </row>
    <row r="261" spans="1:21" x14ac:dyDescent="0.35">
      <c r="A261" s="22">
        <v>45276</v>
      </c>
      <c r="B261" s="36"/>
      <c r="C261" s="37" t="s">
        <v>97</v>
      </c>
      <c r="D261" s="44"/>
      <c r="E261" s="44"/>
      <c r="F261" s="66"/>
      <c r="G261" s="66"/>
      <c r="H261" s="1"/>
      <c r="I261" s="1"/>
      <c r="J261" s="1"/>
      <c r="K261" s="1"/>
      <c r="L261" s="18"/>
      <c r="M261" s="89"/>
      <c r="N261" s="89"/>
      <c r="O261" s="89"/>
      <c r="P261" s="89"/>
      <c r="Q261" s="224"/>
      <c r="R261" s="125"/>
    </row>
    <row r="262" spans="1:21" x14ac:dyDescent="0.35">
      <c r="A262" s="22">
        <v>45277</v>
      </c>
      <c r="B262" s="35"/>
      <c r="C262" s="37" t="s">
        <v>97</v>
      </c>
      <c r="D262" s="43"/>
      <c r="E262" s="43"/>
      <c r="F262" s="66"/>
      <c r="G262" s="66"/>
      <c r="H262" s="33"/>
      <c r="I262" s="33"/>
      <c r="J262" s="33"/>
      <c r="K262" s="33"/>
      <c r="L262" s="38"/>
      <c r="M262" s="90"/>
      <c r="N262" s="90"/>
      <c r="O262" s="90"/>
      <c r="P262" s="90"/>
      <c r="Q262" s="228"/>
      <c r="R262" s="125"/>
    </row>
    <row r="263" spans="1:21" x14ac:dyDescent="0.35">
      <c r="A263" s="22">
        <v>45278</v>
      </c>
      <c r="B263" s="36"/>
      <c r="C263" s="37" t="s">
        <v>97</v>
      </c>
      <c r="D263" s="44"/>
      <c r="E263" s="44"/>
      <c r="F263" s="66"/>
      <c r="G263" s="66"/>
      <c r="H263" s="1"/>
      <c r="I263" s="1"/>
      <c r="J263" s="1"/>
      <c r="K263" s="1"/>
      <c r="L263" s="18"/>
      <c r="M263" s="89"/>
      <c r="N263" s="89"/>
      <c r="O263" s="89"/>
      <c r="P263" s="89"/>
      <c r="Q263" s="224"/>
      <c r="R263" s="125"/>
      <c r="S263" s="50"/>
      <c r="T263" s="50"/>
      <c r="U263" s="50"/>
    </row>
    <row r="264" spans="1:21" x14ac:dyDescent="0.35">
      <c r="A264" s="22">
        <v>45279</v>
      </c>
      <c r="B264" s="35"/>
      <c r="C264" s="37" t="s">
        <v>97</v>
      </c>
      <c r="D264" s="43"/>
      <c r="E264" s="43"/>
      <c r="F264" s="66"/>
      <c r="G264" s="66"/>
      <c r="H264" s="33"/>
      <c r="I264" s="33"/>
      <c r="J264" s="33"/>
      <c r="K264" s="33"/>
      <c r="L264" s="38"/>
      <c r="M264" s="90"/>
      <c r="N264" s="90"/>
      <c r="O264" s="90"/>
      <c r="P264" s="90"/>
      <c r="Q264" s="228"/>
      <c r="R264" s="125"/>
    </row>
    <row r="265" spans="1:21" x14ac:dyDescent="0.35">
      <c r="A265" s="22">
        <v>45280</v>
      </c>
      <c r="B265" s="36"/>
      <c r="C265" s="37" t="s">
        <v>97</v>
      </c>
      <c r="D265" s="44"/>
      <c r="E265" s="44"/>
      <c r="F265" s="66"/>
      <c r="G265" s="66"/>
      <c r="H265" s="1"/>
      <c r="I265" s="1"/>
      <c r="J265" s="1"/>
      <c r="K265" s="1"/>
      <c r="L265" s="18"/>
      <c r="M265" s="89"/>
      <c r="N265" s="89"/>
      <c r="O265" s="89"/>
      <c r="P265" s="89"/>
      <c r="Q265" s="224"/>
      <c r="R265" s="125"/>
    </row>
    <row r="266" spans="1:21" x14ac:dyDescent="0.35">
      <c r="A266" s="22">
        <v>45281</v>
      </c>
      <c r="B266" s="35"/>
      <c r="C266" s="37" t="s">
        <v>97</v>
      </c>
      <c r="D266" s="43"/>
      <c r="E266" s="43"/>
      <c r="F266" s="66"/>
      <c r="G266" s="66"/>
      <c r="H266" s="1"/>
      <c r="I266" s="1"/>
      <c r="J266" s="1"/>
      <c r="K266" s="1"/>
      <c r="L266" s="38"/>
      <c r="M266" s="90"/>
      <c r="N266" s="90"/>
      <c r="O266" s="90"/>
      <c r="P266" s="90"/>
      <c r="Q266" s="228"/>
      <c r="R266" s="125"/>
    </row>
    <row r="267" spans="1:21" x14ac:dyDescent="0.35">
      <c r="A267" s="22">
        <v>45282</v>
      </c>
      <c r="B267" s="36"/>
      <c r="C267" s="37" t="s">
        <v>97</v>
      </c>
      <c r="D267" s="44"/>
      <c r="E267" s="44"/>
      <c r="F267" s="66"/>
      <c r="G267" s="66"/>
      <c r="H267" s="1"/>
      <c r="I267" s="1"/>
      <c r="J267" s="1"/>
      <c r="K267" s="1"/>
      <c r="L267" s="18"/>
      <c r="M267" s="89"/>
      <c r="N267" s="89"/>
      <c r="O267" s="89"/>
      <c r="P267" s="89"/>
      <c r="Q267" s="224"/>
      <c r="R267" s="125"/>
    </row>
    <row r="268" spans="1:21" x14ac:dyDescent="0.35">
      <c r="A268" s="22">
        <v>45283</v>
      </c>
      <c r="B268" s="35"/>
      <c r="C268" s="37" t="s">
        <v>97</v>
      </c>
      <c r="D268" s="43"/>
      <c r="E268" s="43"/>
      <c r="F268" s="66"/>
      <c r="G268" s="66"/>
      <c r="H268" s="1"/>
      <c r="I268" s="1"/>
      <c r="J268" s="1"/>
      <c r="K268" s="1"/>
      <c r="L268" s="38"/>
      <c r="M268" s="90"/>
      <c r="N268" s="90"/>
      <c r="O268" s="90"/>
      <c r="P268" s="90"/>
      <c r="Q268" s="228"/>
      <c r="R268" s="125"/>
    </row>
    <row r="269" spans="1:21" x14ac:dyDescent="0.35">
      <c r="A269" s="22">
        <v>45284</v>
      </c>
      <c r="B269" s="36"/>
      <c r="C269" s="37" t="s">
        <v>97</v>
      </c>
      <c r="D269" s="44"/>
      <c r="E269" s="44"/>
      <c r="F269" s="66"/>
      <c r="G269" s="66"/>
      <c r="H269" s="1"/>
      <c r="I269" s="1"/>
      <c r="J269" s="1"/>
      <c r="K269" s="1"/>
      <c r="L269" s="18"/>
      <c r="M269" s="89"/>
      <c r="N269" s="89"/>
      <c r="O269" s="89"/>
      <c r="P269" s="89"/>
      <c r="Q269" s="224"/>
      <c r="R269" s="125"/>
    </row>
    <row r="270" spans="1:21" x14ac:dyDescent="0.35">
      <c r="A270" s="22">
        <v>45285</v>
      </c>
      <c r="B270" s="35"/>
      <c r="C270" s="37" t="s">
        <v>97</v>
      </c>
      <c r="D270" s="43"/>
      <c r="E270" s="43"/>
      <c r="F270" s="66"/>
      <c r="G270" s="66"/>
      <c r="H270" s="33"/>
      <c r="I270" s="33"/>
      <c r="J270" s="33"/>
      <c r="K270" s="33"/>
      <c r="L270" s="38"/>
      <c r="M270" s="90"/>
      <c r="N270" s="90"/>
      <c r="O270" s="90"/>
      <c r="P270" s="90"/>
      <c r="Q270" s="228"/>
      <c r="R270" s="125"/>
    </row>
    <row r="271" spans="1:21" x14ac:dyDescent="0.35">
      <c r="A271" s="22">
        <v>45286</v>
      </c>
      <c r="B271" s="36"/>
      <c r="C271" s="37" t="s">
        <v>97</v>
      </c>
      <c r="D271" s="44"/>
      <c r="E271" s="44"/>
      <c r="F271" s="66"/>
      <c r="G271" s="66"/>
      <c r="H271" s="1"/>
      <c r="I271" s="1"/>
      <c r="J271" s="1"/>
      <c r="K271" s="1"/>
      <c r="L271" s="18"/>
      <c r="M271" s="89"/>
      <c r="N271" s="89"/>
      <c r="O271" s="89"/>
      <c r="P271" s="89"/>
      <c r="Q271" s="224"/>
      <c r="R271" s="125"/>
    </row>
    <row r="272" spans="1:21" x14ac:dyDescent="0.35">
      <c r="A272" s="22">
        <v>45287</v>
      </c>
      <c r="B272" s="35"/>
      <c r="C272" s="37" t="s">
        <v>97</v>
      </c>
      <c r="D272" s="43"/>
      <c r="E272" s="43"/>
      <c r="F272" s="66"/>
      <c r="G272" s="66"/>
      <c r="H272" s="33"/>
      <c r="I272" s="33"/>
      <c r="J272" s="33"/>
      <c r="K272" s="33"/>
      <c r="L272" s="38"/>
      <c r="M272" s="90"/>
      <c r="N272" s="90"/>
      <c r="O272" s="90"/>
      <c r="P272" s="90"/>
      <c r="Q272" s="228"/>
      <c r="R272" s="125"/>
      <c r="S272" t="e">
        <f>AVERAGEIF(P336:P366,"&lt;&gt;0")</f>
        <v>#DIV/0!</v>
      </c>
    </row>
    <row r="273" spans="1:21" x14ac:dyDescent="0.35">
      <c r="A273" s="22">
        <v>45288</v>
      </c>
      <c r="B273" s="36"/>
      <c r="C273" s="37" t="s">
        <v>97</v>
      </c>
      <c r="D273" s="44"/>
      <c r="E273" s="44"/>
      <c r="F273" s="66"/>
      <c r="G273" s="66"/>
      <c r="H273" s="1"/>
      <c r="I273" s="1"/>
      <c r="J273" s="1"/>
      <c r="K273" s="1"/>
      <c r="L273" s="18"/>
      <c r="M273" s="89"/>
      <c r="N273" s="89"/>
      <c r="O273" s="89"/>
      <c r="P273" s="89"/>
      <c r="Q273" s="224"/>
      <c r="R273" s="125"/>
    </row>
    <row r="274" spans="1:21" x14ac:dyDescent="0.35">
      <c r="A274" s="22">
        <v>45289</v>
      </c>
      <c r="B274" s="35"/>
      <c r="C274" s="37" t="s">
        <v>97</v>
      </c>
      <c r="D274" s="43"/>
      <c r="E274" s="43"/>
      <c r="F274" s="66"/>
      <c r="G274" s="66"/>
      <c r="H274" s="1"/>
      <c r="I274" s="1"/>
      <c r="J274" s="1"/>
      <c r="K274" s="1"/>
      <c r="L274" s="38"/>
      <c r="M274" s="90"/>
      <c r="N274" s="90"/>
      <c r="O274" s="90"/>
      <c r="P274" s="90"/>
      <c r="Q274" s="228"/>
      <c r="R274" s="125"/>
    </row>
    <row r="275" spans="1:21" x14ac:dyDescent="0.35">
      <c r="A275" s="22">
        <v>45290</v>
      </c>
      <c r="B275" s="36"/>
      <c r="C275" s="37" t="s">
        <v>97</v>
      </c>
      <c r="D275" s="44"/>
      <c r="E275" s="44"/>
      <c r="F275" s="66"/>
      <c r="G275" s="66"/>
      <c r="H275" s="1"/>
      <c r="I275" s="1"/>
      <c r="J275" s="1"/>
      <c r="K275" s="1"/>
      <c r="L275" s="18"/>
      <c r="M275" s="89"/>
      <c r="N275" s="89"/>
      <c r="O275" s="89"/>
      <c r="P275" s="89"/>
      <c r="Q275" s="224"/>
      <c r="R275" s="125"/>
    </row>
    <row r="276" spans="1:21" x14ac:dyDescent="0.35">
      <c r="A276" s="22">
        <v>45291</v>
      </c>
      <c r="B276" s="35"/>
      <c r="C276" s="37" t="s">
        <v>97</v>
      </c>
      <c r="D276" s="43"/>
      <c r="E276" s="43"/>
      <c r="F276" s="66"/>
      <c r="G276" s="66"/>
      <c r="H276" s="1"/>
      <c r="I276" s="1"/>
      <c r="J276" s="1"/>
      <c r="K276" s="1"/>
      <c r="L276" s="38"/>
      <c r="M276" s="90"/>
      <c r="N276" s="90"/>
      <c r="O276" s="90"/>
      <c r="P276" s="90"/>
      <c r="Q276" s="228"/>
      <c r="R276" s="125"/>
    </row>
    <row r="277" spans="1:21" s="49" customFormat="1" x14ac:dyDescent="0.35">
      <c r="A277" s="22">
        <v>45292</v>
      </c>
      <c r="B277" s="78"/>
      <c r="C277" s="37" t="s">
        <v>97</v>
      </c>
      <c r="D277" s="148"/>
      <c r="E277" s="148"/>
      <c r="F277" s="82"/>
      <c r="G277" s="82"/>
      <c r="H277" s="67"/>
      <c r="I277" s="67"/>
      <c r="J277" s="67"/>
      <c r="K277" s="67"/>
      <c r="L277" s="2"/>
      <c r="M277" s="149"/>
      <c r="N277" s="149"/>
      <c r="O277" s="149"/>
      <c r="P277" s="149"/>
      <c r="Q277" s="224"/>
      <c r="R277" s="126"/>
      <c r="S277"/>
      <c r="T277"/>
      <c r="U277"/>
    </row>
    <row r="278" spans="1:21" x14ac:dyDescent="0.35">
      <c r="A278" s="22">
        <v>45293</v>
      </c>
      <c r="B278" s="35"/>
      <c r="C278" s="37" t="s">
        <v>97</v>
      </c>
      <c r="D278" s="43"/>
      <c r="E278" s="43"/>
      <c r="F278" s="66"/>
      <c r="G278" s="66"/>
      <c r="H278" s="33"/>
      <c r="I278" s="33"/>
      <c r="J278" s="33"/>
      <c r="K278" s="33"/>
      <c r="L278" s="38"/>
      <c r="M278" s="90"/>
      <c r="N278" s="90"/>
      <c r="O278" s="90"/>
      <c r="P278" s="90"/>
      <c r="Q278" s="228"/>
      <c r="R278" s="125"/>
    </row>
    <row r="279" spans="1:21" x14ac:dyDescent="0.35">
      <c r="A279" s="22">
        <v>45294</v>
      </c>
      <c r="B279" s="36"/>
      <c r="C279" s="37" t="s">
        <v>97</v>
      </c>
      <c r="D279" s="44"/>
      <c r="E279" s="44"/>
      <c r="F279" s="66"/>
      <c r="G279" s="66"/>
      <c r="H279" s="1"/>
      <c r="I279" s="1"/>
      <c r="J279" s="1"/>
      <c r="K279" s="1"/>
      <c r="L279" s="18"/>
      <c r="M279" s="89"/>
      <c r="N279" s="89"/>
      <c r="O279" s="89"/>
      <c r="P279" s="89"/>
      <c r="Q279" s="224"/>
      <c r="R279" s="125"/>
    </row>
    <row r="280" spans="1:21" x14ac:dyDescent="0.35">
      <c r="A280" s="22">
        <v>45295</v>
      </c>
      <c r="B280" s="35"/>
      <c r="C280" s="37" t="s">
        <v>97</v>
      </c>
      <c r="D280" s="43"/>
      <c r="E280" s="43"/>
      <c r="F280" s="66"/>
      <c r="G280" s="66"/>
      <c r="H280" s="1"/>
      <c r="I280" s="1"/>
      <c r="J280" s="1"/>
      <c r="K280" s="1"/>
      <c r="L280" s="38"/>
      <c r="M280" s="90"/>
      <c r="N280" s="90"/>
      <c r="O280" s="90"/>
      <c r="P280" s="90"/>
      <c r="Q280" s="228"/>
      <c r="R280" s="125"/>
    </row>
    <row r="281" spans="1:21" x14ac:dyDescent="0.35">
      <c r="A281" s="22">
        <v>45296</v>
      </c>
      <c r="B281" s="36"/>
      <c r="C281" s="37" t="s">
        <v>97</v>
      </c>
      <c r="D281" s="44"/>
      <c r="E281" s="44"/>
      <c r="F281" s="66"/>
      <c r="G281" s="66"/>
      <c r="H281" s="1"/>
      <c r="I281" s="1"/>
      <c r="J281" s="1"/>
      <c r="K281" s="1"/>
      <c r="L281" s="18"/>
      <c r="M281" s="89"/>
      <c r="N281" s="89"/>
      <c r="O281" s="89"/>
      <c r="P281" s="89"/>
      <c r="Q281" s="224"/>
      <c r="R281" s="125"/>
    </row>
    <row r="282" spans="1:21" x14ac:dyDescent="0.35">
      <c r="A282" s="22">
        <v>45297</v>
      </c>
      <c r="B282" s="35"/>
      <c r="C282" s="37" t="s">
        <v>97</v>
      </c>
      <c r="D282" s="43"/>
      <c r="E282" s="43"/>
      <c r="F282" s="66"/>
      <c r="G282" s="66"/>
      <c r="H282" s="1"/>
      <c r="I282" s="1"/>
      <c r="J282" s="1"/>
      <c r="K282" s="1"/>
      <c r="L282" s="38"/>
      <c r="M282" s="90"/>
      <c r="N282" s="90"/>
      <c r="O282" s="90"/>
      <c r="P282" s="90"/>
      <c r="Q282" s="228"/>
      <c r="R282" s="125"/>
    </row>
    <row r="283" spans="1:21" x14ac:dyDescent="0.35">
      <c r="A283" s="22">
        <v>45298</v>
      </c>
      <c r="B283" s="36"/>
      <c r="C283" s="37" t="s">
        <v>97</v>
      </c>
      <c r="D283" s="44"/>
      <c r="E283" s="44"/>
      <c r="F283" s="66"/>
      <c r="G283" s="66"/>
      <c r="H283" s="1"/>
      <c r="I283" s="1"/>
      <c r="J283" s="1"/>
      <c r="K283" s="1"/>
      <c r="L283" s="18"/>
      <c r="M283" s="89"/>
      <c r="N283" s="89"/>
      <c r="O283" s="89"/>
      <c r="P283" s="89"/>
      <c r="Q283" s="224"/>
      <c r="R283" s="125"/>
    </row>
    <row r="284" spans="1:21" x14ac:dyDescent="0.35">
      <c r="A284" s="22">
        <v>45299</v>
      </c>
      <c r="B284" s="35"/>
      <c r="C284" s="37" t="s">
        <v>97</v>
      </c>
      <c r="D284" s="43"/>
      <c r="E284" s="43"/>
      <c r="F284" s="66"/>
      <c r="G284" s="66"/>
      <c r="H284" s="33"/>
      <c r="I284" s="33"/>
      <c r="J284" s="33"/>
      <c r="K284" s="33"/>
      <c r="L284" s="38"/>
      <c r="M284" s="90"/>
      <c r="N284" s="90"/>
      <c r="O284" s="90"/>
      <c r="P284" s="90"/>
      <c r="Q284" s="228"/>
      <c r="R284" s="125"/>
    </row>
    <row r="285" spans="1:21" x14ac:dyDescent="0.35">
      <c r="A285" s="22">
        <v>45300</v>
      </c>
      <c r="B285" s="36"/>
      <c r="C285" s="37" t="s">
        <v>97</v>
      </c>
      <c r="D285" s="44"/>
      <c r="E285" s="44"/>
      <c r="F285" s="66"/>
      <c r="G285" s="66"/>
      <c r="H285" s="1"/>
      <c r="I285" s="1"/>
      <c r="J285" s="1"/>
      <c r="K285" s="1"/>
      <c r="L285" s="18"/>
      <c r="M285" s="89"/>
      <c r="N285" s="89"/>
      <c r="O285" s="89"/>
      <c r="P285" s="89"/>
      <c r="Q285" s="224"/>
      <c r="R285" s="125"/>
    </row>
    <row r="286" spans="1:21" x14ac:dyDescent="0.35">
      <c r="A286" s="22">
        <v>45301</v>
      </c>
      <c r="B286" s="35"/>
      <c r="C286" s="37" t="s">
        <v>97</v>
      </c>
      <c r="D286" s="43"/>
      <c r="E286" s="43"/>
      <c r="F286" s="66"/>
      <c r="G286" s="66"/>
      <c r="H286" s="1"/>
      <c r="I286" s="1"/>
      <c r="J286" s="1"/>
      <c r="K286" s="1"/>
      <c r="L286" s="38"/>
      <c r="M286" s="90"/>
      <c r="N286" s="90"/>
      <c r="O286" s="90"/>
      <c r="P286" s="90"/>
      <c r="Q286" s="228"/>
      <c r="R286" s="125"/>
    </row>
    <row r="287" spans="1:21" x14ac:dyDescent="0.35">
      <c r="A287" s="22">
        <v>45302</v>
      </c>
      <c r="B287" s="36"/>
      <c r="C287" s="37" t="s">
        <v>97</v>
      </c>
      <c r="D287" s="44"/>
      <c r="E287" s="44"/>
      <c r="F287" s="66"/>
      <c r="G287" s="66"/>
      <c r="H287" s="1"/>
      <c r="I287" s="1"/>
      <c r="J287" s="1"/>
      <c r="K287" s="1"/>
      <c r="L287" s="18"/>
      <c r="M287" s="89"/>
      <c r="N287" s="89"/>
      <c r="O287" s="89"/>
      <c r="P287" s="89"/>
      <c r="Q287" s="224"/>
      <c r="R287" s="125"/>
    </row>
    <row r="288" spans="1:21" x14ac:dyDescent="0.35">
      <c r="A288" s="22">
        <v>45303</v>
      </c>
      <c r="B288" s="35"/>
      <c r="C288" s="37" t="s">
        <v>97</v>
      </c>
      <c r="D288" s="43"/>
      <c r="E288" s="43"/>
      <c r="F288" s="66"/>
      <c r="G288" s="66"/>
      <c r="H288" s="1"/>
      <c r="I288" s="1"/>
      <c r="J288" s="1"/>
      <c r="K288" s="1"/>
      <c r="L288" s="38"/>
      <c r="M288" s="90"/>
      <c r="N288" s="90"/>
      <c r="O288" s="90"/>
      <c r="P288" s="90"/>
      <c r="Q288" s="228"/>
      <c r="R288" s="125"/>
    </row>
    <row r="289" spans="1:21" x14ac:dyDescent="0.35">
      <c r="A289" s="22">
        <v>45304</v>
      </c>
      <c r="B289" s="36"/>
      <c r="C289" s="37" t="s">
        <v>97</v>
      </c>
      <c r="D289" s="44"/>
      <c r="E289" s="44"/>
      <c r="F289" s="66"/>
      <c r="G289" s="66"/>
      <c r="H289" s="1"/>
      <c r="I289" s="1"/>
      <c r="J289" s="1"/>
      <c r="K289" s="1"/>
      <c r="L289" s="18"/>
      <c r="M289" s="89"/>
      <c r="N289" s="89"/>
      <c r="O289" s="89"/>
      <c r="P289" s="89"/>
      <c r="Q289" s="224"/>
      <c r="R289" s="125"/>
    </row>
    <row r="290" spans="1:21" x14ac:dyDescent="0.35">
      <c r="A290" s="22">
        <v>45305</v>
      </c>
      <c r="B290" s="35"/>
      <c r="C290" s="37" t="s">
        <v>97</v>
      </c>
      <c r="D290" s="43"/>
      <c r="E290" s="43"/>
      <c r="F290" s="66"/>
      <c r="G290" s="66"/>
      <c r="H290" s="1"/>
      <c r="I290" s="1"/>
      <c r="J290" s="1"/>
      <c r="K290" s="1"/>
      <c r="L290" s="38"/>
      <c r="M290" s="90"/>
      <c r="N290" s="90"/>
      <c r="O290" s="90"/>
      <c r="P290" s="90"/>
      <c r="Q290" s="228"/>
      <c r="R290" s="125"/>
    </row>
    <row r="291" spans="1:21" x14ac:dyDescent="0.35">
      <c r="A291" s="22">
        <v>45306</v>
      </c>
      <c r="B291" s="36"/>
      <c r="C291" s="37" t="s">
        <v>97</v>
      </c>
      <c r="D291" s="44"/>
      <c r="E291" s="44"/>
      <c r="F291" s="66"/>
      <c r="G291" s="66"/>
      <c r="H291" s="1"/>
      <c r="I291" s="1"/>
      <c r="J291" s="1"/>
      <c r="K291" s="1"/>
      <c r="L291" s="18"/>
      <c r="M291" s="89"/>
      <c r="N291" s="89"/>
      <c r="O291" s="89"/>
      <c r="P291" s="89"/>
      <c r="Q291" s="224"/>
      <c r="R291" s="125"/>
    </row>
    <row r="292" spans="1:21" x14ac:dyDescent="0.35">
      <c r="A292" s="22">
        <v>45307</v>
      </c>
      <c r="B292" s="35"/>
      <c r="C292" s="37" t="s">
        <v>97</v>
      </c>
      <c r="D292" s="43"/>
      <c r="E292" s="43"/>
      <c r="F292" s="66"/>
      <c r="G292" s="66"/>
      <c r="H292" s="1"/>
      <c r="I292" s="1"/>
      <c r="J292" s="1"/>
      <c r="K292" s="1"/>
      <c r="L292" s="38"/>
      <c r="M292" s="90"/>
      <c r="N292" s="90"/>
      <c r="O292" s="90"/>
      <c r="P292" s="90"/>
      <c r="Q292" s="228"/>
      <c r="R292" s="125"/>
      <c r="S292" s="49"/>
      <c r="T292" s="49"/>
      <c r="U292" s="49"/>
    </row>
    <row r="293" spans="1:21" x14ac:dyDescent="0.35">
      <c r="A293" s="22">
        <v>45308</v>
      </c>
      <c r="B293" s="36"/>
      <c r="C293" s="37" t="s">
        <v>97</v>
      </c>
      <c r="D293" s="44"/>
      <c r="E293" s="44"/>
      <c r="F293" s="66"/>
      <c r="G293" s="66"/>
      <c r="H293" s="1"/>
      <c r="I293" s="1"/>
      <c r="J293" s="1"/>
      <c r="K293" s="1"/>
      <c r="L293" s="18"/>
      <c r="M293" s="89"/>
      <c r="N293" s="89"/>
      <c r="O293" s="89"/>
      <c r="P293" s="89"/>
      <c r="Q293" s="224"/>
      <c r="R293" s="125"/>
    </row>
    <row r="294" spans="1:21" x14ac:dyDescent="0.35">
      <c r="A294" s="22">
        <v>45309</v>
      </c>
      <c r="B294" s="35"/>
      <c r="C294" s="37" t="s">
        <v>97</v>
      </c>
      <c r="D294" s="43"/>
      <c r="E294" s="43"/>
      <c r="F294" s="66"/>
      <c r="G294" s="66"/>
      <c r="H294" s="1"/>
      <c r="I294" s="1"/>
      <c r="J294" s="1"/>
      <c r="K294" s="1"/>
      <c r="L294" s="38"/>
      <c r="M294" s="90"/>
      <c r="N294" s="90"/>
      <c r="O294" s="90"/>
      <c r="P294" s="90"/>
      <c r="Q294" s="228"/>
      <c r="R294" s="125"/>
    </row>
    <row r="295" spans="1:21" x14ac:dyDescent="0.35">
      <c r="A295" s="22">
        <v>45310</v>
      </c>
      <c r="B295" s="36"/>
      <c r="C295" s="37" t="s">
        <v>97</v>
      </c>
      <c r="D295" s="44"/>
      <c r="E295" s="44"/>
      <c r="F295" s="66"/>
      <c r="G295" s="66"/>
      <c r="H295" s="1"/>
      <c r="I295" s="1"/>
      <c r="J295" s="1"/>
      <c r="K295" s="1"/>
      <c r="L295" s="18"/>
      <c r="M295" s="89"/>
      <c r="N295" s="89"/>
      <c r="O295" s="89"/>
      <c r="P295" s="89"/>
      <c r="Q295" s="224"/>
      <c r="R295" s="125"/>
    </row>
    <row r="296" spans="1:21" x14ac:dyDescent="0.35">
      <c r="A296" s="22">
        <v>45311</v>
      </c>
      <c r="B296" s="35"/>
      <c r="C296" s="37" t="s">
        <v>97</v>
      </c>
      <c r="D296" s="43"/>
      <c r="E296" s="43"/>
      <c r="F296" s="66"/>
      <c r="G296" s="66"/>
      <c r="H296" s="1"/>
      <c r="I296" s="1"/>
      <c r="J296" s="1"/>
      <c r="K296" s="1"/>
      <c r="L296" s="38"/>
      <c r="M296" s="90"/>
      <c r="N296" s="90"/>
      <c r="O296" s="90"/>
      <c r="P296" s="90"/>
      <c r="Q296" s="228"/>
      <c r="R296" s="125"/>
    </row>
    <row r="297" spans="1:21" x14ac:dyDescent="0.35">
      <c r="A297" s="22">
        <v>45312</v>
      </c>
      <c r="B297" s="36"/>
      <c r="C297" s="37" t="s">
        <v>97</v>
      </c>
      <c r="D297" s="44"/>
      <c r="E297" s="44"/>
      <c r="F297" s="66"/>
      <c r="G297" s="66"/>
      <c r="H297" s="1"/>
      <c r="I297" s="1"/>
      <c r="J297" s="1"/>
      <c r="K297" s="1"/>
      <c r="L297" s="18"/>
      <c r="M297" s="89"/>
      <c r="N297" s="89"/>
      <c r="O297" s="89"/>
      <c r="P297" s="89"/>
      <c r="Q297" s="224"/>
      <c r="R297" s="125"/>
    </row>
    <row r="298" spans="1:21" x14ac:dyDescent="0.35">
      <c r="A298" s="22">
        <v>45313</v>
      </c>
      <c r="B298" s="35"/>
      <c r="C298" s="37" t="s">
        <v>97</v>
      </c>
      <c r="D298" s="43"/>
      <c r="E298" s="43"/>
      <c r="F298" s="66"/>
      <c r="G298" s="66"/>
      <c r="H298" s="33"/>
      <c r="I298" s="33"/>
      <c r="J298" s="33"/>
      <c r="K298" s="33"/>
      <c r="L298" s="38"/>
      <c r="M298" s="90"/>
      <c r="N298" s="90"/>
      <c r="O298" s="90"/>
      <c r="P298" s="90"/>
      <c r="Q298" s="228"/>
      <c r="R298" s="125"/>
    </row>
    <row r="299" spans="1:21" x14ac:dyDescent="0.35">
      <c r="A299" s="22">
        <v>45314</v>
      </c>
      <c r="B299" s="36"/>
      <c r="C299" s="37" t="s">
        <v>97</v>
      </c>
      <c r="D299" s="44"/>
      <c r="E299" s="44"/>
      <c r="F299" s="66"/>
      <c r="G299" s="66"/>
      <c r="H299" s="1"/>
      <c r="I299" s="1"/>
      <c r="J299" s="1"/>
      <c r="K299" s="1"/>
      <c r="L299" s="18"/>
      <c r="M299" s="89"/>
      <c r="N299" s="89"/>
      <c r="O299" s="89"/>
      <c r="P299" s="89"/>
      <c r="Q299" s="224"/>
      <c r="R299" s="125"/>
    </row>
    <row r="300" spans="1:21" x14ac:dyDescent="0.35">
      <c r="A300" s="22">
        <v>45315</v>
      </c>
      <c r="B300" s="35"/>
      <c r="C300" s="37" t="s">
        <v>97</v>
      </c>
      <c r="D300" s="43"/>
      <c r="E300" s="43"/>
      <c r="F300" s="66"/>
      <c r="G300" s="66"/>
      <c r="H300" s="1"/>
      <c r="I300" s="1"/>
      <c r="J300" s="1"/>
      <c r="K300" s="1"/>
      <c r="L300" s="38"/>
      <c r="M300" s="90"/>
      <c r="N300" s="90"/>
      <c r="O300" s="90"/>
      <c r="P300" s="90"/>
      <c r="Q300" s="228"/>
      <c r="R300" s="125"/>
    </row>
    <row r="301" spans="1:21" x14ac:dyDescent="0.35">
      <c r="A301" s="22">
        <v>45316</v>
      </c>
      <c r="B301" s="36"/>
      <c r="C301" s="37" t="s">
        <v>97</v>
      </c>
      <c r="D301" s="44"/>
      <c r="E301" s="44"/>
      <c r="F301" s="66"/>
      <c r="G301" s="66"/>
      <c r="H301" s="1"/>
      <c r="I301" s="1"/>
      <c r="J301" s="1"/>
      <c r="K301" s="1"/>
      <c r="L301" s="18"/>
      <c r="M301" s="89"/>
      <c r="N301" s="89"/>
      <c r="O301" s="89"/>
      <c r="P301" s="89"/>
      <c r="Q301" s="224"/>
      <c r="R301" s="125"/>
    </row>
    <row r="302" spans="1:21" x14ac:dyDescent="0.35">
      <c r="A302" s="22">
        <v>45317</v>
      </c>
      <c r="B302" s="35"/>
      <c r="C302" s="37" t="s">
        <v>97</v>
      </c>
      <c r="D302" s="43"/>
      <c r="E302" s="43"/>
      <c r="F302" s="66"/>
      <c r="G302" s="66"/>
      <c r="H302" s="1"/>
      <c r="I302" s="1"/>
      <c r="J302" s="1"/>
      <c r="K302" s="1"/>
      <c r="L302" s="38"/>
      <c r="M302" s="90"/>
      <c r="N302" s="90"/>
      <c r="O302" s="90"/>
      <c r="P302" s="90"/>
      <c r="Q302" s="228"/>
      <c r="R302" s="125"/>
    </row>
    <row r="303" spans="1:21" x14ac:dyDescent="0.35">
      <c r="A303" s="22">
        <v>45318</v>
      </c>
      <c r="B303" s="36"/>
      <c r="C303" s="37" t="s">
        <v>97</v>
      </c>
      <c r="D303" s="44"/>
      <c r="E303" s="44"/>
      <c r="F303" s="66"/>
      <c r="G303" s="66"/>
      <c r="H303" s="1"/>
      <c r="I303" s="1"/>
      <c r="J303" s="1"/>
      <c r="K303" s="1"/>
      <c r="L303" s="18"/>
      <c r="M303" s="89"/>
      <c r="N303" s="89"/>
      <c r="O303" s="89"/>
      <c r="P303" s="89"/>
      <c r="Q303" s="224"/>
      <c r="R303" s="125"/>
    </row>
    <row r="304" spans="1:21" x14ac:dyDescent="0.35">
      <c r="A304" s="22">
        <v>45319</v>
      </c>
      <c r="B304" s="35"/>
      <c r="C304" s="37" t="s">
        <v>97</v>
      </c>
      <c r="D304" s="43"/>
      <c r="E304" s="43"/>
      <c r="F304" s="66"/>
      <c r="G304" s="66"/>
      <c r="H304" s="1"/>
      <c r="I304" s="1"/>
      <c r="J304" s="1"/>
      <c r="K304" s="1"/>
      <c r="L304" s="38"/>
      <c r="M304" s="90"/>
      <c r="N304" s="90"/>
      <c r="O304" s="90"/>
      <c r="P304" s="90"/>
      <c r="Q304" s="228"/>
      <c r="R304" s="125"/>
    </row>
    <row r="305" spans="1:21" x14ac:dyDescent="0.35">
      <c r="A305" s="22">
        <v>45320</v>
      </c>
      <c r="B305" s="36"/>
      <c r="C305" s="37" t="s">
        <v>97</v>
      </c>
      <c r="D305" s="44"/>
      <c r="E305" s="44"/>
      <c r="F305" s="66"/>
      <c r="G305" s="66"/>
      <c r="H305" s="1"/>
      <c r="I305" s="1"/>
      <c r="J305" s="1"/>
      <c r="K305" s="1"/>
      <c r="L305" s="18"/>
      <c r="M305" s="89"/>
      <c r="N305" s="89"/>
      <c r="O305" s="89"/>
      <c r="P305" s="89"/>
      <c r="Q305" s="224"/>
      <c r="R305" s="125"/>
    </row>
    <row r="306" spans="1:21" x14ac:dyDescent="0.35">
      <c r="A306" s="22">
        <v>45321</v>
      </c>
      <c r="B306" s="35"/>
      <c r="C306" s="37" t="s">
        <v>97</v>
      </c>
      <c r="D306" s="43"/>
      <c r="E306" s="43"/>
      <c r="F306" s="66"/>
      <c r="G306" s="66"/>
      <c r="H306" s="1"/>
      <c r="I306" s="1"/>
      <c r="J306" s="1"/>
      <c r="K306" s="1"/>
      <c r="L306" s="38"/>
      <c r="M306" s="90"/>
      <c r="N306" s="90"/>
      <c r="O306" s="90"/>
      <c r="P306" s="90"/>
      <c r="Q306" s="228"/>
      <c r="R306" s="125"/>
    </row>
    <row r="307" spans="1:21" s="50" customFormat="1" x14ac:dyDescent="0.35">
      <c r="A307" s="22">
        <v>45322</v>
      </c>
      <c r="B307" s="51"/>
      <c r="C307" s="37" t="s">
        <v>97</v>
      </c>
      <c r="D307" s="100"/>
      <c r="E307" s="100"/>
      <c r="F307" s="80"/>
      <c r="G307" s="80"/>
      <c r="H307" s="52"/>
      <c r="I307" s="52"/>
      <c r="J307" s="52"/>
      <c r="K307" s="52"/>
      <c r="L307" s="53"/>
      <c r="M307" s="101"/>
      <c r="N307" s="101"/>
      <c r="O307" s="101"/>
      <c r="P307" s="101"/>
      <c r="Q307" s="224"/>
      <c r="R307" s="179"/>
      <c r="S307"/>
      <c r="T307"/>
      <c r="U307"/>
    </row>
    <row r="308" spans="1:21" x14ac:dyDescent="0.35">
      <c r="A308" s="22">
        <v>45323</v>
      </c>
      <c r="B308" s="35"/>
      <c r="C308" s="37" t="s">
        <v>97</v>
      </c>
      <c r="D308" s="43"/>
      <c r="E308" s="43"/>
      <c r="F308" s="66"/>
      <c r="G308" s="66"/>
      <c r="H308" s="1"/>
      <c r="I308" s="1"/>
      <c r="J308" s="1"/>
      <c r="K308" s="1"/>
      <c r="L308" s="38"/>
      <c r="M308" s="90"/>
      <c r="N308" s="90"/>
      <c r="O308" s="90"/>
      <c r="P308" s="90"/>
      <c r="Q308" s="228"/>
      <c r="R308" s="125"/>
    </row>
    <row r="309" spans="1:21" x14ac:dyDescent="0.35">
      <c r="A309" s="22">
        <v>45324</v>
      </c>
      <c r="B309" s="36"/>
      <c r="C309" s="37" t="s">
        <v>97</v>
      </c>
      <c r="D309" s="44"/>
      <c r="E309" s="44"/>
      <c r="F309" s="66"/>
      <c r="G309" s="66"/>
      <c r="H309" s="1"/>
      <c r="I309" s="1"/>
      <c r="J309" s="1"/>
      <c r="K309" s="1"/>
      <c r="L309" s="18"/>
      <c r="M309" s="89"/>
      <c r="N309" s="89"/>
      <c r="O309" s="89"/>
      <c r="P309" s="89"/>
      <c r="Q309" s="224"/>
      <c r="R309" s="125"/>
    </row>
    <row r="310" spans="1:21" x14ac:dyDescent="0.35">
      <c r="A310" s="22">
        <v>45325</v>
      </c>
      <c r="B310" s="35"/>
      <c r="C310" s="37" t="s">
        <v>97</v>
      </c>
      <c r="D310" s="43"/>
      <c r="E310" s="43"/>
      <c r="F310" s="66"/>
      <c r="G310" s="66"/>
      <c r="H310" s="1"/>
      <c r="I310" s="1"/>
      <c r="J310" s="1"/>
      <c r="K310" s="1"/>
      <c r="L310" s="38"/>
      <c r="M310" s="90"/>
      <c r="N310" s="90"/>
      <c r="O310" s="90"/>
      <c r="P310" s="90"/>
      <c r="Q310" s="228"/>
      <c r="R310" s="125"/>
    </row>
    <row r="311" spans="1:21" x14ac:dyDescent="0.35">
      <c r="A311" s="22">
        <v>45326</v>
      </c>
      <c r="B311" s="36"/>
      <c r="C311" s="37" t="s">
        <v>97</v>
      </c>
      <c r="D311" s="44"/>
      <c r="E311" s="44"/>
      <c r="F311" s="66"/>
      <c r="G311" s="66"/>
      <c r="H311" s="1"/>
      <c r="I311" s="1"/>
      <c r="J311" s="1"/>
      <c r="K311" s="1"/>
      <c r="L311" s="18"/>
      <c r="M311" s="89"/>
      <c r="N311" s="89"/>
      <c r="O311" s="89"/>
      <c r="P311" s="89"/>
      <c r="Q311" s="224"/>
      <c r="R311" s="125"/>
    </row>
    <row r="312" spans="1:21" x14ac:dyDescent="0.35">
      <c r="A312" s="22">
        <v>45327</v>
      </c>
      <c r="B312" s="37"/>
      <c r="C312" s="37" t="s">
        <v>97</v>
      </c>
      <c r="D312" s="33"/>
      <c r="E312" s="33"/>
      <c r="F312" s="65"/>
      <c r="G312" s="65"/>
      <c r="H312" s="33"/>
      <c r="I312" s="33"/>
      <c r="J312" s="33"/>
      <c r="K312" s="33"/>
      <c r="L312" s="38"/>
      <c r="M312" s="38"/>
      <c r="N312" s="38"/>
      <c r="O312" s="38"/>
      <c r="P312" s="38"/>
      <c r="Q312" s="228"/>
      <c r="R312" s="176"/>
    </row>
    <row r="313" spans="1:21" x14ac:dyDescent="0.35">
      <c r="A313" s="22">
        <v>45328</v>
      </c>
      <c r="B313" s="36"/>
      <c r="C313" s="37" t="s">
        <v>97</v>
      </c>
      <c r="D313" s="44"/>
      <c r="E313" s="44"/>
      <c r="F313" s="66"/>
      <c r="G313" s="66"/>
      <c r="H313" s="1"/>
      <c r="I313" s="1"/>
      <c r="J313" s="1"/>
      <c r="K313" s="1"/>
      <c r="L313" s="18"/>
      <c r="M313" s="89"/>
      <c r="N313" s="89"/>
      <c r="O313" s="89"/>
      <c r="P313" s="89"/>
      <c r="Q313" s="224"/>
      <c r="R313" s="125"/>
    </row>
    <row r="314" spans="1:21" x14ac:dyDescent="0.35">
      <c r="A314" s="22">
        <v>45329</v>
      </c>
      <c r="B314" s="35"/>
      <c r="C314" s="37" t="s">
        <v>97</v>
      </c>
      <c r="D314" s="44"/>
      <c r="E314" s="44"/>
      <c r="F314" s="66"/>
      <c r="G314" s="66"/>
      <c r="H314" s="1"/>
      <c r="I314" s="1"/>
      <c r="J314" s="1"/>
      <c r="K314" s="1"/>
      <c r="L314" s="18"/>
      <c r="M314" s="89"/>
      <c r="N314" s="89"/>
      <c r="O314" s="89"/>
      <c r="P314" s="89"/>
      <c r="Q314" s="228"/>
      <c r="R314" s="125"/>
      <c r="S314" s="50"/>
      <c r="T314" s="50"/>
      <c r="U314" s="50"/>
    </row>
    <row r="315" spans="1:21" x14ac:dyDescent="0.35">
      <c r="A315" s="22">
        <v>45330</v>
      </c>
      <c r="B315" s="36"/>
      <c r="C315" s="37" t="s">
        <v>97</v>
      </c>
      <c r="D315" s="44"/>
      <c r="E315" s="44"/>
      <c r="F315" s="66"/>
      <c r="G315" s="66"/>
      <c r="H315" s="1"/>
      <c r="I315" s="1"/>
      <c r="J315" s="1"/>
      <c r="K315" s="1"/>
      <c r="L315" s="18"/>
      <c r="M315" s="89"/>
      <c r="N315" s="89"/>
      <c r="O315" s="89"/>
      <c r="P315" s="89"/>
      <c r="Q315" s="224"/>
      <c r="R315" s="125"/>
    </row>
    <row r="316" spans="1:21" x14ac:dyDescent="0.35">
      <c r="A316" s="22">
        <v>45331</v>
      </c>
      <c r="B316" s="35"/>
      <c r="C316" s="37" t="s">
        <v>97</v>
      </c>
      <c r="D316" s="44"/>
      <c r="E316" s="44"/>
      <c r="F316" s="66"/>
      <c r="G316" s="66"/>
      <c r="H316" s="1"/>
      <c r="I316" s="1"/>
      <c r="J316" s="1"/>
      <c r="K316" s="1"/>
      <c r="L316" s="18"/>
      <c r="M316" s="89"/>
      <c r="N316" s="89"/>
      <c r="O316" s="89"/>
      <c r="P316" s="89"/>
      <c r="Q316" s="228"/>
      <c r="R316" s="125"/>
    </row>
    <row r="317" spans="1:21" x14ac:dyDescent="0.35">
      <c r="A317" s="22">
        <v>45332</v>
      </c>
      <c r="B317" s="36"/>
      <c r="C317" s="37" t="s">
        <v>97</v>
      </c>
      <c r="D317" s="44"/>
      <c r="E317" s="44"/>
      <c r="F317" s="66"/>
      <c r="G317" s="66"/>
      <c r="H317" s="1"/>
      <c r="I317" s="1"/>
      <c r="J317" s="1"/>
      <c r="K317" s="1"/>
      <c r="L317" s="18"/>
      <c r="M317" s="89"/>
      <c r="N317" s="89"/>
      <c r="O317" s="89"/>
      <c r="P317" s="89"/>
      <c r="Q317" s="224"/>
      <c r="R317" s="125"/>
    </row>
    <row r="318" spans="1:21" x14ac:dyDescent="0.35">
      <c r="A318" s="22">
        <v>45333</v>
      </c>
      <c r="B318" s="35"/>
      <c r="C318" s="37" t="s">
        <v>97</v>
      </c>
      <c r="D318" s="44"/>
      <c r="E318" s="44"/>
      <c r="F318" s="66"/>
      <c r="G318" s="66"/>
      <c r="H318" s="1"/>
      <c r="I318" s="1"/>
      <c r="J318" s="1"/>
      <c r="K318" s="1"/>
      <c r="L318" s="18"/>
      <c r="M318" s="89"/>
      <c r="N318" s="89"/>
      <c r="O318" s="89"/>
      <c r="P318" s="89"/>
      <c r="Q318" s="228"/>
      <c r="R318" s="125"/>
    </row>
    <row r="319" spans="1:21" x14ac:dyDescent="0.35">
      <c r="A319" s="22">
        <v>45334</v>
      </c>
      <c r="B319" s="36"/>
      <c r="C319" s="37" t="s">
        <v>97</v>
      </c>
      <c r="D319" s="44"/>
      <c r="E319" s="44"/>
      <c r="F319" s="66"/>
      <c r="G319" s="66"/>
      <c r="H319" s="1"/>
      <c r="I319" s="1"/>
      <c r="J319" s="1"/>
      <c r="K319" s="1"/>
      <c r="L319" s="18"/>
      <c r="M319" s="89"/>
      <c r="N319" s="89"/>
      <c r="O319" s="89"/>
      <c r="P319" s="89"/>
      <c r="Q319" s="224"/>
      <c r="R319" s="125"/>
    </row>
    <row r="320" spans="1:21" x14ac:dyDescent="0.35">
      <c r="A320" s="22">
        <v>45335</v>
      </c>
      <c r="B320" s="35"/>
      <c r="C320" s="37" t="s">
        <v>97</v>
      </c>
      <c r="D320" s="44"/>
      <c r="E320" s="44"/>
      <c r="F320" s="66"/>
      <c r="G320" s="66"/>
      <c r="H320" s="1"/>
      <c r="I320" s="1"/>
      <c r="J320" s="1"/>
      <c r="K320" s="1"/>
      <c r="L320" s="18"/>
      <c r="M320" s="89"/>
      <c r="N320" s="89"/>
      <c r="O320" s="89"/>
      <c r="P320" s="89"/>
      <c r="Q320" s="228"/>
      <c r="R320" s="125"/>
    </row>
    <row r="321" spans="1:18" x14ac:dyDescent="0.35">
      <c r="A321" s="22">
        <v>45336</v>
      </c>
      <c r="B321" s="36"/>
      <c r="C321" s="37" t="s">
        <v>97</v>
      </c>
      <c r="D321" s="44"/>
      <c r="E321" s="44"/>
      <c r="F321" s="66"/>
      <c r="G321" s="66"/>
      <c r="H321" s="1"/>
      <c r="I321" s="1"/>
      <c r="J321" s="1"/>
      <c r="K321" s="1"/>
      <c r="L321" s="18"/>
      <c r="M321" s="89"/>
      <c r="N321" s="89"/>
      <c r="O321" s="89"/>
      <c r="P321" s="89"/>
      <c r="Q321" s="224"/>
      <c r="R321" s="125"/>
    </row>
    <row r="322" spans="1:18" x14ac:dyDescent="0.35">
      <c r="A322" s="22">
        <v>45337</v>
      </c>
      <c r="B322" s="35"/>
      <c r="C322" s="37" t="s">
        <v>97</v>
      </c>
      <c r="D322" s="44"/>
      <c r="E322" s="44"/>
      <c r="F322" s="66"/>
      <c r="G322" s="66"/>
      <c r="H322" s="1"/>
      <c r="I322" s="1"/>
      <c r="J322" s="1"/>
      <c r="K322" s="1"/>
      <c r="L322" s="18"/>
      <c r="M322" s="89"/>
      <c r="N322" s="89"/>
      <c r="O322" s="89"/>
      <c r="P322" s="89"/>
      <c r="Q322" s="228"/>
      <c r="R322" s="125"/>
    </row>
    <row r="323" spans="1:18" x14ac:dyDescent="0.35">
      <c r="A323" s="22">
        <v>45338</v>
      </c>
      <c r="B323" s="36"/>
      <c r="C323" s="37" t="s">
        <v>97</v>
      </c>
      <c r="D323" s="44"/>
      <c r="E323" s="44"/>
      <c r="F323" s="66"/>
      <c r="G323" s="66"/>
      <c r="H323" s="1"/>
      <c r="I323" s="1"/>
      <c r="J323" s="1"/>
      <c r="K323" s="1"/>
      <c r="L323" s="18"/>
      <c r="M323" s="89"/>
      <c r="N323" s="89"/>
      <c r="O323" s="89"/>
      <c r="P323" s="89"/>
      <c r="Q323" s="224"/>
      <c r="R323" s="125"/>
    </row>
    <row r="324" spans="1:18" x14ac:dyDescent="0.35">
      <c r="A324" s="22">
        <v>45339</v>
      </c>
      <c r="B324" s="35"/>
      <c r="C324" s="37" t="s">
        <v>97</v>
      </c>
      <c r="D324" s="44"/>
      <c r="E324" s="44"/>
      <c r="F324" s="66"/>
      <c r="G324" s="66"/>
      <c r="H324" s="1"/>
      <c r="I324" s="1"/>
      <c r="J324" s="1"/>
      <c r="K324" s="1"/>
      <c r="L324" s="18"/>
      <c r="M324" s="89"/>
      <c r="N324" s="89"/>
      <c r="O324" s="89"/>
      <c r="P324" s="89"/>
      <c r="Q324" s="228"/>
      <c r="R324" s="125"/>
    </row>
    <row r="325" spans="1:18" x14ac:dyDescent="0.35">
      <c r="A325" s="22">
        <v>45340</v>
      </c>
      <c r="B325" s="36"/>
      <c r="C325" s="37" t="s">
        <v>97</v>
      </c>
      <c r="D325" s="44"/>
      <c r="E325" s="44"/>
      <c r="F325" s="66"/>
      <c r="G325" s="66"/>
      <c r="H325" s="1"/>
      <c r="I325" s="1"/>
      <c r="J325" s="1"/>
      <c r="K325" s="1"/>
      <c r="L325" s="18"/>
      <c r="M325" s="89"/>
      <c r="N325" s="89"/>
      <c r="O325" s="89"/>
      <c r="P325" s="89"/>
      <c r="Q325" s="224"/>
      <c r="R325" s="125"/>
    </row>
    <row r="326" spans="1:18" x14ac:dyDescent="0.35">
      <c r="A326" s="22">
        <v>45341</v>
      </c>
      <c r="B326" s="35"/>
      <c r="C326" s="37" t="s">
        <v>97</v>
      </c>
      <c r="D326" s="44"/>
      <c r="E326" s="44"/>
      <c r="F326" s="66"/>
      <c r="G326" s="66"/>
      <c r="H326" s="1"/>
      <c r="I326" s="1"/>
      <c r="J326" s="1"/>
      <c r="K326" s="1"/>
      <c r="L326" s="18"/>
      <c r="M326" s="89"/>
      <c r="N326" s="89"/>
      <c r="O326" s="89"/>
      <c r="P326" s="89"/>
      <c r="Q326" s="228"/>
      <c r="R326" s="125"/>
    </row>
    <row r="327" spans="1:18" x14ac:dyDescent="0.35">
      <c r="A327" s="22">
        <v>45342</v>
      </c>
      <c r="B327" s="36"/>
      <c r="C327" s="37" t="s">
        <v>97</v>
      </c>
      <c r="D327" s="44"/>
      <c r="E327" s="44"/>
      <c r="F327" s="66"/>
      <c r="G327" s="66"/>
      <c r="H327" s="1"/>
      <c r="I327" s="1"/>
      <c r="J327" s="1"/>
      <c r="K327" s="1"/>
      <c r="L327" s="18"/>
      <c r="M327" s="89"/>
      <c r="N327" s="89"/>
      <c r="O327" s="89"/>
      <c r="P327" s="89"/>
      <c r="Q327" s="224"/>
      <c r="R327" s="125"/>
    </row>
    <row r="328" spans="1:18" x14ac:dyDescent="0.35">
      <c r="A328" s="22">
        <v>45343</v>
      </c>
      <c r="B328" s="35"/>
      <c r="C328" s="37" t="s">
        <v>97</v>
      </c>
      <c r="D328" s="44"/>
      <c r="E328" s="44"/>
      <c r="F328" s="66"/>
      <c r="G328" s="66"/>
      <c r="H328" s="1"/>
      <c r="I328" s="1"/>
      <c r="J328" s="1"/>
      <c r="K328" s="1"/>
      <c r="L328" s="18"/>
      <c r="M328" s="89"/>
      <c r="N328" s="89"/>
      <c r="O328" s="89"/>
      <c r="P328" s="89"/>
      <c r="Q328" s="228"/>
      <c r="R328" s="125"/>
    </row>
    <row r="329" spans="1:18" x14ac:dyDescent="0.35">
      <c r="A329" s="22">
        <v>45344</v>
      </c>
      <c r="B329" s="36"/>
      <c r="C329" s="37" t="s">
        <v>97</v>
      </c>
      <c r="D329" s="44"/>
      <c r="E329" s="44"/>
      <c r="F329" s="66"/>
      <c r="G329" s="66"/>
      <c r="H329" s="1"/>
      <c r="I329" s="1"/>
      <c r="J329" s="1"/>
      <c r="K329" s="1"/>
      <c r="L329" s="18"/>
      <c r="M329" s="89"/>
      <c r="N329" s="89"/>
      <c r="O329" s="89"/>
      <c r="P329" s="89"/>
      <c r="Q329" s="224"/>
      <c r="R329" s="125"/>
    </row>
    <row r="330" spans="1:18" x14ac:dyDescent="0.35">
      <c r="A330" s="22">
        <v>45345</v>
      </c>
      <c r="B330" s="35"/>
      <c r="C330" s="37" t="s">
        <v>97</v>
      </c>
      <c r="D330" s="44"/>
      <c r="E330" s="44"/>
      <c r="F330" s="66"/>
      <c r="G330" s="66"/>
      <c r="H330" s="1"/>
      <c r="I330" s="1"/>
      <c r="J330" s="1"/>
      <c r="K330" s="1"/>
      <c r="L330" s="18"/>
      <c r="M330" s="89"/>
      <c r="N330" s="89"/>
      <c r="O330" s="89"/>
      <c r="P330" s="89"/>
      <c r="Q330" s="228"/>
      <c r="R330" s="125"/>
    </row>
    <row r="331" spans="1:18" x14ac:dyDescent="0.35">
      <c r="A331" s="22">
        <v>45346</v>
      </c>
      <c r="B331" s="36"/>
      <c r="C331" s="37" t="s">
        <v>97</v>
      </c>
      <c r="D331" s="44"/>
      <c r="E331" s="44"/>
      <c r="F331" s="66"/>
      <c r="G331" s="66"/>
      <c r="H331" s="1"/>
      <c r="I331" s="1"/>
      <c r="J331" s="1"/>
      <c r="K331" s="1"/>
      <c r="L331" s="18"/>
      <c r="M331" s="89"/>
      <c r="N331" s="89"/>
      <c r="O331" s="89"/>
      <c r="P331" s="89"/>
      <c r="Q331" s="224"/>
      <c r="R331" s="125"/>
    </row>
    <row r="332" spans="1:18" x14ac:dyDescent="0.35">
      <c r="A332" s="22">
        <v>45347</v>
      </c>
      <c r="B332" s="35"/>
      <c r="C332" s="37" t="s">
        <v>97</v>
      </c>
      <c r="D332" s="44"/>
      <c r="E332" s="44"/>
      <c r="F332" s="66"/>
      <c r="G332" s="66"/>
      <c r="H332" s="1"/>
      <c r="I332" s="1"/>
      <c r="J332" s="1"/>
      <c r="K332" s="1"/>
      <c r="L332" s="18"/>
      <c r="M332" s="89"/>
      <c r="N332" s="89"/>
      <c r="O332" s="89"/>
      <c r="P332" s="89"/>
      <c r="Q332" s="228"/>
      <c r="R332" s="125"/>
    </row>
    <row r="333" spans="1:18" x14ac:dyDescent="0.35">
      <c r="A333" s="22">
        <v>45348</v>
      </c>
      <c r="B333" s="36"/>
      <c r="C333" s="37" t="s">
        <v>97</v>
      </c>
      <c r="D333" s="44"/>
      <c r="E333" s="44"/>
      <c r="F333" s="66"/>
      <c r="G333" s="66"/>
      <c r="H333" s="1"/>
      <c r="I333" s="1"/>
      <c r="J333" s="1"/>
      <c r="K333" s="1"/>
      <c r="L333" s="18"/>
      <c r="M333" s="89"/>
      <c r="N333" s="89"/>
      <c r="O333" s="89"/>
      <c r="P333" s="89"/>
      <c r="Q333" s="224"/>
      <c r="R333" s="125"/>
    </row>
    <row r="334" spans="1:18" x14ac:dyDescent="0.35">
      <c r="A334" s="22">
        <v>45349</v>
      </c>
      <c r="B334" s="35"/>
      <c r="C334" s="37" t="s">
        <v>97</v>
      </c>
      <c r="D334" s="44"/>
      <c r="E334" s="44"/>
      <c r="F334" s="66"/>
      <c r="G334" s="66"/>
      <c r="H334" s="1"/>
      <c r="I334" s="1"/>
      <c r="J334" s="1"/>
      <c r="K334" s="1"/>
      <c r="L334" s="18"/>
      <c r="M334" s="89"/>
      <c r="N334" s="89"/>
      <c r="O334" s="89"/>
      <c r="P334" s="89"/>
      <c r="Q334" s="228"/>
      <c r="R334" s="125"/>
    </row>
    <row r="335" spans="1:18" x14ac:dyDescent="0.35">
      <c r="A335" s="22">
        <v>45350</v>
      </c>
      <c r="B335" s="36"/>
      <c r="C335" s="37" t="s">
        <v>97</v>
      </c>
      <c r="D335" s="44"/>
      <c r="E335" s="44"/>
      <c r="F335" s="66"/>
      <c r="G335" s="66"/>
      <c r="H335" s="1"/>
      <c r="I335" s="1"/>
      <c r="J335" s="1"/>
      <c r="K335" s="1"/>
      <c r="L335" s="18"/>
      <c r="M335" s="89"/>
      <c r="N335" s="89"/>
      <c r="O335" s="89"/>
      <c r="P335" s="89"/>
      <c r="Q335" s="224"/>
      <c r="R335" s="125"/>
    </row>
    <row r="336" spans="1:18" x14ac:dyDescent="0.35">
      <c r="A336" s="22">
        <v>45351</v>
      </c>
      <c r="B336" s="37"/>
      <c r="C336" s="37" t="s">
        <v>97</v>
      </c>
      <c r="D336" s="33"/>
      <c r="E336" s="33"/>
      <c r="F336" s="66"/>
      <c r="G336" s="66"/>
      <c r="H336" s="1"/>
      <c r="I336" s="1"/>
      <c r="J336" s="1"/>
      <c r="K336" s="1"/>
      <c r="L336" s="38"/>
      <c r="M336" s="38"/>
      <c r="N336" s="38"/>
      <c r="O336" s="38"/>
      <c r="P336" s="38"/>
      <c r="Q336" s="228"/>
      <c r="R336" s="125"/>
    </row>
    <row r="337" spans="1:18" x14ac:dyDescent="0.35">
      <c r="A337" s="22">
        <v>45352</v>
      </c>
      <c r="B337" s="36"/>
      <c r="C337" s="37" t="s">
        <v>97</v>
      </c>
      <c r="D337" s="44"/>
      <c r="E337" s="44"/>
      <c r="F337" s="66"/>
      <c r="G337" s="66"/>
      <c r="H337" s="1"/>
      <c r="I337" s="1"/>
      <c r="J337" s="1"/>
      <c r="K337" s="1"/>
      <c r="L337" s="18"/>
      <c r="M337" s="89"/>
      <c r="N337" s="89"/>
      <c r="O337" s="89"/>
      <c r="P337" s="89"/>
      <c r="Q337" s="224"/>
      <c r="R337" s="125"/>
    </row>
    <row r="338" spans="1:18" x14ac:dyDescent="0.35">
      <c r="A338" s="22">
        <v>45353</v>
      </c>
      <c r="B338" s="35"/>
      <c r="C338" s="37" t="s">
        <v>97</v>
      </c>
      <c r="D338" s="44"/>
      <c r="E338" s="44"/>
      <c r="F338" s="66"/>
      <c r="G338" s="66"/>
      <c r="H338" s="1"/>
      <c r="I338" s="1"/>
      <c r="J338" s="1"/>
      <c r="K338" s="1"/>
      <c r="L338" s="18"/>
      <c r="M338" s="89"/>
      <c r="N338" s="89"/>
      <c r="O338" s="89"/>
      <c r="P338" s="89"/>
      <c r="Q338" s="228"/>
      <c r="R338" s="125"/>
    </row>
    <row r="339" spans="1:18" x14ac:dyDescent="0.35">
      <c r="A339" s="22">
        <v>45354</v>
      </c>
      <c r="B339" s="36"/>
      <c r="C339" s="37" t="s">
        <v>97</v>
      </c>
      <c r="D339" s="44"/>
      <c r="E339" s="44"/>
      <c r="F339" s="66"/>
      <c r="G339" s="66"/>
      <c r="H339" s="1"/>
      <c r="I339" s="1"/>
      <c r="J339" s="1"/>
      <c r="K339" s="1"/>
      <c r="L339" s="18"/>
      <c r="M339" s="89"/>
      <c r="N339" s="89"/>
      <c r="O339" s="89"/>
      <c r="P339" s="89"/>
      <c r="Q339" s="224"/>
      <c r="R339" s="125"/>
    </row>
    <row r="340" spans="1:18" x14ac:dyDescent="0.35">
      <c r="A340" s="22">
        <v>45355</v>
      </c>
      <c r="B340" s="35"/>
      <c r="C340" s="37" t="s">
        <v>97</v>
      </c>
      <c r="D340" s="44"/>
      <c r="E340" s="44"/>
      <c r="F340" s="66"/>
      <c r="G340" s="66"/>
      <c r="H340" s="1"/>
      <c r="I340" s="1"/>
      <c r="J340" s="1"/>
      <c r="K340" s="1"/>
      <c r="L340" s="18"/>
      <c r="M340" s="89"/>
      <c r="N340" s="89"/>
      <c r="O340" s="89"/>
      <c r="P340" s="89"/>
      <c r="Q340" s="228"/>
      <c r="R340" s="125"/>
    </row>
    <row r="341" spans="1:18" x14ac:dyDescent="0.35">
      <c r="A341" s="22">
        <v>45356</v>
      </c>
      <c r="B341" s="36"/>
      <c r="C341" s="37" t="s">
        <v>97</v>
      </c>
      <c r="D341" s="44"/>
      <c r="E341" s="44"/>
      <c r="F341" s="66"/>
      <c r="G341" s="66"/>
      <c r="H341" s="1"/>
      <c r="I341" s="1"/>
      <c r="J341" s="1"/>
      <c r="K341" s="1"/>
      <c r="L341" s="18"/>
      <c r="M341" s="89"/>
      <c r="N341" s="89"/>
      <c r="O341" s="89"/>
      <c r="P341" s="89"/>
      <c r="Q341" s="224"/>
      <c r="R341" s="125"/>
    </row>
    <row r="342" spans="1:18" x14ac:dyDescent="0.35">
      <c r="A342" s="22">
        <v>45357</v>
      </c>
      <c r="B342" s="37"/>
      <c r="C342" s="37" t="s">
        <v>97</v>
      </c>
      <c r="D342" s="33"/>
      <c r="E342" s="33"/>
      <c r="F342" s="66"/>
      <c r="G342" s="66"/>
      <c r="H342" s="1"/>
      <c r="I342" s="1"/>
      <c r="J342" s="1"/>
      <c r="K342" s="1"/>
      <c r="L342" s="38"/>
      <c r="M342" s="38"/>
      <c r="N342" s="38"/>
      <c r="O342" s="38"/>
      <c r="P342" s="38"/>
      <c r="Q342" s="228"/>
      <c r="R342" s="125"/>
    </row>
    <row r="343" spans="1:18" x14ac:dyDescent="0.35">
      <c r="A343" s="22">
        <v>45358</v>
      </c>
      <c r="B343" s="36"/>
      <c r="C343" s="37" t="s">
        <v>97</v>
      </c>
      <c r="D343" s="44"/>
      <c r="E343" s="44"/>
      <c r="F343" s="66"/>
      <c r="G343" s="66"/>
      <c r="H343" s="1"/>
      <c r="I343" s="1"/>
      <c r="J343" s="1"/>
      <c r="K343" s="1"/>
      <c r="L343" s="18"/>
      <c r="M343" s="89"/>
      <c r="N343" s="89"/>
      <c r="O343" s="89"/>
      <c r="P343" s="89"/>
      <c r="Q343" s="224"/>
      <c r="R343" s="125"/>
    </row>
    <row r="344" spans="1:18" x14ac:dyDescent="0.35">
      <c r="A344" s="22">
        <v>45359</v>
      </c>
      <c r="B344" s="35"/>
      <c r="C344" s="37" t="s">
        <v>97</v>
      </c>
      <c r="D344" s="44"/>
      <c r="E344" s="44"/>
      <c r="F344" s="66"/>
      <c r="G344" s="66"/>
      <c r="H344" s="1"/>
      <c r="I344" s="1"/>
      <c r="J344" s="1"/>
      <c r="K344" s="1"/>
      <c r="L344" s="18"/>
      <c r="M344" s="89"/>
      <c r="N344" s="89"/>
      <c r="O344" s="89"/>
      <c r="P344" s="89"/>
      <c r="Q344" s="228"/>
      <c r="R344" s="125"/>
    </row>
    <row r="345" spans="1:18" x14ac:dyDescent="0.35">
      <c r="A345" s="22">
        <v>45360</v>
      </c>
      <c r="B345" s="36"/>
      <c r="C345" s="37" t="s">
        <v>97</v>
      </c>
      <c r="D345" s="44"/>
      <c r="E345" s="44"/>
      <c r="F345" s="66"/>
      <c r="G345" s="66"/>
      <c r="H345" s="1"/>
      <c r="I345" s="1"/>
      <c r="J345" s="1"/>
      <c r="K345" s="1"/>
      <c r="L345" s="18"/>
      <c r="M345" s="89"/>
      <c r="N345" s="89"/>
      <c r="O345" s="89"/>
      <c r="P345" s="89"/>
      <c r="Q345" s="224"/>
      <c r="R345" s="125"/>
    </row>
    <row r="346" spans="1:18" x14ac:dyDescent="0.35">
      <c r="A346" s="22">
        <v>45361</v>
      </c>
      <c r="B346" s="35"/>
      <c r="C346" s="37" t="s">
        <v>97</v>
      </c>
      <c r="D346" s="44"/>
      <c r="E346" s="44"/>
      <c r="F346" s="66"/>
      <c r="G346" s="66"/>
      <c r="H346" s="1"/>
      <c r="I346" s="1"/>
      <c r="J346" s="1"/>
      <c r="K346" s="1"/>
      <c r="L346" s="18"/>
      <c r="M346" s="89"/>
      <c r="N346" s="89"/>
      <c r="O346" s="89"/>
      <c r="P346" s="89"/>
      <c r="Q346" s="228"/>
      <c r="R346" s="125"/>
    </row>
    <row r="347" spans="1:18" x14ac:dyDescent="0.35">
      <c r="A347" s="22">
        <v>45362</v>
      </c>
      <c r="B347" s="36"/>
      <c r="C347" s="37" t="s">
        <v>97</v>
      </c>
      <c r="D347" s="44"/>
      <c r="E347" s="44"/>
      <c r="F347" s="66"/>
      <c r="G347" s="66"/>
      <c r="H347" s="1"/>
      <c r="I347" s="1"/>
      <c r="J347" s="1"/>
      <c r="K347" s="1"/>
      <c r="L347" s="18"/>
      <c r="M347" s="89"/>
      <c r="N347" s="89"/>
      <c r="O347" s="89"/>
      <c r="P347" s="89"/>
      <c r="Q347" s="224"/>
      <c r="R347" s="125"/>
    </row>
    <row r="348" spans="1:18" x14ac:dyDescent="0.35">
      <c r="A348" s="22">
        <v>45363</v>
      </c>
      <c r="B348" s="35"/>
      <c r="C348" s="37" t="s">
        <v>97</v>
      </c>
      <c r="D348" s="44"/>
      <c r="E348" s="44"/>
      <c r="F348" s="66"/>
      <c r="G348" s="66"/>
      <c r="H348" s="1"/>
      <c r="I348" s="1"/>
      <c r="J348" s="1"/>
      <c r="K348" s="1"/>
      <c r="L348" s="18"/>
      <c r="M348" s="89"/>
      <c r="N348" s="89"/>
      <c r="O348" s="89"/>
      <c r="P348" s="89"/>
      <c r="Q348" s="228"/>
      <c r="R348" s="125"/>
    </row>
    <row r="349" spans="1:18" x14ac:dyDescent="0.35">
      <c r="A349" s="22">
        <v>45364</v>
      </c>
      <c r="B349" s="36"/>
      <c r="C349" s="37" t="s">
        <v>97</v>
      </c>
      <c r="D349" s="44"/>
      <c r="E349" s="44"/>
      <c r="F349" s="66"/>
      <c r="G349" s="66"/>
      <c r="H349" s="1"/>
      <c r="I349" s="1"/>
      <c r="J349" s="1"/>
      <c r="K349" s="1"/>
      <c r="L349" s="18"/>
      <c r="M349" s="89"/>
      <c r="N349" s="89"/>
      <c r="O349" s="89"/>
      <c r="P349" s="89"/>
      <c r="Q349" s="224"/>
      <c r="R349" s="125"/>
    </row>
    <row r="350" spans="1:18" x14ac:dyDescent="0.35">
      <c r="A350" s="22">
        <v>45365</v>
      </c>
      <c r="B350" s="37"/>
      <c r="C350" s="37" t="s">
        <v>97</v>
      </c>
      <c r="D350" s="33"/>
      <c r="E350" s="33"/>
      <c r="F350" s="66"/>
      <c r="G350" s="66"/>
      <c r="H350" s="1"/>
      <c r="I350" s="1"/>
      <c r="J350" s="1"/>
      <c r="K350" s="1"/>
      <c r="L350" s="38"/>
      <c r="M350" s="38"/>
      <c r="N350" s="38"/>
      <c r="O350" s="38"/>
      <c r="P350" s="38"/>
      <c r="Q350" s="228"/>
      <c r="R350" s="125"/>
    </row>
    <row r="351" spans="1:18" x14ac:dyDescent="0.35">
      <c r="A351" s="22">
        <v>45366</v>
      </c>
      <c r="B351" s="36"/>
      <c r="C351" s="37" t="s">
        <v>97</v>
      </c>
      <c r="D351" s="44"/>
      <c r="E351" s="44"/>
      <c r="F351" s="66"/>
      <c r="G351" s="66"/>
      <c r="H351" s="1"/>
      <c r="I351" s="1"/>
      <c r="J351" s="1"/>
      <c r="K351" s="1"/>
      <c r="L351" s="18"/>
      <c r="M351" s="89"/>
      <c r="N351" s="89"/>
      <c r="O351" s="89"/>
      <c r="P351" s="89"/>
      <c r="Q351" s="224"/>
      <c r="R351" s="125"/>
    </row>
    <row r="352" spans="1:18" x14ac:dyDescent="0.35">
      <c r="A352" s="22">
        <v>45367</v>
      </c>
      <c r="B352" s="37"/>
      <c r="C352" s="37" t="s">
        <v>97</v>
      </c>
      <c r="D352" s="44"/>
      <c r="E352" s="44"/>
      <c r="F352" s="66"/>
      <c r="G352" s="66"/>
      <c r="H352" s="1"/>
      <c r="I352" s="1"/>
      <c r="J352" s="1"/>
      <c r="K352" s="1"/>
      <c r="L352" s="18"/>
      <c r="M352" s="89"/>
      <c r="N352" s="89"/>
      <c r="O352" s="89"/>
      <c r="P352" s="89"/>
      <c r="Q352" s="228"/>
      <c r="R352" s="125"/>
    </row>
    <row r="353" spans="1:18" x14ac:dyDescent="0.35">
      <c r="A353" s="22">
        <v>45368</v>
      </c>
      <c r="B353" s="36"/>
      <c r="C353" s="37" t="s">
        <v>97</v>
      </c>
      <c r="D353" s="44"/>
      <c r="E353" s="44"/>
      <c r="F353" s="66"/>
      <c r="G353" s="66"/>
      <c r="H353" s="1"/>
      <c r="I353" s="1"/>
      <c r="J353" s="1"/>
      <c r="K353" s="1"/>
      <c r="L353" s="18"/>
      <c r="M353" s="89"/>
      <c r="N353" s="89"/>
      <c r="O353" s="89"/>
      <c r="P353" s="89"/>
      <c r="Q353" s="224"/>
      <c r="R353" s="125"/>
    </row>
    <row r="354" spans="1:18" x14ac:dyDescent="0.35">
      <c r="A354" s="22">
        <v>45369</v>
      </c>
      <c r="B354" s="37"/>
      <c r="C354" s="37" t="s">
        <v>97</v>
      </c>
      <c r="D354" s="44"/>
      <c r="E354" s="44"/>
      <c r="F354" s="66"/>
      <c r="G354" s="66"/>
      <c r="H354" s="1"/>
      <c r="I354" s="1"/>
      <c r="J354" s="1"/>
      <c r="K354" s="1"/>
      <c r="L354" s="18"/>
      <c r="M354" s="89"/>
      <c r="N354" s="89"/>
      <c r="O354" s="89"/>
      <c r="P354" s="89"/>
      <c r="Q354" s="228"/>
      <c r="R354" s="125"/>
    </row>
    <row r="355" spans="1:18" x14ac:dyDescent="0.35">
      <c r="A355" s="22">
        <v>45370</v>
      </c>
      <c r="B355" s="36"/>
      <c r="C355" s="37" t="s">
        <v>97</v>
      </c>
      <c r="D355" s="44"/>
      <c r="E355" s="44"/>
      <c r="F355" s="66"/>
      <c r="G355" s="66"/>
      <c r="H355" s="1"/>
      <c r="I355" s="1"/>
      <c r="J355" s="1"/>
      <c r="K355" s="1"/>
      <c r="L355" s="18"/>
      <c r="M355" s="89"/>
      <c r="N355" s="89"/>
      <c r="O355" s="89"/>
      <c r="P355" s="89"/>
      <c r="Q355" s="224"/>
      <c r="R355" s="125"/>
    </row>
    <row r="356" spans="1:18" x14ac:dyDescent="0.35">
      <c r="A356" s="22">
        <v>45371</v>
      </c>
      <c r="B356" s="36"/>
      <c r="C356" s="37" t="s">
        <v>97</v>
      </c>
      <c r="D356" s="44"/>
      <c r="E356" s="44"/>
      <c r="F356" s="66"/>
      <c r="G356" s="66"/>
      <c r="H356" s="1"/>
      <c r="I356" s="1"/>
      <c r="J356" s="1"/>
      <c r="K356" s="1"/>
      <c r="L356" s="18"/>
      <c r="M356" s="89"/>
      <c r="N356" s="89"/>
      <c r="O356" s="89"/>
      <c r="P356" s="89"/>
      <c r="Q356" s="228"/>
      <c r="R356" s="125"/>
    </row>
    <row r="357" spans="1:18" x14ac:dyDescent="0.35">
      <c r="A357" s="22">
        <v>45372</v>
      </c>
      <c r="B357" s="36"/>
      <c r="C357" s="37" t="s">
        <v>97</v>
      </c>
      <c r="D357" s="44"/>
      <c r="E357" s="44"/>
      <c r="F357" s="66"/>
      <c r="G357" s="66"/>
      <c r="H357" s="1"/>
      <c r="I357" s="1"/>
      <c r="J357" s="1"/>
      <c r="K357" s="1"/>
      <c r="L357" s="18"/>
      <c r="M357" s="89"/>
      <c r="N357" s="89"/>
      <c r="O357" s="89"/>
      <c r="P357" s="89"/>
      <c r="Q357" s="224"/>
      <c r="R357" s="125"/>
    </row>
    <row r="358" spans="1:18" x14ac:dyDescent="0.35">
      <c r="A358" s="22">
        <v>45373</v>
      </c>
      <c r="B358" s="37"/>
      <c r="C358" s="37" t="s">
        <v>97</v>
      </c>
      <c r="D358" s="33"/>
      <c r="E358" s="33"/>
      <c r="F358" s="66"/>
      <c r="G358" s="66"/>
      <c r="H358" s="1"/>
      <c r="I358" s="1"/>
      <c r="J358" s="1"/>
      <c r="K358" s="1"/>
      <c r="L358" s="38"/>
      <c r="M358" s="38"/>
      <c r="N358" s="38"/>
      <c r="O358" s="38"/>
      <c r="P358" s="38"/>
      <c r="Q358" s="228"/>
      <c r="R358" s="176"/>
    </row>
    <row r="359" spans="1:18" x14ac:dyDescent="0.35">
      <c r="A359" s="22">
        <v>45374</v>
      </c>
      <c r="B359" s="36"/>
      <c r="C359" s="37" t="s">
        <v>97</v>
      </c>
      <c r="D359" s="44"/>
      <c r="E359" s="44"/>
      <c r="F359" s="66"/>
      <c r="G359" s="66"/>
      <c r="H359" s="1"/>
      <c r="I359" s="1"/>
      <c r="J359" s="1"/>
      <c r="K359" s="1"/>
      <c r="L359" s="18"/>
      <c r="M359" s="89"/>
      <c r="N359" s="89"/>
      <c r="O359" s="89"/>
      <c r="P359" s="89"/>
      <c r="Q359" s="224"/>
      <c r="R359" s="125"/>
    </row>
    <row r="360" spans="1:18" x14ac:dyDescent="0.35">
      <c r="A360" s="22">
        <v>45375</v>
      </c>
      <c r="B360" s="36"/>
      <c r="C360" s="37" t="s">
        <v>97</v>
      </c>
      <c r="D360" s="44"/>
      <c r="E360" s="44"/>
      <c r="F360" s="66"/>
      <c r="G360" s="66"/>
      <c r="H360" s="1"/>
      <c r="I360" s="1"/>
      <c r="J360" s="1"/>
      <c r="K360" s="1"/>
      <c r="L360" s="18"/>
      <c r="M360" s="89"/>
      <c r="N360" s="89"/>
      <c r="O360" s="89"/>
      <c r="P360" s="89"/>
      <c r="Q360" s="228"/>
      <c r="R360" s="125"/>
    </row>
    <row r="361" spans="1:18" x14ac:dyDescent="0.35">
      <c r="A361" s="22">
        <v>45376</v>
      </c>
      <c r="B361" s="36"/>
      <c r="C361" s="37" t="s">
        <v>97</v>
      </c>
      <c r="D361" s="44"/>
      <c r="E361" s="44"/>
      <c r="F361" s="66"/>
      <c r="G361" s="66"/>
      <c r="H361" s="1"/>
      <c r="I361" s="1"/>
      <c r="J361" s="1"/>
      <c r="K361" s="1"/>
      <c r="L361" s="18"/>
      <c r="M361" s="89"/>
      <c r="N361" s="89"/>
      <c r="O361" s="89"/>
      <c r="P361" s="89"/>
      <c r="Q361" s="224"/>
      <c r="R361" s="125"/>
    </row>
    <row r="362" spans="1:18" x14ac:dyDescent="0.35">
      <c r="A362" s="22">
        <v>45377</v>
      </c>
      <c r="B362" s="36"/>
      <c r="C362" s="37" t="s">
        <v>97</v>
      </c>
      <c r="D362" s="44"/>
      <c r="E362" s="44"/>
      <c r="F362" s="66"/>
      <c r="G362" s="66"/>
      <c r="H362" s="1"/>
      <c r="I362" s="1"/>
      <c r="J362" s="1"/>
      <c r="K362" s="1"/>
      <c r="L362" s="18"/>
      <c r="M362" s="89"/>
      <c r="N362" s="89"/>
      <c r="O362" s="89"/>
      <c r="P362" s="89"/>
      <c r="Q362" s="228"/>
      <c r="R362" s="125"/>
    </row>
    <row r="363" spans="1:18" x14ac:dyDescent="0.35">
      <c r="A363" s="22">
        <v>45378</v>
      </c>
      <c r="B363" s="36"/>
      <c r="C363" s="37" t="s">
        <v>97</v>
      </c>
      <c r="D363" s="44"/>
      <c r="E363" s="44"/>
      <c r="F363" s="66"/>
      <c r="G363" s="66"/>
      <c r="H363" s="1"/>
      <c r="I363" s="1"/>
      <c r="J363" s="1"/>
      <c r="K363" s="1"/>
      <c r="L363" s="18"/>
      <c r="M363" s="89"/>
      <c r="N363" s="89"/>
      <c r="O363" s="89"/>
      <c r="P363" s="89"/>
      <c r="Q363" s="224"/>
      <c r="R363" s="125"/>
    </row>
    <row r="364" spans="1:18" x14ac:dyDescent="0.35">
      <c r="A364" s="22">
        <v>45379</v>
      </c>
      <c r="B364" s="36"/>
      <c r="C364" s="37" t="s">
        <v>97</v>
      </c>
      <c r="D364" s="44"/>
      <c r="E364" s="44"/>
      <c r="F364" s="66"/>
      <c r="G364" s="66"/>
      <c r="H364" s="1"/>
      <c r="I364" s="1"/>
      <c r="J364" s="1"/>
      <c r="K364" s="1"/>
      <c r="L364" s="18"/>
      <c r="M364" s="89"/>
      <c r="N364" s="89"/>
      <c r="O364" s="89"/>
      <c r="P364" s="89"/>
      <c r="Q364" s="228"/>
      <c r="R364" s="125"/>
    </row>
    <row r="365" spans="1:18" x14ac:dyDescent="0.35">
      <c r="A365" s="22">
        <v>45380</v>
      </c>
      <c r="B365" s="36"/>
      <c r="C365" s="37" t="s">
        <v>97</v>
      </c>
      <c r="D365" s="44"/>
      <c r="E365" s="44"/>
      <c r="F365" s="66"/>
      <c r="G365" s="66"/>
      <c r="H365" s="1"/>
      <c r="I365" s="1"/>
      <c r="J365" s="1"/>
      <c r="K365" s="1"/>
      <c r="L365" s="18"/>
      <c r="M365" s="89"/>
      <c r="N365" s="89"/>
      <c r="O365" s="89"/>
      <c r="P365" s="89"/>
      <c r="Q365" s="224"/>
      <c r="R365" s="125"/>
    </row>
    <row r="366" spans="1:18" x14ac:dyDescent="0.35">
      <c r="A366" s="22">
        <v>45381</v>
      </c>
      <c r="B366" s="36"/>
      <c r="C366" s="37" t="s">
        <v>97</v>
      </c>
      <c r="D366" s="44"/>
      <c r="E366" s="44"/>
      <c r="F366" s="66"/>
      <c r="G366" s="66"/>
      <c r="H366" s="1"/>
      <c r="I366" s="1"/>
      <c r="J366" s="1"/>
      <c r="K366" s="1"/>
      <c r="L366" s="18"/>
      <c r="M366" s="89"/>
      <c r="N366" s="89"/>
      <c r="O366" s="89"/>
      <c r="P366" s="89"/>
      <c r="Q366" s="228"/>
      <c r="R366" s="125"/>
    </row>
    <row r="367" spans="1:18" x14ac:dyDescent="0.35">
      <c r="A367" s="32">
        <v>45016</v>
      </c>
      <c r="B367" s="35"/>
      <c r="C367" s="37" t="s">
        <v>97</v>
      </c>
      <c r="D367" s="43"/>
      <c r="E367" s="43"/>
      <c r="F367" s="65"/>
      <c r="G367" s="65"/>
      <c r="H367" s="33"/>
      <c r="I367" s="33"/>
      <c r="J367" s="33"/>
      <c r="K367" s="33"/>
      <c r="L367" s="38"/>
      <c r="M367" s="90"/>
      <c r="N367" s="90"/>
      <c r="O367" s="90"/>
      <c r="P367" s="90"/>
      <c r="Q367" s="224"/>
      <c r="R367" s="211"/>
    </row>
  </sheetData>
  <mergeCells count="1">
    <mergeCell ref="AL134:AM134"/>
  </mergeCells>
  <phoneticPr fontId="8" type="noConversion"/>
  <dataValidations count="3">
    <dataValidation type="list" showInputMessage="1" showErrorMessage="1" sqref="U127" xr:uid="{580175D9-E308-4204-A0F3-FA6EDD86E3C3}">
      <formula1>period_OECS</formula1>
    </dataValidation>
    <dataValidation type="list" allowBlank="1" showInputMessage="1" showErrorMessage="1" sqref="U128" xr:uid="{79599377-70F8-49FB-9DAC-DE588EADEA64}">
      <formula1>period_OECS</formula1>
    </dataValidation>
    <dataValidation type="list" allowBlank="1" showInputMessage="1" showErrorMessage="1" sqref="Y7:Y8" xr:uid="{B8BB15A2-7ADB-4430-9759-82509986C7CD}">
      <formula1>WoW_dates_OECS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Y367"/>
  <sheetViews>
    <sheetView zoomScale="70" zoomScaleNormal="70" workbookViewId="0">
      <pane xSplit="1" ySplit="1" topLeftCell="B92" activePane="bottomRight" state="frozen"/>
      <selection pane="topRight" activeCell="B1" sqref="B1"/>
      <selection pane="bottomLeft" activeCell="A3" sqref="A3"/>
      <selection pane="bottomRight" activeCell="R110" sqref="R110"/>
    </sheetView>
  </sheetViews>
  <sheetFormatPr defaultRowHeight="14.5" x14ac:dyDescent="0.35"/>
  <cols>
    <col min="2" max="2" width="19" bestFit="1" customWidth="1"/>
    <col min="3" max="3" width="16.453125" bestFit="1" customWidth="1"/>
    <col min="4" max="4" width="10.36328125" customWidth="1"/>
    <col min="5" max="5" width="13.7265625" bestFit="1" customWidth="1"/>
    <col min="6" max="6" width="24.81640625" bestFit="1" customWidth="1"/>
    <col min="7" max="7" width="24.089843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9" customWidth="1"/>
    <col min="18" max="18" width="15.6328125" style="122" bestFit="1" customWidth="1"/>
    <col min="19" max="19" width="8.7265625" style="122"/>
    <col min="20" max="20" width="9.90625" customWidth="1"/>
    <col min="21" max="21" width="21.1796875" customWidth="1"/>
    <col min="22" max="22" width="23.1796875" customWidth="1"/>
    <col min="23" max="23" width="10.6328125" bestFit="1" customWidth="1"/>
  </cols>
  <sheetData>
    <row r="1" spans="1:24" x14ac:dyDescent="0.35">
      <c r="A1" s="40" t="s">
        <v>36</v>
      </c>
      <c r="B1" s="41" t="s">
        <v>55</v>
      </c>
      <c r="C1" s="41" t="s">
        <v>60</v>
      </c>
      <c r="D1" s="41" t="s">
        <v>59</v>
      </c>
      <c r="E1" s="41" t="s">
        <v>34</v>
      </c>
      <c r="F1" s="41" t="s">
        <v>62</v>
      </c>
      <c r="G1" s="41" t="s">
        <v>61</v>
      </c>
      <c r="H1" s="41" t="s">
        <v>56</v>
      </c>
      <c r="I1" s="41" t="s">
        <v>57</v>
      </c>
      <c r="J1" s="41" t="s">
        <v>103</v>
      </c>
      <c r="K1" s="41" t="s">
        <v>58</v>
      </c>
      <c r="L1" s="41" t="s">
        <v>32</v>
      </c>
      <c r="M1" s="41" t="s">
        <v>5</v>
      </c>
      <c r="N1" s="41" t="s">
        <v>4</v>
      </c>
      <c r="O1" s="41" t="s">
        <v>33</v>
      </c>
      <c r="P1" s="42" t="s">
        <v>7</v>
      </c>
      <c r="Q1" s="42" t="s">
        <v>82</v>
      </c>
      <c r="R1" s="123" t="s">
        <v>80</v>
      </c>
      <c r="S1" s="156"/>
    </row>
    <row r="2" spans="1:24" x14ac:dyDescent="0.35">
      <c r="A2" s="34">
        <v>45017</v>
      </c>
      <c r="B2" s="36" t="s">
        <v>54</v>
      </c>
      <c r="C2" s="36" t="s">
        <v>97</v>
      </c>
      <c r="D2" s="1">
        <v>156</v>
      </c>
      <c r="E2" s="1">
        <v>150</v>
      </c>
      <c r="F2" s="66">
        <v>0.11428571428571428</v>
      </c>
      <c r="G2" s="66">
        <v>8.6956521739130432E-2</v>
      </c>
      <c r="H2" s="1">
        <v>156</v>
      </c>
      <c r="I2" s="1">
        <v>150</v>
      </c>
      <c r="J2" s="1">
        <v>156</v>
      </c>
      <c r="K2" s="1">
        <v>150</v>
      </c>
      <c r="L2" s="18">
        <v>0.97</v>
      </c>
      <c r="M2" s="18">
        <v>0.04</v>
      </c>
      <c r="N2" s="18">
        <v>0.96</v>
      </c>
      <c r="O2" s="18">
        <v>0.63</v>
      </c>
      <c r="P2" s="23">
        <v>1</v>
      </c>
      <c r="Q2" s="226">
        <v>9.1435185185185185E-4</v>
      </c>
      <c r="R2" s="124">
        <v>3</v>
      </c>
    </row>
    <row r="3" spans="1:24" x14ac:dyDescent="0.35">
      <c r="A3" s="34">
        <v>45018</v>
      </c>
      <c r="B3" s="36" t="s">
        <v>48</v>
      </c>
      <c r="C3" s="36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55">
        <v>0</v>
      </c>
      <c r="R3" s="125">
        <v>0</v>
      </c>
      <c r="W3" t="s">
        <v>69</v>
      </c>
      <c r="X3" s="16">
        <v>44654</v>
      </c>
    </row>
    <row r="4" spans="1:24" x14ac:dyDescent="0.35">
      <c r="A4" s="34">
        <v>45019</v>
      </c>
      <c r="B4" s="36" t="s">
        <v>49</v>
      </c>
      <c r="C4" s="36" t="s">
        <v>97</v>
      </c>
      <c r="D4" s="1">
        <v>258</v>
      </c>
      <c r="E4" s="1">
        <v>248</v>
      </c>
      <c r="F4" s="66">
        <v>-1.1494252873563218E-2</v>
      </c>
      <c r="G4" s="66">
        <v>-1.5873015873015872E-2</v>
      </c>
      <c r="H4" s="1">
        <f>H2+Table9[[#This Row],[Calls Off]]</f>
        <v>414</v>
      </c>
      <c r="I4" s="1">
        <f>I2+Table9[[#This Row],[Calls Ans]]</f>
        <v>398</v>
      </c>
      <c r="J4" s="1">
        <f>J2+Table9[[#This Row],[Calls Off]]</f>
        <v>414</v>
      </c>
      <c r="K4" s="1">
        <f>K2+Table9[[#This Row],[Calls Ans]]</f>
        <v>398</v>
      </c>
      <c r="L4" s="18">
        <v>0.9</v>
      </c>
      <c r="M4" s="18">
        <v>0.04</v>
      </c>
      <c r="N4" s="18">
        <v>0.96</v>
      </c>
      <c r="O4" s="18">
        <v>0.76</v>
      </c>
      <c r="P4" s="23">
        <v>1</v>
      </c>
      <c r="Q4" s="225">
        <v>9.4907407407407408E-4</v>
      </c>
      <c r="R4" s="125">
        <v>4</v>
      </c>
      <c r="W4" t="s">
        <v>70</v>
      </c>
      <c r="X4" s="16">
        <v>44675</v>
      </c>
    </row>
    <row r="5" spans="1:24" x14ac:dyDescent="0.35">
      <c r="A5" s="34">
        <v>45020</v>
      </c>
      <c r="B5" s="36" t="s">
        <v>50</v>
      </c>
      <c r="C5" s="36" t="s">
        <v>97</v>
      </c>
      <c r="D5" s="1">
        <v>263</v>
      </c>
      <c r="E5" s="1">
        <v>259</v>
      </c>
      <c r="F5" s="66">
        <v>-1.4981273408239701E-2</v>
      </c>
      <c r="G5" s="66">
        <v>-1.893939393939394E-2</v>
      </c>
      <c r="H5" s="1">
        <f>H4+Table9[[#This Row],[Calls Off]]</f>
        <v>677</v>
      </c>
      <c r="I5" s="1">
        <f>I4+Table9[[#This Row],[Calls Ans]]</f>
        <v>657</v>
      </c>
      <c r="J5" s="1">
        <f>J4+Table9[[#This Row],[Calls Off]]</f>
        <v>677</v>
      </c>
      <c r="K5" s="1">
        <f>K4+Table9[[#This Row],[Calls Ans]]</f>
        <v>657</v>
      </c>
      <c r="L5" s="18">
        <v>0.87</v>
      </c>
      <c r="M5" s="18">
        <v>0.02</v>
      </c>
      <c r="N5" s="18">
        <v>0.98</v>
      </c>
      <c r="O5" s="18">
        <v>0.79</v>
      </c>
      <c r="P5" s="23">
        <v>1</v>
      </c>
      <c r="Q5" s="225">
        <v>9.2592592592592585E-4</v>
      </c>
      <c r="R5" s="125">
        <v>3</v>
      </c>
    </row>
    <row r="6" spans="1:24" x14ac:dyDescent="0.35">
      <c r="A6" s="34">
        <v>45021</v>
      </c>
      <c r="B6" s="36" t="s">
        <v>51</v>
      </c>
      <c r="C6" s="36" t="s">
        <v>97</v>
      </c>
      <c r="D6" s="1">
        <v>207</v>
      </c>
      <c r="E6" s="1">
        <v>202</v>
      </c>
      <c r="F6" s="66">
        <v>-1.8957345971563982E-2</v>
      </c>
      <c r="G6" s="66">
        <v>0.01</v>
      </c>
      <c r="H6" s="1">
        <f>H5+Table9[[#This Row],[Calls Off]]</f>
        <v>884</v>
      </c>
      <c r="I6" s="1">
        <f>I5+Table9[[#This Row],[Calls Ans]]</f>
        <v>859</v>
      </c>
      <c r="J6" s="1">
        <f>J5+Table9[[#This Row],[Calls Off]]</f>
        <v>884</v>
      </c>
      <c r="K6" s="1">
        <f>K5+Table9[[#This Row],[Calls Ans]]</f>
        <v>859</v>
      </c>
      <c r="L6" s="18">
        <v>0.9</v>
      </c>
      <c r="M6" s="18">
        <v>0.02</v>
      </c>
      <c r="N6" s="18">
        <v>0.98</v>
      </c>
      <c r="O6" s="18">
        <v>0.91</v>
      </c>
      <c r="P6" s="23">
        <v>1</v>
      </c>
      <c r="Q6" s="225">
        <v>1.4467592592592594E-3</v>
      </c>
      <c r="R6" s="125">
        <v>3</v>
      </c>
    </row>
    <row r="7" spans="1:24" x14ac:dyDescent="0.35">
      <c r="A7" s="34">
        <v>45022</v>
      </c>
      <c r="B7" s="36" t="s">
        <v>52</v>
      </c>
      <c r="C7" s="36" t="s">
        <v>97</v>
      </c>
      <c r="D7" s="1">
        <v>163</v>
      </c>
      <c r="E7" s="1">
        <v>156</v>
      </c>
      <c r="F7" s="66">
        <v>-0.29130434782608694</v>
      </c>
      <c r="G7" s="66">
        <v>-0.28767123287671231</v>
      </c>
      <c r="H7" s="1">
        <f>H6+Table9[[#This Row],[Calls Off]]</f>
        <v>1047</v>
      </c>
      <c r="I7" s="1">
        <f>I6+Table9[[#This Row],[Calls Ans]]</f>
        <v>1015</v>
      </c>
      <c r="J7" s="1">
        <f>J6+Table9[[#This Row],[Calls Off]]</f>
        <v>1047</v>
      </c>
      <c r="K7" s="1">
        <f>K6+Table9[[#This Row],[Calls Ans]]</f>
        <v>1015</v>
      </c>
      <c r="L7" s="18">
        <v>0.92</v>
      </c>
      <c r="M7" s="18">
        <v>0.04</v>
      </c>
      <c r="N7" s="18">
        <v>0.96</v>
      </c>
      <c r="O7" s="18">
        <v>0.76</v>
      </c>
      <c r="P7" s="23">
        <v>1</v>
      </c>
      <c r="Q7" s="225">
        <v>1.8055555555555557E-3</v>
      </c>
      <c r="R7" s="125">
        <v>4</v>
      </c>
      <c r="S7" s="157"/>
      <c r="T7" s="6" t="s">
        <v>66</v>
      </c>
      <c r="U7" s="7" t="s">
        <v>67</v>
      </c>
      <c r="V7" s="98" t="s">
        <v>68</v>
      </c>
    </row>
    <row r="8" spans="1:24" x14ac:dyDescent="0.35">
      <c r="A8" s="34">
        <v>45023</v>
      </c>
      <c r="B8" s="36" t="s">
        <v>53</v>
      </c>
      <c r="C8" s="36" t="s">
        <v>97</v>
      </c>
      <c r="D8" s="1">
        <v>0</v>
      </c>
      <c r="E8" s="1">
        <v>0</v>
      </c>
      <c r="F8" s="66">
        <v>0</v>
      </c>
      <c r="G8" s="66">
        <v>0</v>
      </c>
      <c r="H8" s="1">
        <v>0</v>
      </c>
      <c r="I8" s="1">
        <v>0</v>
      </c>
      <c r="J8" s="1">
        <v>0</v>
      </c>
      <c r="K8" s="1">
        <v>0</v>
      </c>
      <c r="L8" s="18">
        <v>0</v>
      </c>
      <c r="M8" s="18">
        <v>0</v>
      </c>
      <c r="N8" s="18">
        <v>0</v>
      </c>
      <c r="O8" s="18">
        <v>0</v>
      </c>
      <c r="P8" s="23">
        <v>0</v>
      </c>
      <c r="Q8" s="225">
        <v>0</v>
      </c>
      <c r="R8" s="125">
        <v>0</v>
      </c>
      <c r="S8" s="158"/>
      <c r="T8" s="28">
        <v>45020</v>
      </c>
      <c r="U8" s="1" cm="1">
        <f t="array" ref="U8">SUMIFS(calls_off_GUY,period_GUY,"&gt;="&amp;T8,period_GUY,"&lt;"&amp;T9)</f>
        <v>841</v>
      </c>
      <c r="V8" s="99" cm="1">
        <f t="array" ref="V8">SUMIFS(calls_ans_GUY,period_GUY,"&gt;="&amp;T8,period_GUY,"&lt;"&amp;T9)</f>
        <v>816</v>
      </c>
    </row>
    <row r="9" spans="1:24" x14ac:dyDescent="0.35">
      <c r="A9" s="34">
        <v>45024</v>
      </c>
      <c r="B9" s="36" t="s">
        <v>54</v>
      </c>
      <c r="C9" s="36" t="s">
        <v>97</v>
      </c>
      <c r="D9" s="1">
        <v>208</v>
      </c>
      <c r="E9" s="1">
        <v>199</v>
      </c>
      <c r="F9" s="66">
        <f>(Table9[[#This Row],[Calls Off]]-D2)/D2</f>
        <v>0.33333333333333331</v>
      </c>
      <c r="G9" s="66">
        <f>(Table9[[#This Row],[Calls Ans]]-E2)/E2</f>
        <v>0.32666666666666666</v>
      </c>
      <c r="H9" s="1">
        <f>H7+Table9[[#This Row],[Calls Off]]</f>
        <v>1255</v>
      </c>
      <c r="I9" s="1">
        <f>I7+Table9[[#This Row],[Calls Ans]]</f>
        <v>1214</v>
      </c>
      <c r="J9" s="1">
        <f>J7+Table9[[#This Row],[Calls Off]]</f>
        <v>1255</v>
      </c>
      <c r="K9" s="1">
        <f>K7+Table9[[#This Row],[Calls Ans]]</f>
        <v>1214</v>
      </c>
      <c r="L9" s="18">
        <v>0.88</v>
      </c>
      <c r="M9" s="18">
        <v>0.04</v>
      </c>
      <c r="N9" s="18">
        <v>0.96</v>
      </c>
      <c r="O9" s="18">
        <v>0.73</v>
      </c>
      <c r="P9" s="23">
        <v>0.99</v>
      </c>
      <c r="Q9" s="225">
        <v>8.564814814814815E-4</v>
      </c>
      <c r="R9" s="125">
        <v>2</v>
      </c>
      <c r="S9" s="158"/>
      <c r="T9" s="28">
        <f>T8+7</f>
        <v>45027</v>
      </c>
      <c r="U9" s="1" cm="1">
        <f t="array" ref="U9">SUMIFS(calls_off_GUY,period_GUY,"&gt;="&amp;T9,period_GUY,"&lt;"&amp;T10)</f>
        <v>1306</v>
      </c>
      <c r="V9" s="99" cm="1">
        <f t="array" ref="V9">SUMIFS(calls_ans_GUY,period_GUY,"&gt;="&amp;T9,period_GUY,"&lt;"&amp;T10)</f>
        <v>1234</v>
      </c>
    </row>
    <row r="10" spans="1:24" x14ac:dyDescent="0.35">
      <c r="A10" s="34">
        <v>45025</v>
      </c>
      <c r="B10" s="36" t="s">
        <v>48</v>
      </c>
      <c r="C10" s="36" t="s">
        <v>97</v>
      </c>
      <c r="D10" s="1">
        <v>0</v>
      </c>
      <c r="E10" s="1">
        <v>0</v>
      </c>
      <c r="F10" s="66">
        <v>0</v>
      </c>
      <c r="G10" s="66">
        <v>0</v>
      </c>
      <c r="H10" s="1">
        <v>0</v>
      </c>
      <c r="I10" s="1">
        <v>0</v>
      </c>
      <c r="J10" s="1">
        <v>0</v>
      </c>
      <c r="K10" s="1">
        <v>0</v>
      </c>
      <c r="L10" s="18">
        <v>0</v>
      </c>
      <c r="M10" s="18">
        <v>0</v>
      </c>
      <c r="N10" s="18">
        <v>0</v>
      </c>
      <c r="O10" s="18">
        <v>0</v>
      </c>
      <c r="P10" s="23">
        <v>0</v>
      </c>
      <c r="Q10" s="225">
        <v>0</v>
      </c>
      <c r="R10" s="125">
        <v>0</v>
      </c>
      <c r="S10" s="158"/>
      <c r="T10" s="28">
        <f t="shared" ref="T10:T22" si="0">T9+7</f>
        <v>45034</v>
      </c>
      <c r="U10" s="1" cm="1">
        <f t="array" ref="U10">SUMIFS(calls_off_GUY,period_GUY,"&gt;="&amp;T10,period_GUY,"&lt;"&amp;T11)</f>
        <v>1421</v>
      </c>
      <c r="V10" s="99" cm="1">
        <f t="array" ref="V10">SUMIFS(calls_ans_GUY,period_GUY,"&gt;="&amp;T10,period_GUY,"&lt;"&amp;T11)</f>
        <v>1364</v>
      </c>
    </row>
    <row r="11" spans="1:24" x14ac:dyDescent="0.35">
      <c r="A11" s="34">
        <v>45026</v>
      </c>
      <c r="B11" s="36" t="s">
        <v>49</v>
      </c>
      <c r="C11" s="36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23">
        <v>0</v>
      </c>
      <c r="Q11" s="225">
        <v>0</v>
      </c>
      <c r="R11" s="125">
        <v>0</v>
      </c>
      <c r="S11" s="158"/>
      <c r="T11" s="28">
        <f t="shared" si="0"/>
        <v>45041</v>
      </c>
      <c r="U11" s="1" cm="1">
        <f t="array" ref="U11">SUMIFS(calls_off_GUY,period_GUY,"&gt;="&amp;T11,period_GUY,"&lt;"&amp;T12)</f>
        <v>1188</v>
      </c>
      <c r="V11" s="99" cm="1">
        <f t="array" ref="V11">SUMIFS(calls_ans_GUY,period_GUY,"&gt;="&amp;T11,period_GUY,"&lt;"&amp;T12)</f>
        <v>1141</v>
      </c>
    </row>
    <row r="12" spans="1:24" x14ac:dyDescent="0.35">
      <c r="A12" s="34">
        <v>45027</v>
      </c>
      <c r="B12" s="36" t="s">
        <v>50</v>
      </c>
      <c r="C12" s="36" t="s">
        <v>97</v>
      </c>
      <c r="D12" s="1">
        <v>215</v>
      </c>
      <c r="E12" s="1">
        <v>206</v>
      </c>
      <c r="F12" s="66">
        <f>_xlfn.IFNA((Table9[[#This Row],[Calls Off]]-D5)/D5,0)</f>
        <v>-0.18250950570342206</v>
      </c>
      <c r="G12" s="66">
        <f>_xlfn.IFNA((Table9[[#This Row],[Calls Ans]]-E5)/E5,0)</f>
        <v>-0.20463320463320464</v>
      </c>
      <c r="H12" s="1">
        <f>H9+Table9[[#This Row],[Calls Off]]</f>
        <v>1470</v>
      </c>
      <c r="I12" s="1">
        <f>I9+Table9[[#This Row],[Calls Ans]]</f>
        <v>1420</v>
      </c>
      <c r="J12" s="1">
        <f>J9+Table9[[#This Row],[Calls Off]]</f>
        <v>1470</v>
      </c>
      <c r="K12" s="1">
        <f>K9+Table9[[#This Row],[Calls Ans]]</f>
        <v>1420</v>
      </c>
      <c r="L12" s="18">
        <v>0.92</v>
      </c>
      <c r="M12" s="18">
        <v>0.04</v>
      </c>
      <c r="N12" s="18">
        <v>0.96</v>
      </c>
      <c r="O12" s="18">
        <v>0.71</v>
      </c>
      <c r="P12" s="23">
        <v>1</v>
      </c>
      <c r="Q12" s="225">
        <v>1.261574074074074E-3</v>
      </c>
      <c r="R12" s="125">
        <v>3</v>
      </c>
      <c r="S12" s="158"/>
      <c r="T12" s="28">
        <f t="shared" si="0"/>
        <v>45048</v>
      </c>
      <c r="U12" s="1" cm="1">
        <f t="array" ref="U12">SUMIFS(calls_off_GUY,period_GUY,"&gt;="&amp;T12,period_GUY,"&lt;"&amp;T13)</f>
        <v>1385</v>
      </c>
      <c r="V12" s="99" cm="1">
        <f t="array" ref="V12">SUMIFS(calls_ans_GUY,period_GUY,"&gt;="&amp;T12,period_GUY,"&lt;"&amp;T13)</f>
        <v>1344</v>
      </c>
    </row>
    <row r="13" spans="1:24" x14ac:dyDescent="0.35">
      <c r="A13" s="34">
        <v>45028</v>
      </c>
      <c r="B13" s="36" t="s">
        <v>51</v>
      </c>
      <c r="C13" s="36" t="s">
        <v>97</v>
      </c>
      <c r="D13" s="1">
        <v>253</v>
      </c>
      <c r="E13" s="1">
        <v>227</v>
      </c>
      <c r="F13" s="66">
        <f>_xlfn.IFNA((Table9[[#This Row],[Calls Off]]-D6)/D6,0)</f>
        <v>0.22222222222222221</v>
      </c>
      <c r="G13" s="66">
        <f>_xlfn.IFNA((Table9[[#This Row],[Calls Ans]]-E6)/E6,0)</f>
        <v>0.12376237623762376</v>
      </c>
      <c r="H13" s="1">
        <f>H12+Table9[[#This Row],[Calls Off]]</f>
        <v>1723</v>
      </c>
      <c r="I13" s="1">
        <f>I12+Table9[[#This Row],[Calls Ans]]</f>
        <v>1647</v>
      </c>
      <c r="J13" s="1">
        <f>J12+Table9[[#This Row],[Calls Off]]</f>
        <v>1723</v>
      </c>
      <c r="K13" s="1">
        <f>K12+Table9[[#This Row],[Calls Ans]]</f>
        <v>1647</v>
      </c>
      <c r="L13" s="18">
        <v>0.76</v>
      </c>
      <c r="M13" s="18">
        <v>0.1</v>
      </c>
      <c r="N13" s="18">
        <v>0.9</v>
      </c>
      <c r="O13" s="18">
        <v>0.81</v>
      </c>
      <c r="P13" s="23">
        <v>1</v>
      </c>
      <c r="Q13" s="225">
        <v>1.8055555555555557E-3</v>
      </c>
      <c r="R13" s="125">
        <v>2</v>
      </c>
      <c r="S13" s="158"/>
      <c r="T13" s="28">
        <f t="shared" si="0"/>
        <v>45055</v>
      </c>
      <c r="U13" s="1" cm="1">
        <f t="array" ref="U13">SUMIFS(calls_off_GUY,period_GUY,"&gt;="&amp;T13,period_GUY,"&lt;"&amp;T14)</f>
        <v>1003</v>
      </c>
      <c r="V13" s="99" cm="1">
        <f t="array" ref="V13">SUMIFS(calls_ans_GUY,period_GUY,"&gt;="&amp;T13,period_GUY,"&lt;"&amp;T14)</f>
        <v>966</v>
      </c>
    </row>
    <row r="14" spans="1:24" x14ac:dyDescent="0.35">
      <c r="A14" s="34">
        <v>45029</v>
      </c>
      <c r="B14" s="36" t="s">
        <v>52</v>
      </c>
      <c r="C14" s="36" t="s">
        <v>97</v>
      </c>
      <c r="D14" s="1">
        <v>191</v>
      </c>
      <c r="E14" s="1">
        <v>186</v>
      </c>
      <c r="F14" s="66">
        <f>_xlfn.IFNA((Table9[[#This Row],[Calls Off]]-D7)/D7,0)</f>
        <v>0.17177914110429449</v>
      </c>
      <c r="G14" s="66">
        <f>_xlfn.IFNA((Table9[[#This Row],[Calls Ans]]-E7)/E7,0)</f>
        <v>0.19230769230769232</v>
      </c>
      <c r="H14" s="1">
        <f>H13+Table9[[#This Row],[Calls Off]]</f>
        <v>1914</v>
      </c>
      <c r="I14" s="1">
        <f>I13+Table9[[#This Row],[Calls Ans]]</f>
        <v>1833</v>
      </c>
      <c r="J14" s="1">
        <f>J13+Table9[[#This Row],[Calls Off]]</f>
        <v>1914</v>
      </c>
      <c r="K14" s="1">
        <f>K13+Table9[[#This Row],[Calls Ans]]</f>
        <v>1833</v>
      </c>
      <c r="L14" s="18">
        <v>0.96</v>
      </c>
      <c r="M14" s="18">
        <v>0.03</v>
      </c>
      <c r="N14" s="18">
        <v>0.97</v>
      </c>
      <c r="O14" s="18">
        <v>0.65</v>
      </c>
      <c r="P14" s="23">
        <v>1</v>
      </c>
      <c r="Q14" s="225">
        <v>1.2384259259259258E-3</v>
      </c>
      <c r="R14" s="125">
        <v>3</v>
      </c>
      <c r="S14" s="158"/>
      <c r="T14" s="28">
        <f t="shared" si="0"/>
        <v>45062</v>
      </c>
      <c r="U14" s="1" cm="1">
        <f t="array" ref="U14">SUMIFS(calls_off_GUY,period_GUY,"&gt;="&amp;T14,period_GUY,"&lt;"&amp;T15)</f>
        <v>1077</v>
      </c>
      <c r="V14" s="99" cm="1">
        <f t="array" ref="V14">SUMIFS(calls_ans_GUY,period_GUY,"&gt;="&amp;T14,period_GUY,"&lt;"&amp;T15)</f>
        <v>1024</v>
      </c>
    </row>
    <row r="15" spans="1:24" x14ac:dyDescent="0.35">
      <c r="A15" s="34">
        <v>45030</v>
      </c>
      <c r="B15" s="36" t="s">
        <v>53</v>
      </c>
      <c r="C15" s="36" t="s">
        <v>97</v>
      </c>
      <c r="D15" s="1">
        <v>227</v>
      </c>
      <c r="E15" s="1">
        <v>215</v>
      </c>
      <c r="F15" s="66">
        <v>0</v>
      </c>
      <c r="G15" s="66">
        <v>0</v>
      </c>
      <c r="H15" s="1">
        <f>H14+Table9[[#This Row],[Calls Off]]</f>
        <v>2141</v>
      </c>
      <c r="I15" s="1">
        <f>I14+Table9[[#This Row],[Calls Ans]]</f>
        <v>2048</v>
      </c>
      <c r="J15" s="1">
        <f>J14+Table9[[#This Row],[Calls Off]]</f>
        <v>2141</v>
      </c>
      <c r="K15" s="1">
        <f>K14+Table9[[#This Row],[Calls Ans]]</f>
        <v>2048</v>
      </c>
      <c r="L15" s="18">
        <v>0.84</v>
      </c>
      <c r="M15" s="18">
        <v>0.05</v>
      </c>
      <c r="N15" s="18">
        <v>0.95</v>
      </c>
      <c r="O15" s="18">
        <v>0.65</v>
      </c>
      <c r="P15" s="23">
        <v>1</v>
      </c>
      <c r="Q15" s="225">
        <v>1.2384259259259258E-3</v>
      </c>
      <c r="R15" s="125">
        <v>2</v>
      </c>
      <c r="S15" s="158"/>
      <c r="T15" s="28">
        <f t="shared" si="0"/>
        <v>45069</v>
      </c>
      <c r="U15" s="1" cm="1">
        <f t="array" ref="U15">SUMIFS(calls_off_GUY,period_GUY,"&gt;="&amp;T15,period_GUY,"&lt;"&amp;T16)</f>
        <v>944</v>
      </c>
      <c r="V15" s="99" cm="1">
        <f t="array" ref="V15">SUMIFS(calls_ans_GUY,period_GUY,"&gt;="&amp;T15,period_GUY,"&lt;"&amp;T16)</f>
        <v>903</v>
      </c>
    </row>
    <row r="16" spans="1:24" x14ac:dyDescent="0.35">
      <c r="A16" s="34">
        <v>45031</v>
      </c>
      <c r="B16" s="36" t="s">
        <v>54</v>
      </c>
      <c r="C16" s="36" t="s">
        <v>97</v>
      </c>
      <c r="D16" s="1">
        <v>123</v>
      </c>
      <c r="E16" s="1">
        <v>117</v>
      </c>
      <c r="F16" s="66">
        <f>_xlfn.IFNA((Table9[[#This Row],[Calls Off]]-D9)/D9,0)</f>
        <v>-0.40865384615384615</v>
      </c>
      <c r="G16" s="66">
        <f>_xlfn.IFNA((Table9[[#This Row],[Calls Ans]]-E9)/E9,0)</f>
        <v>-0.4120603015075377</v>
      </c>
      <c r="H16" s="1">
        <f>H15+Table9[[#This Row],[Calls Off]]</f>
        <v>2264</v>
      </c>
      <c r="I16" s="1">
        <f>I15+Table9[[#This Row],[Calls Ans]]</f>
        <v>2165</v>
      </c>
      <c r="J16" s="1">
        <f>J15+Table9[[#This Row],[Calls Off]]</f>
        <v>2264</v>
      </c>
      <c r="K16" s="1">
        <f>K15+Table9[[#This Row],[Calls Ans]]</f>
        <v>2165</v>
      </c>
      <c r="L16" s="18">
        <v>0.95</v>
      </c>
      <c r="M16" s="18">
        <v>0.05</v>
      </c>
      <c r="N16" s="18">
        <v>0.95</v>
      </c>
      <c r="O16" s="18">
        <v>0.56999999999999995</v>
      </c>
      <c r="P16" s="18">
        <v>1</v>
      </c>
      <c r="Q16" s="225">
        <v>8.2175925925925917E-4</v>
      </c>
      <c r="R16" s="125">
        <v>5</v>
      </c>
      <c r="S16" s="158"/>
      <c r="T16" s="28">
        <f t="shared" si="0"/>
        <v>45076</v>
      </c>
      <c r="U16" s="1" cm="1">
        <f t="array" ref="U16">SUMIFS(calls_off_GUY,period_GUY,"&gt;="&amp;T16,period_GUY,"&lt;"&amp;T17)</f>
        <v>1036</v>
      </c>
      <c r="V16" s="99" cm="1">
        <f t="array" ref="V16">SUMIFS(calls_ans_GUY,period_GUY,"&gt;="&amp;T16,period_GUY,"&lt;"&amp;T17)</f>
        <v>987</v>
      </c>
    </row>
    <row r="17" spans="1:22" x14ac:dyDescent="0.35">
      <c r="A17" s="34">
        <v>45032</v>
      </c>
      <c r="B17" s="36" t="s">
        <v>48</v>
      </c>
      <c r="C17" s="36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23">
        <v>0</v>
      </c>
      <c r="Q17" s="225">
        <v>0</v>
      </c>
      <c r="R17" s="125">
        <v>0</v>
      </c>
      <c r="S17" s="158"/>
      <c r="T17" s="28">
        <f t="shared" si="0"/>
        <v>45083</v>
      </c>
      <c r="U17" s="1" cm="1">
        <f t="array" ref="U17">SUMIFS(calls_off_GUY,period_GUY,"&gt;="&amp;T17,period_GUY,"&lt;"&amp;T18)</f>
        <v>897</v>
      </c>
      <c r="V17" s="99" cm="1">
        <f t="array" ref="V17">SUMIFS(calls_ans_GUY,period_GUY,"&gt;="&amp;T17,period_GUY,"&lt;"&amp;T18)</f>
        <v>850</v>
      </c>
    </row>
    <row r="18" spans="1:22" x14ac:dyDescent="0.35">
      <c r="A18" s="34">
        <v>45033</v>
      </c>
      <c r="B18" s="36" t="s">
        <v>49</v>
      </c>
      <c r="C18" s="36" t="s">
        <v>97</v>
      </c>
      <c r="D18" s="1">
        <v>297</v>
      </c>
      <c r="E18" s="1">
        <v>283</v>
      </c>
      <c r="F18" s="66">
        <v>0</v>
      </c>
      <c r="G18" s="66">
        <v>0</v>
      </c>
      <c r="H18" s="1">
        <f>H16+Table9[[#This Row],[Calls Off]]</f>
        <v>2561</v>
      </c>
      <c r="I18" s="1">
        <f>I16+Table9[[#This Row],[Calls Ans]]</f>
        <v>2448</v>
      </c>
      <c r="J18" s="1">
        <f>J16+Table9[[#This Row],[Calls Off]]</f>
        <v>2561</v>
      </c>
      <c r="K18" s="1">
        <f>K16+Table9[[#This Row],[Calls Ans]]</f>
        <v>2448</v>
      </c>
      <c r="L18" s="18">
        <v>0.94</v>
      </c>
      <c r="M18" s="18">
        <v>0.05</v>
      </c>
      <c r="N18" s="18">
        <v>0.95</v>
      </c>
      <c r="O18" s="18">
        <v>0.73</v>
      </c>
      <c r="P18" s="23">
        <v>1</v>
      </c>
      <c r="Q18" s="225">
        <v>9.1435185185185185E-4</v>
      </c>
      <c r="R18" s="125">
        <v>3</v>
      </c>
      <c r="S18" s="158"/>
      <c r="T18" s="28">
        <f t="shared" si="0"/>
        <v>45090</v>
      </c>
      <c r="U18" s="1" cm="1">
        <f t="array" ref="U18">SUMIFS(calls_off_GUY,period_GUY,"&gt;="&amp;T18,period_GUY,"&lt;"&amp;T19)</f>
        <v>1043</v>
      </c>
      <c r="V18" s="99" cm="1">
        <f t="array" ref="V18">SUMIFS(calls_ans_GUY,period_GUY,"&gt;="&amp;T18,period_GUY,"&lt;"&amp;T19)</f>
        <v>996</v>
      </c>
    </row>
    <row r="19" spans="1:22" x14ac:dyDescent="0.35">
      <c r="A19" s="34">
        <v>45034</v>
      </c>
      <c r="B19" s="36" t="s">
        <v>50</v>
      </c>
      <c r="C19" s="36" t="s">
        <v>97</v>
      </c>
      <c r="D19" s="1">
        <v>298</v>
      </c>
      <c r="E19" s="1">
        <v>290</v>
      </c>
      <c r="F19" s="66">
        <f>_xlfn.IFNA((Table9[[#This Row],[Calls Off]]-D12)/D12,0)</f>
        <v>0.38604651162790699</v>
      </c>
      <c r="G19" s="66">
        <f>_xlfn.IFNA((Table9[[#This Row],[Calls Ans]]-E12)/E12,0)</f>
        <v>0.40776699029126212</v>
      </c>
      <c r="H19" s="1">
        <f>H18+Table9[[#This Row],[Calls Off]]</f>
        <v>2859</v>
      </c>
      <c r="I19" s="1">
        <f>I18+Table9[[#This Row],[Calls Ans]]</f>
        <v>2738</v>
      </c>
      <c r="J19" s="1">
        <f>J18+Table9[[#This Row],[Calls Off]]</f>
        <v>2859</v>
      </c>
      <c r="K19" s="1">
        <f>K18+Table9[[#This Row],[Calls Ans]]</f>
        <v>2738</v>
      </c>
      <c r="L19" s="18">
        <v>0.94</v>
      </c>
      <c r="M19" s="18">
        <v>0.03</v>
      </c>
      <c r="N19" s="18">
        <v>0.97</v>
      </c>
      <c r="O19" s="18">
        <v>0.84</v>
      </c>
      <c r="P19" s="23">
        <v>1</v>
      </c>
      <c r="Q19" s="225">
        <v>7.407407407407407E-4</v>
      </c>
      <c r="R19" s="125">
        <v>3</v>
      </c>
      <c r="S19" s="158"/>
      <c r="T19" s="28">
        <f t="shared" si="0"/>
        <v>45097</v>
      </c>
      <c r="U19" s="1" cm="1">
        <f t="array" ref="U19">SUMIFS(calls_off_GUY,period_GUY,"&gt;="&amp;T19,period_GUY,"&lt;"&amp;T20)</f>
        <v>1117</v>
      </c>
      <c r="V19" s="99" cm="1">
        <f t="array" ref="V19">SUMIFS(calls_ans_GUY,period_GUY,"&gt;="&amp;T19,period_GUY,"&lt;"&amp;T20)</f>
        <v>1084</v>
      </c>
    </row>
    <row r="20" spans="1:22" x14ac:dyDescent="0.35">
      <c r="A20" s="34">
        <v>45035</v>
      </c>
      <c r="B20" s="36" t="s">
        <v>51</v>
      </c>
      <c r="C20" s="36" t="s">
        <v>97</v>
      </c>
      <c r="D20" s="1">
        <v>248</v>
      </c>
      <c r="E20" s="1">
        <v>240</v>
      </c>
      <c r="F20" s="66">
        <f>_xlfn.IFNA((Table9[[#This Row],[Calls Off]]-D13)/D13,0)</f>
        <v>-1.9762845849802372E-2</v>
      </c>
      <c r="G20" s="66">
        <f>_xlfn.IFNA((Table9[[#This Row],[Calls Ans]]-E13)/E13,0)</f>
        <v>5.7268722466960353E-2</v>
      </c>
      <c r="H20" s="1">
        <f>H19+Table9[[#This Row],[Calls Off]]</f>
        <v>3107</v>
      </c>
      <c r="I20" s="1">
        <f>I19+Table9[[#This Row],[Calls Ans]]</f>
        <v>2978</v>
      </c>
      <c r="J20" s="1">
        <f>J19+Table9[[#This Row],[Calls Off]]</f>
        <v>3107</v>
      </c>
      <c r="K20" s="1">
        <f>K19+Table9[[#This Row],[Calls Ans]]</f>
        <v>2978</v>
      </c>
      <c r="L20" s="18">
        <v>0.89</v>
      </c>
      <c r="M20" s="18">
        <v>0.03</v>
      </c>
      <c r="N20" s="18">
        <v>0.97</v>
      </c>
      <c r="O20" s="18">
        <v>0.8</v>
      </c>
      <c r="P20" s="23">
        <v>1</v>
      </c>
      <c r="Q20" s="225">
        <v>1.0416666666666667E-3</v>
      </c>
      <c r="R20" s="125">
        <v>3</v>
      </c>
      <c r="S20" s="158"/>
      <c r="T20" s="28">
        <f t="shared" si="0"/>
        <v>45104</v>
      </c>
      <c r="U20" s="1" cm="1">
        <f t="array" ref="U20">SUMIFS(calls_off_GUY,period_GUY,"&gt;="&amp;T20,period_GUY,"&lt;"&amp;T21)</f>
        <v>1017</v>
      </c>
      <c r="V20" s="99" cm="1">
        <f t="array" ref="V20">SUMIFS(calls_ans_GUY,period_GUY,"&gt;="&amp;T20,period_GUY,"&lt;"&amp;T21)</f>
        <v>974</v>
      </c>
    </row>
    <row r="21" spans="1:22" x14ac:dyDescent="0.35">
      <c r="A21" s="34">
        <v>45036</v>
      </c>
      <c r="B21" s="36" t="s">
        <v>52</v>
      </c>
      <c r="C21" s="36" t="s">
        <v>97</v>
      </c>
      <c r="D21" s="1">
        <v>290</v>
      </c>
      <c r="E21" s="1">
        <v>274</v>
      </c>
      <c r="F21" s="66">
        <f>_xlfn.IFNA((Table9[[#This Row],[Calls Off]]-D14)/D14,0)</f>
        <v>0.51832460732984298</v>
      </c>
      <c r="G21" s="66">
        <f>_xlfn.IFNA((Table9[[#This Row],[Calls Ans]]-E14)/E14,0)</f>
        <v>0.4731182795698925</v>
      </c>
      <c r="H21" s="1">
        <f>H20+Table9[[#This Row],[Calls Off]]</f>
        <v>3397</v>
      </c>
      <c r="I21" s="1">
        <f>I20+Table9[[#This Row],[Calls Ans]]</f>
        <v>3252</v>
      </c>
      <c r="J21" s="1">
        <f>J20+Table9[[#This Row],[Calls Off]]</f>
        <v>3397</v>
      </c>
      <c r="K21" s="1">
        <f>K20+Table9[[#This Row],[Calls Ans]]</f>
        <v>3252</v>
      </c>
      <c r="L21" s="18">
        <v>0.83</v>
      </c>
      <c r="M21" s="18">
        <v>0.06</v>
      </c>
      <c r="N21" s="18">
        <v>0.94</v>
      </c>
      <c r="O21" s="18">
        <v>0.73</v>
      </c>
      <c r="P21" s="23">
        <v>1</v>
      </c>
      <c r="Q21" s="225">
        <v>9.2592592592592585E-4</v>
      </c>
      <c r="R21" s="125">
        <v>3</v>
      </c>
      <c r="S21" s="158"/>
      <c r="T21" s="28">
        <f>T20+7</f>
        <v>45111</v>
      </c>
      <c r="U21" s="1" cm="1">
        <f t="array" ref="U21">SUMIFS(calls_off_GUY,period_GUY,"&gt;="&amp;T21,period_GUY,"&lt;"&amp;T22)</f>
        <v>1303</v>
      </c>
      <c r="V21" s="99" cm="1">
        <f t="array" ref="V21">SUMIFS(calls_ans_GUY,period_GUY,"&gt;="&amp;T21,period_GUY,"&lt;"&amp;T22)</f>
        <v>1191</v>
      </c>
    </row>
    <row r="22" spans="1:22" x14ac:dyDescent="0.35">
      <c r="A22" s="34">
        <v>45037</v>
      </c>
      <c r="B22" s="36" t="s">
        <v>53</v>
      </c>
      <c r="C22" s="36" t="s">
        <v>97</v>
      </c>
      <c r="D22" s="1">
        <v>178</v>
      </c>
      <c r="E22" s="1">
        <v>170</v>
      </c>
      <c r="F22" s="66">
        <f>_xlfn.IFNA((Table9[[#This Row],[Calls Off]]-D15)/D15,0)</f>
        <v>-0.21585903083700442</v>
      </c>
      <c r="G22" s="66">
        <f>_xlfn.IFNA((Table9[[#This Row],[Calls Ans]]-E15)/E15,0)</f>
        <v>-0.20930232558139536</v>
      </c>
      <c r="H22" s="1">
        <f>H21+Table9[[#This Row],[Calls Off]]</f>
        <v>3575</v>
      </c>
      <c r="I22" s="1">
        <f>I21+Table9[[#This Row],[Calls Ans]]</f>
        <v>3422</v>
      </c>
      <c r="J22" s="1">
        <f>J21+Table9[[#This Row],[Calls Off]]</f>
        <v>3575</v>
      </c>
      <c r="K22" s="1">
        <f>K21+Table9[[#This Row],[Calls Ans]]</f>
        <v>3422</v>
      </c>
      <c r="L22" s="18">
        <v>0.92</v>
      </c>
      <c r="M22" s="18">
        <v>0.04</v>
      </c>
      <c r="N22" s="18">
        <v>0.96</v>
      </c>
      <c r="O22" s="18">
        <v>0.59</v>
      </c>
      <c r="P22" s="23">
        <v>1</v>
      </c>
      <c r="Q22" s="225">
        <v>1.0879629629629629E-3</v>
      </c>
      <c r="R22" s="125">
        <v>3</v>
      </c>
      <c r="S22" s="158"/>
      <c r="T22" s="28">
        <f t="shared" si="0"/>
        <v>45118</v>
      </c>
      <c r="U22" s="1" cm="1">
        <f t="array" ref="U22">SUMIFS(calls_off_GUY,period_GUY,"&gt;="&amp;T22,period_GUY,"&lt;"&amp;T23)</f>
        <v>1311</v>
      </c>
      <c r="V22" s="99" cm="1">
        <f t="array" ref="V22">SUMIFS(calls_ans_GUY,period_GUY,"&gt;="&amp;T22,period_GUY,"&lt;"&amp;T23)</f>
        <v>1254</v>
      </c>
    </row>
    <row r="23" spans="1:22" x14ac:dyDescent="0.35">
      <c r="A23" s="34">
        <v>45038</v>
      </c>
      <c r="B23" s="36" t="s">
        <v>54</v>
      </c>
      <c r="C23" s="36" t="s">
        <v>97</v>
      </c>
      <c r="D23" s="1">
        <v>140</v>
      </c>
      <c r="E23" s="1">
        <v>133</v>
      </c>
      <c r="F23" s="66">
        <f>_xlfn.IFNA((Table9[[#This Row],[Calls Off]]-D16)/D16,0)</f>
        <v>0.13821138211382114</v>
      </c>
      <c r="G23" s="66">
        <f>_xlfn.IFNA((Table9[[#This Row],[Calls Ans]]-E16)/E16,0)</f>
        <v>0.13675213675213677</v>
      </c>
      <c r="H23" s="1">
        <f>H22+Table9[[#This Row],[Calls Off]]</f>
        <v>3715</v>
      </c>
      <c r="I23" s="1">
        <f>I22+Table9[[#This Row],[Calls Ans]]</f>
        <v>3555</v>
      </c>
      <c r="J23" s="1">
        <f>J22+Table9[[#This Row],[Calls Off]]</f>
        <v>3715</v>
      </c>
      <c r="K23" s="1">
        <f>K22+Table9[[#This Row],[Calls Ans]]</f>
        <v>3555</v>
      </c>
      <c r="L23" s="18">
        <v>0.9</v>
      </c>
      <c r="M23" s="18">
        <v>0.05</v>
      </c>
      <c r="N23" s="18">
        <v>0.95</v>
      </c>
      <c r="O23" s="18">
        <v>0.66</v>
      </c>
      <c r="P23" s="23">
        <v>1</v>
      </c>
      <c r="Q23" s="225">
        <v>1.1574074074074073E-3</v>
      </c>
      <c r="R23" s="125">
        <v>2</v>
      </c>
      <c r="S23" s="158"/>
      <c r="T23" s="28">
        <f t="shared" ref="T23:T59" si="1">T22+7</f>
        <v>45125</v>
      </c>
      <c r="U23" s="1" cm="1">
        <f t="array" ref="U23">SUMIFS(calls_off_GUY,period_GUY,"&gt;="&amp;T23,period_GUY,"&lt;"&amp;T24)</f>
        <v>0</v>
      </c>
      <c r="V23" s="99" cm="1">
        <f t="array" ref="V23">SUMIFS(calls_ans_GUY,period_GUY,"&gt;="&amp;T23,period_GUY,"&lt;"&amp;T24)</f>
        <v>0</v>
      </c>
    </row>
    <row r="24" spans="1:22" x14ac:dyDescent="0.35">
      <c r="A24" s="34">
        <v>45039</v>
      </c>
      <c r="B24" s="36" t="s">
        <v>48</v>
      </c>
      <c r="C24" s="36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1">
        <v>0</v>
      </c>
      <c r="K24" s="1">
        <v>0</v>
      </c>
      <c r="L24" s="18">
        <v>0</v>
      </c>
      <c r="M24" s="18">
        <v>0</v>
      </c>
      <c r="N24" s="18">
        <v>0</v>
      </c>
      <c r="O24" s="18">
        <v>0</v>
      </c>
      <c r="P24" s="23">
        <v>0</v>
      </c>
      <c r="Q24" s="225">
        <v>0</v>
      </c>
      <c r="R24" s="125">
        <v>0</v>
      </c>
      <c r="S24" s="159"/>
      <c r="T24" s="34">
        <f t="shared" si="1"/>
        <v>45132</v>
      </c>
      <c r="U24" s="39" cm="1">
        <f t="array" ref="U24">SUMIFS(calls_off_GUY,period_GUY,"&gt;="&amp;T24,period_GUY,"&lt;"&amp;T25)</f>
        <v>0</v>
      </c>
      <c r="V24" s="97" cm="1">
        <f t="array" ref="V24">SUMIFS(calls_ans_GUY,period_GUY,"&gt;="&amp;T24,period_GUY,"&lt;"&amp;T25)</f>
        <v>0</v>
      </c>
    </row>
    <row r="25" spans="1:22" x14ac:dyDescent="0.35">
      <c r="A25" s="34">
        <v>45040</v>
      </c>
      <c r="B25" s="36" t="s">
        <v>49</v>
      </c>
      <c r="C25" s="36" t="s">
        <v>97</v>
      </c>
      <c r="D25" s="1">
        <v>267</v>
      </c>
      <c r="E25" s="1">
        <v>257</v>
      </c>
      <c r="F25" s="66">
        <f>_xlfn.IFNA((Table9[[#This Row],[Calls Off]]-D18)/D18,0)</f>
        <v>-0.10101010101010101</v>
      </c>
      <c r="G25" s="66">
        <f>_xlfn.IFNA((Table9[[#This Row],[Calls Ans]]-E18)/E18,0)</f>
        <v>-9.187279151943463E-2</v>
      </c>
      <c r="H25" s="1">
        <f>H23+Table9[[#This Row],[Calls Off]]</f>
        <v>3982</v>
      </c>
      <c r="I25" s="1">
        <f>I23+Table9[[#This Row],[Calls Ans]]</f>
        <v>3812</v>
      </c>
      <c r="J25" s="1">
        <f>J23+Table9[[#This Row],[Calls Off]]</f>
        <v>3982</v>
      </c>
      <c r="K25" s="1">
        <f>K23+Table9[[#This Row],[Calls Ans]]</f>
        <v>3812</v>
      </c>
      <c r="L25" s="18">
        <v>0.96</v>
      </c>
      <c r="M25" s="18">
        <v>0.04</v>
      </c>
      <c r="N25" s="18">
        <v>0.96</v>
      </c>
      <c r="O25" s="18">
        <v>0.63</v>
      </c>
      <c r="P25" s="23">
        <v>1</v>
      </c>
      <c r="Q25" s="225">
        <v>1.1574074074074073E-3</v>
      </c>
      <c r="R25" s="125">
        <v>4</v>
      </c>
      <c r="S25" s="159"/>
      <c r="T25" s="34">
        <f t="shared" si="1"/>
        <v>45139</v>
      </c>
      <c r="U25" s="1" cm="1">
        <f t="array" ref="U25">SUMIFS(calls_off_GUY,period_GUY,"&gt;="&amp;T25,period_GUY,"&lt;"&amp;T26)</f>
        <v>0</v>
      </c>
      <c r="V25" s="99" cm="1">
        <f t="array" ref="V25">SUMIFS(calls_ans_GUY,period_GUY,"&gt;="&amp;T25,period_GUY,"&lt;"&amp;T26)</f>
        <v>0</v>
      </c>
    </row>
    <row r="26" spans="1:22" x14ac:dyDescent="0.35">
      <c r="A26" s="34">
        <v>45041</v>
      </c>
      <c r="B26" s="36" t="s">
        <v>50</v>
      </c>
      <c r="C26" s="36" t="s">
        <v>97</v>
      </c>
      <c r="D26" s="1">
        <v>264</v>
      </c>
      <c r="E26" s="1">
        <v>258</v>
      </c>
      <c r="F26" s="66">
        <f>_xlfn.IFNA((Table9[[#This Row],[Calls Off]]-D19)/D19,0)</f>
        <v>-0.11409395973154363</v>
      </c>
      <c r="G26" s="66">
        <f>_xlfn.IFNA((Table9[[#This Row],[Calls Ans]]-E19)/E19,0)</f>
        <v>-0.1103448275862069</v>
      </c>
      <c r="H26" s="1">
        <f>H25+Table9[[#This Row],[Calls Off]]</f>
        <v>4246</v>
      </c>
      <c r="I26" s="1">
        <f>I25+Table9[[#This Row],[Calls Ans]]</f>
        <v>4070</v>
      </c>
      <c r="J26" s="1">
        <f>J25+Table9[[#This Row],[Calls Off]]</f>
        <v>4246</v>
      </c>
      <c r="K26" s="1">
        <f>K25+Table9[[#This Row],[Calls Ans]]</f>
        <v>4070</v>
      </c>
      <c r="L26" s="18">
        <v>0.93</v>
      </c>
      <c r="M26" s="18">
        <v>0.02</v>
      </c>
      <c r="N26" s="18">
        <v>0.98</v>
      </c>
      <c r="O26" s="18">
        <v>0.76</v>
      </c>
      <c r="P26" s="23">
        <v>0.99</v>
      </c>
      <c r="Q26" s="225">
        <v>1.1574074074074073E-3</v>
      </c>
      <c r="R26" s="125">
        <v>4</v>
      </c>
      <c r="S26" s="159"/>
      <c r="T26" s="34">
        <f t="shared" si="1"/>
        <v>45146</v>
      </c>
      <c r="U26" s="1" cm="1">
        <f t="array" ref="U26">SUMIFS(calls_off_GUY,period_GUY,"&gt;="&amp;T26,period_GUY,"&lt;"&amp;T27)</f>
        <v>0</v>
      </c>
      <c r="V26" s="99" cm="1">
        <f t="array" ref="V26">SUMIFS(calls_ans_GUY,period_GUY,"&gt;="&amp;T26,period_GUY,"&lt;"&amp;T27)</f>
        <v>0</v>
      </c>
    </row>
    <row r="27" spans="1:22" x14ac:dyDescent="0.35">
      <c r="A27" s="34">
        <v>45042</v>
      </c>
      <c r="B27" s="36" t="s">
        <v>51</v>
      </c>
      <c r="C27" s="36" t="s">
        <v>97</v>
      </c>
      <c r="D27" s="1">
        <v>214</v>
      </c>
      <c r="E27" s="1">
        <v>206</v>
      </c>
      <c r="F27" s="66">
        <f>_xlfn.IFNA((Table9[[#This Row],[Calls Off]]-D20)/D20,0)</f>
        <v>-0.13709677419354838</v>
      </c>
      <c r="G27" s="66">
        <f>_xlfn.IFNA((Table9[[#This Row],[Calls Ans]]-E20)/E20,0)</f>
        <v>-0.14166666666666666</v>
      </c>
      <c r="H27" s="1">
        <f>H26+Table9[[#This Row],[Calls Off]]</f>
        <v>4460</v>
      </c>
      <c r="I27" s="1">
        <f>I26+Table9[[#This Row],[Calls Ans]]</f>
        <v>4276</v>
      </c>
      <c r="J27" s="1">
        <f>J26+Table9[[#This Row],[Calls Off]]</f>
        <v>4460</v>
      </c>
      <c r="K27" s="1">
        <f>K26+Table9[[#This Row],[Calls Ans]]</f>
        <v>4276</v>
      </c>
      <c r="L27" s="18">
        <v>0.92</v>
      </c>
      <c r="M27" s="18">
        <v>0.04</v>
      </c>
      <c r="N27" s="18">
        <v>0.96</v>
      </c>
      <c r="O27" s="18">
        <v>0.72</v>
      </c>
      <c r="P27" s="23">
        <v>1</v>
      </c>
      <c r="Q27" s="225">
        <v>1.3310185185185185E-3</v>
      </c>
      <c r="R27" s="125">
        <v>3</v>
      </c>
      <c r="S27" s="159"/>
      <c r="T27" s="34">
        <f t="shared" si="1"/>
        <v>45153</v>
      </c>
      <c r="U27" s="1" cm="1">
        <f t="array" ref="U27">SUMIFS(calls_off_GUY,period_GUY,"&gt;="&amp;T27,period_GUY,"&lt;"&amp;T28)</f>
        <v>0</v>
      </c>
      <c r="V27" s="99" cm="1">
        <f t="array" ref="V27">SUMIFS(calls_ans_GUY,period_GUY,"&gt;="&amp;T27,period_GUY,"&lt;"&amp;T28)</f>
        <v>0</v>
      </c>
    </row>
    <row r="28" spans="1:22" x14ac:dyDescent="0.35">
      <c r="A28" s="34">
        <v>45043</v>
      </c>
      <c r="B28" s="36" t="s">
        <v>52</v>
      </c>
      <c r="C28" s="36" t="s">
        <v>97</v>
      </c>
      <c r="D28" s="1">
        <v>268</v>
      </c>
      <c r="E28" s="1">
        <v>260</v>
      </c>
      <c r="F28" s="66">
        <f>_xlfn.IFNA((Table9[[#This Row],[Calls Off]]-D21)/D21,0)</f>
        <v>-7.586206896551724E-2</v>
      </c>
      <c r="G28" s="66">
        <f>_xlfn.IFNA((Table9[[#This Row],[Calls Ans]]-E21)/E21,0)</f>
        <v>-5.1094890510948905E-2</v>
      </c>
      <c r="H28" s="1">
        <f>H27+Table9[[#This Row],[Calls Off]]</f>
        <v>4728</v>
      </c>
      <c r="I28" s="1">
        <f>I27+Table9[[#This Row],[Calls Ans]]</f>
        <v>4536</v>
      </c>
      <c r="J28" s="1">
        <f>J27+Table9[[#This Row],[Calls Off]]</f>
        <v>4728</v>
      </c>
      <c r="K28" s="1">
        <f>K27+Table9[[#This Row],[Calls Ans]]</f>
        <v>4536</v>
      </c>
      <c r="L28" s="18">
        <v>0.88</v>
      </c>
      <c r="M28" s="18">
        <v>0.03</v>
      </c>
      <c r="N28" s="18">
        <v>0.97</v>
      </c>
      <c r="O28" s="18">
        <v>0.78</v>
      </c>
      <c r="P28" s="23">
        <v>1</v>
      </c>
      <c r="Q28" s="225">
        <v>1.0185185185185186E-3</v>
      </c>
      <c r="R28" s="125">
        <v>3</v>
      </c>
      <c r="S28" s="159"/>
      <c r="T28" s="34">
        <f t="shared" si="1"/>
        <v>45160</v>
      </c>
      <c r="U28" s="1" cm="1">
        <f t="array" ref="U28">SUMIFS(calls_off_GUY,period_GUY,"&gt;="&amp;T28,period_GUY,"&lt;"&amp;T29)</f>
        <v>0</v>
      </c>
      <c r="V28" s="99" cm="1">
        <f t="array" ref="V28">SUMIFS(calls_ans_GUY,period_GUY,"&gt;="&amp;T28,period_GUY,"&lt;"&amp;T29)</f>
        <v>0</v>
      </c>
    </row>
    <row r="29" spans="1:22" x14ac:dyDescent="0.35">
      <c r="A29" s="34">
        <v>45044</v>
      </c>
      <c r="B29" s="36" t="s">
        <v>53</v>
      </c>
      <c r="C29" s="36" t="s">
        <v>97</v>
      </c>
      <c r="D29" s="1">
        <v>248</v>
      </c>
      <c r="E29" s="1">
        <v>237</v>
      </c>
      <c r="F29" s="66">
        <f>_xlfn.IFNA((Table9[[#This Row],[Calls Off]]-D22)/D22,0)</f>
        <v>0.39325842696629215</v>
      </c>
      <c r="G29" s="66">
        <f>_xlfn.IFNA((Table9[[#This Row],[Calls Ans]]-E22)/E22,0)</f>
        <v>0.39411764705882352</v>
      </c>
      <c r="H29" s="1">
        <f>H28+Table9[[#This Row],[Calls Off]]</f>
        <v>4976</v>
      </c>
      <c r="I29" s="1">
        <f>I28+Table9[[#This Row],[Calls Ans]]</f>
        <v>4773</v>
      </c>
      <c r="J29" s="1">
        <f>J28+Table9[[#This Row],[Calls Off]]</f>
        <v>4976</v>
      </c>
      <c r="K29" s="1">
        <f>K28+Table9[[#This Row],[Calls Ans]]</f>
        <v>4773</v>
      </c>
      <c r="L29" s="18">
        <v>0.84</v>
      </c>
      <c r="M29" s="18">
        <v>0.04</v>
      </c>
      <c r="N29" s="18">
        <v>0.96</v>
      </c>
      <c r="O29" s="18">
        <v>0.72</v>
      </c>
      <c r="P29" s="23">
        <v>1</v>
      </c>
      <c r="Q29" s="225">
        <v>9.1435185185185185E-4</v>
      </c>
      <c r="R29" s="125">
        <v>3</v>
      </c>
      <c r="S29" s="159"/>
      <c r="T29" s="34">
        <f t="shared" si="1"/>
        <v>45167</v>
      </c>
      <c r="U29" s="1" cm="1">
        <f t="array" ref="U29">SUMIFS(calls_off_GUY,period_GUY,"&gt;="&amp;T29,period_GUY,"&lt;"&amp;T30)</f>
        <v>0</v>
      </c>
      <c r="V29" s="99" cm="1">
        <f t="array" ref="V29">SUMIFS(calls_ans_GUY,period_GUY,"&gt;="&amp;T29,period_GUY,"&lt;"&amp;T30)</f>
        <v>0</v>
      </c>
    </row>
    <row r="30" spans="1:22" x14ac:dyDescent="0.35">
      <c r="A30" s="34">
        <v>45045</v>
      </c>
      <c r="B30" s="36" t="s">
        <v>54</v>
      </c>
      <c r="C30" s="36" t="s">
        <v>97</v>
      </c>
      <c r="D30" s="1">
        <v>194</v>
      </c>
      <c r="E30" s="1">
        <v>180</v>
      </c>
      <c r="F30" s="66">
        <f>_xlfn.IFNA((Table9[[#This Row],[Calls Off]]-D23)/D23,0)</f>
        <v>0.38571428571428573</v>
      </c>
      <c r="G30" s="66">
        <f>_xlfn.IFNA((Table9[[#This Row],[Calls Ans]]-E23)/E23,0)</f>
        <v>0.35338345864661652</v>
      </c>
      <c r="H30" s="1">
        <f>H29+Table9[[#This Row],[Calls Off]]</f>
        <v>5170</v>
      </c>
      <c r="I30" s="1">
        <f>I29+Table9[[#This Row],[Calls Ans]]</f>
        <v>4953</v>
      </c>
      <c r="J30" s="1">
        <f>J29+Table9[[#This Row],[Calls Off]]</f>
        <v>5170</v>
      </c>
      <c r="K30" s="1">
        <f>K29+Table9[[#This Row],[Calls Ans]]</f>
        <v>4953</v>
      </c>
      <c r="L30" s="18">
        <v>0.9</v>
      </c>
      <c r="M30" s="18">
        <v>7.0000000000000007E-2</v>
      </c>
      <c r="N30" s="18">
        <v>0.93</v>
      </c>
      <c r="O30" s="18">
        <v>0.94</v>
      </c>
      <c r="P30" s="23">
        <v>1</v>
      </c>
      <c r="Q30" s="225">
        <v>1.2384259259259258E-3</v>
      </c>
      <c r="R30" s="125">
        <v>3</v>
      </c>
      <c r="S30" s="159"/>
      <c r="T30" s="34">
        <f t="shared" si="1"/>
        <v>45174</v>
      </c>
      <c r="U30" s="1" cm="1">
        <f t="array" ref="U30">SUMIFS(calls_off_GUY,period_GUY,"&gt;="&amp;T30,period_GUY,"&lt;"&amp;T31)</f>
        <v>0</v>
      </c>
      <c r="V30" s="99" cm="1">
        <f t="array" ref="V30">SUMIFS(calls_ans_GUY,period_GUY,"&gt;="&amp;T30,period_GUY,"&lt;"&amp;T31)</f>
        <v>0</v>
      </c>
    </row>
    <row r="31" spans="1:22" x14ac:dyDescent="0.35">
      <c r="A31" s="34">
        <v>45046</v>
      </c>
      <c r="B31" s="36" t="s">
        <v>48</v>
      </c>
      <c r="C31" s="36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23">
        <v>0</v>
      </c>
      <c r="Q31" s="225">
        <v>0</v>
      </c>
      <c r="R31" s="125">
        <v>0</v>
      </c>
      <c r="S31" s="159"/>
      <c r="T31" s="34">
        <f t="shared" si="1"/>
        <v>45181</v>
      </c>
      <c r="U31" s="1" cm="1">
        <f t="array" ref="U31">SUMIFS(calls_off_GUY,period_GUY,"&gt;="&amp;T31,period_GUY,"&lt;"&amp;T32)</f>
        <v>0</v>
      </c>
      <c r="V31" s="99" cm="1">
        <f t="array" ref="V31">SUMIFS(calls_ans_GUY,period_GUY,"&gt;="&amp;T31,period_GUY,"&lt;"&amp;T32)</f>
        <v>0</v>
      </c>
    </row>
    <row r="32" spans="1:22" x14ac:dyDescent="0.35">
      <c r="A32" s="34">
        <v>45047</v>
      </c>
      <c r="B32" s="36" t="s">
        <v>49</v>
      </c>
      <c r="C32" s="36" t="s">
        <v>97</v>
      </c>
      <c r="D32" s="1">
        <v>0</v>
      </c>
      <c r="E32" s="1">
        <v>0</v>
      </c>
      <c r="F32" s="66">
        <v>0</v>
      </c>
      <c r="G32" s="66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23">
        <v>0</v>
      </c>
      <c r="Q32" s="225">
        <v>0</v>
      </c>
      <c r="R32" s="125">
        <v>0</v>
      </c>
      <c r="S32" s="159"/>
      <c r="T32" s="34">
        <f t="shared" si="1"/>
        <v>45188</v>
      </c>
      <c r="U32" s="1" cm="1">
        <f t="array" ref="U32">SUMIFS(calls_off_GUY,period_GUY,"&gt;="&amp;T32,period_GUY,"&lt;"&amp;T33)</f>
        <v>0</v>
      </c>
      <c r="V32" s="99" cm="1">
        <f t="array" ref="V32">SUMIFS(calls_ans_GUY,period_GUY,"&gt;="&amp;T32,period_GUY,"&lt;"&amp;T33)</f>
        <v>0</v>
      </c>
    </row>
    <row r="33" spans="1:25" x14ac:dyDescent="0.35">
      <c r="A33" s="34">
        <v>45048</v>
      </c>
      <c r="B33" s="36" t="s">
        <v>50</v>
      </c>
      <c r="C33" s="36" t="s">
        <v>97</v>
      </c>
      <c r="D33" s="1">
        <v>283</v>
      </c>
      <c r="E33" s="1">
        <v>275</v>
      </c>
      <c r="F33" s="66">
        <f>_xlfn.IFNA((Table9[[#This Row],[Calls Off]]-D26)/D26,0)</f>
        <v>7.1969696969696975E-2</v>
      </c>
      <c r="G33" s="66">
        <f>_xlfn.IFNA((Table9[[#This Row],[Calls Ans]]-E26)/E26,0)</f>
        <v>6.589147286821706E-2</v>
      </c>
      <c r="H33" s="1">
        <f>H32+Table9[[#This Row],[Calls Off]]</f>
        <v>283</v>
      </c>
      <c r="I33" s="1">
        <f>I32+Table9[[#This Row],[Calls Ans]]</f>
        <v>275</v>
      </c>
      <c r="J33" s="1">
        <f>J30+Table9[[#This Row],[Calls Off]]</f>
        <v>5453</v>
      </c>
      <c r="K33" s="1">
        <f>K30+Table9[[#This Row],[Calls Ans]]</f>
        <v>5228</v>
      </c>
      <c r="L33" s="18">
        <v>0.88</v>
      </c>
      <c r="M33" s="18">
        <v>0.03</v>
      </c>
      <c r="N33" s="18">
        <v>0.97</v>
      </c>
      <c r="O33" s="18">
        <v>0.82</v>
      </c>
      <c r="P33" s="23">
        <v>0.98</v>
      </c>
      <c r="Q33" s="225">
        <v>1.0995370370370371E-3</v>
      </c>
      <c r="R33" s="125">
        <v>3</v>
      </c>
      <c r="S33" s="159"/>
      <c r="T33" s="34">
        <f t="shared" si="1"/>
        <v>45195</v>
      </c>
      <c r="U33" s="1" cm="1">
        <f t="array" ref="U33">SUMIFS(calls_off_GUY,period_GUY,"&gt;="&amp;T33,period_GUY,"&lt;"&amp;T34)</f>
        <v>0</v>
      </c>
      <c r="V33" s="99" cm="1">
        <f t="array" ref="V33">SUMIFS(calls_ans_GUY,period_GUY,"&gt;="&amp;T33,period_GUY,"&lt;"&amp;T34)</f>
        <v>0</v>
      </c>
    </row>
    <row r="34" spans="1:25" x14ac:dyDescent="0.35">
      <c r="A34" s="34">
        <v>45049</v>
      </c>
      <c r="B34" s="36" t="s">
        <v>51</v>
      </c>
      <c r="C34" s="36" t="s">
        <v>97</v>
      </c>
      <c r="D34" s="1">
        <v>264</v>
      </c>
      <c r="E34" s="1">
        <v>254</v>
      </c>
      <c r="F34" s="66">
        <f>_xlfn.IFNA((Table9[[#This Row],[Calls Off]]-D27)/D27,0)</f>
        <v>0.23364485981308411</v>
      </c>
      <c r="G34" s="66">
        <f>_xlfn.IFNA((Table9[[#This Row],[Calls Ans]]-E27)/E27,0)</f>
        <v>0.23300970873786409</v>
      </c>
      <c r="H34" s="1">
        <f>H33+Table9[[#This Row],[Calls Off]]</f>
        <v>547</v>
      </c>
      <c r="I34" s="1">
        <f>I33+Table9[[#This Row],[Calls Ans]]</f>
        <v>529</v>
      </c>
      <c r="J34" s="1">
        <f>J33+Table9[[#This Row],[Calls Off]]</f>
        <v>5717</v>
      </c>
      <c r="K34" s="1">
        <f>K33+Table9[[#This Row],[Calls Ans]]</f>
        <v>5482</v>
      </c>
      <c r="L34" s="18">
        <v>0.89</v>
      </c>
      <c r="M34" s="18">
        <v>0.04</v>
      </c>
      <c r="N34" s="18">
        <v>0.96</v>
      </c>
      <c r="O34" s="18">
        <v>0.71</v>
      </c>
      <c r="P34" s="23">
        <v>1</v>
      </c>
      <c r="Q34" s="225">
        <v>1.0300925925925926E-3</v>
      </c>
      <c r="R34" s="125">
        <v>4</v>
      </c>
      <c r="S34" s="159"/>
      <c r="T34" s="34">
        <f t="shared" si="1"/>
        <v>45202</v>
      </c>
      <c r="U34" s="1" cm="1">
        <f t="array" ref="U34">SUMIFS(calls_off_GUY,period_GUY,"&gt;="&amp;T34,period_GUY,"&lt;"&amp;T35)</f>
        <v>0</v>
      </c>
      <c r="V34" s="99" cm="1">
        <f t="array" ref="V34">SUMIFS(calls_ans_GUY,period_GUY,"&gt;="&amp;T34,period_GUY,"&lt;"&amp;T35)</f>
        <v>0</v>
      </c>
    </row>
    <row r="35" spans="1:25" x14ac:dyDescent="0.35">
      <c r="A35" s="34">
        <v>45050</v>
      </c>
      <c r="B35" s="36" t="s">
        <v>52</v>
      </c>
      <c r="C35" s="36" t="s">
        <v>97</v>
      </c>
      <c r="D35" s="1">
        <v>305</v>
      </c>
      <c r="E35" s="1">
        <v>298</v>
      </c>
      <c r="F35" s="66">
        <f>_xlfn.IFNA((Table9[[#This Row],[Calls Off]]-D28)/D28,0)</f>
        <v>0.13805970149253732</v>
      </c>
      <c r="G35" s="66">
        <f>_xlfn.IFNA((Table9[[#This Row],[Calls Ans]]-E28)/E28,0)</f>
        <v>0.14615384615384616</v>
      </c>
      <c r="H35" s="1">
        <f>H34+Table9[[#This Row],[Calls Off]]</f>
        <v>852</v>
      </c>
      <c r="I35" s="1">
        <f>I34+Table9[[#This Row],[Calls Ans]]</f>
        <v>827</v>
      </c>
      <c r="J35" s="1">
        <f>J34+Table9[[#This Row],[Calls Off]]</f>
        <v>6022</v>
      </c>
      <c r="K35" s="1">
        <f>K34+Table9[[#This Row],[Calls Ans]]</f>
        <v>5780</v>
      </c>
      <c r="L35" s="18">
        <v>0.96</v>
      </c>
      <c r="M35" s="18">
        <v>0.02</v>
      </c>
      <c r="N35" s="18">
        <v>0.98</v>
      </c>
      <c r="O35" s="18">
        <v>0.75</v>
      </c>
      <c r="P35" s="23">
        <v>1</v>
      </c>
      <c r="Q35" s="225">
        <v>8.1018518518518516E-4</v>
      </c>
      <c r="R35" s="125">
        <v>4</v>
      </c>
      <c r="S35" s="159"/>
      <c r="T35" s="34">
        <f t="shared" si="1"/>
        <v>45209</v>
      </c>
      <c r="U35" s="1" cm="1">
        <f t="array" ref="U35">SUMIFS(calls_off_GUY,period_GUY,"&gt;="&amp;T35,period_GUY,"&lt;"&amp;T36)</f>
        <v>0</v>
      </c>
      <c r="V35" s="99" cm="1">
        <f t="array" ref="V35">SUMIFS(calls_ans_GUY,period_GUY,"&gt;="&amp;T35,period_GUY,"&lt;"&amp;T36)</f>
        <v>0</v>
      </c>
    </row>
    <row r="36" spans="1:25" x14ac:dyDescent="0.35">
      <c r="A36" s="34">
        <v>45051</v>
      </c>
      <c r="B36" s="36" t="s">
        <v>53</v>
      </c>
      <c r="C36" s="36" t="s">
        <v>97</v>
      </c>
      <c r="D36" s="1">
        <v>0</v>
      </c>
      <c r="E36" s="1">
        <v>0</v>
      </c>
      <c r="F36" s="66">
        <v>0</v>
      </c>
      <c r="G36" s="66">
        <v>0</v>
      </c>
      <c r="H36" s="1">
        <v>0</v>
      </c>
      <c r="I36" s="1">
        <v>0</v>
      </c>
      <c r="J36" s="1">
        <v>0</v>
      </c>
      <c r="K36" s="1">
        <v>0</v>
      </c>
      <c r="L36" s="18">
        <v>0</v>
      </c>
      <c r="M36" s="18">
        <v>0</v>
      </c>
      <c r="N36" s="18">
        <v>0</v>
      </c>
      <c r="O36" s="18">
        <v>0</v>
      </c>
      <c r="P36" s="23">
        <v>0</v>
      </c>
      <c r="Q36" s="225">
        <v>0</v>
      </c>
      <c r="R36" s="125">
        <v>0</v>
      </c>
      <c r="S36" s="159"/>
      <c r="T36" s="34">
        <f t="shared" si="1"/>
        <v>45216</v>
      </c>
      <c r="U36" s="1" cm="1">
        <f t="array" ref="U36">SUMIFS(calls_off_GUY,period_GUY,"&gt;="&amp;T36,period_GUY,"&lt;"&amp;T37)</f>
        <v>0</v>
      </c>
      <c r="V36" s="99" cm="1">
        <f t="array" ref="V36">SUMIFS(calls_ans_GUY,period_GUY,"&gt;="&amp;T36,period_GUY,"&lt;"&amp;T37)</f>
        <v>0</v>
      </c>
    </row>
    <row r="37" spans="1:25" x14ac:dyDescent="0.35">
      <c r="A37" s="34">
        <v>45052</v>
      </c>
      <c r="B37" s="36" t="s">
        <v>54</v>
      </c>
      <c r="C37" s="36" t="s">
        <v>97</v>
      </c>
      <c r="D37" s="1">
        <v>205</v>
      </c>
      <c r="E37" s="1">
        <v>200</v>
      </c>
      <c r="F37" s="66">
        <f>_xlfn.IFNA((Table9[[#This Row],[Calls Off]]-D30)/D30,0)</f>
        <v>5.6701030927835051E-2</v>
      </c>
      <c r="G37" s="66">
        <f>_xlfn.IFNA((Table9[[#This Row],[Calls Ans]]-E30)/E30,0)</f>
        <v>0.1111111111111111</v>
      </c>
      <c r="H37" s="1">
        <f>H35+Table9[[#This Row],[Calls Off]]</f>
        <v>1057</v>
      </c>
      <c r="I37" s="1">
        <f>I35+Table9[[#This Row],[Calls Ans]]</f>
        <v>1027</v>
      </c>
      <c r="J37" s="1">
        <f>J35+Table9[[#This Row],[Calls Off]]</f>
        <v>6227</v>
      </c>
      <c r="K37" s="1">
        <f>K35+Table9[[#This Row],[Calls Ans]]</f>
        <v>5980</v>
      </c>
      <c r="L37" s="18">
        <v>0.93</v>
      </c>
      <c r="M37" s="18">
        <v>0.02</v>
      </c>
      <c r="N37" s="18">
        <v>0.98</v>
      </c>
      <c r="O37" s="18">
        <v>1.21</v>
      </c>
      <c r="P37" s="23">
        <v>1</v>
      </c>
      <c r="Q37" s="225">
        <v>1.3310185185185185E-3</v>
      </c>
      <c r="R37" s="125">
        <v>4</v>
      </c>
      <c r="S37" s="159"/>
      <c r="T37" s="34">
        <f t="shared" si="1"/>
        <v>45223</v>
      </c>
      <c r="U37" s="1" cm="1">
        <f t="array" ref="U37">SUMIFS(calls_off_GUY,period_GUY,"&gt;="&amp;T37,period_GUY,"&lt;"&amp;T38)</f>
        <v>0</v>
      </c>
      <c r="V37" s="99" cm="1">
        <f t="array" ref="V37">SUMIFS(calls_ans_GUY,period_GUY,"&gt;="&amp;T37,period_GUY,"&lt;"&amp;T38)</f>
        <v>0</v>
      </c>
    </row>
    <row r="38" spans="1:25" x14ac:dyDescent="0.35">
      <c r="A38" s="34">
        <v>45053</v>
      </c>
      <c r="B38" s="36" t="s">
        <v>48</v>
      </c>
      <c r="C38" s="36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23">
        <v>0</v>
      </c>
      <c r="Q38" s="225">
        <v>0</v>
      </c>
      <c r="R38" s="125">
        <v>0</v>
      </c>
      <c r="S38" s="159"/>
      <c r="T38" s="34">
        <f t="shared" si="1"/>
        <v>45230</v>
      </c>
      <c r="U38" s="1" cm="1">
        <f t="array" ref="U38">SUMIFS(calls_off_GUY,period_GUY,"&gt;="&amp;T38,period_GUY,"&lt;"&amp;T39)</f>
        <v>0</v>
      </c>
      <c r="V38" s="99" cm="1">
        <f t="array" ref="V38">SUMIFS(calls_ans_GUY,period_GUY,"&gt;="&amp;T38,period_GUY,"&lt;"&amp;T39)</f>
        <v>0</v>
      </c>
    </row>
    <row r="39" spans="1:25" x14ac:dyDescent="0.35">
      <c r="A39" s="34">
        <v>45054</v>
      </c>
      <c r="B39" s="36" t="s">
        <v>49</v>
      </c>
      <c r="C39" s="36" t="s">
        <v>97</v>
      </c>
      <c r="D39" s="1">
        <v>328</v>
      </c>
      <c r="E39" s="1">
        <v>317</v>
      </c>
      <c r="F39" s="66">
        <f>IFERROR((Table9[[#This Row],[Calls Off]]-D32)/D32,0)</f>
        <v>0</v>
      </c>
      <c r="G39" s="66">
        <f>IFERROR((Table9[[#This Row],[Calls Ans]]-E32)/E32,0)</f>
        <v>0</v>
      </c>
      <c r="H39" s="1">
        <f>H37+Table9[[#This Row],[Calls Off]]</f>
        <v>1385</v>
      </c>
      <c r="I39" s="1">
        <f>I37+Table9[[#This Row],[Calls Ans]]</f>
        <v>1344</v>
      </c>
      <c r="J39" s="1">
        <f>J37+Table9[[#This Row],[Calls Off]]</f>
        <v>6555</v>
      </c>
      <c r="K39" s="1">
        <f>K37+Table9[[#This Row],[Calls Ans]]</f>
        <v>6297</v>
      </c>
      <c r="L39" s="18">
        <v>0.89</v>
      </c>
      <c r="M39" s="18">
        <v>0.03</v>
      </c>
      <c r="N39" s="18">
        <v>0.97</v>
      </c>
      <c r="O39" s="18">
        <v>0.81</v>
      </c>
      <c r="P39" s="23">
        <v>1</v>
      </c>
      <c r="Q39" s="225">
        <v>1.0763888888888889E-3</v>
      </c>
      <c r="R39" s="125">
        <v>4</v>
      </c>
      <c r="S39" s="159"/>
      <c r="T39" s="34">
        <f t="shared" si="1"/>
        <v>45237</v>
      </c>
      <c r="U39" s="1" cm="1">
        <f t="array" ref="U39">SUMIFS(calls_off_GUY,period_GUY,"&gt;="&amp;T39,period_GUY,"&lt;"&amp;T40)</f>
        <v>0</v>
      </c>
      <c r="V39" s="99" cm="1">
        <f t="array" ref="V39">SUMIFS(calls_ans_GUY,period_GUY,"&gt;="&amp;T39,period_GUY,"&lt;"&amp;T40)</f>
        <v>0</v>
      </c>
      <c r="X39" t="e">
        <f>(Table10[[#This Row],[Sum of Calls - Offered]]-U38)/U38</f>
        <v>#DIV/0!</v>
      </c>
      <c r="Y39" t="e">
        <f>(Table10[[#This Row],[Sum of Calls - Answered]]-V38)/V38</f>
        <v>#DIV/0!</v>
      </c>
    </row>
    <row r="40" spans="1:25" x14ac:dyDescent="0.35">
      <c r="A40" s="34">
        <v>45055</v>
      </c>
      <c r="B40" s="36" t="s">
        <v>50</v>
      </c>
      <c r="C40" s="36" t="s">
        <v>97</v>
      </c>
      <c r="D40" s="1">
        <v>201</v>
      </c>
      <c r="E40" s="1">
        <v>190</v>
      </c>
      <c r="F40" s="66">
        <f>IFERROR((Table9[[#This Row],[Calls Off]]-D33)/D33,0)</f>
        <v>-0.28975265017667845</v>
      </c>
      <c r="G40" s="66">
        <f>IFERROR((Table9[[#This Row],[Calls Ans]]-E33)/E33,0)</f>
        <v>-0.30909090909090908</v>
      </c>
      <c r="H40" s="1">
        <f>H39+Table9[[#This Row],[Calls Off]]</f>
        <v>1586</v>
      </c>
      <c r="I40" s="1">
        <f>I39+Table9[[#This Row],[Calls Ans]]</f>
        <v>1534</v>
      </c>
      <c r="J40" s="1">
        <f>J39+Table9[[#This Row],[Calls Off]]</f>
        <v>6756</v>
      </c>
      <c r="K40" s="1">
        <f>K39+Table9[[#This Row],[Calls Ans]]</f>
        <v>6487</v>
      </c>
      <c r="L40" s="18">
        <v>0.83</v>
      </c>
      <c r="M40" s="18">
        <v>0.06</v>
      </c>
      <c r="N40" s="18">
        <v>0.94</v>
      </c>
      <c r="O40" s="18">
        <v>0.68</v>
      </c>
      <c r="P40" s="23">
        <v>1</v>
      </c>
      <c r="Q40" s="225">
        <v>1.2731481481481483E-3</v>
      </c>
      <c r="R40" s="125">
        <v>3</v>
      </c>
      <c r="S40" s="159"/>
      <c r="T40" s="34">
        <f t="shared" si="1"/>
        <v>45244</v>
      </c>
      <c r="U40" s="1" cm="1">
        <f t="array" ref="U40">SUMIFS(calls_off_GUY,period_GUY,"&gt;="&amp;T40,period_GUY,"&lt;"&amp;T41)</f>
        <v>0</v>
      </c>
      <c r="V40" s="99" cm="1">
        <f t="array" ref="V40">SUMIFS(calls_ans_GUY,period_GUY,"&gt;="&amp;T40,period_GUY,"&lt;"&amp;T41)</f>
        <v>0</v>
      </c>
    </row>
    <row r="41" spans="1:25" x14ac:dyDescent="0.35">
      <c r="A41" s="34">
        <v>45056</v>
      </c>
      <c r="B41" s="36" t="s">
        <v>51</v>
      </c>
      <c r="C41" s="36" t="s">
        <v>97</v>
      </c>
      <c r="D41" s="1">
        <v>192</v>
      </c>
      <c r="E41" s="1">
        <v>189</v>
      </c>
      <c r="F41" s="66">
        <f>IFERROR((Table9[[#This Row],[Calls Off]]-D34)/D34,0)</f>
        <v>-0.27272727272727271</v>
      </c>
      <c r="G41" s="66">
        <f>IFERROR((Table9[[#This Row],[Calls Ans]]-E34)/E34,0)</f>
        <v>-0.25590551181102361</v>
      </c>
      <c r="H41" s="1">
        <f>H40+Table9[[#This Row],[Calls Off]]</f>
        <v>1778</v>
      </c>
      <c r="I41" s="1">
        <f>I40+Table9[[#This Row],[Calls Ans]]</f>
        <v>1723</v>
      </c>
      <c r="J41" s="1">
        <f>J40+Table9[[#This Row],[Calls Off]]</f>
        <v>6948</v>
      </c>
      <c r="K41" s="1">
        <f>K40+Table9[[#This Row],[Calls Ans]]</f>
        <v>6676</v>
      </c>
      <c r="L41" s="18">
        <v>0.99</v>
      </c>
      <c r="M41" s="18">
        <v>0.02</v>
      </c>
      <c r="N41" s="18">
        <v>0.98</v>
      </c>
      <c r="O41" s="18">
        <v>0.62</v>
      </c>
      <c r="P41" s="23">
        <v>1</v>
      </c>
      <c r="Q41" s="225">
        <v>1.4004629629629629E-3</v>
      </c>
      <c r="R41" s="125">
        <v>4</v>
      </c>
      <c r="S41" s="159"/>
      <c r="T41" s="34">
        <f t="shared" si="1"/>
        <v>45251</v>
      </c>
      <c r="U41" s="1" cm="1">
        <f t="array" ref="U41">SUMIFS(calls_off_GUY,period_GUY,"&gt;="&amp;T41,period_GUY,"&lt;"&amp;T42)</f>
        <v>0</v>
      </c>
      <c r="V41" s="99" cm="1">
        <f t="array" ref="V41">SUMIFS(calls_ans_GUY,period_GUY,"&gt;="&amp;T41,period_GUY,"&lt;"&amp;T42)</f>
        <v>0</v>
      </c>
    </row>
    <row r="42" spans="1:25" x14ac:dyDescent="0.35">
      <c r="A42" s="34">
        <v>45057</v>
      </c>
      <c r="B42" s="36" t="s">
        <v>52</v>
      </c>
      <c r="C42" s="36" t="s">
        <v>97</v>
      </c>
      <c r="D42" s="1">
        <v>148</v>
      </c>
      <c r="E42" s="1">
        <v>144</v>
      </c>
      <c r="F42" s="66">
        <f>IFERROR((Table9[[#This Row],[Calls Off]]-D35)/D35,0)</f>
        <v>-0.51475409836065578</v>
      </c>
      <c r="G42" s="66">
        <f>IFERROR((Table9[[#This Row],[Calls Ans]]-E35)/E35,0)</f>
        <v>-0.51677852348993292</v>
      </c>
      <c r="H42" s="1">
        <f>H41+Table9[[#This Row],[Calls Off]]</f>
        <v>1926</v>
      </c>
      <c r="I42" s="1">
        <f>I41+Table9[[#This Row],[Calls Ans]]</f>
        <v>1867</v>
      </c>
      <c r="J42" s="1">
        <f>J41+Table9[[#This Row],[Calls Off]]</f>
        <v>7096</v>
      </c>
      <c r="K42" s="1">
        <f>K41+Table9[[#This Row],[Calls Ans]]</f>
        <v>6820</v>
      </c>
      <c r="L42" s="18">
        <v>0.97</v>
      </c>
      <c r="M42" s="18">
        <v>0.03</v>
      </c>
      <c r="N42" s="18">
        <v>0.97</v>
      </c>
      <c r="O42" s="18">
        <v>0.79</v>
      </c>
      <c r="P42" s="23">
        <v>1</v>
      </c>
      <c r="Q42" s="225">
        <v>1.5046296296296294E-3</v>
      </c>
      <c r="R42" s="125">
        <v>3</v>
      </c>
      <c r="S42" s="159"/>
      <c r="T42" s="34">
        <f t="shared" si="1"/>
        <v>45258</v>
      </c>
      <c r="U42" s="1" cm="1">
        <f t="array" ref="U42">SUMIFS(calls_off_GUY,period_GUY,"&gt;="&amp;T42,period_GUY,"&lt;"&amp;T43)</f>
        <v>0</v>
      </c>
      <c r="V42" s="99" cm="1">
        <f t="array" ref="V42">SUMIFS(calls_ans_GUY,period_GUY,"&gt;="&amp;T42,period_GUY,"&lt;"&amp;T43)</f>
        <v>0</v>
      </c>
    </row>
    <row r="43" spans="1:25" x14ac:dyDescent="0.35">
      <c r="A43" s="34">
        <v>45058</v>
      </c>
      <c r="B43" s="36" t="s">
        <v>53</v>
      </c>
      <c r="C43" s="36" t="s">
        <v>97</v>
      </c>
      <c r="D43" s="1">
        <v>161</v>
      </c>
      <c r="E43" s="1">
        <v>153</v>
      </c>
      <c r="F43" s="66">
        <f>IFERROR((Table9[[#This Row],[Calls Off]]-D36)/D36,0)</f>
        <v>0</v>
      </c>
      <c r="G43" s="66">
        <f>IFERROR((Table9[[#This Row],[Calls Ans]]-E36)/E36,0)</f>
        <v>0</v>
      </c>
      <c r="H43" s="1">
        <f>H42+Table9[[#This Row],[Calls Off]]</f>
        <v>2087</v>
      </c>
      <c r="I43" s="1">
        <f>I42+Table9[[#This Row],[Calls Ans]]</f>
        <v>2020</v>
      </c>
      <c r="J43" s="1">
        <f>J42+Table9[[#This Row],[Calls Off]]</f>
        <v>7257</v>
      </c>
      <c r="K43" s="1">
        <f>K42+Table9[[#This Row],[Calls Ans]]</f>
        <v>6973</v>
      </c>
      <c r="L43" s="18">
        <v>0.92</v>
      </c>
      <c r="M43" s="18">
        <v>0.05</v>
      </c>
      <c r="N43" s="18">
        <v>0.95</v>
      </c>
      <c r="O43" s="18">
        <v>0.67</v>
      </c>
      <c r="P43" s="23">
        <v>1</v>
      </c>
      <c r="Q43" s="225">
        <v>1.2962962962962963E-3</v>
      </c>
      <c r="R43" s="125">
        <v>4</v>
      </c>
      <c r="S43" s="159"/>
      <c r="T43" s="34">
        <f t="shared" si="1"/>
        <v>45265</v>
      </c>
      <c r="U43" s="1" cm="1">
        <f t="array" ref="U43">SUMIFS(calls_off_GUY,period_GUY,"&gt;="&amp;T43,period_GUY,"&lt;"&amp;T44)</f>
        <v>0</v>
      </c>
      <c r="V43" s="99" cm="1">
        <f t="array" ref="V43">SUMIFS(calls_ans_GUY,period_GUY,"&gt;="&amp;T43,period_GUY,"&lt;"&amp;T44)</f>
        <v>0</v>
      </c>
    </row>
    <row r="44" spans="1:25" x14ac:dyDescent="0.35">
      <c r="A44" s="34">
        <v>45059</v>
      </c>
      <c r="B44" s="36" t="s">
        <v>54</v>
      </c>
      <c r="C44" s="36" t="s">
        <v>97</v>
      </c>
      <c r="D44" s="1">
        <v>117</v>
      </c>
      <c r="E44" s="1">
        <v>114</v>
      </c>
      <c r="F44" s="66">
        <f>IFERROR((Table9[[#This Row],[Calls Off]]-D37)/D37,0)</f>
        <v>-0.42926829268292682</v>
      </c>
      <c r="G44" s="66">
        <f>IFERROR((Table9[[#This Row],[Calls Ans]]-E37)/E37,0)</f>
        <v>-0.43</v>
      </c>
      <c r="H44" s="1">
        <f>H43+Table9[[#This Row],[Calls Off]]</f>
        <v>2204</v>
      </c>
      <c r="I44" s="1">
        <f>I43+Table9[[#This Row],[Calls Ans]]</f>
        <v>2134</v>
      </c>
      <c r="J44" s="1">
        <f>J43+Table9[[#This Row],[Calls Off]]</f>
        <v>7374</v>
      </c>
      <c r="K44" s="1">
        <f>K43+Table9[[#This Row],[Calls Ans]]</f>
        <v>7087</v>
      </c>
      <c r="L44" s="18">
        <v>0.89</v>
      </c>
      <c r="M44" s="18">
        <v>0.03</v>
      </c>
      <c r="N44" s="18">
        <v>0.97</v>
      </c>
      <c r="O44" s="18">
        <v>0.54</v>
      </c>
      <c r="P44" s="23">
        <v>0.99</v>
      </c>
      <c r="Q44" s="225">
        <v>1.3888888888888889E-3</v>
      </c>
      <c r="R44" s="125">
        <v>3</v>
      </c>
      <c r="S44" s="159"/>
      <c r="T44" s="34">
        <f t="shared" si="1"/>
        <v>45272</v>
      </c>
      <c r="U44" s="1" cm="1">
        <f t="array" ref="U44">SUMIFS(calls_off_GUY,period_GUY,"&gt;="&amp;T44,period_GUY,"&lt;"&amp;T45)</f>
        <v>0</v>
      </c>
      <c r="V44" s="99" cm="1">
        <f t="array" ref="V44">SUMIFS(calls_ans_GUY,period_GUY,"&gt;="&amp;T44,period_GUY,"&lt;"&amp;T45)</f>
        <v>0</v>
      </c>
    </row>
    <row r="45" spans="1:25" x14ac:dyDescent="0.35">
      <c r="A45" s="34">
        <v>45060</v>
      </c>
      <c r="B45" s="36" t="s">
        <v>48</v>
      </c>
      <c r="C45" s="36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23">
        <v>0</v>
      </c>
      <c r="Q45" s="225">
        <v>0</v>
      </c>
      <c r="R45" s="125">
        <v>0</v>
      </c>
      <c r="S45" s="159"/>
      <c r="T45" s="34">
        <f t="shared" si="1"/>
        <v>45279</v>
      </c>
      <c r="U45" s="1" cm="1">
        <f t="array" ref="U45">SUMIFS(calls_off_GUY,period_GUY,"&gt;="&amp;T45,period_GUY,"&lt;"&amp;T46)</f>
        <v>0</v>
      </c>
      <c r="V45" s="99" cm="1">
        <f t="array" ref="V45">SUMIFS(calls_ans_GUY,period_GUY,"&gt;="&amp;T45,period_GUY,"&lt;"&amp;T46)</f>
        <v>0</v>
      </c>
    </row>
    <row r="46" spans="1:25" x14ac:dyDescent="0.35">
      <c r="A46" s="34">
        <v>45061</v>
      </c>
      <c r="B46" s="36" t="s">
        <v>49</v>
      </c>
      <c r="C46" s="36" t="s">
        <v>97</v>
      </c>
      <c r="D46" s="1">
        <v>184</v>
      </c>
      <c r="E46" s="1">
        <v>176</v>
      </c>
      <c r="F46" s="66">
        <f>IFERROR((Table9[[#This Row],[Calls Off]]-D39)/D39,0)</f>
        <v>-0.43902439024390244</v>
      </c>
      <c r="G46" s="66">
        <f>IFERROR((Table9[[#This Row],[Calls Ans]]-E39)/E39,0)</f>
        <v>-0.44479495268138802</v>
      </c>
      <c r="H46" s="1">
        <f>H44+Table9[[#This Row],[Calls Off]]</f>
        <v>2388</v>
      </c>
      <c r="I46" s="1">
        <f>I44+Table9[[#This Row],[Calls Ans]]</f>
        <v>2310</v>
      </c>
      <c r="J46" s="1">
        <f>J44+Table9[[#This Row],[Calls Off]]</f>
        <v>7558</v>
      </c>
      <c r="K46" s="1">
        <f>K44+Table9[[#This Row],[Calls Ans]]</f>
        <v>7263</v>
      </c>
      <c r="L46" s="18">
        <v>0.85</v>
      </c>
      <c r="M46" s="18">
        <v>0.04</v>
      </c>
      <c r="N46" s="18">
        <v>0.96</v>
      </c>
      <c r="O46" s="18">
        <v>0.47</v>
      </c>
      <c r="P46" s="23">
        <v>1</v>
      </c>
      <c r="Q46" s="225">
        <v>1.2731481481481483E-3</v>
      </c>
      <c r="R46" s="125">
        <v>3</v>
      </c>
      <c r="S46" s="159"/>
      <c r="T46" s="34">
        <f t="shared" si="1"/>
        <v>45286</v>
      </c>
      <c r="U46" s="1" cm="1">
        <f t="array" ref="U46">SUMIFS(calls_off_GUY,period_GUY,"&gt;="&amp;T46,period_GUY,"&lt;"&amp;T47)</f>
        <v>0</v>
      </c>
      <c r="V46" s="99" cm="1">
        <f t="array" ref="V46">SUMIFS(calls_ans_GUY,period_GUY,"&gt;="&amp;T46,period_GUY,"&lt;"&amp;T47)</f>
        <v>0</v>
      </c>
      <c r="W46" s="16"/>
    </row>
    <row r="47" spans="1:25" x14ac:dyDescent="0.35">
      <c r="A47" s="34">
        <v>45062</v>
      </c>
      <c r="B47" s="36" t="s">
        <v>50</v>
      </c>
      <c r="C47" s="36" t="s">
        <v>97</v>
      </c>
      <c r="D47" s="1">
        <v>170</v>
      </c>
      <c r="E47" s="1">
        <v>166</v>
      </c>
      <c r="F47" s="66">
        <f>IFERROR((Table9[[#This Row],[Calls Off]]-D40)/D40,0)</f>
        <v>-0.15422885572139303</v>
      </c>
      <c r="G47" s="66">
        <f>IFERROR((Table9[[#This Row],[Calls Ans]]-E40)/E40,0)</f>
        <v>-0.12631578947368421</v>
      </c>
      <c r="H47" s="1">
        <f>H46+Table9[[#This Row],[Calls Off]]</f>
        <v>2558</v>
      </c>
      <c r="I47" s="1">
        <f>I46+Table9[[#This Row],[Calls Ans]]</f>
        <v>2476</v>
      </c>
      <c r="J47" s="1">
        <f>J46+Table9[[#This Row],[Calls Off]]</f>
        <v>7728</v>
      </c>
      <c r="K47" s="1">
        <f>K46+Table9[[#This Row],[Calls Ans]]</f>
        <v>7429</v>
      </c>
      <c r="L47" s="18">
        <v>0.94</v>
      </c>
      <c r="M47" s="18">
        <v>0.02</v>
      </c>
      <c r="N47" s="18">
        <v>0.98</v>
      </c>
      <c r="O47" s="18">
        <v>0.42</v>
      </c>
      <c r="P47" s="23">
        <v>1</v>
      </c>
      <c r="Q47" s="225">
        <v>1.4004629629629629E-3</v>
      </c>
      <c r="R47" s="125">
        <v>3</v>
      </c>
      <c r="S47" s="159"/>
      <c r="T47" s="34">
        <f t="shared" si="1"/>
        <v>45293</v>
      </c>
      <c r="U47" s="1" cm="1">
        <f t="array" ref="U47">SUMIFS(calls_off_GUY,period_GUY,"&gt;="&amp;T47,period_GUY,"&lt;"&amp;T48)</f>
        <v>0</v>
      </c>
      <c r="V47" s="99" cm="1">
        <f t="array" ref="V47">SUMIFS(calls_ans_GUY,period_GUY,"&gt;="&amp;T47,period_GUY,"&lt;"&amp;T48)</f>
        <v>0</v>
      </c>
      <c r="W47" s="16"/>
    </row>
    <row r="48" spans="1:25" x14ac:dyDescent="0.35">
      <c r="A48" s="34">
        <v>45063</v>
      </c>
      <c r="B48" s="36" t="s">
        <v>51</v>
      </c>
      <c r="C48" s="36" t="s">
        <v>97</v>
      </c>
      <c r="D48" s="1">
        <v>158</v>
      </c>
      <c r="E48" s="1">
        <v>151</v>
      </c>
      <c r="F48" s="66">
        <f>IFERROR((Table9[[#This Row],[Calls Off]]-D41)/D41,0)</f>
        <v>-0.17708333333333334</v>
      </c>
      <c r="G48" s="66">
        <f>IFERROR((Table9[[#This Row],[Calls Ans]]-E41)/E41,0)</f>
        <v>-0.20105820105820105</v>
      </c>
      <c r="H48" s="1">
        <f>H47+Table9[[#This Row],[Calls Off]]</f>
        <v>2716</v>
      </c>
      <c r="I48" s="1">
        <f>I47+Table9[[#This Row],[Calls Ans]]</f>
        <v>2627</v>
      </c>
      <c r="J48" s="1">
        <f>J47+Table9[[#This Row],[Calls Off]]</f>
        <v>7886</v>
      </c>
      <c r="K48" s="1">
        <f>K47+Table9[[#This Row],[Calls Ans]]</f>
        <v>7580</v>
      </c>
      <c r="L48" s="18">
        <v>0.86</v>
      </c>
      <c r="M48" s="18">
        <v>0.04</v>
      </c>
      <c r="N48" s="18">
        <v>0.96</v>
      </c>
      <c r="O48" s="18">
        <v>0.31</v>
      </c>
      <c r="P48" s="23">
        <v>1</v>
      </c>
      <c r="Q48" s="225">
        <v>1.4467592592592594E-3</v>
      </c>
      <c r="R48" s="125">
        <v>3</v>
      </c>
      <c r="T48" s="34">
        <f t="shared" si="1"/>
        <v>45300</v>
      </c>
      <c r="U48" s="1" cm="1">
        <f t="array" ref="U48">SUMIFS(calls_off_GUY,period_GUY,"&gt;="&amp;T48,period_GUY,"&lt;"&amp;T49)</f>
        <v>0</v>
      </c>
      <c r="V48" s="99" cm="1">
        <f t="array" ref="V48">SUMIFS(calls_ans_GUY,period_GUY,"&gt;="&amp;T48,period_GUY,"&lt;"&amp;T49)</f>
        <v>0</v>
      </c>
    </row>
    <row r="49" spans="1:22" x14ac:dyDescent="0.35">
      <c r="A49" s="34">
        <v>45064</v>
      </c>
      <c r="B49" s="36" t="s">
        <v>52</v>
      </c>
      <c r="C49" s="36" t="s">
        <v>97</v>
      </c>
      <c r="D49" s="1">
        <v>187</v>
      </c>
      <c r="E49" s="1">
        <v>178</v>
      </c>
      <c r="F49" s="66">
        <f>IFERROR((Table9[[#This Row],[Calls Off]]-D42)/D42,0)</f>
        <v>0.26351351351351349</v>
      </c>
      <c r="G49" s="66">
        <f>IFERROR((Table9[[#This Row],[Calls Ans]]-E42)/E42,0)</f>
        <v>0.2361111111111111</v>
      </c>
      <c r="H49" s="1">
        <f>H48+Table9[[#This Row],[Calls Off]]</f>
        <v>2903</v>
      </c>
      <c r="I49" s="1">
        <f>I48+Table9[[#This Row],[Calls Ans]]</f>
        <v>2805</v>
      </c>
      <c r="J49" s="1">
        <f>J48+Table9[[#This Row],[Calls Off]]</f>
        <v>8073</v>
      </c>
      <c r="K49" s="1">
        <f>K48+Table9[[#This Row],[Calls Ans]]</f>
        <v>7758</v>
      </c>
      <c r="L49" s="18">
        <v>0.86</v>
      </c>
      <c r="M49" s="18">
        <v>0.04</v>
      </c>
      <c r="N49" s="18">
        <v>0.96</v>
      </c>
      <c r="O49" s="18">
        <v>0.49</v>
      </c>
      <c r="P49" s="23">
        <v>1</v>
      </c>
      <c r="Q49" s="225">
        <v>1.4467592592592594E-3</v>
      </c>
      <c r="R49" s="125">
        <v>3</v>
      </c>
      <c r="T49" s="34">
        <f t="shared" si="1"/>
        <v>45307</v>
      </c>
      <c r="U49" s="1" cm="1">
        <f t="array" ref="U49">SUMIFS(calls_off_GUY,period_GUY,"&gt;="&amp;T49,period_GUY,"&lt;"&amp;T50)</f>
        <v>0</v>
      </c>
      <c r="V49" s="99" cm="1">
        <f t="array" ref="V49">SUMIFS(calls_ans_GUY,period_GUY,"&gt;="&amp;T49,period_GUY,"&lt;"&amp;T50)</f>
        <v>0</v>
      </c>
    </row>
    <row r="50" spans="1:22" x14ac:dyDescent="0.35">
      <c r="A50" s="34">
        <v>45065</v>
      </c>
      <c r="B50" s="36" t="s">
        <v>53</v>
      </c>
      <c r="C50" s="36" t="s">
        <v>97</v>
      </c>
      <c r="D50" s="1">
        <v>190</v>
      </c>
      <c r="E50" s="1">
        <v>178</v>
      </c>
      <c r="F50" s="66">
        <f>IFERROR((Table9[[#This Row],[Calls Off]]-D43)/D43,0)</f>
        <v>0.18012422360248448</v>
      </c>
      <c r="G50" s="66">
        <f>IFERROR((Table9[[#This Row],[Calls Ans]]-E43)/E43,0)</f>
        <v>0.16339869281045752</v>
      </c>
      <c r="H50" s="1">
        <f>H49+Table9[[#This Row],[Calls Off]]</f>
        <v>3093</v>
      </c>
      <c r="I50" s="1">
        <f>I49+Table9[[#This Row],[Calls Ans]]</f>
        <v>2983</v>
      </c>
      <c r="J50" s="1">
        <f>J49+Table9[[#This Row],[Calls Off]]</f>
        <v>8263</v>
      </c>
      <c r="K50" s="1">
        <f>K49+Table9[[#This Row],[Calls Ans]]</f>
        <v>7936</v>
      </c>
      <c r="L50" s="18">
        <v>0.77</v>
      </c>
      <c r="M50" s="18">
        <v>0.06</v>
      </c>
      <c r="N50" s="18">
        <v>0.94</v>
      </c>
      <c r="O50" s="18">
        <v>0.55000000000000004</v>
      </c>
      <c r="P50" s="23">
        <v>1</v>
      </c>
      <c r="Q50" s="225">
        <v>1.3888888888888889E-3</v>
      </c>
      <c r="R50" s="125">
        <v>3</v>
      </c>
      <c r="T50" s="34">
        <f t="shared" si="1"/>
        <v>45314</v>
      </c>
      <c r="U50" s="1" cm="1">
        <f t="array" ref="U50">SUMIFS(calls_off_GUY,period_GUY,"&gt;="&amp;T50,period_GUY,"&lt;"&amp;T51)</f>
        <v>0</v>
      </c>
      <c r="V50" s="99" cm="1">
        <f t="array" ref="V50">SUMIFS(calls_ans_GUY,period_GUY,"&gt;="&amp;T50,period_GUY,"&lt;"&amp;T51)</f>
        <v>0</v>
      </c>
    </row>
    <row r="51" spans="1:22" x14ac:dyDescent="0.35">
      <c r="A51" s="34">
        <v>45066</v>
      </c>
      <c r="B51" s="36" t="s">
        <v>54</v>
      </c>
      <c r="C51" s="36" t="s">
        <v>97</v>
      </c>
      <c r="D51" s="1">
        <v>142</v>
      </c>
      <c r="E51" s="1">
        <v>130</v>
      </c>
      <c r="F51" s="66">
        <f>IFERROR((Table9[[#This Row],[Calls Off]]-D44)/D44,0)</f>
        <v>0.21367521367521367</v>
      </c>
      <c r="G51" s="66">
        <f>IFERROR((Table9[[#This Row],[Calls Ans]]-E44)/E44,0)</f>
        <v>0.14035087719298245</v>
      </c>
      <c r="H51" s="1">
        <f>H50+Table9[[#This Row],[Calls Off]]</f>
        <v>3235</v>
      </c>
      <c r="I51" s="1">
        <f>I50+Table9[[#This Row],[Calls Ans]]</f>
        <v>3113</v>
      </c>
      <c r="J51" s="1">
        <f>J50+Table9[[#This Row],[Calls Off]]</f>
        <v>8405</v>
      </c>
      <c r="K51" s="1">
        <f>K50+Table9[[#This Row],[Calls Ans]]</f>
        <v>8066</v>
      </c>
      <c r="L51" s="18">
        <v>0.75</v>
      </c>
      <c r="M51" s="18">
        <v>0.08</v>
      </c>
      <c r="N51" s="18">
        <v>0.92</v>
      </c>
      <c r="O51" s="18">
        <v>0.6</v>
      </c>
      <c r="P51" s="23">
        <v>1</v>
      </c>
      <c r="Q51" s="225">
        <v>8.6574074074074071E-3</v>
      </c>
      <c r="R51" s="125">
        <v>3</v>
      </c>
      <c r="T51" s="34">
        <f t="shared" si="1"/>
        <v>45321</v>
      </c>
      <c r="U51" s="1" cm="1">
        <f t="array" ref="U51">SUMIFS(calls_off_GUY,period_GUY,"&gt;="&amp;T51,period_GUY,"&lt;"&amp;T52)</f>
        <v>0</v>
      </c>
      <c r="V51" s="99" cm="1">
        <f t="array" ref="V51">SUMIFS(calls_ans_GUY,period_GUY,"&gt;="&amp;T51,period_GUY,"&lt;"&amp;T52)</f>
        <v>0</v>
      </c>
    </row>
    <row r="52" spans="1:22" x14ac:dyDescent="0.35">
      <c r="A52" s="34">
        <v>45067</v>
      </c>
      <c r="B52" s="36" t="s">
        <v>48</v>
      </c>
      <c r="C52" s="36" t="s">
        <v>97</v>
      </c>
      <c r="D52" s="1">
        <v>16</v>
      </c>
      <c r="E52" s="1">
        <v>16</v>
      </c>
      <c r="F52" s="66">
        <f>IFERROR((Table9[[#This Row],[Calls Off]]-D45)/D45,0)</f>
        <v>0</v>
      </c>
      <c r="G52" s="66">
        <f>IFERROR((Table9[[#This Row],[Calls Ans]]-E45)/E45,0)</f>
        <v>0</v>
      </c>
      <c r="H52" s="1">
        <f>H51+Table9[[#This Row],[Calls Off]]</f>
        <v>3251</v>
      </c>
      <c r="I52" s="1">
        <f>I51+Table9[[#This Row],[Calls Ans]]</f>
        <v>3129</v>
      </c>
      <c r="J52" s="1">
        <f>J51+Table9[[#This Row],[Calls Off]]</f>
        <v>8421</v>
      </c>
      <c r="K52" s="1">
        <f>K51+Table9[[#This Row],[Calls Ans]]</f>
        <v>8082</v>
      </c>
      <c r="L52" s="18">
        <v>0.94</v>
      </c>
      <c r="M52" s="18">
        <v>0</v>
      </c>
      <c r="N52" s="18">
        <v>1</v>
      </c>
      <c r="O52" s="18">
        <v>0.1</v>
      </c>
      <c r="P52" s="23">
        <v>1</v>
      </c>
      <c r="Q52" s="225">
        <v>2.0254629629629629E-3</v>
      </c>
      <c r="R52" s="125">
        <v>1</v>
      </c>
      <c r="T52" s="34">
        <f t="shared" si="1"/>
        <v>45328</v>
      </c>
      <c r="U52" s="1" cm="1">
        <f t="array" ref="U52">SUMIFS(calls_off_GUY,period_GUY,"&gt;="&amp;T52,period_GUY,"&lt;"&amp;T53)</f>
        <v>0</v>
      </c>
      <c r="V52" s="99" cm="1">
        <f t="array" ref="V52">SUMIFS(calls_ans_GUY,period_GUY,"&gt;="&amp;T52,period_GUY,"&lt;"&amp;T53)</f>
        <v>0</v>
      </c>
    </row>
    <row r="53" spans="1:22" x14ac:dyDescent="0.35">
      <c r="A53" s="34">
        <v>45068</v>
      </c>
      <c r="B53" s="36" t="s">
        <v>49</v>
      </c>
      <c r="C53" s="36" t="s">
        <v>97</v>
      </c>
      <c r="D53" s="1">
        <v>214</v>
      </c>
      <c r="E53" s="1">
        <v>205</v>
      </c>
      <c r="F53" s="66">
        <f>IFERROR((Table9[[#This Row],[Calls Off]]-D46)/D46,0)</f>
        <v>0.16304347826086957</v>
      </c>
      <c r="G53" s="66">
        <f>IFERROR((Table9[[#This Row],[Calls Ans]]-E46)/E46,0)</f>
        <v>0.16477272727272727</v>
      </c>
      <c r="H53" s="1">
        <f>H52+Table9[[#This Row],[Calls Off]]</f>
        <v>3465</v>
      </c>
      <c r="I53" s="1">
        <f>I52+Table9[[#This Row],[Calls Ans]]</f>
        <v>3334</v>
      </c>
      <c r="J53" s="1">
        <f>J52+Table9[[#This Row],[Calls Off]]</f>
        <v>8635</v>
      </c>
      <c r="K53" s="1">
        <f>K52+Table9[[#This Row],[Calls Ans]]</f>
        <v>8287</v>
      </c>
      <c r="L53" s="18">
        <v>0.83</v>
      </c>
      <c r="M53" s="18">
        <v>0.04</v>
      </c>
      <c r="N53" s="18">
        <v>0.96</v>
      </c>
      <c r="O53" s="18">
        <v>0.6</v>
      </c>
      <c r="P53" s="23">
        <v>1</v>
      </c>
      <c r="Q53" s="225">
        <v>1.2731481481481483E-3</v>
      </c>
      <c r="R53" s="125">
        <v>4</v>
      </c>
      <c r="T53" s="34">
        <f t="shared" si="1"/>
        <v>45335</v>
      </c>
      <c r="U53" s="1" cm="1">
        <f t="array" ref="U53">SUMIFS(calls_off_GUY,period_GUY,"&gt;="&amp;T53,period_GUY,"&lt;"&amp;T54)</f>
        <v>0</v>
      </c>
      <c r="V53" s="99" cm="1">
        <f t="array" ref="V53">SUMIFS(calls_ans_GUY,period_GUY,"&gt;="&amp;T53,period_GUY,"&lt;"&amp;T54)</f>
        <v>0</v>
      </c>
    </row>
    <row r="54" spans="1:22" x14ac:dyDescent="0.35">
      <c r="A54" s="34">
        <v>45069</v>
      </c>
      <c r="B54" s="36" t="s">
        <v>50</v>
      </c>
      <c r="C54" s="36" t="s">
        <v>97</v>
      </c>
      <c r="D54" s="1">
        <v>243</v>
      </c>
      <c r="E54" s="1">
        <v>227</v>
      </c>
      <c r="F54" s="66">
        <f>IFERROR((Table9[[#This Row],[Calls Off]]-D47)/D47,0)</f>
        <v>0.42941176470588233</v>
      </c>
      <c r="G54" s="66">
        <f>IFERROR((Table9[[#This Row],[Calls Ans]]-E47)/E47,0)</f>
        <v>0.36746987951807231</v>
      </c>
      <c r="H54" s="1">
        <f>H53+Table9[[#This Row],[Calls Off]]</f>
        <v>3708</v>
      </c>
      <c r="I54" s="1">
        <f>I53+Table9[[#This Row],[Calls Ans]]</f>
        <v>3561</v>
      </c>
      <c r="J54" s="1">
        <f>J53+Table9[[#This Row],[Calls Off]]</f>
        <v>8878</v>
      </c>
      <c r="K54" s="1">
        <f>K53+Table9[[#This Row],[Calls Ans]]</f>
        <v>8514</v>
      </c>
      <c r="L54" s="18">
        <v>0.54</v>
      </c>
      <c r="M54" s="18">
        <v>7.0000000000000007E-2</v>
      </c>
      <c r="N54" s="18">
        <v>0.93</v>
      </c>
      <c r="O54" s="18">
        <v>0.7</v>
      </c>
      <c r="P54" s="23">
        <v>1</v>
      </c>
      <c r="Q54" s="225">
        <v>1.1805555555555556E-3</v>
      </c>
      <c r="R54" s="125">
        <v>3</v>
      </c>
      <c r="T54" s="34">
        <f t="shared" si="1"/>
        <v>45342</v>
      </c>
      <c r="U54" s="1" cm="1">
        <f t="array" ref="U54">SUMIFS(calls_off_GUY,period_GUY,"&gt;="&amp;T54,period_GUY,"&lt;"&amp;T55)</f>
        <v>0</v>
      </c>
      <c r="V54" s="99" cm="1">
        <f t="array" ref="V54">SUMIFS(calls_ans_GUY,period_GUY,"&gt;="&amp;T54,period_GUY,"&lt;"&amp;T55)</f>
        <v>0</v>
      </c>
    </row>
    <row r="55" spans="1:22" x14ac:dyDescent="0.35">
      <c r="A55" s="34">
        <v>45070</v>
      </c>
      <c r="B55" s="36" t="s">
        <v>51</v>
      </c>
      <c r="C55" s="36" t="s">
        <v>97</v>
      </c>
      <c r="D55" s="1">
        <v>161</v>
      </c>
      <c r="E55" s="1">
        <v>156</v>
      </c>
      <c r="F55" s="66">
        <v>0</v>
      </c>
      <c r="G55" s="66">
        <v>0</v>
      </c>
      <c r="H55" s="1">
        <v>0</v>
      </c>
      <c r="I55" s="1">
        <v>0</v>
      </c>
      <c r="J55" s="1">
        <v>0</v>
      </c>
      <c r="K55" s="1">
        <v>0</v>
      </c>
      <c r="L55" s="18">
        <v>0</v>
      </c>
      <c r="M55" s="18">
        <v>0</v>
      </c>
      <c r="N55" s="18">
        <v>0</v>
      </c>
      <c r="O55" s="18">
        <v>0</v>
      </c>
      <c r="P55" s="23">
        <v>0</v>
      </c>
      <c r="Q55" s="225">
        <v>0</v>
      </c>
      <c r="R55" s="125">
        <v>0</v>
      </c>
      <c r="T55" s="34">
        <f t="shared" si="1"/>
        <v>45349</v>
      </c>
      <c r="U55" s="1" cm="1">
        <f t="array" ref="U55">SUMIFS(calls_off_GUY,period_GUY,"&gt;="&amp;T55,period_GUY,"&lt;"&amp;T56)</f>
        <v>0</v>
      </c>
      <c r="V55" s="99" cm="1">
        <f t="array" ref="V55">SUMIFS(calls_ans_GUY,period_GUY,"&gt;="&amp;T55,period_GUY,"&lt;"&amp;T56)</f>
        <v>0</v>
      </c>
    </row>
    <row r="56" spans="1:22" x14ac:dyDescent="0.35">
      <c r="A56" s="34">
        <v>45071</v>
      </c>
      <c r="B56" s="36" t="s">
        <v>52</v>
      </c>
      <c r="C56" s="36" t="s">
        <v>97</v>
      </c>
      <c r="D56" s="1">
        <v>174</v>
      </c>
      <c r="E56" s="1">
        <v>168</v>
      </c>
      <c r="F56" s="66">
        <f>IFERROR((Table9[[#This Row],[Calls Off]]-D49)/D49,0)</f>
        <v>-6.9518716577540107E-2</v>
      </c>
      <c r="G56" s="66">
        <f>IFERROR((Table9[[#This Row],[Calls Ans]]-E49)/E49,0)</f>
        <v>-5.6179775280898875E-2</v>
      </c>
      <c r="H56" s="1">
        <f>H54+D54</f>
        <v>3951</v>
      </c>
      <c r="I56" s="1">
        <f>I54+Table9[[#This Row],[Calls Ans]]</f>
        <v>3729</v>
      </c>
      <c r="J56" s="1">
        <f>J54+Table9[[#This Row],[Calls Off]]</f>
        <v>9052</v>
      </c>
      <c r="K56" s="1">
        <f>K54+Table9[[#This Row],[Calls Ans]]</f>
        <v>8682</v>
      </c>
      <c r="L56" s="18">
        <v>0.84</v>
      </c>
      <c r="M56" s="18">
        <v>0.03</v>
      </c>
      <c r="N56" s="18">
        <v>0.97</v>
      </c>
      <c r="O56" s="18">
        <v>0.62</v>
      </c>
      <c r="P56" s="23">
        <v>1</v>
      </c>
      <c r="Q56" s="225">
        <v>1.5393518518518519E-3</v>
      </c>
      <c r="R56" s="125">
        <v>3</v>
      </c>
      <c r="T56" s="34">
        <f t="shared" si="1"/>
        <v>45356</v>
      </c>
      <c r="U56" s="1" cm="1">
        <f t="array" ref="U56">SUMIFS(calls_off_GUY,period_GUY,"&gt;="&amp;T56,period_GUY,"&lt;"&amp;T57)</f>
        <v>0</v>
      </c>
      <c r="V56" s="99" cm="1">
        <f t="array" ref="V56">SUMIFS(calls_ans_GUY,period_GUY,"&gt;="&amp;T56,period_GUY,"&lt;"&amp;T57)</f>
        <v>0</v>
      </c>
    </row>
    <row r="57" spans="1:22" x14ac:dyDescent="0.35">
      <c r="A57" s="34">
        <v>45072</v>
      </c>
      <c r="B57" s="81" t="s">
        <v>53</v>
      </c>
      <c r="C57" s="36" t="s">
        <v>97</v>
      </c>
      <c r="D57" s="1">
        <v>0</v>
      </c>
      <c r="E57" s="1">
        <v>0</v>
      </c>
      <c r="F57" s="66">
        <v>0</v>
      </c>
      <c r="G57" s="66">
        <v>0</v>
      </c>
      <c r="H57" s="1">
        <v>0</v>
      </c>
      <c r="I57" s="1">
        <v>0</v>
      </c>
      <c r="J57" s="1">
        <v>0</v>
      </c>
      <c r="K57" s="1">
        <v>0</v>
      </c>
      <c r="L57" s="18">
        <v>0</v>
      </c>
      <c r="M57" s="18">
        <v>0</v>
      </c>
      <c r="N57" s="18">
        <v>0</v>
      </c>
      <c r="O57" s="18">
        <v>0</v>
      </c>
      <c r="P57" s="23">
        <v>0</v>
      </c>
      <c r="Q57" s="225">
        <v>0</v>
      </c>
      <c r="R57" s="125">
        <v>0</v>
      </c>
      <c r="T57" s="34">
        <f t="shared" si="1"/>
        <v>45363</v>
      </c>
      <c r="U57" s="1" cm="1">
        <f t="array" ref="U57">SUMIFS(calls_off_GUY,period_GUY,"&gt;="&amp;T57,period_GUY,"&lt;"&amp;T58)</f>
        <v>0</v>
      </c>
      <c r="V57" s="99" cm="1">
        <f t="array" ref="V57">SUMIFS(calls_ans_GUY,period_GUY,"&gt;="&amp;T57,period_GUY,"&lt;"&amp;T58)</f>
        <v>0</v>
      </c>
    </row>
    <row r="58" spans="1:22" x14ac:dyDescent="0.35">
      <c r="A58" s="34">
        <v>45073</v>
      </c>
      <c r="B58" s="36" t="s">
        <v>54</v>
      </c>
      <c r="C58" s="36" t="s">
        <v>97</v>
      </c>
      <c r="D58" s="1">
        <v>154</v>
      </c>
      <c r="E58" s="1">
        <v>148</v>
      </c>
      <c r="F58" s="66">
        <f>IFERROR((Table9[[#This Row],[Calls Off]]-D51)/D51,0)</f>
        <v>8.4507042253521125E-2</v>
      </c>
      <c r="G58" s="66">
        <f>IFERROR((Table9[[#This Row],[Calls Ans]]-E51)/E51,0)</f>
        <v>0.13846153846153847</v>
      </c>
      <c r="H58" s="1">
        <f>H56+Table9[[#This Row],[Calls Off]]</f>
        <v>4105</v>
      </c>
      <c r="I58" s="1">
        <f>I56+E56</f>
        <v>3897</v>
      </c>
      <c r="J58" s="1">
        <f>J56+Table9[[#This Row],[Calls Off]]</f>
        <v>9206</v>
      </c>
      <c r="K58" s="1">
        <f>K56+Table9[[#This Row],[Calls Ans]]</f>
        <v>8830</v>
      </c>
      <c r="L58" s="18">
        <v>0.92</v>
      </c>
      <c r="M58" s="18">
        <v>0.04</v>
      </c>
      <c r="N58" s="18">
        <v>0.96</v>
      </c>
      <c r="O58" s="18">
        <v>0.67</v>
      </c>
      <c r="P58" s="23">
        <v>1</v>
      </c>
      <c r="Q58" s="225">
        <v>1.5046296296296294E-3</v>
      </c>
      <c r="R58" s="125">
        <v>3</v>
      </c>
      <c r="T58" s="34">
        <f t="shared" si="1"/>
        <v>45370</v>
      </c>
      <c r="U58" s="1" cm="1">
        <f t="array" ref="U58">SUMIFS(calls_off_GUY,period_GUY,"&gt;="&amp;T58,period_GUY,"&lt;"&amp;T59)</f>
        <v>0</v>
      </c>
      <c r="V58" s="99" cm="1">
        <f t="array" ref="V58">SUMIFS(calls_ans_GUY,period_GUY,"&gt;="&amp;T58,period_GUY,"&lt;"&amp;T59)</f>
        <v>0</v>
      </c>
    </row>
    <row r="59" spans="1:22" x14ac:dyDescent="0.35">
      <c r="A59" s="34">
        <v>45074</v>
      </c>
      <c r="B59" s="36" t="s">
        <v>48</v>
      </c>
      <c r="C59" s="36" t="s">
        <v>97</v>
      </c>
      <c r="D59" s="1">
        <v>13</v>
      </c>
      <c r="E59" s="1">
        <v>12</v>
      </c>
      <c r="F59" s="66">
        <f>IFERROR((Table9[[#This Row],[Calls Off]]-D52)/D52,0)</f>
        <v>-0.1875</v>
      </c>
      <c r="G59" s="66">
        <f>IFERROR((Table9[[#This Row],[Calls Ans]]-E52)/E52,0)</f>
        <v>-0.25</v>
      </c>
      <c r="H59" s="1">
        <f>H58+Table9[[#This Row],[Calls Off]]</f>
        <v>4118</v>
      </c>
      <c r="I59" s="1">
        <f>I58+Table9[[#This Row],[Calls Ans]]</f>
        <v>3909</v>
      </c>
      <c r="J59" s="1">
        <f>J58+Table9[[#This Row],[Calls Off]]</f>
        <v>9219</v>
      </c>
      <c r="K59" s="1">
        <f>K58+Table9[[#This Row],[Calls Ans]]</f>
        <v>8842</v>
      </c>
      <c r="L59" s="18">
        <v>0.88</v>
      </c>
      <c r="M59" s="18">
        <v>0.08</v>
      </c>
      <c r="N59" s="18">
        <v>0.92</v>
      </c>
      <c r="O59" s="18">
        <v>0.08</v>
      </c>
      <c r="P59" s="23">
        <v>0.99</v>
      </c>
      <c r="Q59" s="225">
        <v>1.5740740740740741E-3</v>
      </c>
      <c r="R59" s="125">
        <v>1</v>
      </c>
      <c r="T59" s="34">
        <f t="shared" si="1"/>
        <v>45377</v>
      </c>
      <c r="U59" s="1" cm="1">
        <f t="array" ref="U59">SUMIFS(calls_off_GUY,period_GUY,"&gt;="&amp;T59,period_GUY,"&lt;"&amp;T60)</f>
        <v>0</v>
      </c>
      <c r="V59" s="99" cm="1">
        <f t="array" ref="V59">SUMIFS(calls_ans_GUY,period_GUY,"&gt;="&amp;T59,period_GUY,"&lt;"&amp;T60)</f>
        <v>0</v>
      </c>
    </row>
    <row r="60" spans="1:22" x14ac:dyDescent="0.35">
      <c r="A60" s="34">
        <v>45075</v>
      </c>
      <c r="B60" s="36" t="s">
        <v>49</v>
      </c>
      <c r="C60" s="36" t="s">
        <v>97</v>
      </c>
      <c r="D60" s="1">
        <v>199</v>
      </c>
      <c r="E60" s="1">
        <v>192</v>
      </c>
      <c r="F60" s="66">
        <f>IFERROR((Table9[[#This Row],[Calls Off]]-D53)/D53,0)</f>
        <v>-7.0093457943925228E-2</v>
      </c>
      <c r="G60" s="66">
        <f>IFERROR((Table9[[#This Row],[Calls Ans]]-E53)/E53,0)</f>
        <v>-6.3414634146341464E-2</v>
      </c>
      <c r="H60" s="1">
        <f>H59+Table9[[#This Row],[Calls Off]]</f>
        <v>4317</v>
      </c>
      <c r="I60" s="1">
        <f>I59+Table9[[#This Row],[Calls Ans]]</f>
        <v>4101</v>
      </c>
      <c r="J60" s="1">
        <f>J59+Table9[[#This Row],[Calls Off]]</f>
        <v>9418</v>
      </c>
      <c r="K60" s="1">
        <f>K59+Table9[[#This Row],[Calls Ans]]</f>
        <v>9034</v>
      </c>
      <c r="L60" s="18">
        <v>0.88</v>
      </c>
      <c r="M60" s="18">
        <v>0.04</v>
      </c>
      <c r="N60" s="18">
        <v>0.96</v>
      </c>
      <c r="O60" s="18">
        <v>0.99</v>
      </c>
      <c r="P60" s="23">
        <v>1</v>
      </c>
      <c r="Q60" s="225">
        <v>1.261574074074074E-3</v>
      </c>
      <c r="R60" s="125">
        <v>3</v>
      </c>
      <c r="T60" s="34">
        <v>45017</v>
      </c>
      <c r="U60" s="39" cm="1">
        <f t="array" ref="U60">SUMIFS(calls_off_GUY,period_GUY,"&gt;="&amp;T60,period_GUY,"&lt;"&amp;T61)</f>
        <v>0</v>
      </c>
      <c r="V60" s="97" cm="1">
        <f t="array" ref="V60">SUMIFS(calls_ans_GUY,period_GUY,"&gt;="&amp;T60,period_GUY,"&lt;"&amp;T61)</f>
        <v>0</v>
      </c>
    </row>
    <row r="61" spans="1:22" x14ac:dyDescent="0.35">
      <c r="A61" s="34">
        <v>45076</v>
      </c>
      <c r="B61" s="36" t="s">
        <v>50</v>
      </c>
      <c r="C61" s="36" t="s">
        <v>97</v>
      </c>
      <c r="D61" s="1">
        <v>185</v>
      </c>
      <c r="E61" s="1">
        <v>182</v>
      </c>
      <c r="F61" s="66">
        <f>IFERROR((Table9[[#This Row],[Calls Off]]-D54)/D54,0)</f>
        <v>-0.23868312757201646</v>
      </c>
      <c r="G61" s="66">
        <f>IFERROR((Table9[[#This Row],[Calls Ans]]-E54)/E54,0)</f>
        <v>-0.19823788546255505</v>
      </c>
      <c r="H61" s="1">
        <f>H60+Table9[[#This Row],[Calls Off]]</f>
        <v>4502</v>
      </c>
      <c r="I61" s="1">
        <f>I60+Table9[[#This Row],[Calls Ans]]</f>
        <v>4283</v>
      </c>
      <c r="J61" s="1">
        <f>J60+Table9[[#This Row],[Calls Off]]</f>
        <v>9603</v>
      </c>
      <c r="K61" s="1">
        <f>K60+Table9[[#This Row],[Calls Ans]]</f>
        <v>9216</v>
      </c>
      <c r="L61" s="18">
        <v>0.64</v>
      </c>
      <c r="M61" s="18">
        <v>0.02</v>
      </c>
      <c r="N61" s="18">
        <v>0.98</v>
      </c>
      <c r="O61" s="18">
        <v>0.43</v>
      </c>
      <c r="P61" s="23">
        <v>1</v>
      </c>
      <c r="Q61" s="225">
        <v>1.0879629629629629E-3</v>
      </c>
      <c r="R61" s="125">
        <v>3</v>
      </c>
    </row>
    <row r="62" spans="1:22" s="49" customFormat="1" x14ac:dyDescent="0.35">
      <c r="A62" s="34">
        <v>45077</v>
      </c>
      <c r="B62" s="78" t="s">
        <v>51</v>
      </c>
      <c r="C62" s="36" t="s">
        <v>97</v>
      </c>
      <c r="D62" s="1">
        <v>226</v>
      </c>
      <c r="E62" s="1">
        <v>209</v>
      </c>
      <c r="F62" s="66">
        <f>IFERROR((Table9[[#This Row],[Calls Off]]-D55)/D55,0)</f>
        <v>0.40372670807453415</v>
      </c>
      <c r="G62" s="66">
        <f>IFERROR((Table9[[#This Row],[Calls Ans]]-E55)/E55,0)</f>
        <v>0.33974358974358976</v>
      </c>
      <c r="H62" s="1">
        <f>H61+Table9[[#This Row],[Calls Off]]</f>
        <v>4728</v>
      </c>
      <c r="I62" s="1">
        <f>I61+Table9[[#This Row],[Calls Ans]]</f>
        <v>4492</v>
      </c>
      <c r="J62" s="1">
        <f>J61+Table9[[#This Row],[Calls Off]]</f>
        <v>9829</v>
      </c>
      <c r="K62" s="1">
        <f>K61+Table9[[#This Row],[Calls Ans]]</f>
        <v>9425</v>
      </c>
      <c r="L62" s="18">
        <v>0.71</v>
      </c>
      <c r="M62" s="18">
        <v>0.08</v>
      </c>
      <c r="N62" s="18">
        <v>0.92</v>
      </c>
      <c r="O62" s="18">
        <v>0.71</v>
      </c>
      <c r="P62" s="23">
        <v>1</v>
      </c>
      <c r="Q62" s="225">
        <v>9.4907407407407408E-4</v>
      </c>
      <c r="R62" s="125">
        <v>2</v>
      </c>
      <c r="T62"/>
      <c r="U62"/>
      <c r="V62"/>
    </row>
    <row r="63" spans="1:22" x14ac:dyDescent="0.35">
      <c r="A63" s="34">
        <v>45078</v>
      </c>
      <c r="B63" s="36" t="s">
        <v>52</v>
      </c>
      <c r="C63" s="36" t="s">
        <v>97</v>
      </c>
      <c r="D63" s="1">
        <v>159</v>
      </c>
      <c r="E63" s="1">
        <v>152</v>
      </c>
      <c r="F63" s="66">
        <f>IFERROR((Table9[[#This Row],[Calls Off]]-D56)/D56,0)</f>
        <v>-8.6206896551724144E-2</v>
      </c>
      <c r="G63" s="66">
        <f>IFERROR((Table9[[#This Row],[Calls Ans]]-E56)/E56,0)</f>
        <v>-9.5238095238095233E-2</v>
      </c>
      <c r="H63" s="1">
        <f>Table9[[#This Row],[Calls Off]]</f>
        <v>159</v>
      </c>
      <c r="I63" s="1">
        <f>Table9[[#This Row],[Calls Ans]]</f>
        <v>152</v>
      </c>
      <c r="J63" s="1">
        <f>J62+Table9[[#This Row],[Calls Off]]</f>
        <v>9988</v>
      </c>
      <c r="K63" s="1">
        <f>K62+Table9[[#This Row],[Calls Ans]]</f>
        <v>9577</v>
      </c>
      <c r="L63" s="18">
        <v>0.84</v>
      </c>
      <c r="M63" s="18">
        <v>0.04</v>
      </c>
      <c r="N63" s="18">
        <v>0.96</v>
      </c>
      <c r="O63" s="18">
        <v>0.82</v>
      </c>
      <c r="P63" s="23">
        <v>1</v>
      </c>
      <c r="Q63" s="225">
        <v>1.5393518518518519E-3</v>
      </c>
      <c r="R63" s="125">
        <v>2</v>
      </c>
      <c r="T63" s="160">
        <f>AVERAGEIF(P63:P92,"&lt;&gt;0")</f>
        <v>0.99759999999999993</v>
      </c>
    </row>
    <row r="64" spans="1:22" x14ac:dyDescent="0.35">
      <c r="A64" s="34">
        <v>45079</v>
      </c>
      <c r="B64" s="36" t="s">
        <v>53</v>
      </c>
      <c r="C64" s="36" t="s">
        <v>97</v>
      </c>
      <c r="D64" s="1">
        <v>153</v>
      </c>
      <c r="E64" s="1">
        <v>143</v>
      </c>
      <c r="F64" s="66">
        <f>IFERROR((Table9[[#This Row],[Calls Off]]-D57)/D57,0)</f>
        <v>0</v>
      </c>
      <c r="G64" s="66">
        <f>IFERROR((Table9[[#This Row],[Calls Ans]]-E57)/E57,0)</f>
        <v>0</v>
      </c>
      <c r="H64" s="1">
        <f>H63+Table9[[#This Row],[Calls Off]]</f>
        <v>312</v>
      </c>
      <c r="I64" s="1">
        <f>I63+Table9[[#This Row],[Calls Ans]]</f>
        <v>295</v>
      </c>
      <c r="J64" s="1">
        <f>J63+Table9[[#This Row],[Calls Off]]</f>
        <v>10141</v>
      </c>
      <c r="K64" s="1">
        <f>K63+Table9[[#This Row],[Calls Ans]]</f>
        <v>9720</v>
      </c>
      <c r="L64" s="18">
        <v>0.85</v>
      </c>
      <c r="M64" s="18">
        <v>7.0000000000000007E-2</v>
      </c>
      <c r="N64" s="18">
        <v>0.93</v>
      </c>
      <c r="O64" s="18">
        <v>0.67</v>
      </c>
      <c r="P64" s="23">
        <v>1</v>
      </c>
      <c r="Q64" s="225">
        <v>1.3425925925925925E-3</v>
      </c>
      <c r="R64" s="125">
        <v>2</v>
      </c>
    </row>
    <row r="65" spans="1:18" x14ac:dyDescent="0.35">
      <c r="A65" s="34">
        <v>45080</v>
      </c>
      <c r="B65" s="36" t="s">
        <v>54</v>
      </c>
      <c r="C65" s="36" t="s">
        <v>97</v>
      </c>
      <c r="D65" s="1">
        <v>146</v>
      </c>
      <c r="E65" s="1">
        <v>138</v>
      </c>
      <c r="F65" s="66">
        <f>IFERROR((Table9[[#This Row],[Calls Off]]-D58)/D58,0)</f>
        <v>-5.1948051948051951E-2</v>
      </c>
      <c r="G65" s="66">
        <f>IFERROR((Table9[[#This Row],[Calls Ans]]-E58)/E58,0)</f>
        <v>-6.7567567567567571E-2</v>
      </c>
      <c r="H65" s="1">
        <f>H64+Table9[[#This Row],[Calls Off]]</f>
        <v>458</v>
      </c>
      <c r="I65" s="1">
        <f>I64+Table9[[#This Row],[Calls Ans]]</f>
        <v>433</v>
      </c>
      <c r="J65" s="1">
        <f>J64+Table9[[#This Row],[Calls Off]]</f>
        <v>10287</v>
      </c>
      <c r="K65" s="1">
        <f>K64+Table9[[#This Row],[Calls Ans]]</f>
        <v>9858</v>
      </c>
      <c r="L65" s="18">
        <v>0.76</v>
      </c>
      <c r="M65" s="18">
        <v>0.06</v>
      </c>
      <c r="N65" s="18">
        <v>0.94</v>
      </c>
      <c r="O65" s="18">
        <v>0.42</v>
      </c>
      <c r="P65" s="23">
        <v>1</v>
      </c>
      <c r="Q65" s="225">
        <v>1.4930555555555556E-3</v>
      </c>
      <c r="R65" s="125">
        <v>3</v>
      </c>
    </row>
    <row r="66" spans="1:18" x14ac:dyDescent="0.35">
      <c r="A66" s="34">
        <v>45081</v>
      </c>
      <c r="B66" s="36" t="s">
        <v>48</v>
      </c>
      <c r="C66" s="36" t="s">
        <v>97</v>
      </c>
      <c r="D66" s="1">
        <v>0</v>
      </c>
      <c r="E66" s="1">
        <v>0</v>
      </c>
      <c r="F66" s="66">
        <v>0</v>
      </c>
      <c r="G66" s="66">
        <v>0</v>
      </c>
      <c r="H66" s="1">
        <v>0</v>
      </c>
      <c r="I66" s="1">
        <v>0</v>
      </c>
      <c r="J66" s="1">
        <v>0</v>
      </c>
      <c r="K66" s="1">
        <v>0</v>
      </c>
      <c r="L66" s="18">
        <v>0</v>
      </c>
      <c r="M66" s="18">
        <v>0</v>
      </c>
      <c r="N66" s="18">
        <v>0</v>
      </c>
      <c r="O66" s="18">
        <v>0</v>
      </c>
      <c r="P66" s="23">
        <v>0</v>
      </c>
      <c r="Q66" s="225">
        <v>0</v>
      </c>
      <c r="R66" s="125">
        <v>0</v>
      </c>
    </row>
    <row r="67" spans="1:18" x14ac:dyDescent="0.35">
      <c r="A67" s="34">
        <v>45082</v>
      </c>
      <c r="B67" s="36" t="s">
        <v>49</v>
      </c>
      <c r="C67" s="36" t="s">
        <v>97</v>
      </c>
      <c r="D67" s="1">
        <v>167</v>
      </c>
      <c r="E67" s="1">
        <v>163</v>
      </c>
      <c r="F67" s="66">
        <f>IFERROR((Table9[[#This Row],[Calls Off]]-D60)/D60,0)</f>
        <v>-0.16080402010050251</v>
      </c>
      <c r="G67" s="66">
        <f>IFERROR((Table9[[#This Row],[Calls Ans]]-E60)/E60,0)</f>
        <v>-0.15104166666666666</v>
      </c>
      <c r="H67" s="1">
        <f>H65+Table9[[#This Row],[Calls Off]]</f>
        <v>625</v>
      </c>
      <c r="I67" s="1">
        <f>I65+Table9[[#This Row],[Calls Ans]]</f>
        <v>596</v>
      </c>
      <c r="J67" s="1">
        <f>J65+Table9[[#This Row],[Calls Off]]</f>
        <v>10454</v>
      </c>
      <c r="K67" s="1">
        <f>K65+Table9[[#This Row],[Calls Ans]]</f>
        <v>10021</v>
      </c>
      <c r="L67" s="18">
        <v>0.95</v>
      </c>
      <c r="M67" s="18">
        <v>0.02</v>
      </c>
      <c r="N67" s="18">
        <v>0.98</v>
      </c>
      <c r="O67" s="18">
        <v>0.4</v>
      </c>
      <c r="P67" s="23">
        <v>1</v>
      </c>
      <c r="Q67" s="225">
        <v>1.1921296296296296E-3</v>
      </c>
      <c r="R67" s="125">
        <v>4</v>
      </c>
    </row>
    <row r="68" spans="1:18" x14ac:dyDescent="0.35">
      <c r="A68" s="34">
        <v>45083</v>
      </c>
      <c r="B68" s="36" t="s">
        <v>50</v>
      </c>
      <c r="C68" s="36" t="s">
        <v>97</v>
      </c>
      <c r="D68" s="1">
        <v>190</v>
      </c>
      <c r="E68" s="1">
        <v>184</v>
      </c>
      <c r="F68" s="66">
        <f>IFERROR((Table9[[#This Row],[Calls Off]]-D61)/D61,0)</f>
        <v>2.7027027027027029E-2</v>
      </c>
      <c r="G68" s="66">
        <f>IFERROR((Table9[[#This Row],[Calls Ans]]-E61)/E61,0)</f>
        <v>1.098901098901099E-2</v>
      </c>
      <c r="H68" s="1">
        <f>H67+Table9[[#This Row],[Calls Off]]</f>
        <v>815</v>
      </c>
      <c r="I68" s="1">
        <f>I67+Table9[[#This Row],[Calls Ans]]</f>
        <v>780</v>
      </c>
      <c r="J68" s="1">
        <f>J67+Table9[[#This Row],[Calls Off]]</f>
        <v>10644</v>
      </c>
      <c r="K68" s="1">
        <f>K67+Table9[[#This Row],[Calls Ans]]</f>
        <v>10205</v>
      </c>
      <c r="L68" s="18">
        <v>0.97</v>
      </c>
      <c r="M68" s="18">
        <v>0.03</v>
      </c>
      <c r="N68" s="18">
        <v>0.97</v>
      </c>
      <c r="O68" s="18">
        <v>0.44</v>
      </c>
      <c r="P68" s="23">
        <v>1</v>
      </c>
      <c r="Q68" s="225">
        <v>1.261574074074074E-3</v>
      </c>
      <c r="R68" s="125">
        <v>4</v>
      </c>
    </row>
    <row r="69" spans="1:18" x14ac:dyDescent="0.35">
      <c r="A69" s="34">
        <v>45084</v>
      </c>
      <c r="B69" s="36" t="s">
        <v>51</v>
      </c>
      <c r="C69" s="36" t="s">
        <v>97</v>
      </c>
      <c r="D69" s="1">
        <v>161</v>
      </c>
      <c r="E69" s="1">
        <v>145</v>
      </c>
      <c r="F69" s="66">
        <f>IFERROR((Table9[[#This Row],[Calls Off]]-D62)/D62,0)</f>
        <v>-0.28761061946902655</v>
      </c>
      <c r="G69" s="66">
        <f>IFERROR((Table9[[#This Row],[Calls Ans]]-E62)/E62,0)</f>
        <v>-0.30622009569377989</v>
      </c>
      <c r="H69" s="1">
        <f>H68+Table9[[#This Row],[Calls Off]]</f>
        <v>976</v>
      </c>
      <c r="I69" s="1">
        <f>I68+Table9[[#This Row],[Calls Ans]]</f>
        <v>925</v>
      </c>
      <c r="J69" s="1">
        <f>J68+Table9[[#This Row],[Calls Off]]</f>
        <v>10805</v>
      </c>
      <c r="K69" s="1">
        <f>K68+Table9[[#This Row],[Calls Ans]]</f>
        <v>10350</v>
      </c>
      <c r="L69" s="18">
        <v>0.87</v>
      </c>
      <c r="M69" s="18">
        <v>0.1</v>
      </c>
      <c r="N69" s="18">
        <v>0.9</v>
      </c>
      <c r="O69" s="18">
        <v>0.42</v>
      </c>
      <c r="P69" s="23">
        <v>1</v>
      </c>
      <c r="Q69" s="225">
        <v>1.3773148148148147E-3</v>
      </c>
      <c r="R69" s="125">
        <v>3</v>
      </c>
    </row>
    <row r="70" spans="1:18" x14ac:dyDescent="0.35">
      <c r="A70" s="34">
        <v>45085</v>
      </c>
      <c r="B70" s="36" t="s">
        <v>52</v>
      </c>
      <c r="C70" s="36" t="s">
        <v>97</v>
      </c>
      <c r="D70" s="1">
        <v>139</v>
      </c>
      <c r="E70" s="1">
        <v>132</v>
      </c>
      <c r="F70" s="66">
        <f>IFERROR((Table9[[#This Row],[Calls Off]]-D63)/D63,0)</f>
        <v>-0.12578616352201258</v>
      </c>
      <c r="G70" s="66">
        <f>IFERROR((Table9[[#This Row],[Calls Ans]]-E63)/E63,0)</f>
        <v>-0.13157894736842105</v>
      </c>
      <c r="H70" s="1">
        <f>H69+Table9[[#This Row],[Calls Off]]</f>
        <v>1115</v>
      </c>
      <c r="I70" s="1">
        <f>I69+Table9[[#This Row],[Calls Ans]]</f>
        <v>1057</v>
      </c>
      <c r="J70" s="1">
        <f>J69+Table9[[#This Row],[Calls Off]]</f>
        <v>10944</v>
      </c>
      <c r="K70" s="1">
        <f>K69+Table9[[#This Row],[Calls Ans]]</f>
        <v>10482</v>
      </c>
      <c r="L70" s="18">
        <v>0.94</v>
      </c>
      <c r="M70" s="18">
        <v>0.05</v>
      </c>
      <c r="N70" s="18">
        <v>0.95</v>
      </c>
      <c r="O70" s="18">
        <v>0.33</v>
      </c>
      <c r="P70" s="23">
        <v>0.97</v>
      </c>
      <c r="Q70" s="225">
        <v>9.3750000000000007E-4</v>
      </c>
      <c r="R70" s="125">
        <v>3</v>
      </c>
    </row>
    <row r="71" spans="1:18" x14ac:dyDescent="0.35">
      <c r="A71" s="34">
        <v>45086</v>
      </c>
      <c r="B71" s="36" t="s">
        <v>53</v>
      </c>
      <c r="C71" s="36" t="s">
        <v>97</v>
      </c>
      <c r="D71" s="1">
        <v>136</v>
      </c>
      <c r="E71" s="1">
        <v>134</v>
      </c>
      <c r="F71" s="66">
        <f>IFERROR((Table9[[#This Row],[Calls Off]]-D64)/D64,0)</f>
        <v>-0.1111111111111111</v>
      </c>
      <c r="G71" s="66">
        <f>IFERROR((Table9[[#This Row],[Calls Ans]]-E64)/E64,0)</f>
        <v>-6.2937062937062943E-2</v>
      </c>
      <c r="H71" s="1">
        <f>H70+Table9[[#This Row],[Calls Off]]</f>
        <v>1251</v>
      </c>
      <c r="I71" s="1">
        <f>I70+Table9[[#This Row],[Calls Ans]]</f>
        <v>1191</v>
      </c>
      <c r="J71" s="1">
        <f>J70+Table9[[#This Row],[Calls Off]]</f>
        <v>11080</v>
      </c>
      <c r="K71" s="1">
        <f>K70+Table9[[#This Row],[Calls Ans]]</f>
        <v>10616</v>
      </c>
      <c r="L71" s="18">
        <v>0.97</v>
      </c>
      <c r="M71" s="18">
        <v>0.01</v>
      </c>
      <c r="N71" s="18">
        <v>0.99</v>
      </c>
      <c r="O71" s="18">
        <v>0.35</v>
      </c>
      <c r="P71" s="23">
        <v>1</v>
      </c>
      <c r="Q71" s="225">
        <v>1.1921296296296296E-3</v>
      </c>
      <c r="R71" s="125">
        <v>3</v>
      </c>
    </row>
    <row r="72" spans="1:18" x14ac:dyDescent="0.35">
      <c r="A72" s="34">
        <v>45087</v>
      </c>
      <c r="B72" s="36" t="s">
        <v>54</v>
      </c>
      <c r="C72" s="36" t="s">
        <v>97</v>
      </c>
      <c r="D72" s="1">
        <v>127</v>
      </c>
      <c r="E72" s="1">
        <v>118</v>
      </c>
      <c r="F72" s="66">
        <f>IFERROR((Table9[[#This Row],[Calls Off]]-D65)/D65,0)</f>
        <v>-0.13013698630136986</v>
      </c>
      <c r="G72" s="66">
        <f>IFERROR((Table9[[#This Row],[Calls Ans]]-E65)/E65,0)</f>
        <v>-0.14492753623188406</v>
      </c>
      <c r="H72" s="1">
        <f>H71+Table9[[#This Row],[Calls Off]]</f>
        <v>1378</v>
      </c>
      <c r="I72" s="1">
        <f>I71+Table9[[#This Row],[Calls Ans]]</f>
        <v>1309</v>
      </c>
      <c r="J72" s="1">
        <f>J71+Table9[[#This Row],[Calls Off]]</f>
        <v>11207</v>
      </c>
      <c r="K72" s="1">
        <f>K71+Table9[[#This Row],[Calls Ans]]</f>
        <v>10734</v>
      </c>
      <c r="L72" s="18">
        <v>0.95</v>
      </c>
      <c r="M72" s="18">
        <v>7.0000000000000007E-2</v>
      </c>
      <c r="N72" s="18">
        <v>0.93</v>
      </c>
      <c r="O72" s="18">
        <v>0.39</v>
      </c>
      <c r="P72" s="23">
        <v>1</v>
      </c>
      <c r="Q72" s="225">
        <v>1.0185185185185186E-3</v>
      </c>
      <c r="R72" s="125">
        <v>3</v>
      </c>
    </row>
    <row r="73" spans="1:18" x14ac:dyDescent="0.35">
      <c r="A73" s="34">
        <v>45088</v>
      </c>
      <c r="B73" s="36" t="s">
        <v>48</v>
      </c>
      <c r="C73" s="36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23">
        <v>0</v>
      </c>
      <c r="Q73" s="225">
        <v>0</v>
      </c>
      <c r="R73" s="125">
        <v>0</v>
      </c>
    </row>
    <row r="74" spans="1:18" x14ac:dyDescent="0.35">
      <c r="A74" s="34">
        <v>45089</v>
      </c>
      <c r="B74" s="36" t="s">
        <v>49</v>
      </c>
      <c r="C74" s="36" t="s">
        <v>97</v>
      </c>
      <c r="D74" s="1">
        <v>144</v>
      </c>
      <c r="E74" s="1">
        <v>137</v>
      </c>
      <c r="F74" s="66">
        <f>IFERROR((Table9[[#This Row],[Calls Off]]-D67)/D67,0)</f>
        <v>-0.1377245508982036</v>
      </c>
      <c r="G74" s="66">
        <f>IFERROR((Table9[[#This Row],[Calls Ans]]-E67)/E67,0)</f>
        <v>-0.15950920245398773</v>
      </c>
      <c r="H74" s="1">
        <f>H72+Table9[[#This Row],[Calls Off]]</f>
        <v>1522</v>
      </c>
      <c r="I74" s="1">
        <f>I72+Table9[[#This Row],[Calls Ans]]</f>
        <v>1446</v>
      </c>
      <c r="J74" s="1">
        <f>J72+Table9[[#This Row],[Calls Off]]</f>
        <v>11351</v>
      </c>
      <c r="K74" s="1">
        <f>K72+Table9[[#This Row],[Calls Ans]]</f>
        <v>10871</v>
      </c>
      <c r="L74" s="18">
        <v>0.96</v>
      </c>
      <c r="M74" s="18">
        <v>0.05</v>
      </c>
      <c r="N74" s="18">
        <v>0.95</v>
      </c>
      <c r="O74" s="18">
        <v>0.49</v>
      </c>
      <c r="P74" s="23">
        <v>1</v>
      </c>
      <c r="Q74" s="225">
        <v>1.1805555555555556E-3</v>
      </c>
      <c r="R74" s="125">
        <v>4</v>
      </c>
    </row>
    <row r="75" spans="1:18" x14ac:dyDescent="0.35">
      <c r="A75" s="34">
        <v>45090</v>
      </c>
      <c r="B75" s="36" t="s">
        <v>50</v>
      </c>
      <c r="C75" s="36" t="s">
        <v>97</v>
      </c>
      <c r="D75" s="1">
        <v>172</v>
      </c>
      <c r="E75" s="1">
        <v>167</v>
      </c>
      <c r="F75" s="66">
        <f>IFERROR((Table9[[#This Row],[Calls Off]]-D68)/D68,0)</f>
        <v>-9.4736842105263161E-2</v>
      </c>
      <c r="G75" s="66">
        <f>IFERROR((Table9[[#This Row],[Calls Ans]]-E68)/E68,0)</f>
        <v>-9.2391304347826081E-2</v>
      </c>
      <c r="H75" s="1">
        <f>H74+Table9[[#This Row],[Calls Off]]</f>
        <v>1694</v>
      </c>
      <c r="I75" s="1">
        <f>I74+Table9[[#This Row],[Calls Ans]]</f>
        <v>1613</v>
      </c>
      <c r="J75" s="1">
        <f>J74+Table9[[#This Row],[Calls Off]]</f>
        <v>11523</v>
      </c>
      <c r="K75" s="1">
        <f>K74+Table9[[#This Row],[Calls Ans]]</f>
        <v>11038</v>
      </c>
      <c r="L75" s="18">
        <v>0.96</v>
      </c>
      <c r="M75" s="18">
        <v>0.03</v>
      </c>
      <c r="N75" s="18">
        <v>0.97</v>
      </c>
      <c r="O75" s="18">
        <v>0.53</v>
      </c>
      <c r="P75" s="23">
        <v>0.99</v>
      </c>
      <c r="Q75" s="225">
        <v>1.0532407407407407E-3</v>
      </c>
      <c r="R75" s="125">
        <v>4</v>
      </c>
    </row>
    <row r="76" spans="1:18" x14ac:dyDescent="0.35">
      <c r="A76" s="34">
        <v>45091</v>
      </c>
      <c r="B76" s="36" t="s">
        <v>51</v>
      </c>
      <c r="C76" s="36" t="s">
        <v>97</v>
      </c>
      <c r="D76" s="1">
        <v>188</v>
      </c>
      <c r="E76" s="1">
        <v>185</v>
      </c>
      <c r="F76" s="66">
        <f>IFERROR((Table9[[#This Row],[Calls Off]]-D69)/D69,0)</f>
        <v>0.16770186335403728</v>
      </c>
      <c r="G76" s="66">
        <f>IFERROR((Table9[[#This Row],[Calls Ans]]-E69)/E69,0)</f>
        <v>0.27586206896551724</v>
      </c>
      <c r="H76" s="1">
        <f>H75+Table9[[#This Row],[Calls Off]]</f>
        <v>1882</v>
      </c>
      <c r="I76" s="1">
        <f>I75+Table9[[#This Row],[Calls Ans]]</f>
        <v>1798</v>
      </c>
      <c r="J76" s="1">
        <f>J75+Table9[[#This Row],[Calls Off]]</f>
        <v>11711</v>
      </c>
      <c r="K76" s="1">
        <f>K75+Table9[[#This Row],[Calls Ans]]</f>
        <v>11223</v>
      </c>
      <c r="L76" s="18">
        <v>0.93</v>
      </c>
      <c r="M76" s="18">
        <v>0.02</v>
      </c>
      <c r="N76" s="18">
        <v>0.98</v>
      </c>
      <c r="O76" s="18">
        <v>0.67</v>
      </c>
      <c r="P76" s="23">
        <v>1</v>
      </c>
      <c r="Q76" s="225">
        <v>1.3773148148148147E-3</v>
      </c>
      <c r="R76" s="125">
        <v>4</v>
      </c>
    </row>
    <row r="77" spans="1:18" x14ac:dyDescent="0.35">
      <c r="A77" s="34">
        <v>45092</v>
      </c>
      <c r="B77" s="36" t="s">
        <v>52</v>
      </c>
      <c r="C77" s="36" t="s">
        <v>97</v>
      </c>
      <c r="D77" s="1">
        <v>179</v>
      </c>
      <c r="E77" s="1">
        <v>171</v>
      </c>
      <c r="F77" s="66">
        <f>IFERROR((Table9[[#This Row],[Calls Off]]-D70)/D70,0)</f>
        <v>0.28776978417266186</v>
      </c>
      <c r="G77" s="66">
        <f>IFERROR((Table9[[#This Row],[Calls Ans]]-E70)/E70,0)</f>
        <v>0.29545454545454547</v>
      </c>
      <c r="H77" s="1">
        <f>H76+Table9[[#This Row],[Calls Off]]</f>
        <v>2061</v>
      </c>
      <c r="I77" s="1">
        <f>I76+Table9[[#This Row],[Calls Ans]]</f>
        <v>1969</v>
      </c>
      <c r="J77" s="1">
        <f>J76+Table9[[#This Row],[Calls Off]]</f>
        <v>11890</v>
      </c>
      <c r="K77" s="1">
        <f>K76+Table9[[#This Row],[Calls Ans]]</f>
        <v>11394</v>
      </c>
      <c r="L77" s="18">
        <v>0.85</v>
      </c>
      <c r="M77" s="18">
        <v>0.04</v>
      </c>
      <c r="N77" s="18">
        <v>0.96</v>
      </c>
      <c r="O77" s="18">
        <v>0.62</v>
      </c>
      <c r="P77" s="23">
        <v>0.99</v>
      </c>
      <c r="Q77" s="225">
        <v>1.261574074074074E-3</v>
      </c>
      <c r="R77" s="125">
        <v>4</v>
      </c>
    </row>
    <row r="78" spans="1:18" x14ac:dyDescent="0.35">
      <c r="A78" s="34">
        <v>45093</v>
      </c>
      <c r="B78" s="36" t="s">
        <v>53</v>
      </c>
      <c r="C78" s="36" t="s">
        <v>97</v>
      </c>
      <c r="D78" s="1">
        <v>180</v>
      </c>
      <c r="E78" s="1">
        <v>167</v>
      </c>
      <c r="F78" s="66">
        <f>IFERROR((Table9[[#This Row],[Calls Off]]-D71)/D71,0)</f>
        <v>0.3235294117647059</v>
      </c>
      <c r="G78" s="66">
        <f>IFERROR((Table9[[#This Row],[Calls Ans]]-E71)/E71,0)</f>
        <v>0.2462686567164179</v>
      </c>
      <c r="H78" s="1">
        <f>H77+Table9[[#This Row],[Calls Off]]</f>
        <v>2241</v>
      </c>
      <c r="I78" s="1">
        <f>I77+Table9[[#This Row],[Calls Ans]]</f>
        <v>2136</v>
      </c>
      <c r="J78" s="1">
        <f>J77+Table9[[#This Row],[Calls Off]]</f>
        <v>12070</v>
      </c>
      <c r="K78" s="1">
        <f>K77+Table9[[#This Row],[Calls Ans]]</f>
        <v>11561</v>
      </c>
      <c r="L78" s="18">
        <v>0.75</v>
      </c>
      <c r="M78" s="18">
        <v>7.0000000000000007E-2</v>
      </c>
      <c r="N78" s="18">
        <v>0.93</v>
      </c>
      <c r="O78" s="18">
        <v>0.54</v>
      </c>
      <c r="P78" s="23">
        <v>0.99</v>
      </c>
      <c r="Q78" s="225">
        <v>1.2384259259259258E-3</v>
      </c>
      <c r="R78" s="125">
        <v>3</v>
      </c>
    </row>
    <row r="79" spans="1:18" x14ac:dyDescent="0.35">
      <c r="A79" s="34">
        <v>45094</v>
      </c>
      <c r="B79" s="36" t="s">
        <v>54</v>
      </c>
      <c r="C79" s="36" t="s">
        <v>97</v>
      </c>
      <c r="D79" s="1">
        <v>118</v>
      </c>
      <c r="E79" s="1">
        <v>115</v>
      </c>
      <c r="F79" s="66">
        <f>IFERROR((Table9[[#This Row],[Calls Off]]-D72)/D72,0)</f>
        <v>-7.0866141732283464E-2</v>
      </c>
      <c r="G79" s="66">
        <f>IFERROR((Table9[[#This Row],[Calls Ans]]-E72)/E72,0)</f>
        <v>-2.5423728813559324E-2</v>
      </c>
      <c r="H79" s="1">
        <f>H78+Table9[[#This Row],[Calls Off]]</f>
        <v>2359</v>
      </c>
      <c r="I79" s="1">
        <f>I78+Table9[[#This Row],[Calls Ans]]</f>
        <v>2251</v>
      </c>
      <c r="J79" s="1">
        <f>J78+Table9[[#This Row],[Calls Off]]</f>
        <v>12188</v>
      </c>
      <c r="K79" s="1">
        <f>K78+Table9[[#This Row],[Calls Ans]]</f>
        <v>11676</v>
      </c>
      <c r="L79" s="18">
        <v>0.93</v>
      </c>
      <c r="M79" s="18">
        <v>0.03</v>
      </c>
      <c r="N79" s="18">
        <v>0.97</v>
      </c>
      <c r="O79" s="18">
        <v>0.54</v>
      </c>
      <c r="P79" s="23">
        <v>1</v>
      </c>
      <c r="Q79" s="225">
        <v>1.25E-3</v>
      </c>
      <c r="R79" s="125">
        <v>3</v>
      </c>
    </row>
    <row r="80" spans="1:18" x14ac:dyDescent="0.35">
      <c r="A80" s="34">
        <v>45095</v>
      </c>
      <c r="B80" s="36" t="s">
        <v>48</v>
      </c>
      <c r="C80" s="36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23">
        <v>0</v>
      </c>
      <c r="Q80" s="225">
        <v>0</v>
      </c>
      <c r="R80" s="125">
        <v>0</v>
      </c>
    </row>
    <row r="81" spans="1:21" x14ac:dyDescent="0.35">
      <c r="A81" s="34">
        <v>45096</v>
      </c>
      <c r="B81" s="36" t="s">
        <v>49</v>
      </c>
      <c r="C81" s="36" t="s">
        <v>97</v>
      </c>
      <c r="D81" s="1">
        <v>206</v>
      </c>
      <c r="E81" s="1">
        <v>191</v>
      </c>
      <c r="F81" s="66">
        <f>IFERROR((Table9[[#This Row],[Calls Off]]-D74)/D74,0)</f>
        <v>0.43055555555555558</v>
      </c>
      <c r="G81" s="66">
        <f>IFERROR((Table9[[#This Row],[Calls Ans]]-E74)/E74,0)</f>
        <v>0.39416058394160586</v>
      </c>
      <c r="H81" s="1">
        <f>H79+Table9[[#This Row],[Calls Off]]</f>
        <v>2565</v>
      </c>
      <c r="I81" s="1">
        <f>I79+Table9[[#This Row],[Calls Ans]]</f>
        <v>2442</v>
      </c>
      <c r="J81" s="1">
        <f>J79+Table9[[#This Row],[Calls Off]]</f>
        <v>12394</v>
      </c>
      <c r="K81" s="1">
        <f>K79+Table9[[#This Row],[Calls Ans]]</f>
        <v>11867</v>
      </c>
      <c r="L81" s="18">
        <v>0.75</v>
      </c>
      <c r="M81" s="18">
        <v>7.0000000000000007E-2</v>
      </c>
      <c r="N81" s="18">
        <v>0.93</v>
      </c>
      <c r="O81" s="18">
        <v>0.55000000000000004</v>
      </c>
      <c r="P81" s="23">
        <v>1</v>
      </c>
      <c r="Q81" s="225">
        <v>1.1689814814814816E-3</v>
      </c>
      <c r="R81" s="125">
        <v>3</v>
      </c>
    </row>
    <row r="82" spans="1:21" x14ac:dyDescent="0.35">
      <c r="A82" s="34">
        <v>45097</v>
      </c>
      <c r="B82" s="36" t="s">
        <v>50</v>
      </c>
      <c r="C82" s="36" t="s">
        <v>97</v>
      </c>
      <c r="D82" s="1">
        <v>172</v>
      </c>
      <c r="E82" s="1">
        <v>171</v>
      </c>
      <c r="F82" s="66">
        <f>IFERROR((Table9[[#This Row],[Calls Off]]-D75)/D75,0)</f>
        <v>0</v>
      </c>
      <c r="G82" s="66">
        <f>IFERROR((Table9[[#This Row],[Calls Ans]]-E75)/E75,0)</f>
        <v>2.3952095808383235E-2</v>
      </c>
      <c r="H82" s="1">
        <f>H81+Table9[[#This Row],[Calls Off]]</f>
        <v>2737</v>
      </c>
      <c r="I82" s="1">
        <f>I81+Table9[[#This Row],[Calls Ans]]</f>
        <v>2613</v>
      </c>
      <c r="J82" s="1">
        <f>J81+Table9[[#This Row],[Calls Off]]</f>
        <v>12566</v>
      </c>
      <c r="K82" s="1">
        <f>K81+Table9[[#This Row],[Calls Ans]]</f>
        <v>12038</v>
      </c>
      <c r="L82" s="18">
        <v>0.94</v>
      </c>
      <c r="M82" s="18">
        <v>0.01</v>
      </c>
      <c r="N82" s="18">
        <v>0.99</v>
      </c>
      <c r="O82" s="18">
        <v>0.64</v>
      </c>
      <c r="P82" s="23">
        <v>1</v>
      </c>
      <c r="Q82" s="225">
        <v>1.5046296296296294E-3</v>
      </c>
      <c r="R82" s="125">
        <v>3</v>
      </c>
    </row>
    <row r="83" spans="1:21" x14ac:dyDescent="0.35">
      <c r="A83" s="34">
        <v>45098</v>
      </c>
      <c r="B83" s="36" t="s">
        <v>51</v>
      </c>
      <c r="C83" s="36" t="s">
        <v>97</v>
      </c>
      <c r="D83" s="1">
        <v>194</v>
      </c>
      <c r="E83" s="1">
        <v>187</v>
      </c>
      <c r="F83" s="66">
        <f>IFERROR((Table9[[#This Row],[Calls Off]]-D76)/D76,0)</f>
        <v>3.1914893617021274E-2</v>
      </c>
      <c r="G83" s="66">
        <f>IFERROR((Table9[[#This Row],[Calls Ans]]-E76)/E76,0)</f>
        <v>1.0810810810810811E-2</v>
      </c>
      <c r="H83" s="1">
        <f>H82+Table9[[#This Row],[Calls Off]]</f>
        <v>2931</v>
      </c>
      <c r="I83" s="1">
        <f>I82+Table9[[#This Row],[Calls Ans]]</f>
        <v>2800</v>
      </c>
      <c r="J83" s="1">
        <f>J82+Table9[[#This Row],[Calls Off]]</f>
        <v>12760</v>
      </c>
      <c r="K83" s="1">
        <f>K82+Table9[[#This Row],[Calls Ans]]</f>
        <v>12225</v>
      </c>
      <c r="L83" s="18">
        <v>0.92</v>
      </c>
      <c r="M83" s="18">
        <v>0.04</v>
      </c>
      <c r="N83" s="18">
        <v>0.96</v>
      </c>
      <c r="O83" s="18">
        <v>0.74</v>
      </c>
      <c r="P83" s="23">
        <v>1</v>
      </c>
      <c r="Q83" s="225">
        <v>1.3194444444444443E-3</v>
      </c>
      <c r="R83" s="125">
        <v>3</v>
      </c>
    </row>
    <row r="84" spans="1:21" x14ac:dyDescent="0.35">
      <c r="A84" s="34">
        <v>45099</v>
      </c>
      <c r="B84" s="36" t="s">
        <v>52</v>
      </c>
      <c r="C84" s="36" t="s">
        <v>97</v>
      </c>
      <c r="D84" s="1">
        <v>206</v>
      </c>
      <c r="E84" s="1">
        <v>193</v>
      </c>
      <c r="F84" s="66">
        <f>IFERROR((Table9[[#This Row],[Calls Off]]-D77)/D77,0)</f>
        <v>0.15083798882681565</v>
      </c>
      <c r="G84" s="66">
        <f>IFERROR((Table9[[#This Row],[Calls Ans]]-E77)/E77,0)</f>
        <v>0.12865497076023391</v>
      </c>
      <c r="H84" s="1">
        <f>H83+Table9[[#This Row],[Calls Off]]</f>
        <v>3137</v>
      </c>
      <c r="I84" s="1">
        <f>I83+Table9[[#This Row],[Calls Ans]]</f>
        <v>2993</v>
      </c>
      <c r="J84" s="1">
        <f>J83+Table9[[#This Row],[Calls Off]]</f>
        <v>12966</v>
      </c>
      <c r="K84" s="1">
        <f>K83+Table9[[#This Row],[Calls Ans]]</f>
        <v>12418</v>
      </c>
      <c r="L84" s="18">
        <v>0.79</v>
      </c>
      <c r="M84" s="18">
        <v>0.06</v>
      </c>
      <c r="N84" s="18">
        <v>0.94</v>
      </c>
      <c r="O84" s="18">
        <v>0.63</v>
      </c>
      <c r="P84" s="23">
        <v>1</v>
      </c>
      <c r="Q84" s="225">
        <v>1.423611111111111E-3</v>
      </c>
      <c r="R84" s="125">
        <v>3</v>
      </c>
    </row>
    <row r="85" spans="1:21" x14ac:dyDescent="0.35">
      <c r="A85" s="34">
        <v>45100</v>
      </c>
      <c r="B85" s="36" t="s">
        <v>53</v>
      </c>
      <c r="C85" s="36" t="s">
        <v>97</v>
      </c>
      <c r="D85" s="1">
        <v>178</v>
      </c>
      <c r="E85" s="1">
        <v>171</v>
      </c>
      <c r="F85" s="66">
        <f>IFERROR((Table9[[#This Row],[Calls Off]]-D78)/D78,0)</f>
        <v>-1.1111111111111112E-2</v>
      </c>
      <c r="G85" s="66">
        <f>IFERROR((Table9[[#This Row],[Calls Ans]]-E78)/E78,0)</f>
        <v>2.3952095808383235E-2</v>
      </c>
      <c r="H85" s="1">
        <f>H84+Table9[[#This Row],[Calls Off]]</f>
        <v>3315</v>
      </c>
      <c r="I85" s="1">
        <f>I84+Table9[[#This Row],[Calls Ans]]</f>
        <v>3164</v>
      </c>
      <c r="J85" s="1">
        <f>J84+Table9[[#This Row],[Calls Off]]</f>
        <v>13144</v>
      </c>
      <c r="K85" s="1">
        <f>K84+Table9[[#This Row],[Calls Ans]]</f>
        <v>12589</v>
      </c>
      <c r="L85" s="18">
        <v>0.86</v>
      </c>
      <c r="M85" s="18">
        <v>0.04</v>
      </c>
      <c r="N85" s="18">
        <v>0.96</v>
      </c>
      <c r="O85" s="18">
        <v>0.61</v>
      </c>
      <c r="P85" s="23">
        <v>1</v>
      </c>
      <c r="Q85" s="225">
        <v>1.3310185185185185E-3</v>
      </c>
      <c r="R85" s="125">
        <v>2</v>
      </c>
      <c r="U85">
        <f>AVERAGEIF(P82:P88,"&lt;&gt;0")</f>
        <v>1</v>
      </c>
    </row>
    <row r="86" spans="1:21" x14ac:dyDescent="0.35">
      <c r="A86" s="34">
        <v>45101</v>
      </c>
      <c r="B86" s="36" t="s">
        <v>54</v>
      </c>
      <c r="C86" s="36" t="s">
        <v>97</v>
      </c>
      <c r="D86" s="1">
        <v>123</v>
      </c>
      <c r="E86" s="1">
        <v>120</v>
      </c>
      <c r="F86" s="66">
        <f>IFERROR((Table9[[#This Row],[Calls Off]]-D79)/D79,0)</f>
        <v>4.2372881355932202E-2</v>
      </c>
      <c r="G86" s="66">
        <f>IFERROR((Table9[[#This Row],[Calls Ans]]-E79)/E79,0)</f>
        <v>4.3478260869565216E-2</v>
      </c>
      <c r="H86" s="1">
        <f>H85+Table9[[#This Row],[Calls Off]]</f>
        <v>3438</v>
      </c>
      <c r="I86" s="1">
        <f>I85+Table9[[#This Row],[Calls Ans]]</f>
        <v>3284</v>
      </c>
      <c r="J86" s="1">
        <f>J85+Table9[[#This Row],[Calls Off]]</f>
        <v>13267</v>
      </c>
      <c r="K86" s="1">
        <f>K85+Table9[[#This Row],[Calls Ans]]</f>
        <v>12709</v>
      </c>
      <c r="L86" s="18">
        <v>0.99</v>
      </c>
      <c r="M86" s="18">
        <v>0.02</v>
      </c>
      <c r="N86" s="18">
        <v>0.98</v>
      </c>
      <c r="O86" s="18">
        <v>0.44</v>
      </c>
      <c r="P86" s="23">
        <v>1</v>
      </c>
      <c r="Q86" s="225">
        <v>8.7962962962962962E-4</v>
      </c>
      <c r="R86" s="125">
        <v>3</v>
      </c>
    </row>
    <row r="87" spans="1:21" x14ac:dyDescent="0.35">
      <c r="A87" s="34">
        <v>45102</v>
      </c>
      <c r="B87" s="36" t="s">
        <v>48</v>
      </c>
      <c r="C87" s="36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23">
        <v>0</v>
      </c>
      <c r="Q87" s="225">
        <v>0</v>
      </c>
      <c r="R87" s="125">
        <v>0</v>
      </c>
    </row>
    <row r="88" spans="1:21" x14ac:dyDescent="0.35">
      <c r="A88" s="34">
        <v>45103</v>
      </c>
      <c r="B88" s="36" t="s">
        <v>49</v>
      </c>
      <c r="C88" s="36" t="s">
        <v>97</v>
      </c>
      <c r="D88" s="1">
        <v>244</v>
      </c>
      <c r="E88" s="1">
        <v>242</v>
      </c>
      <c r="F88" s="66">
        <f>IFERROR((Table9[[#This Row],[Calls Off]]-D81)/D81,0)</f>
        <v>0.18446601941747573</v>
      </c>
      <c r="G88" s="66">
        <f>IFERROR((Table9[[#This Row],[Calls Ans]]-E81)/E81,0)</f>
        <v>0.26701570680628273</v>
      </c>
      <c r="H88" s="1">
        <f>H86+Table9[[#This Row],[Calls Off]]</f>
        <v>3682</v>
      </c>
      <c r="I88" s="1">
        <f>I86+Table9[[#This Row],[Calls Ans]]</f>
        <v>3526</v>
      </c>
      <c r="J88" s="1">
        <f>J86+Table9[[#This Row],[Calls Off]]</f>
        <v>13511</v>
      </c>
      <c r="K88" s="1">
        <f>K86+Table9[[#This Row],[Calls Ans]]</f>
        <v>12951</v>
      </c>
      <c r="L88" s="18">
        <v>0.97</v>
      </c>
      <c r="M88" s="18">
        <v>0.01</v>
      </c>
      <c r="N88" s="18">
        <v>0.99</v>
      </c>
      <c r="O88" s="18">
        <v>0.57999999999999996</v>
      </c>
      <c r="P88" s="23">
        <v>1</v>
      </c>
      <c r="Q88" s="225">
        <v>1.2847222222222223E-3</v>
      </c>
      <c r="R88" s="125">
        <v>4</v>
      </c>
    </row>
    <row r="89" spans="1:21" x14ac:dyDescent="0.35">
      <c r="A89" s="34">
        <v>45104</v>
      </c>
      <c r="B89" s="36" t="s">
        <v>50</v>
      </c>
      <c r="C89" s="36" t="s">
        <v>97</v>
      </c>
      <c r="D89" s="1">
        <v>241</v>
      </c>
      <c r="E89" s="1">
        <v>237</v>
      </c>
      <c r="F89" s="66">
        <f>IFERROR((Table9[[#This Row],[Calls Off]]-D82)/D82,0)</f>
        <v>0.40116279069767441</v>
      </c>
      <c r="G89" s="66">
        <f>IFERROR((Table9[[#This Row],[Calls Ans]]-E82)/E82,0)</f>
        <v>0.38596491228070173</v>
      </c>
      <c r="H89" s="1">
        <f>H88+Table9[[#This Row],[Calls Off]]</f>
        <v>3923</v>
      </c>
      <c r="I89" s="1">
        <f>I88+Table9[[#This Row],[Calls Ans]]</f>
        <v>3763</v>
      </c>
      <c r="J89" s="1">
        <f>J88+Table9[[#This Row],[Calls Off]]</f>
        <v>13752</v>
      </c>
      <c r="K89" s="1">
        <f>K88+Table9[[#This Row],[Calls Ans]]</f>
        <v>13188</v>
      </c>
      <c r="L89" s="18">
        <v>0.89</v>
      </c>
      <c r="M89" s="18">
        <v>0.02</v>
      </c>
      <c r="N89" s="18">
        <v>0.98</v>
      </c>
      <c r="O89" s="18">
        <v>0.63</v>
      </c>
      <c r="P89" s="23">
        <v>1</v>
      </c>
      <c r="Q89" s="225">
        <v>1.1342592592592591E-3</v>
      </c>
      <c r="R89" s="125">
        <v>3</v>
      </c>
    </row>
    <row r="90" spans="1:21" x14ac:dyDescent="0.35">
      <c r="A90" s="34">
        <v>45105</v>
      </c>
      <c r="B90" s="36" t="s">
        <v>51</v>
      </c>
      <c r="C90" s="36" t="s">
        <v>97</v>
      </c>
      <c r="D90" s="1">
        <v>233</v>
      </c>
      <c r="E90" s="1">
        <v>222</v>
      </c>
      <c r="F90" s="66">
        <f>IFERROR((Table9[[#This Row],[Calls Off]]-D83)/D83,0)</f>
        <v>0.20103092783505155</v>
      </c>
      <c r="G90" s="66">
        <f>IFERROR((Table9[[#This Row],[Calls Ans]]-E83)/E83,0)</f>
        <v>0.18716577540106952</v>
      </c>
      <c r="H90" s="1">
        <f>H89+Table9[[#This Row],[Calls Off]]</f>
        <v>4156</v>
      </c>
      <c r="I90" s="1">
        <f>I89+Table9[[#This Row],[Calls Ans]]</f>
        <v>3985</v>
      </c>
      <c r="J90" s="1">
        <f>J89+Table9[[#This Row],[Calls Off]]</f>
        <v>13985</v>
      </c>
      <c r="K90" s="1">
        <f>K89+Table9[[#This Row],[Calls Ans]]</f>
        <v>13410</v>
      </c>
      <c r="L90" s="18">
        <v>0.8</v>
      </c>
      <c r="M90" s="18">
        <v>0.05</v>
      </c>
      <c r="N90" s="18">
        <v>0.95</v>
      </c>
      <c r="O90" s="18">
        <v>0.73</v>
      </c>
      <c r="P90" s="23">
        <v>1</v>
      </c>
      <c r="Q90" s="225">
        <v>1.261574074074074E-3</v>
      </c>
      <c r="R90" s="125">
        <v>3</v>
      </c>
    </row>
    <row r="91" spans="1:21" x14ac:dyDescent="0.35">
      <c r="A91" s="34">
        <v>45106</v>
      </c>
      <c r="B91" s="36" t="s">
        <v>52</v>
      </c>
      <c r="C91" s="36" t="s">
        <v>97</v>
      </c>
      <c r="D91" s="1">
        <v>0</v>
      </c>
      <c r="E91" s="1">
        <v>0</v>
      </c>
      <c r="F91" s="66">
        <v>0</v>
      </c>
      <c r="G91" s="66">
        <v>0</v>
      </c>
      <c r="H91" s="1">
        <v>0</v>
      </c>
      <c r="I91" s="1">
        <v>0</v>
      </c>
      <c r="J91" s="1">
        <v>0</v>
      </c>
      <c r="K91" s="1">
        <v>0</v>
      </c>
      <c r="L91" s="18">
        <v>0</v>
      </c>
      <c r="M91" s="18">
        <v>0</v>
      </c>
      <c r="N91" s="18">
        <v>0</v>
      </c>
      <c r="O91" s="18">
        <v>0</v>
      </c>
      <c r="P91" s="23">
        <v>0</v>
      </c>
      <c r="Q91" s="225">
        <v>0</v>
      </c>
      <c r="R91" s="125">
        <v>0</v>
      </c>
    </row>
    <row r="92" spans="1:21" x14ac:dyDescent="0.35">
      <c r="A92" s="34">
        <v>45107</v>
      </c>
      <c r="B92" s="36" t="s">
        <v>53</v>
      </c>
      <c r="C92" s="36" t="s">
        <v>97</v>
      </c>
      <c r="D92" s="1">
        <v>338</v>
      </c>
      <c r="E92" s="1">
        <v>320</v>
      </c>
      <c r="F92" s="66">
        <f>IFERROR((Table9[[#This Row],[Calls Off]]-D85)/D85,0)</f>
        <v>0.898876404494382</v>
      </c>
      <c r="G92" s="66">
        <f>IFERROR((Table9[[#This Row],[Calls Ans]]-E85)/E85,0)</f>
        <v>0.87134502923976609</v>
      </c>
      <c r="H92" s="1">
        <f>H90+Table9[[#This Row],[Calls Off]]</f>
        <v>4494</v>
      </c>
      <c r="I92" s="1">
        <f>I90+Table9[[#This Row],[Calls Ans]]</f>
        <v>4305</v>
      </c>
      <c r="J92" s="1">
        <f>J90+Table9[[#This Row],[Calls Off]]</f>
        <v>14323</v>
      </c>
      <c r="K92" s="1">
        <f>K90+Table9[[#This Row],[Calls Ans]]</f>
        <v>13730</v>
      </c>
      <c r="L92" s="18">
        <v>0.79</v>
      </c>
      <c r="M92" s="18">
        <v>0.05</v>
      </c>
      <c r="N92" s="18">
        <v>0.95</v>
      </c>
      <c r="O92" s="18">
        <v>0.69</v>
      </c>
      <c r="P92" s="23">
        <v>1</v>
      </c>
      <c r="Q92" s="225">
        <v>1.1342592592592591E-3</v>
      </c>
      <c r="R92" s="125">
        <v>3</v>
      </c>
    </row>
    <row r="93" spans="1:21" x14ac:dyDescent="0.35">
      <c r="A93" s="34">
        <v>45108</v>
      </c>
      <c r="B93" s="36" t="s">
        <v>54</v>
      </c>
      <c r="C93" s="36" t="s">
        <v>97</v>
      </c>
      <c r="D93" s="1">
        <v>205</v>
      </c>
      <c r="E93" s="1">
        <v>195</v>
      </c>
      <c r="F93" s="66">
        <f>IFERROR((Table9[[#This Row],[Calls Off]]-D86)/D86,0)</f>
        <v>0.66666666666666663</v>
      </c>
      <c r="G93" s="66">
        <f>IFERROR((Table9[[#This Row],[Calls Ans]]-E86)/E86,0)</f>
        <v>0.625</v>
      </c>
      <c r="H93" s="1">
        <f>Table9[[#This Row],[Calls Off]]</f>
        <v>205</v>
      </c>
      <c r="I93" s="1">
        <f>Table9[[#This Row],[Calls Ans]]</f>
        <v>195</v>
      </c>
      <c r="J93" s="1">
        <f>J92+Table9[[#This Row],[Calls Off]]</f>
        <v>14528</v>
      </c>
      <c r="K93" s="1">
        <f>K92+Table9[[#This Row],[Calls Ans]]</f>
        <v>13925</v>
      </c>
      <c r="L93" s="18">
        <v>0.94</v>
      </c>
      <c r="M93" s="18">
        <v>0.05</v>
      </c>
      <c r="N93" s="18">
        <v>0.95</v>
      </c>
      <c r="O93" s="18">
        <v>0.68</v>
      </c>
      <c r="P93" s="23">
        <v>1</v>
      </c>
      <c r="Q93" s="225">
        <v>1.1226851851851851E-3</v>
      </c>
      <c r="R93" s="125">
        <v>3</v>
      </c>
    </row>
    <row r="94" spans="1:21" x14ac:dyDescent="0.35">
      <c r="A94" s="34">
        <v>45109</v>
      </c>
      <c r="B94" s="36" t="s">
        <v>48</v>
      </c>
      <c r="C94" s="36" t="s">
        <v>97</v>
      </c>
      <c r="D94" s="1">
        <v>0</v>
      </c>
      <c r="E94" s="1">
        <v>0</v>
      </c>
      <c r="F94" s="66">
        <v>0</v>
      </c>
      <c r="G94" s="66">
        <v>0</v>
      </c>
      <c r="H94" s="1">
        <v>0</v>
      </c>
      <c r="I94" s="1">
        <v>0</v>
      </c>
      <c r="J94" s="1">
        <v>0</v>
      </c>
      <c r="K94" s="1">
        <v>0</v>
      </c>
      <c r="L94" s="18">
        <v>0</v>
      </c>
      <c r="M94" s="18">
        <v>0</v>
      </c>
      <c r="N94" s="18">
        <v>0</v>
      </c>
      <c r="O94" s="18">
        <v>0</v>
      </c>
      <c r="P94" s="23">
        <v>0</v>
      </c>
      <c r="Q94" s="225">
        <v>0</v>
      </c>
      <c r="R94" s="125">
        <v>0</v>
      </c>
    </row>
    <row r="95" spans="1:21" x14ac:dyDescent="0.35">
      <c r="A95" s="34">
        <v>45110</v>
      </c>
      <c r="B95" s="36" t="s">
        <v>49</v>
      </c>
      <c r="C95" s="36" t="s">
        <v>97</v>
      </c>
      <c r="D95" s="1">
        <v>0</v>
      </c>
      <c r="E95" s="1">
        <v>0</v>
      </c>
      <c r="F95" s="66">
        <v>0</v>
      </c>
      <c r="G95" s="66">
        <v>0</v>
      </c>
      <c r="H95" s="1">
        <v>0</v>
      </c>
      <c r="I95" s="1">
        <v>0</v>
      </c>
      <c r="J95" s="1">
        <v>0</v>
      </c>
      <c r="K95" s="1">
        <v>0</v>
      </c>
      <c r="L95" s="18">
        <v>0</v>
      </c>
      <c r="M95" s="18">
        <v>0</v>
      </c>
      <c r="N95" s="18">
        <v>0</v>
      </c>
      <c r="O95" s="18">
        <v>0</v>
      </c>
      <c r="P95" s="23">
        <v>0</v>
      </c>
      <c r="Q95" s="225">
        <v>0</v>
      </c>
      <c r="R95" s="125">
        <v>0</v>
      </c>
    </row>
    <row r="96" spans="1:21" x14ac:dyDescent="0.35">
      <c r="A96" s="34">
        <v>45111</v>
      </c>
      <c r="B96" s="36" t="s">
        <v>50</v>
      </c>
      <c r="C96" s="36" t="s">
        <v>97</v>
      </c>
      <c r="D96" s="1">
        <v>299</v>
      </c>
      <c r="E96" s="1">
        <v>286</v>
      </c>
      <c r="F96" s="66">
        <f>IFERROR((Table9[[#This Row],[Calls Off]]-D89)/D89,0)</f>
        <v>0.24066390041493776</v>
      </c>
      <c r="G96" s="66">
        <f>IFERROR((Table9[[#This Row],[Calls Ans]]-E89)/E89,0)</f>
        <v>0.20675105485232068</v>
      </c>
      <c r="H96" s="1">
        <f>H93+Table9[[#This Row],[Calls Off]]</f>
        <v>504</v>
      </c>
      <c r="I96" s="1">
        <f>I93+Table9[[#This Row],[Calls Ans]]</f>
        <v>481</v>
      </c>
      <c r="J96" s="1">
        <f>J93+Table9[[#This Row],[Calls Off]]</f>
        <v>14827</v>
      </c>
      <c r="K96" s="1">
        <f>K93+Table9[[#This Row],[Calls Ans]]</f>
        <v>14211</v>
      </c>
      <c r="L96" s="18">
        <v>0.63</v>
      </c>
      <c r="M96" s="18">
        <v>0.04</v>
      </c>
      <c r="N96" s="18">
        <v>0.96</v>
      </c>
      <c r="O96" s="18">
        <v>0.98</v>
      </c>
      <c r="P96" s="23">
        <v>1</v>
      </c>
      <c r="Q96" s="225">
        <v>1.4120370370370369E-3</v>
      </c>
      <c r="R96" s="125">
        <v>3</v>
      </c>
    </row>
    <row r="97" spans="1:22" x14ac:dyDescent="0.35">
      <c r="A97" s="34">
        <v>45112</v>
      </c>
      <c r="B97" s="36" t="s">
        <v>51</v>
      </c>
      <c r="C97" s="36" t="s">
        <v>97</v>
      </c>
      <c r="D97" s="1">
        <v>103</v>
      </c>
      <c r="E97" s="1">
        <v>99</v>
      </c>
      <c r="F97" s="66">
        <f>IFERROR((Table9[[#This Row],[Calls Off]]-D90)/D90,0)</f>
        <v>-0.55793991416309008</v>
      </c>
      <c r="G97" s="66">
        <f>IFERROR((Table9[[#This Row],[Calls Ans]]-E90)/E90,0)</f>
        <v>-0.55405405405405406</v>
      </c>
      <c r="H97" s="1">
        <f>H96+Table9[[#This Row],[Calls Off]]</f>
        <v>607</v>
      </c>
      <c r="I97" s="1">
        <f>I96+Table9[[#This Row],[Calls Ans]]</f>
        <v>580</v>
      </c>
      <c r="J97" s="1">
        <f>J96+Table9[[#This Row],[Calls Off]]</f>
        <v>14930</v>
      </c>
      <c r="K97" s="1">
        <f>K96+Table9[[#This Row],[Calls Ans]]</f>
        <v>14310</v>
      </c>
      <c r="L97" s="18">
        <v>0.89</v>
      </c>
      <c r="M97" s="18">
        <v>0.04</v>
      </c>
      <c r="N97" s="18">
        <v>0.96</v>
      </c>
      <c r="O97" s="18">
        <v>0.75</v>
      </c>
      <c r="P97" s="23">
        <v>1</v>
      </c>
      <c r="Q97" s="225">
        <v>1.4351851851851854E-3</v>
      </c>
      <c r="R97" s="125">
        <v>3</v>
      </c>
      <c r="T97" s="49"/>
      <c r="U97" s="49"/>
      <c r="V97" s="49"/>
    </row>
    <row r="98" spans="1:22" x14ac:dyDescent="0.35">
      <c r="A98" s="34">
        <v>45113</v>
      </c>
      <c r="B98" s="36" t="s">
        <v>52</v>
      </c>
      <c r="C98" s="36" t="s">
        <v>97</v>
      </c>
      <c r="D98" s="1">
        <v>252</v>
      </c>
      <c r="E98" s="1">
        <v>227</v>
      </c>
      <c r="F98" s="66">
        <f>IFERROR((Table9[[#This Row],[Calls Off]]-D91)/D91,0)</f>
        <v>0</v>
      </c>
      <c r="G98" s="66">
        <f>IFERROR((Table9[[#This Row],[Calls Ans]]-E91)/E91,0)</f>
        <v>0</v>
      </c>
      <c r="H98" s="1">
        <f>H97+Table9[[#This Row],[Calls Off]]</f>
        <v>859</v>
      </c>
      <c r="I98" s="1">
        <f>I97+Table9[[#This Row],[Calls Ans]]</f>
        <v>807</v>
      </c>
      <c r="J98" s="1">
        <f>J97+Table9[[#This Row],[Calls Off]]</f>
        <v>15182</v>
      </c>
      <c r="K98" s="1">
        <f>K97+Table9[[#This Row],[Calls Ans]]</f>
        <v>14537</v>
      </c>
      <c r="L98" s="18">
        <v>0.5</v>
      </c>
      <c r="M98" s="18">
        <v>0.1</v>
      </c>
      <c r="N98" s="18">
        <v>0.9</v>
      </c>
      <c r="O98" s="18">
        <v>0.75</v>
      </c>
      <c r="P98" s="23">
        <v>1</v>
      </c>
      <c r="Q98" s="225">
        <v>1.2268518518518518E-3</v>
      </c>
      <c r="R98" s="125">
        <v>2</v>
      </c>
    </row>
    <row r="99" spans="1:22" x14ac:dyDescent="0.35">
      <c r="A99" s="34">
        <v>45114</v>
      </c>
      <c r="B99" s="36" t="s">
        <v>53</v>
      </c>
      <c r="C99" s="36" t="s">
        <v>97</v>
      </c>
      <c r="D99" s="1">
        <v>218</v>
      </c>
      <c r="E99" s="1">
        <v>197</v>
      </c>
      <c r="F99" s="66">
        <f>IFERROR((Table9[[#This Row],[Calls Off]]-D92)/D92,0)</f>
        <v>-0.35502958579881655</v>
      </c>
      <c r="G99" s="66">
        <f>IFERROR((Table9[[#This Row],[Calls Ans]]-E92)/E92,0)</f>
        <v>-0.38437500000000002</v>
      </c>
      <c r="H99" s="1">
        <f>H98+Table9[[#This Row],[Calls Off]]</f>
        <v>1077</v>
      </c>
      <c r="I99" s="1">
        <f>I98+Table9[[#This Row],[Calls Ans]]</f>
        <v>1004</v>
      </c>
      <c r="J99" s="1">
        <f>J98+Table9[[#This Row],[Calls Off]]</f>
        <v>15400</v>
      </c>
      <c r="K99" s="1">
        <f>K98+Table9[[#This Row],[Calls Ans]]</f>
        <v>14734</v>
      </c>
      <c r="L99" s="18">
        <v>0.69</v>
      </c>
      <c r="M99" s="18">
        <v>0.1</v>
      </c>
      <c r="N99" s="18">
        <v>0.9</v>
      </c>
      <c r="O99" s="18">
        <v>0.95</v>
      </c>
      <c r="P99" s="23">
        <v>1</v>
      </c>
      <c r="Q99" s="225">
        <v>1.4583333333333334E-3</v>
      </c>
      <c r="R99" s="125">
        <v>2</v>
      </c>
    </row>
    <row r="100" spans="1:22" x14ac:dyDescent="0.35">
      <c r="A100" s="34">
        <v>45115</v>
      </c>
      <c r="B100" s="36" t="s">
        <v>54</v>
      </c>
      <c r="C100" s="36" t="s">
        <v>97</v>
      </c>
      <c r="D100" s="1">
        <v>220</v>
      </c>
      <c r="E100" s="1">
        <v>184</v>
      </c>
      <c r="F100" s="66">
        <f>IFERROR((Table9[[#This Row],[Calls Off]]-D93)/D93,0)</f>
        <v>7.3170731707317069E-2</v>
      </c>
      <c r="G100" s="66">
        <f>IFERROR((Table9[[#This Row],[Calls Ans]]-E93)/E93,0)</f>
        <v>-5.6410256410256411E-2</v>
      </c>
      <c r="H100" s="1">
        <f>H99+Table9[[#This Row],[Calls Off]]</f>
        <v>1297</v>
      </c>
      <c r="I100" s="1">
        <f>I99+Table9[[#This Row],[Calls Ans]]</f>
        <v>1188</v>
      </c>
      <c r="J100" s="1">
        <f>J99+Table9[[#This Row],[Calls Off]]</f>
        <v>15620</v>
      </c>
      <c r="K100" s="1">
        <f>K99+Table9[[#This Row],[Calls Ans]]</f>
        <v>14918</v>
      </c>
      <c r="L100" s="18">
        <v>0.56000000000000005</v>
      </c>
      <c r="M100" s="18">
        <v>0.16</v>
      </c>
      <c r="N100" s="18">
        <v>0.84</v>
      </c>
      <c r="O100" s="18">
        <v>0.62</v>
      </c>
      <c r="P100" s="23">
        <v>0.99</v>
      </c>
      <c r="Q100" s="225">
        <v>1.1458333333333333E-3</v>
      </c>
      <c r="R100" s="125">
        <v>2</v>
      </c>
    </row>
    <row r="101" spans="1:22" x14ac:dyDescent="0.35">
      <c r="A101" s="34">
        <v>45116</v>
      </c>
      <c r="B101" s="36" t="s">
        <v>48</v>
      </c>
      <c r="C101" s="36" t="s">
        <v>97</v>
      </c>
      <c r="D101" s="1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23">
        <v>0</v>
      </c>
      <c r="Q101" s="225">
        <v>0</v>
      </c>
      <c r="R101" s="125">
        <v>0</v>
      </c>
    </row>
    <row r="102" spans="1:22" x14ac:dyDescent="0.35">
      <c r="A102" s="34">
        <v>45117</v>
      </c>
      <c r="B102" s="36" t="s">
        <v>49</v>
      </c>
      <c r="C102" s="36" t="s">
        <v>97</v>
      </c>
      <c r="D102" s="1">
        <v>211</v>
      </c>
      <c r="E102" s="1">
        <v>198</v>
      </c>
      <c r="F102" s="66">
        <f>IFERROR((Table9[[#This Row],[Calls Off]]-D95)/D95,0)</f>
        <v>0</v>
      </c>
      <c r="G102" s="66">
        <f>IFERROR((Table9[[#This Row],[Calls Ans]]-E95)/E95,0)</f>
        <v>0</v>
      </c>
      <c r="H102" s="1">
        <f>H100+Table9[[#This Row],[Calls Off]]</f>
        <v>1508</v>
      </c>
      <c r="I102" s="1">
        <f>I100+Table9[[#This Row],[Calls Ans]]</f>
        <v>1386</v>
      </c>
      <c r="J102" s="1">
        <f>J100+Table9[[#This Row],[Calls Off]]</f>
        <v>15831</v>
      </c>
      <c r="K102" s="1">
        <f>K100+Table9[[#This Row],[Calls Ans]]</f>
        <v>15116</v>
      </c>
      <c r="L102" s="18">
        <v>0.84</v>
      </c>
      <c r="M102" s="18">
        <v>0.06</v>
      </c>
      <c r="N102" s="18">
        <v>0.94</v>
      </c>
      <c r="O102" s="18">
        <v>0.51</v>
      </c>
      <c r="P102" s="23">
        <v>1</v>
      </c>
      <c r="Q102" s="225">
        <v>8.449074074074075E-4</v>
      </c>
      <c r="R102" s="125">
        <v>3</v>
      </c>
    </row>
    <row r="103" spans="1:22" x14ac:dyDescent="0.35">
      <c r="A103" s="34">
        <v>45118</v>
      </c>
      <c r="B103" s="36" t="s">
        <v>50</v>
      </c>
      <c r="C103" s="36" t="s">
        <v>97</v>
      </c>
      <c r="D103" s="1">
        <v>222</v>
      </c>
      <c r="E103" s="1">
        <v>210</v>
      </c>
      <c r="F103" s="66">
        <f>IFERROR((Table9[[#This Row],[Calls Off]]-D96)/D96,0)</f>
        <v>-0.25752508361204013</v>
      </c>
      <c r="G103" s="66">
        <f>IFERROR((Table9[[#This Row],[Calls Ans]]-E96)/E96,0)</f>
        <v>-0.26573426573426573</v>
      </c>
      <c r="H103" s="1">
        <f>H102+Table9[[#This Row],[Calls Off]]</f>
        <v>1730</v>
      </c>
      <c r="I103" s="1">
        <f>I102+Table9[[#This Row],[Calls Ans]]</f>
        <v>1596</v>
      </c>
      <c r="J103" s="1">
        <f>J102+Table9[[#This Row],[Calls Off]]</f>
        <v>16053</v>
      </c>
      <c r="K103" s="1">
        <f>K102+Table9[[#This Row],[Calls Ans]]</f>
        <v>15326</v>
      </c>
      <c r="L103" s="18">
        <v>0.84</v>
      </c>
      <c r="M103" s="18">
        <v>0.05</v>
      </c>
      <c r="N103" s="18">
        <v>0.95</v>
      </c>
      <c r="O103" s="18">
        <v>0.51</v>
      </c>
      <c r="P103" s="23">
        <v>1</v>
      </c>
      <c r="Q103" s="225">
        <v>9.1435185185185185E-4</v>
      </c>
      <c r="R103" s="125">
        <v>3</v>
      </c>
    </row>
    <row r="104" spans="1:22" x14ac:dyDescent="0.35">
      <c r="A104" s="34">
        <v>45119</v>
      </c>
      <c r="B104" s="36" t="s">
        <v>51</v>
      </c>
      <c r="C104" s="36" t="s">
        <v>97</v>
      </c>
      <c r="D104" s="1">
        <v>230</v>
      </c>
      <c r="E104" s="1">
        <v>223</v>
      </c>
      <c r="F104" s="66">
        <f>IFERROR((Table9[[#This Row],[Calls Off]]-D97)/D97,0)</f>
        <v>1.233009708737864</v>
      </c>
      <c r="G104" s="66">
        <f>IFERROR((Table9[[#This Row],[Calls Ans]]-E97)/E97,0)</f>
        <v>1.2525252525252526</v>
      </c>
      <c r="H104" s="1">
        <f>H103+Table9[[#This Row],[Calls Off]]</f>
        <v>1960</v>
      </c>
      <c r="I104" s="1">
        <f>I103+Table9[[#This Row],[Calls Ans]]</f>
        <v>1819</v>
      </c>
      <c r="J104" s="1">
        <f>J103+Table9[[#This Row],[Calls Off]]</f>
        <v>16283</v>
      </c>
      <c r="K104" s="1">
        <f>K103+Table9[[#This Row],[Calls Ans]]</f>
        <v>15549</v>
      </c>
      <c r="L104" s="18">
        <v>0.88</v>
      </c>
      <c r="M104" s="18">
        <v>0.03</v>
      </c>
      <c r="N104" s="18">
        <v>0.97</v>
      </c>
      <c r="O104" s="18">
        <v>0.68</v>
      </c>
      <c r="P104" s="23">
        <v>1</v>
      </c>
      <c r="Q104" s="225">
        <v>1.1458333333333333E-3</v>
      </c>
      <c r="R104" s="125">
        <v>4</v>
      </c>
    </row>
    <row r="105" spans="1:22" x14ac:dyDescent="0.35">
      <c r="A105" s="34">
        <v>45120</v>
      </c>
      <c r="B105" s="36" t="s">
        <v>52</v>
      </c>
      <c r="C105" s="36" t="s">
        <v>97</v>
      </c>
      <c r="D105" s="1">
        <v>236</v>
      </c>
      <c r="E105" s="1">
        <v>225</v>
      </c>
      <c r="F105" s="66">
        <f>IFERROR((Table9[[#This Row],[Calls Off]]-D98)/D98,0)</f>
        <v>-6.3492063492063489E-2</v>
      </c>
      <c r="G105" s="66">
        <f>IFERROR((Table9[[#This Row],[Calls Ans]]-E98)/E98,0)</f>
        <v>-8.8105726872246704E-3</v>
      </c>
      <c r="H105" s="1">
        <f>H104+Table9[[#This Row],[Calls Off]]</f>
        <v>2196</v>
      </c>
      <c r="I105" s="1">
        <f>I104+Table9[[#This Row],[Calls Ans]]</f>
        <v>2044</v>
      </c>
      <c r="J105" s="1">
        <f>J104+Table9[[#This Row],[Calls Off]]</f>
        <v>16519</v>
      </c>
      <c r="K105" s="1">
        <f>K104+Table9[[#This Row],[Calls Ans]]</f>
        <v>15774</v>
      </c>
      <c r="L105" s="18">
        <v>0.89</v>
      </c>
      <c r="M105" s="18">
        <v>0.05</v>
      </c>
      <c r="N105" s="18">
        <v>0.95</v>
      </c>
      <c r="O105" s="18">
        <v>0.94</v>
      </c>
      <c r="P105" s="23">
        <v>1</v>
      </c>
      <c r="Q105" s="225">
        <v>1.6435185185185183E-3</v>
      </c>
      <c r="R105" s="125">
        <v>3</v>
      </c>
    </row>
    <row r="106" spans="1:22" x14ac:dyDescent="0.35">
      <c r="A106" s="34">
        <v>45121</v>
      </c>
      <c r="B106" s="36" t="s">
        <v>53</v>
      </c>
      <c r="C106" s="36" t="s">
        <v>97</v>
      </c>
      <c r="D106" s="1">
        <v>223</v>
      </c>
      <c r="E106" s="1">
        <v>209</v>
      </c>
      <c r="F106" s="66">
        <f>IFERROR((Table9[[#This Row],[Calls Off]]-D99)/D99,0)</f>
        <v>2.2935779816513763E-2</v>
      </c>
      <c r="G106" s="66">
        <f>IFERROR((Table9[[#This Row],[Calls Ans]]-E99)/E99,0)</f>
        <v>6.0913705583756347E-2</v>
      </c>
      <c r="H106" s="1">
        <f>H105+Table9[[#This Row],[Calls Off]]</f>
        <v>2419</v>
      </c>
      <c r="I106" s="1">
        <f>I105+Table9[[#This Row],[Calls Ans]]</f>
        <v>2253</v>
      </c>
      <c r="J106" s="1">
        <f>J105+Table9[[#This Row],[Calls Off]]</f>
        <v>16742</v>
      </c>
      <c r="K106" s="1">
        <f>K105+Table9[[#This Row],[Calls Ans]]</f>
        <v>15983</v>
      </c>
      <c r="L106" s="18">
        <v>0.81</v>
      </c>
      <c r="M106" s="18">
        <v>0.06</v>
      </c>
      <c r="N106" s="18">
        <v>0.94</v>
      </c>
      <c r="O106" s="18">
        <v>0.56000000000000005</v>
      </c>
      <c r="P106" s="23">
        <v>1</v>
      </c>
      <c r="Q106" s="225">
        <v>9.9537037037037042E-4</v>
      </c>
      <c r="R106" s="125">
        <v>3</v>
      </c>
    </row>
    <row r="107" spans="1:22" x14ac:dyDescent="0.35">
      <c r="A107" s="34">
        <v>45122</v>
      </c>
      <c r="B107" s="36" t="s">
        <v>54</v>
      </c>
      <c r="C107" s="36" t="s">
        <v>97</v>
      </c>
      <c r="D107" s="1">
        <v>127</v>
      </c>
      <c r="E107" s="1">
        <v>124</v>
      </c>
      <c r="F107" s="66">
        <f>IFERROR((Table9[[#This Row],[Calls Off]]-D100)/D100,0)</f>
        <v>-0.42272727272727273</v>
      </c>
      <c r="G107" s="66">
        <f>IFERROR((Table9[[#This Row],[Calls Ans]]-E100)/E100,0)</f>
        <v>-0.32608695652173914</v>
      </c>
      <c r="H107" s="1">
        <f>H106+Table9[[#This Row],[Calls Off]]</f>
        <v>2546</v>
      </c>
      <c r="I107" s="1">
        <f>I106+Table9[[#This Row],[Calls Ans]]</f>
        <v>2377</v>
      </c>
      <c r="J107" s="1">
        <f>J106+Table9[[#This Row],[Calls Off]]</f>
        <v>16869</v>
      </c>
      <c r="K107" s="1">
        <f>K106+Table9[[#This Row],[Calls Ans]]</f>
        <v>16107</v>
      </c>
      <c r="L107" s="18">
        <v>0.89</v>
      </c>
      <c r="M107" s="18">
        <v>0.02</v>
      </c>
      <c r="N107" s="18">
        <v>0.98</v>
      </c>
      <c r="O107" s="18">
        <v>0.55000000000000004</v>
      </c>
      <c r="P107" s="23">
        <v>1</v>
      </c>
      <c r="Q107" s="225">
        <v>1.0069444444444444E-3</v>
      </c>
      <c r="R107" s="125">
        <v>3</v>
      </c>
    </row>
    <row r="108" spans="1:22" x14ac:dyDescent="0.35">
      <c r="A108" s="34">
        <v>45123</v>
      </c>
      <c r="B108" s="36" t="s">
        <v>48</v>
      </c>
      <c r="C108" s="36" t="s">
        <v>97</v>
      </c>
      <c r="D108" s="1">
        <v>0</v>
      </c>
      <c r="E108" s="1">
        <v>0</v>
      </c>
      <c r="F108" s="66">
        <v>0</v>
      </c>
      <c r="G108" s="66">
        <v>0</v>
      </c>
      <c r="H108" s="1">
        <v>0</v>
      </c>
      <c r="I108" s="1">
        <v>0</v>
      </c>
      <c r="J108" s="1">
        <v>0</v>
      </c>
      <c r="K108" s="1">
        <v>0</v>
      </c>
      <c r="L108" s="18">
        <v>0</v>
      </c>
      <c r="M108" s="18">
        <v>0</v>
      </c>
      <c r="N108" s="18">
        <v>0</v>
      </c>
      <c r="O108" s="18">
        <v>0</v>
      </c>
      <c r="P108" s="23">
        <v>0</v>
      </c>
      <c r="Q108" s="225">
        <v>0</v>
      </c>
      <c r="R108" s="125">
        <v>0</v>
      </c>
    </row>
    <row r="109" spans="1:22" x14ac:dyDescent="0.35">
      <c r="A109" s="34">
        <v>45124</v>
      </c>
      <c r="B109" s="36" t="s">
        <v>49</v>
      </c>
      <c r="C109" s="36" t="s">
        <v>97</v>
      </c>
      <c r="D109" s="1">
        <v>273</v>
      </c>
      <c r="E109" s="1">
        <v>263</v>
      </c>
      <c r="F109" s="66">
        <f>IFERROR((Table9[[#This Row],[Calls Off]]-D102)/D102,0)</f>
        <v>0.29383886255924169</v>
      </c>
      <c r="G109" s="66">
        <f>IFERROR((Table9[[#This Row],[Calls Ans]]-E102)/E102,0)</f>
        <v>0.32828282828282829</v>
      </c>
      <c r="H109" s="1">
        <f>H107+Table9[[#This Row],[Calls Off]]</f>
        <v>2819</v>
      </c>
      <c r="I109" s="1">
        <f>I107+Table9[[#This Row],[Calls Ans]]</f>
        <v>2640</v>
      </c>
      <c r="J109" s="1">
        <f>J107+Table9[[#This Row],[Calls Off]]</f>
        <v>17142</v>
      </c>
      <c r="K109" s="1">
        <f>K107+Table9[[#This Row],[Calls Ans]]</f>
        <v>16370</v>
      </c>
      <c r="L109" s="18">
        <v>0.94</v>
      </c>
      <c r="M109" s="18">
        <v>0.04</v>
      </c>
      <c r="N109" s="18">
        <v>0.96</v>
      </c>
      <c r="O109" s="18">
        <v>0.62</v>
      </c>
      <c r="P109" s="23">
        <v>1</v>
      </c>
      <c r="Q109" s="225">
        <v>1.0648148148148147E-3</v>
      </c>
      <c r="R109" s="125">
        <v>4</v>
      </c>
    </row>
    <row r="110" spans="1:22" x14ac:dyDescent="0.35">
      <c r="A110" s="34">
        <v>45125</v>
      </c>
      <c r="B110" s="36"/>
      <c r="C110" s="36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23"/>
      <c r="Q110" s="225"/>
      <c r="R110" s="125"/>
      <c r="T110" t="s">
        <v>63</v>
      </c>
      <c r="U110" s="16">
        <v>44682</v>
      </c>
    </row>
    <row r="111" spans="1:22" x14ac:dyDescent="0.35">
      <c r="A111" s="34">
        <v>45126</v>
      </c>
      <c r="B111" s="36"/>
      <c r="C111" s="36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23"/>
      <c r="Q111" s="225"/>
      <c r="R111" s="125"/>
      <c r="T111" t="s">
        <v>64</v>
      </c>
      <c r="U111" s="16">
        <v>44704</v>
      </c>
    </row>
    <row r="112" spans="1:22" x14ac:dyDescent="0.35">
      <c r="A112" s="34">
        <v>45127</v>
      </c>
      <c r="B112" s="36"/>
      <c r="C112" s="36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23"/>
      <c r="Q112" s="225"/>
      <c r="R112" s="125"/>
    </row>
    <row r="113" spans="1:18" x14ac:dyDescent="0.35">
      <c r="A113" s="34">
        <v>45128</v>
      </c>
      <c r="B113" s="36"/>
      <c r="C113" s="36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23"/>
      <c r="Q113" s="225"/>
      <c r="R113" s="125"/>
    </row>
    <row r="114" spans="1:18" x14ac:dyDescent="0.35">
      <c r="A114" s="34">
        <v>45129</v>
      </c>
      <c r="B114" s="36"/>
      <c r="C114" s="36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23"/>
      <c r="Q114" s="225"/>
      <c r="R114" s="125"/>
    </row>
    <row r="115" spans="1:18" x14ac:dyDescent="0.35">
      <c r="A115" s="34">
        <v>45130</v>
      </c>
      <c r="B115" s="36"/>
      <c r="C115" s="36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23"/>
      <c r="Q115" s="225"/>
      <c r="R115" s="125"/>
    </row>
    <row r="116" spans="1:18" x14ac:dyDescent="0.35">
      <c r="A116" s="34">
        <v>45131</v>
      </c>
      <c r="B116" s="36"/>
      <c r="C116" s="36" t="s">
        <v>97</v>
      </c>
      <c r="D116" s="1"/>
      <c r="E116" s="1"/>
      <c r="F116" s="66"/>
      <c r="G116" s="66"/>
      <c r="H116" s="1"/>
      <c r="I116" s="1"/>
      <c r="J116" s="1"/>
      <c r="K116" s="1"/>
      <c r="L116" s="18"/>
      <c r="M116" s="18"/>
      <c r="N116" s="18"/>
      <c r="O116" s="18"/>
      <c r="P116" s="23"/>
      <c r="Q116" s="225"/>
      <c r="R116" s="125"/>
    </row>
    <row r="117" spans="1:18" x14ac:dyDescent="0.35">
      <c r="A117" s="34">
        <v>45132</v>
      </c>
      <c r="B117" s="36"/>
      <c r="C117" s="36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23"/>
      <c r="Q117" s="225"/>
      <c r="R117" s="125"/>
    </row>
    <row r="118" spans="1:18" x14ac:dyDescent="0.35">
      <c r="A118" s="34">
        <v>45133</v>
      </c>
      <c r="B118" s="36"/>
      <c r="C118" s="36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23"/>
      <c r="Q118" s="225"/>
      <c r="R118" s="125"/>
    </row>
    <row r="119" spans="1:18" x14ac:dyDescent="0.35">
      <c r="A119" s="34">
        <v>45134</v>
      </c>
      <c r="B119" s="36"/>
      <c r="C119" s="36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23"/>
      <c r="Q119" s="225"/>
      <c r="R119" s="125"/>
    </row>
    <row r="120" spans="1:18" x14ac:dyDescent="0.35">
      <c r="A120" s="34">
        <v>45135</v>
      </c>
      <c r="B120" s="36"/>
      <c r="C120" s="36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23"/>
      <c r="Q120" s="225"/>
      <c r="R120" s="125"/>
    </row>
    <row r="121" spans="1:18" x14ac:dyDescent="0.35">
      <c r="A121" s="34">
        <v>45136</v>
      </c>
      <c r="B121" s="36"/>
      <c r="C121" s="36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23"/>
      <c r="Q121" s="225"/>
      <c r="R121" s="125"/>
    </row>
    <row r="122" spans="1:18" x14ac:dyDescent="0.35">
      <c r="A122" s="34">
        <v>45137</v>
      </c>
      <c r="B122" s="36"/>
      <c r="C122" s="36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23"/>
      <c r="Q122" s="225"/>
      <c r="R122" s="125"/>
    </row>
    <row r="123" spans="1:18" x14ac:dyDescent="0.35">
      <c r="A123" s="34">
        <v>45138</v>
      </c>
      <c r="B123" s="36"/>
      <c r="C123" s="36" t="s">
        <v>97</v>
      </c>
      <c r="D123" s="1"/>
      <c r="E123" s="1"/>
      <c r="F123" s="66"/>
      <c r="G123" s="66"/>
      <c r="H123" s="1"/>
      <c r="I123" s="1"/>
      <c r="J123" s="1"/>
      <c r="K123" s="1"/>
      <c r="L123" s="18"/>
      <c r="M123" s="18"/>
      <c r="N123" s="18"/>
      <c r="O123" s="18"/>
      <c r="P123" s="23"/>
      <c r="Q123" s="225"/>
      <c r="R123" s="125"/>
    </row>
    <row r="124" spans="1:18" x14ac:dyDescent="0.35">
      <c r="A124" s="34">
        <v>45139</v>
      </c>
      <c r="B124" s="51"/>
      <c r="C124" s="36" t="s">
        <v>97</v>
      </c>
      <c r="D124" s="1"/>
      <c r="E124" s="1"/>
      <c r="F124" s="66"/>
      <c r="G124" s="66"/>
      <c r="H124" s="1"/>
      <c r="I124" s="1"/>
      <c r="J124" s="1"/>
      <c r="K124" s="1"/>
      <c r="L124" s="18"/>
      <c r="M124" s="18"/>
      <c r="N124" s="18"/>
      <c r="O124" s="18"/>
      <c r="P124" s="23"/>
      <c r="Q124" s="225"/>
      <c r="R124" s="125"/>
    </row>
    <row r="125" spans="1:18" x14ac:dyDescent="0.35">
      <c r="A125" s="34">
        <v>45140</v>
      </c>
      <c r="B125" s="36"/>
      <c r="C125" s="36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23"/>
      <c r="Q125" s="225"/>
      <c r="R125" s="125"/>
    </row>
    <row r="126" spans="1:18" x14ac:dyDescent="0.35">
      <c r="A126" s="34">
        <v>45141</v>
      </c>
      <c r="B126" s="36"/>
      <c r="C126" s="36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23"/>
      <c r="Q126" s="225"/>
      <c r="R126" s="125"/>
    </row>
    <row r="127" spans="1:18" x14ac:dyDescent="0.35">
      <c r="A127" s="34">
        <v>45142</v>
      </c>
      <c r="B127" s="36"/>
      <c r="C127" s="36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23"/>
      <c r="Q127" s="225"/>
      <c r="R127" s="125"/>
    </row>
    <row r="128" spans="1:18" x14ac:dyDescent="0.35">
      <c r="A128" s="34">
        <v>45143</v>
      </c>
      <c r="B128" s="36"/>
      <c r="C128" s="36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23"/>
      <c r="Q128" s="225"/>
      <c r="R128" s="125"/>
    </row>
    <row r="129" spans="1:22" x14ac:dyDescent="0.35">
      <c r="A129" s="34">
        <v>45144</v>
      </c>
      <c r="B129" s="36"/>
      <c r="C129" s="36" t="s">
        <v>97</v>
      </c>
      <c r="D129" s="1"/>
      <c r="E129" s="1"/>
      <c r="F129" s="66"/>
      <c r="G129" s="66"/>
      <c r="H129" s="1"/>
      <c r="I129" s="1"/>
      <c r="J129" s="1"/>
      <c r="K129" s="1"/>
      <c r="L129" s="18"/>
      <c r="M129" s="18"/>
      <c r="N129" s="18"/>
      <c r="O129" s="18"/>
      <c r="P129" s="23"/>
      <c r="Q129" s="225"/>
      <c r="R129" s="125"/>
    </row>
    <row r="130" spans="1:22" x14ac:dyDescent="0.35">
      <c r="A130" s="34">
        <v>45145</v>
      </c>
      <c r="B130" s="36"/>
      <c r="C130" s="36" t="s">
        <v>97</v>
      </c>
      <c r="D130" s="1"/>
      <c r="E130" s="1"/>
      <c r="F130" s="66"/>
      <c r="G130" s="66"/>
      <c r="H130" s="1"/>
      <c r="I130" s="1"/>
      <c r="J130" s="1"/>
      <c r="K130" s="1"/>
      <c r="L130" s="18"/>
      <c r="M130" s="18"/>
      <c r="N130" s="18"/>
      <c r="O130" s="18"/>
      <c r="P130" s="23"/>
      <c r="Q130" s="225"/>
      <c r="R130" s="125"/>
    </row>
    <row r="131" spans="1:22" x14ac:dyDescent="0.35">
      <c r="A131" s="34">
        <v>45146</v>
      </c>
      <c r="B131" s="36"/>
      <c r="C131" s="36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23"/>
      <c r="Q131" s="225"/>
      <c r="R131" s="125"/>
    </row>
    <row r="132" spans="1:22" x14ac:dyDescent="0.35">
      <c r="A132" s="34">
        <v>45147</v>
      </c>
      <c r="B132" s="36"/>
      <c r="C132" s="36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23"/>
      <c r="Q132" s="225"/>
      <c r="R132" s="125"/>
    </row>
    <row r="133" spans="1:22" x14ac:dyDescent="0.35">
      <c r="A133" s="34">
        <v>45148</v>
      </c>
      <c r="B133" s="36"/>
      <c r="C133" s="36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23"/>
      <c r="Q133" s="225"/>
      <c r="R133" s="125"/>
      <c r="U133" s="279" t="s">
        <v>86</v>
      </c>
      <c r="V133" s="279"/>
    </row>
    <row r="134" spans="1:22" x14ac:dyDescent="0.35">
      <c r="A134" s="34">
        <v>45149</v>
      </c>
      <c r="B134" s="36"/>
      <c r="C134" s="36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23"/>
      <c r="Q134" s="225"/>
      <c r="R134" s="125"/>
      <c r="U134" t="s">
        <v>87</v>
      </c>
      <c r="V134" t="s">
        <v>88</v>
      </c>
    </row>
    <row r="135" spans="1:22" x14ac:dyDescent="0.35">
      <c r="A135" s="34">
        <v>45150</v>
      </c>
      <c r="B135" s="36"/>
      <c r="C135" s="36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23"/>
      <c r="Q135" s="225"/>
      <c r="R135" s="125"/>
      <c r="U135" t="s">
        <v>89</v>
      </c>
      <c r="V135" s="164">
        <v>0</v>
      </c>
    </row>
    <row r="136" spans="1:22" x14ac:dyDescent="0.35">
      <c r="A136" s="34">
        <v>45151</v>
      </c>
      <c r="B136" s="36"/>
      <c r="C136" s="36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23"/>
      <c r="Q136" s="225"/>
      <c r="R136" s="125"/>
      <c r="U136" t="s">
        <v>90</v>
      </c>
      <c r="V136" s="164">
        <v>0.10416666666666667</v>
      </c>
    </row>
    <row r="137" spans="1:22" x14ac:dyDescent="0.35">
      <c r="A137" s="34">
        <v>45152</v>
      </c>
      <c r="B137" s="36"/>
      <c r="C137" s="36" t="s">
        <v>97</v>
      </c>
      <c r="D137" s="1"/>
      <c r="E137" s="1"/>
      <c r="F137" s="66"/>
      <c r="G137" s="66"/>
      <c r="H137" s="1"/>
      <c r="I137" s="1"/>
      <c r="J137" s="1"/>
      <c r="K137" s="1"/>
      <c r="L137" s="18"/>
      <c r="M137" s="18"/>
      <c r="N137" s="18"/>
      <c r="O137" s="18"/>
      <c r="P137" s="23"/>
      <c r="Q137" s="225"/>
      <c r="R137" s="125"/>
      <c r="U137" t="s">
        <v>91</v>
      </c>
      <c r="V137" s="164">
        <v>0.10416666666666667</v>
      </c>
    </row>
    <row r="138" spans="1:22" x14ac:dyDescent="0.35">
      <c r="A138" s="34">
        <v>45153</v>
      </c>
      <c r="B138" s="36"/>
      <c r="C138" s="36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23"/>
      <c r="Q138" s="225"/>
      <c r="R138" s="125"/>
      <c r="U138" t="s">
        <v>92</v>
      </c>
      <c r="V138" s="164">
        <v>0.20833333333333334</v>
      </c>
    </row>
    <row r="139" spans="1:22" x14ac:dyDescent="0.35">
      <c r="A139" s="34">
        <v>45154</v>
      </c>
      <c r="B139" s="36"/>
      <c r="C139" s="36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23"/>
      <c r="Q139" s="225"/>
      <c r="R139" s="125"/>
      <c r="U139" t="s">
        <v>88</v>
      </c>
      <c r="V139" s="164" t="e" cm="1">
        <f t="array" ref="V139">AVERAGEIF(chart_ATT_GUY, "&lt;&gt;0")</f>
        <v>#N/A</v>
      </c>
    </row>
    <row r="140" spans="1:22" x14ac:dyDescent="0.35">
      <c r="A140" s="34">
        <v>45155</v>
      </c>
      <c r="B140" s="36"/>
      <c r="C140" s="36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23"/>
      <c r="Q140" s="225"/>
      <c r="R140" s="125"/>
    </row>
    <row r="141" spans="1:22" x14ac:dyDescent="0.35">
      <c r="A141" s="34">
        <v>45156</v>
      </c>
      <c r="B141" s="36"/>
      <c r="C141" s="36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23"/>
      <c r="Q141" s="225"/>
      <c r="R141" s="125"/>
    </row>
    <row r="142" spans="1:22" x14ac:dyDescent="0.35">
      <c r="A142" s="34">
        <v>45157</v>
      </c>
      <c r="B142" s="36"/>
      <c r="C142" s="36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23"/>
      <c r="Q142" s="225"/>
      <c r="R142" s="125"/>
    </row>
    <row r="143" spans="1:22" x14ac:dyDescent="0.35">
      <c r="A143" s="34">
        <v>45158</v>
      </c>
      <c r="B143" s="36"/>
      <c r="C143" s="36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23"/>
      <c r="Q143" s="225"/>
      <c r="R143" s="125"/>
    </row>
    <row r="144" spans="1:22" x14ac:dyDescent="0.35">
      <c r="A144" s="34">
        <v>45159</v>
      </c>
      <c r="B144" s="36"/>
      <c r="C144" s="36" t="s">
        <v>97</v>
      </c>
      <c r="D144" s="1"/>
      <c r="E144" s="1"/>
      <c r="F144" s="66"/>
      <c r="G144" s="66"/>
      <c r="H144" s="1"/>
      <c r="I144" s="1"/>
      <c r="J144" s="1"/>
      <c r="K144" s="1"/>
      <c r="L144" s="18"/>
      <c r="M144" s="18"/>
      <c r="N144" s="18"/>
      <c r="O144" s="18"/>
      <c r="P144" s="23"/>
      <c r="Q144" s="225"/>
      <c r="R144" s="125"/>
    </row>
    <row r="145" spans="1:19" x14ac:dyDescent="0.35">
      <c r="A145" s="34">
        <v>45160</v>
      </c>
      <c r="B145" s="36"/>
      <c r="C145" s="36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23"/>
      <c r="Q145" s="225"/>
      <c r="R145" s="125"/>
    </row>
    <row r="146" spans="1:19" x14ac:dyDescent="0.35">
      <c r="A146" s="34">
        <v>45161</v>
      </c>
      <c r="B146" s="36"/>
      <c r="C146" s="36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23"/>
      <c r="Q146" s="225"/>
      <c r="R146" s="125"/>
    </row>
    <row r="147" spans="1:19" x14ac:dyDescent="0.35">
      <c r="A147" s="34">
        <v>45162</v>
      </c>
      <c r="B147" s="36"/>
      <c r="C147" s="36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23"/>
      <c r="Q147" s="225"/>
      <c r="R147" s="125"/>
    </row>
    <row r="148" spans="1:19" x14ac:dyDescent="0.35">
      <c r="A148" s="34">
        <v>45163</v>
      </c>
      <c r="B148" s="36"/>
      <c r="C148" s="36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23"/>
      <c r="Q148" s="225"/>
      <c r="R148" s="125"/>
    </row>
    <row r="149" spans="1:19" x14ac:dyDescent="0.35">
      <c r="A149" s="34">
        <v>45164</v>
      </c>
      <c r="B149" s="36"/>
      <c r="C149" s="36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23"/>
      <c r="Q149" s="225"/>
      <c r="R149" s="125"/>
    </row>
    <row r="150" spans="1:19" x14ac:dyDescent="0.35">
      <c r="A150" s="34">
        <v>45165</v>
      </c>
      <c r="B150" s="36"/>
      <c r="C150" s="36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23"/>
      <c r="Q150" s="225"/>
      <c r="R150" s="125"/>
    </row>
    <row r="151" spans="1:19" x14ac:dyDescent="0.35">
      <c r="A151" s="34">
        <v>45166</v>
      </c>
      <c r="B151" s="36"/>
      <c r="C151" s="36" t="s">
        <v>97</v>
      </c>
      <c r="D151" s="1"/>
      <c r="E151" s="1"/>
      <c r="F151" s="66"/>
      <c r="G151" s="66"/>
      <c r="H151" s="1"/>
      <c r="I151" s="1"/>
      <c r="J151" s="1"/>
      <c r="K151" s="1"/>
      <c r="L151" s="18"/>
      <c r="M151" s="18"/>
      <c r="N151" s="18"/>
      <c r="O151" s="18"/>
      <c r="P151" s="23"/>
      <c r="Q151" s="225"/>
      <c r="R151" s="125"/>
    </row>
    <row r="152" spans="1:19" x14ac:dyDescent="0.35">
      <c r="A152" s="34">
        <v>45167</v>
      </c>
      <c r="B152" s="36"/>
      <c r="C152" s="36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23"/>
      <c r="Q152" s="225"/>
      <c r="R152" s="125"/>
      <c r="S152" s="21"/>
    </row>
    <row r="153" spans="1:19" x14ac:dyDescent="0.35">
      <c r="A153" s="34">
        <v>45168</v>
      </c>
      <c r="B153" s="36"/>
      <c r="C153" s="36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23"/>
      <c r="Q153" s="225"/>
      <c r="R153" s="125"/>
      <c r="S153" s="21"/>
    </row>
    <row r="154" spans="1:19" x14ac:dyDescent="0.35">
      <c r="A154" s="34">
        <v>45169</v>
      </c>
      <c r="B154" s="36"/>
      <c r="C154" s="36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23"/>
      <c r="Q154" s="225"/>
      <c r="R154" s="125"/>
      <c r="S154" s="21"/>
    </row>
    <row r="155" spans="1:19" x14ac:dyDescent="0.35">
      <c r="A155" s="34">
        <v>45170</v>
      </c>
      <c r="B155" s="36"/>
      <c r="C155" s="36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23"/>
      <c r="Q155" s="225"/>
      <c r="R155" s="125"/>
      <c r="S155" s="21"/>
    </row>
    <row r="156" spans="1:19" x14ac:dyDescent="0.35">
      <c r="A156" s="34">
        <v>45171</v>
      </c>
      <c r="B156" s="36"/>
      <c r="C156" s="36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23"/>
      <c r="Q156" s="225"/>
      <c r="R156" s="125"/>
      <c r="S156" s="21"/>
    </row>
    <row r="157" spans="1:19" x14ac:dyDescent="0.35">
      <c r="A157" s="34">
        <v>45172</v>
      </c>
      <c r="B157" s="36"/>
      <c r="C157" s="36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23"/>
      <c r="Q157" s="225"/>
      <c r="R157" s="125"/>
      <c r="S157" s="21"/>
    </row>
    <row r="158" spans="1:19" x14ac:dyDescent="0.35">
      <c r="A158" s="34">
        <v>45173</v>
      </c>
      <c r="B158" s="36"/>
      <c r="C158" s="36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23"/>
      <c r="Q158" s="225"/>
      <c r="R158" s="125"/>
      <c r="S158" s="21"/>
    </row>
    <row r="159" spans="1:19" x14ac:dyDescent="0.35">
      <c r="A159" s="34">
        <v>45174</v>
      </c>
      <c r="B159" s="36"/>
      <c r="C159" s="36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23"/>
      <c r="Q159" s="225"/>
      <c r="R159" s="125"/>
      <c r="S159" s="21"/>
    </row>
    <row r="160" spans="1:19" x14ac:dyDescent="0.35">
      <c r="A160" s="34">
        <v>45175</v>
      </c>
      <c r="B160" s="36"/>
      <c r="C160" s="36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23"/>
      <c r="Q160" s="225"/>
      <c r="R160" s="125"/>
      <c r="S160" s="21"/>
    </row>
    <row r="161" spans="1:21" x14ac:dyDescent="0.35">
      <c r="A161" s="34">
        <v>45176</v>
      </c>
      <c r="B161" s="36"/>
      <c r="C161" s="36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23"/>
      <c r="Q161" s="225"/>
      <c r="R161" s="125"/>
      <c r="S161" s="21"/>
    </row>
    <row r="162" spans="1:21" x14ac:dyDescent="0.35">
      <c r="A162" s="34">
        <v>45177</v>
      </c>
      <c r="B162" s="36"/>
      <c r="C162" s="36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23"/>
      <c r="Q162" s="225"/>
      <c r="R162" s="125"/>
      <c r="S162" s="21"/>
    </row>
    <row r="163" spans="1:21" x14ac:dyDescent="0.35">
      <c r="A163" s="34">
        <v>45178</v>
      </c>
      <c r="B163" s="36"/>
      <c r="C163" s="36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23"/>
      <c r="Q163" s="225"/>
      <c r="R163" s="125"/>
      <c r="S163" s="21"/>
    </row>
    <row r="164" spans="1:21" x14ac:dyDescent="0.35">
      <c r="A164" s="34">
        <v>45179</v>
      </c>
      <c r="B164" s="36"/>
      <c r="C164" s="36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23"/>
      <c r="Q164" s="225"/>
      <c r="R164" s="125"/>
      <c r="S164" s="21"/>
    </row>
    <row r="165" spans="1:21" x14ac:dyDescent="0.35">
      <c r="A165" s="34">
        <v>45180</v>
      </c>
      <c r="B165" s="36"/>
      <c r="C165" s="36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23"/>
      <c r="Q165" s="225"/>
      <c r="R165" s="125"/>
      <c r="S165" s="21"/>
    </row>
    <row r="166" spans="1:21" x14ac:dyDescent="0.35">
      <c r="A166" s="34">
        <v>45181</v>
      </c>
      <c r="B166" s="36"/>
      <c r="C166" s="36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23"/>
      <c r="Q166" s="225"/>
      <c r="R166" s="125"/>
      <c r="S166" s="21"/>
    </row>
    <row r="167" spans="1:21" x14ac:dyDescent="0.35">
      <c r="A167" s="34">
        <v>45182</v>
      </c>
      <c r="B167" s="36"/>
      <c r="C167" s="36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23"/>
      <c r="Q167" s="225"/>
      <c r="R167" s="125"/>
      <c r="S167" s="21"/>
      <c r="U167">
        <f>AVERAGEIF(L2:L31,"&lt;&gt;0")</f>
        <v>0.90086956521739125</v>
      </c>
    </row>
    <row r="168" spans="1:21" x14ac:dyDescent="0.35">
      <c r="A168" s="34">
        <v>45183</v>
      </c>
      <c r="B168" s="36"/>
      <c r="C168" s="36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23"/>
      <c r="Q168" s="225"/>
      <c r="R168" s="125"/>
      <c r="S168" s="21"/>
    </row>
    <row r="169" spans="1:21" x14ac:dyDescent="0.35">
      <c r="A169" s="34">
        <v>45184</v>
      </c>
      <c r="B169" s="36"/>
      <c r="C169" s="36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23"/>
      <c r="Q169" s="225"/>
      <c r="R169" s="125"/>
      <c r="S169" s="21"/>
    </row>
    <row r="170" spans="1:21" x14ac:dyDescent="0.35">
      <c r="A170" s="34">
        <v>45185</v>
      </c>
      <c r="B170" s="36"/>
      <c r="C170" s="36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23"/>
      <c r="Q170" s="225"/>
      <c r="R170" s="125"/>
      <c r="S170" s="21"/>
    </row>
    <row r="171" spans="1:21" x14ac:dyDescent="0.35">
      <c r="A171" s="34">
        <v>45186</v>
      </c>
      <c r="B171" s="36"/>
      <c r="C171" s="36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23"/>
      <c r="Q171" s="225"/>
      <c r="R171" s="125"/>
      <c r="S171" s="21"/>
    </row>
    <row r="172" spans="1:21" x14ac:dyDescent="0.35">
      <c r="A172" s="34">
        <v>45187</v>
      </c>
      <c r="B172" s="36"/>
      <c r="C172" s="36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23"/>
      <c r="Q172" s="225"/>
      <c r="R172" s="125"/>
      <c r="S172" s="21"/>
    </row>
    <row r="173" spans="1:21" x14ac:dyDescent="0.35">
      <c r="A173" s="34">
        <v>45188</v>
      </c>
      <c r="B173" s="36"/>
      <c r="C173" s="36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23"/>
      <c r="Q173" s="225"/>
      <c r="R173" s="125"/>
      <c r="S173" s="21"/>
    </row>
    <row r="174" spans="1:21" x14ac:dyDescent="0.35">
      <c r="A174" s="34">
        <v>45189</v>
      </c>
      <c r="B174" s="36"/>
      <c r="C174" s="36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23"/>
      <c r="Q174" s="225"/>
      <c r="R174" s="125"/>
      <c r="S174" s="21"/>
    </row>
    <row r="175" spans="1:21" x14ac:dyDescent="0.35">
      <c r="A175" s="34">
        <v>45190</v>
      </c>
      <c r="B175" s="36"/>
      <c r="C175" s="36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23"/>
      <c r="Q175" s="225"/>
      <c r="R175" s="125"/>
      <c r="S175" s="21"/>
    </row>
    <row r="176" spans="1:21" x14ac:dyDescent="0.35">
      <c r="A176" s="34">
        <v>45191</v>
      </c>
      <c r="B176" s="36"/>
      <c r="C176" s="36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23"/>
      <c r="Q176" s="225"/>
      <c r="R176" s="125"/>
      <c r="S176" s="21"/>
    </row>
    <row r="177" spans="1:19" x14ac:dyDescent="0.35">
      <c r="A177" s="34">
        <v>45192</v>
      </c>
      <c r="B177" s="36"/>
      <c r="C177" s="36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23"/>
      <c r="Q177" s="225"/>
      <c r="R177" s="125"/>
      <c r="S177" s="21"/>
    </row>
    <row r="178" spans="1:19" x14ac:dyDescent="0.35">
      <c r="A178" s="34">
        <v>45193</v>
      </c>
      <c r="B178" s="36"/>
      <c r="C178" s="36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23"/>
      <c r="Q178" s="225"/>
      <c r="R178" s="125"/>
      <c r="S178" s="21"/>
    </row>
    <row r="179" spans="1:19" x14ac:dyDescent="0.35">
      <c r="A179" s="34">
        <v>45194</v>
      </c>
      <c r="B179" s="36"/>
      <c r="C179" s="36" t="s">
        <v>97</v>
      </c>
      <c r="D179" s="1"/>
      <c r="E179" s="1"/>
      <c r="F179" s="66"/>
      <c r="G179" s="66"/>
      <c r="H179" s="1"/>
      <c r="I179" s="1"/>
      <c r="J179" s="1"/>
      <c r="K179" s="1"/>
      <c r="L179" s="18"/>
      <c r="M179" s="18"/>
      <c r="N179" s="18"/>
      <c r="O179" s="18"/>
      <c r="P179" s="23"/>
      <c r="Q179" s="225"/>
      <c r="R179" s="125"/>
      <c r="S179" s="21"/>
    </row>
    <row r="180" spans="1:19" x14ac:dyDescent="0.35">
      <c r="A180" s="34">
        <v>45195</v>
      </c>
      <c r="B180" s="36"/>
      <c r="C180" s="36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23"/>
      <c r="Q180" s="225"/>
      <c r="R180" s="125"/>
      <c r="S180" s="21"/>
    </row>
    <row r="181" spans="1:19" x14ac:dyDescent="0.35">
      <c r="A181" s="34">
        <v>45196</v>
      </c>
      <c r="B181" s="36"/>
      <c r="C181" s="36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23"/>
      <c r="Q181" s="225"/>
      <c r="R181" s="125"/>
      <c r="S181" s="21"/>
    </row>
    <row r="182" spans="1:19" x14ac:dyDescent="0.35">
      <c r="A182" s="34">
        <v>45197</v>
      </c>
      <c r="B182" s="36"/>
      <c r="C182" s="36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23"/>
      <c r="Q182" s="225"/>
      <c r="R182" s="125"/>
      <c r="S182" s="21"/>
    </row>
    <row r="183" spans="1:19" x14ac:dyDescent="0.35">
      <c r="A183" s="34">
        <v>45198</v>
      </c>
      <c r="B183" s="36"/>
      <c r="C183" s="36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23"/>
      <c r="Q183" s="225"/>
      <c r="R183" s="125"/>
      <c r="S183" s="21"/>
    </row>
    <row r="184" spans="1:19" x14ac:dyDescent="0.35">
      <c r="A184" s="34">
        <v>45199</v>
      </c>
      <c r="B184" s="36"/>
      <c r="C184" s="36" t="s">
        <v>97</v>
      </c>
      <c r="D184" s="1"/>
      <c r="E184" s="1"/>
      <c r="F184" s="66"/>
      <c r="G184" s="66"/>
      <c r="H184" s="1"/>
      <c r="I184" s="1"/>
      <c r="J184" s="1"/>
      <c r="K184" s="1"/>
      <c r="L184" s="18"/>
      <c r="M184" s="18"/>
      <c r="N184" s="18"/>
      <c r="O184" s="18"/>
      <c r="P184" s="23"/>
      <c r="Q184" s="225"/>
      <c r="R184" s="125"/>
      <c r="S184" s="21"/>
    </row>
    <row r="185" spans="1:19" x14ac:dyDescent="0.35">
      <c r="A185" s="34">
        <v>45200</v>
      </c>
      <c r="B185" s="36"/>
      <c r="C185" s="36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23"/>
      <c r="Q185" s="225"/>
      <c r="R185" s="125"/>
      <c r="S185" s="21"/>
    </row>
    <row r="186" spans="1:19" x14ac:dyDescent="0.35">
      <c r="A186" s="34">
        <v>45201</v>
      </c>
      <c r="B186" s="36"/>
      <c r="C186" s="36" t="s">
        <v>97</v>
      </c>
      <c r="D186" s="1"/>
      <c r="E186" s="1"/>
      <c r="F186" s="66"/>
      <c r="G186" s="66"/>
      <c r="H186" s="1"/>
      <c r="I186" s="1"/>
      <c r="J186" s="1"/>
      <c r="K186" s="1"/>
      <c r="L186" s="18"/>
      <c r="M186" s="18"/>
      <c r="N186" s="18"/>
      <c r="O186" s="18"/>
      <c r="P186" s="23"/>
      <c r="Q186" s="225"/>
      <c r="R186" s="125"/>
      <c r="S186" s="21"/>
    </row>
    <row r="187" spans="1:19" x14ac:dyDescent="0.35">
      <c r="A187" s="34">
        <v>45202</v>
      </c>
      <c r="B187" s="36"/>
      <c r="C187" s="36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23"/>
      <c r="Q187" s="225"/>
      <c r="R187" s="125"/>
      <c r="S187" s="21"/>
    </row>
    <row r="188" spans="1:19" x14ac:dyDescent="0.35">
      <c r="A188" s="34">
        <v>45203</v>
      </c>
      <c r="B188" s="36"/>
      <c r="C188" s="36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23"/>
      <c r="Q188" s="225"/>
      <c r="R188" s="125"/>
      <c r="S188" s="21"/>
    </row>
    <row r="189" spans="1:19" x14ac:dyDescent="0.35">
      <c r="A189" s="34">
        <v>45204</v>
      </c>
      <c r="B189" s="36"/>
      <c r="C189" s="36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23"/>
      <c r="Q189" s="225"/>
      <c r="R189" s="125"/>
      <c r="S189" s="21"/>
    </row>
    <row r="190" spans="1:19" x14ac:dyDescent="0.35">
      <c r="A190" s="34">
        <v>45205</v>
      </c>
      <c r="B190" s="36"/>
      <c r="C190" s="36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23"/>
      <c r="Q190" s="225"/>
      <c r="R190" s="125"/>
      <c r="S190" s="21"/>
    </row>
    <row r="191" spans="1:19" x14ac:dyDescent="0.35">
      <c r="A191" s="34">
        <v>45206</v>
      </c>
      <c r="B191" s="36"/>
      <c r="C191" s="36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23"/>
      <c r="Q191" s="225"/>
      <c r="R191" s="125"/>
      <c r="S191" s="21"/>
    </row>
    <row r="192" spans="1:19" x14ac:dyDescent="0.35">
      <c r="A192" s="34">
        <v>45207</v>
      </c>
      <c r="B192" s="36"/>
      <c r="C192" s="36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23"/>
      <c r="Q192" s="225"/>
      <c r="R192" s="125"/>
      <c r="S192" s="21"/>
    </row>
    <row r="193" spans="1:19" x14ac:dyDescent="0.35">
      <c r="A193" s="34">
        <v>45208</v>
      </c>
      <c r="B193" s="36"/>
      <c r="C193" s="36" t="s">
        <v>97</v>
      </c>
      <c r="D193" s="1"/>
      <c r="E193" s="1"/>
      <c r="F193" s="66"/>
      <c r="G193" s="66"/>
      <c r="H193" s="1"/>
      <c r="I193" s="1"/>
      <c r="J193" s="1"/>
      <c r="K193" s="1"/>
      <c r="L193" s="18"/>
      <c r="M193" s="18"/>
      <c r="N193" s="18"/>
      <c r="O193" s="18"/>
      <c r="P193" s="23"/>
      <c r="Q193" s="225"/>
      <c r="R193" s="125"/>
      <c r="S193" s="21"/>
    </row>
    <row r="194" spans="1:19" x14ac:dyDescent="0.35">
      <c r="A194" s="34">
        <v>45209</v>
      </c>
      <c r="B194" s="36"/>
      <c r="C194" s="36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23"/>
      <c r="Q194" s="225"/>
      <c r="R194" s="125"/>
      <c r="S194" s="21"/>
    </row>
    <row r="195" spans="1:19" x14ac:dyDescent="0.35">
      <c r="A195" s="34">
        <v>45210</v>
      </c>
      <c r="B195" s="36"/>
      <c r="C195" s="36" t="s">
        <v>97</v>
      </c>
      <c r="D195" s="1"/>
      <c r="E195" s="1"/>
      <c r="F195" s="66"/>
      <c r="G195" s="66"/>
      <c r="H195" s="1"/>
      <c r="I195" s="1"/>
      <c r="J195" s="1"/>
      <c r="K195" s="1"/>
      <c r="L195" s="18"/>
      <c r="M195" s="18"/>
      <c r="N195" s="18"/>
      <c r="O195" s="18"/>
      <c r="P195" s="23"/>
      <c r="Q195" s="225"/>
      <c r="R195" s="125"/>
      <c r="S195" s="21"/>
    </row>
    <row r="196" spans="1:19" x14ac:dyDescent="0.35">
      <c r="A196" s="34">
        <v>45211</v>
      </c>
      <c r="B196" s="36"/>
      <c r="C196" s="36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23"/>
      <c r="Q196" s="225"/>
      <c r="R196" s="125"/>
      <c r="S196" s="21"/>
    </row>
    <row r="197" spans="1:19" x14ac:dyDescent="0.35">
      <c r="A197" s="34">
        <v>45212</v>
      </c>
      <c r="B197" s="36"/>
      <c r="C197" s="36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23"/>
      <c r="Q197" s="225"/>
      <c r="R197" s="125"/>
      <c r="S197" s="21"/>
    </row>
    <row r="198" spans="1:19" x14ac:dyDescent="0.35">
      <c r="A198" s="34">
        <v>45213</v>
      </c>
      <c r="B198" s="36"/>
      <c r="C198" s="36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23"/>
      <c r="Q198" s="225"/>
      <c r="R198" s="125"/>
      <c r="S198" s="21"/>
    </row>
    <row r="199" spans="1:19" x14ac:dyDescent="0.35">
      <c r="A199" s="34">
        <v>45214</v>
      </c>
      <c r="B199" s="36"/>
      <c r="C199" s="36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23"/>
      <c r="Q199" s="225"/>
      <c r="R199" s="125"/>
      <c r="S199" s="21"/>
    </row>
    <row r="200" spans="1:19" x14ac:dyDescent="0.35">
      <c r="A200" s="34">
        <v>45215</v>
      </c>
      <c r="B200" s="36"/>
      <c r="C200" s="36" t="s">
        <v>97</v>
      </c>
      <c r="D200" s="1"/>
      <c r="E200" s="1"/>
      <c r="F200" s="66"/>
      <c r="G200" s="66"/>
      <c r="H200" s="1"/>
      <c r="I200" s="1"/>
      <c r="J200" s="1"/>
      <c r="K200" s="1"/>
      <c r="L200" s="18"/>
      <c r="M200" s="18"/>
      <c r="N200" s="18"/>
      <c r="O200" s="18"/>
      <c r="P200" s="23"/>
      <c r="Q200" s="225"/>
      <c r="R200" s="125"/>
      <c r="S200" s="21"/>
    </row>
    <row r="201" spans="1:19" x14ac:dyDescent="0.35">
      <c r="A201" s="34">
        <v>45216</v>
      </c>
      <c r="B201" s="36"/>
      <c r="C201" s="36" t="s">
        <v>97</v>
      </c>
      <c r="D201" s="1"/>
      <c r="E201" s="1"/>
      <c r="F201" s="66"/>
      <c r="G201" s="66"/>
      <c r="H201" s="1"/>
      <c r="I201" s="1"/>
      <c r="J201" s="1"/>
      <c r="K201" s="1"/>
      <c r="L201" s="18"/>
      <c r="M201" s="18"/>
      <c r="N201" s="18"/>
      <c r="O201" s="18"/>
      <c r="P201" s="23"/>
      <c r="Q201" s="225"/>
      <c r="R201" s="125"/>
      <c r="S201" s="21"/>
    </row>
    <row r="202" spans="1:19" x14ac:dyDescent="0.35">
      <c r="A202" s="34">
        <v>45217</v>
      </c>
      <c r="B202" s="36"/>
      <c r="C202" s="36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23"/>
      <c r="Q202" s="225"/>
      <c r="R202" s="125"/>
      <c r="S202" s="21"/>
    </row>
    <row r="203" spans="1:19" x14ac:dyDescent="0.35">
      <c r="A203" s="34">
        <v>45218</v>
      </c>
      <c r="B203" s="36"/>
      <c r="C203" s="36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23"/>
      <c r="Q203" s="225"/>
      <c r="R203" s="125"/>
      <c r="S203" s="21"/>
    </row>
    <row r="204" spans="1:19" x14ac:dyDescent="0.35">
      <c r="A204" s="34">
        <v>45219</v>
      </c>
      <c r="B204" s="36"/>
      <c r="C204" s="36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23"/>
      <c r="Q204" s="225"/>
      <c r="R204" s="125"/>
      <c r="S204" s="21"/>
    </row>
    <row r="205" spans="1:19" x14ac:dyDescent="0.35">
      <c r="A205" s="34">
        <v>45220</v>
      </c>
      <c r="B205" s="36"/>
      <c r="C205" s="36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23"/>
      <c r="Q205" s="225"/>
      <c r="R205" s="125"/>
      <c r="S205" s="21"/>
    </row>
    <row r="206" spans="1:19" x14ac:dyDescent="0.35">
      <c r="A206" s="34">
        <v>45221</v>
      </c>
      <c r="B206" s="36"/>
      <c r="C206" s="36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23"/>
      <c r="Q206" s="225"/>
      <c r="R206" s="125"/>
      <c r="S206" s="21"/>
    </row>
    <row r="207" spans="1:19" x14ac:dyDescent="0.35">
      <c r="A207" s="34">
        <v>45222</v>
      </c>
      <c r="B207" s="36"/>
      <c r="C207" s="36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23"/>
      <c r="Q207" s="225"/>
      <c r="R207" s="125"/>
      <c r="S207" s="21"/>
    </row>
    <row r="208" spans="1:19" x14ac:dyDescent="0.35">
      <c r="A208" s="34">
        <v>45223</v>
      </c>
      <c r="B208" s="36"/>
      <c r="C208" s="36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23"/>
      <c r="Q208" s="225"/>
      <c r="R208" s="125"/>
      <c r="S208" s="21"/>
    </row>
    <row r="209" spans="1:22" x14ac:dyDescent="0.35">
      <c r="A209" s="34">
        <v>45224</v>
      </c>
      <c r="B209" s="36"/>
      <c r="C209" s="36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23"/>
      <c r="Q209" s="225"/>
      <c r="R209" s="125"/>
      <c r="S209" s="21"/>
    </row>
    <row r="210" spans="1:22" x14ac:dyDescent="0.35">
      <c r="A210" s="34">
        <v>45225</v>
      </c>
      <c r="B210" s="36"/>
      <c r="C210" s="36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23"/>
      <c r="Q210" s="225"/>
      <c r="R210" s="125"/>
      <c r="S210" s="21"/>
    </row>
    <row r="211" spans="1:22" x14ac:dyDescent="0.35">
      <c r="A211" s="34">
        <v>45226</v>
      </c>
      <c r="B211" s="36"/>
      <c r="C211" s="36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23"/>
      <c r="Q211" s="225"/>
      <c r="R211" s="125"/>
      <c r="S211" s="21"/>
    </row>
    <row r="212" spans="1:22" x14ac:dyDescent="0.35">
      <c r="A212" s="34">
        <v>45227</v>
      </c>
      <c r="B212" s="36"/>
      <c r="C212" s="36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23"/>
      <c r="Q212" s="225"/>
      <c r="R212" s="125"/>
      <c r="S212" s="21"/>
    </row>
    <row r="213" spans="1:22" x14ac:dyDescent="0.35">
      <c r="A213" s="34">
        <v>45228</v>
      </c>
      <c r="B213" s="36"/>
      <c r="C213" s="36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23"/>
      <c r="Q213" s="225"/>
      <c r="R213" s="125"/>
      <c r="S213" s="21"/>
    </row>
    <row r="214" spans="1:22" x14ac:dyDescent="0.35">
      <c r="A214" s="34">
        <v>45229</v>
      </c>
      <c r="B214" s="36"/>
      <c r="C214" s="36" t="s">
        <v>97</v>
      </c>
      <c r="D214" s="1"/>
      <c r="E214" s="1"/>
      <c r="F214" s="66"/>
      <c r="G214" s="66"/>
      <c r="H214" s="1"/>
      <c r="I214" s="1"/>
      <c r="J214" s="1"/>
      <c r="K214" s="1"/>
      <c r="L214" s="18"/>
      <c r="M214" s="18"/>
      <c r="N214" s="18"/>
      <c r="O214" s="18"/>
      <c r="P214" s="23"/>
      <c r="Q214" s="225"/>
      <c r="R214" s="125"/>
      <c r="S214" s="21"/>
    </row>
    <row r="215" spans="1:22" s="50" customFormat="1" x14ac:dyDescent="0.35">
      <c r="A215" s="34">
        <v>45230</v>
      </c>
      <c r="B215" s="51"/>
      <c r="C215" s="36" t="s">
        <v>97</v>
      </c>
      <c r="D215" s="1"/>
      <c r="E215" s="1"/>
      <c r="F215" s="66"/>
      <c r="G215" s="66"/>
      <c r="H215" s="1"/>
      <c r="I215" s="1"/>
      <c r="J215" s="1"/>
      <c r="K215" s="1"/>
      <c r="L215" s="18"/>
      <c r="M215" s="18"/>
      <c r="N215" s="18"/>
      <c r="O215" s="18"/>
      <c r="P215" s="23"/>
      <c r="Q215" s="225"/>
      <c r="R215" s="125"/>
      <c r="S215" s="161"/>
      <c r="T215"/>
      <c r="U215"/>
      <c r="V215"/>
    </row>
    <row r="216" spans="1:22" x14ac:dyDescent="0.35">
      <c r="A216" s="34">
        <v>45231</v>
      </c>
      <c r="B216" s="36"/>
      <c r="C216" s="36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23"/>
      <c r="Q216" s="225"/>
      <c r="R216" s="125"/>
      <c r="S216" s="21"/>
    </row>
    <row r="217" spans="1:22" x14ac:dyDescent="0.35">
      <c r="A217" s="34">
        <v>45232</v>
      </c>
      <c r="B217" s="36"/>
      <c r="C217" s="36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23"/>
      <c r="Q217" s="225"/>
      <c r="R217" s="125"/>
      <c r="S217" s="21"/>
    </row>
    <row r="218" spans="1:22" x14ac:dyDescent="0.35">
      <c r="A218" s="34">
        <v>45233</v>
      </c>
      <c r="B218" s="36"/>
      <c r="C218" s="36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23"/>
      <c r="Q218" s="225"/>
      <c r="R218" s="125"/>
      <c r="S218" s="21"/>
    </row>
    <row r="219" spans="1:22" x14ac:dyDescent="0.35">
      <c r="A219" s="34">
        <v>45234</v>
      </c>
      <c r="B219" s="36"/>
      <c r="C219" s="36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23"/>
      <c r="Q219" s="225"/>
      <c r="R219" s="125"/>
      <c r="S219" s="21"/>
    </row>
    <row r="220" spans="1:22" x14ac:dyDescent="0.35">
      <c r="A220" s="34">
        <v>45235</v>
      </c>
      <c r="B220" s="36"/>
      <c r="C220" s="36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23"/>
      <c r="Q220" s="225"/>
      <c r="R220" s="125"/>
      <c r="S220" s="21"/>
    </row>
    <row r="221" spans="1:22" x14ac:dyDescent="0.35">
      <c r="A221" s="34">
        <v>45236</v>
      </c>
      <c r="B221" s="36"/>
      <c r="C221" s="36" t="s">
        <v>97</v>
      </c>
      <c r="D221" s="1"/>
      <c r="E221" s="1"/>
      <c r="F221" s="66"/>
      <c r="G221" s="66"/>
      <c r="H221" s="1"/>
      <c r="I221" s="1"/>
      <c r="J221" s="1"/>
      <c r="K221" s="1"/>
      <c r="L221" s="18"/>
      <c r="M221" s="18"/>
      <c r="N221" s="18"/>
      <c r="O221" s="18"/>
      <c r="P221" s="23"/>
      <c r="Q221" s="225"/>
      <c r="R221" s="125"/>
      <c r="S221" s="21"/>
    </row>
    <row r="222" spans="1:22" x14ac:dyDescent="0.35">
      <c r="A222" s="34">
        <v>45237</v>
      </c>
      <c r="B222" s="36"/>
      <c r="C222" s="36" t="s">
        <v>97</v>
      </c>
      <c r="D222" s="1"/>
      <c r="E222" s="1"/>
      <c r="F222" s="66"/>
      <c r="G222" s="66"/>
      <c r="H222" s="1"/>
      <c r="I222" s="1"/>
      <c r="J222" s="1"/>
      <c r="K222" s="1"/>
      <c r="L222" s="18"/>
      <c r="M222" s="18"/>
      <c r="N222" s="18"/>
      <c r="O222" s="18"/>
      <c r="P222" s="23"/>
      <c r="Q222" s="225"/>
      <c r="R222" s="125"/>
      <c r="S222" s="21"/>
    </row>
    <row r="223" spans="1:22" x14ac:dyDescent="0.35">
      <c r="A223" s="34">
        <v>45238</v>
      </c>
      <c r="B223" s="36"/>
      <c r="C223" s="36" t="s">
        <v>97</v>
      </c>
      <c r="D223" s="1"/>
      <c r="E223" s="1"/>
      <c r="F223" s="66"/>
      <c r="G223" s="66"/>
      <c r="H223" s="1"/>
      <c r="I223" s="1"/>
      <c r="J223" s="1"/>
      <c r="K223" s="1"/>
      <c r="L223" s="18"/>
      <c r="M223" s="18"/>
      <c r="N223" s="18"/>
      <c r="O223" s="18"/>
      <c r="P223" s="23"/>
      <c r="Q223" s="225"/>
      <c r="R223" s="125"/>
      <c r="S223" s="21"/>
    </row>
    <row r="224" spans="1:22" x14ac:dyDescent="0.35">
      <c r="A224" s="34">
        <v>45239</v>
      </c>
      <c r="B224" s="36"/>
      <c r="C224" s="36" t="s">
        <v>97</v>
      </c>
      <c r="D224" s="1"/>
      <c r="E224" s="1"/>
      <c r="F224" s="66"/>
      <c r="G224" s="66"/>
      <c r="H224" s="1"/>
      <c r="I224" s="1"/>
      <c r="J224" s="1"/>
      <c r="K224" s="1"/>
      <c r="L224" s="18"/>
      <c r="M224" s="18"/>
      <c r="N224" s="18"/>
      <c r="O224" s="18"/>
      <c r="P224" s="23"/>
      <c r="Q224" s="225"/>
      <c r="R224" s="125"/>
      <c r="S224" s="21"/>
    </row>
    <row r="225" spans="1:22" x14ac:dyDescent="0.35">
      <c r="A225" s="34">
        <v>45240</v>
      </c>
      <c r="B225" s="36"/>
      <c r="C225" s="36" t="s">
        <v>97</v>
      </c>
      <c r="D225" s="1"/>
      <c r="E225" s="1"/>
      <c r="F225" s="66"/>
      <c r="G225" s="66"/>
      <c r="H225" s="1"/>
      <c r="I225" s="1"/>
      <c r="J225" s="1"/>
      <c r="K225" s="1"/>
      <c r="L225" s="18"/>
      <c r="M225" s="18"/>
      <c r="N225" s="18"/>
      <c r="O225" s="18"/>
      <c r="P225" s="23"/>
      <c r="Q225" s="225"/>
      <c r="R225" s="125"/>
      <c r="S225" s="21"/>
    </row>
    <row r="226" spans="1:22" x14ac:dyDescent="0.35">
      <c r="A226" s="34">
        <v>45241</v>
      </c>
      <c r="B226" s="36"/>
      <c r="C226" s="36" t="s">
        <v>97</v>
      </c>
      <c r="D226" s="1"/>
      <c r="E226" s="1"/>
      <c r="F226" s="66"/>
      <c r="G226" s="66"/>
      <c r="H226" s="1"/>
      <c r="I226" s="1"/>
      <c r="J226" s="1"/>
      <c r="K226" s="1"/>
      <c r="L226" s="18"/>
      <c r="M226" s="18"/>
      <c r="N226" s="18"/>
      <c r="O226" s="18"/>
      <c r="P226" s="23"/>
      <c r="Q226" s="225"/>
      <c r="R226" s="125"/>
      <c r="S226" s="21"/>
    </row>
    <row r="227" spans="1:22" x14ac:dyDescent="0.35">
      <c r="A227" s="34">
        <v>45242</v>
      </c>
      <c r="B227" s="36"/>
      <c r="C227" s="36" t="s">
        <v>97</v>
      </c>
      <c r="D227" s="1"/>
      <c r="E227" s="1"/>
      <c r="F227" s="66"/>
      <c r="G227" s="66"/>
      <c r="H227" s="1"/>
      <c r="I227" s="1"/>
      <c r="J227" s="1"/>
      <c r="K227" s="1"/>
      <c r="L227" s="18"/>
      <c r="M227" s="18"/>
      <c r="N227" s="18"/>
      <c r="O227" s="18"/>
      <c r="P227" s="23"/>
      <c r="Q227" s="225"/>
      <c r="R227" s="125"/>
      <c r="S227" s="21"/>
    </row>
    <row r="228" spans="1:22" x14ac:dyDescent="0.35">
      <c r="A228" s="34">
        <v>45243</v>
      </c>
      <c r="B228" s="36"/>
      <c r="C228" s="36" t="s">
        <v>97</v>
      </c>
      <c r="D228" s="1"/>
      <c r="E228" s="1"/>
      <c r="F228" s="66"/>
      <c r="G228" s="66"/>
      <c r="H228" s="1"/>
      <c r="I228" s="1"/>
      <c r="J228" s="1"/>
      <c r="K228" s="1"/>
      <c r="L228" s="18"/>
      <c r="M228" s="18"/>
      <c r="N228" s="18"/>
      <c r="O228" s="18"/>
      <c r="P228" s="23"/>
      <c r="Q228" s="225"/>
      <c r="R228" s="125"/>
      <c r="S228" s="21"/>
    </row>
    <row r="229" spans="1:22" x14ac:dyDescent="0.35">
      <c r="A229" s="34">
        <v>45244</v>
      </c>
      <c r="B229" s="36"/>
      <c r="C229" s="36" t="s">
        <v>97</v>
      </c>
      <c r="D229" s="1"/>
      <c r="E229" s="1"/>
      <c r="F229" s="66"/>
      <c r="G229" s="66"/>
      <c r="H229" s="1"/>
      <c r="I229" s="1"/>
      <c r="J229" s="1"/>
      <c r="K229" s="1"/>
      <c r="L229" s="18"/>
      <c r="M229" s="18"/>
      <c r="N229" s="18"/>
      <c r="O229" s="18"/>
      <c r="P229" s="23"/>
      <c r="Q229" s="225"/>
      <c r="R229" s="125"/>
      <c r="S229" s="21"/>
    </row>
    <row r="230" spans="1:22" x14ac:dyDescent="0.35">
      <c r="A230" s="34">
        <v>45245</v>
      </c>
      <c r="B230" s="36"/>
      <c r="C230" s="36" t="s">
        <v>97</v>
      </c>
      <c r="D230" s="1"/>
      <c r="E230" s="1"/>
      <c r="F230" s="66"/>
      <c r="G230" s="66"/>
      <c r="H230" s="1"/>
      <c r="I230" s="1"/>
      <c r="J230" s="1"/>
      <c r="K230" s="1"/>
      <c r="L230" s="18"/>
      <c r="M230" s="18"/>
      <c r="N230" s="18"/>
      <c r="O230" s="18"/>
      <c r="P230" s="23"/>
      <c r="Q230" s="225"/>
      <c r="R230" s="125"/>
      <c r="S230" s="21"/>
    </row>
    <row r="231" spans="1:22" x14ac:dyDescent="0.35">
      <c r="A231" s="34">
        <v>45246</v>
      </c>
      <c r="B231" s="36"/>
      <c r="C231" s="36" t="s">
        <v>97</v>
      </c>
      <c r="D231" s="1"/>
      <c r="E231" s="1"/>
      <c r="F231" s="66"/>
      <c r="G231" s="66"/>
      <c r="H231" s="1"/>
      <c r="I231" s="1"/>
      <c r="J231" s="1"/>
      <c r="K231" s="1"/>
      <c r="L231" s="18"/>
      <c r="M231" s="18"/>
      <c r="N231" s="18"/>
      <c r="O231" s="18"/>
      <c r="P231" s="23"/>
      <c r="Q231" s="225"/>
      <c r="R231" s="125"/>
      <c r="S231" s="21"/>
    </row>
    <row r="232" spans="1:22" x14ac:dyDescent="0.35">
      <c r="A232" s="34">
        <v>45247</v>
      </c>
      <c r="B232" s="36"/>
      <c r="C232" s="36" t="s">
        <v>97</v>
      </c>
      <c r="D232" s="1"/>
      <c r="E232" s="1"/>
      <c r="F232" s="66"/>
      <c r="G232" s="66"/>
      <c r="H232" s="1"/>
      <c r="I232" s="1"/>
      <c r="J232" s="1"/>
      <c r="K232" s="1"/>
      <c r="L232" s="18"/>
      <c r="M232" s="18"/>
      <c r="N232" s="18"/>
      <c r="O232" s="18"/>
      <c r="P232" s="23"/>
      <c r="Q232" s="225"/>
      <c r="R232" s="125"/>
      <c r="S232" s="21"/>
    </row>
    <row r="233" spans="1:22" x14ac:dyDescent="0.35">
      <c r="A233" s="34">
        <v>45248</v>
      </c>
      <c r="B233" s="36"/>
      <c r="C233" s="36" t="s">
        <v>97</v>
      </c>
      <c r="D233" s="1"/>
      <c r="E233" s="1"/>
      <c r="F233" s="66"/>
      <c r="G233" s="66"/>
      <c r="H233" s="1"/>
      <c r="I233" s="1"/>
      <c r="J233" s="1"/>
      <c r="K233" s="1"/>
      <c r="L233" s="18"/>
      <c r="M233" s="18"/>
      <c r="N233" s="18"/>
      <c r="O233" s="18"/>
      <c r="P233" s="23"/>
      <c r="Q233" s="225"/>
      <c r="R233" s="125"/>
      <c r="S233" s="21"/>
    </row>
    <row r="234" spans="1:22" x14ac:dyDescent="0.35">
      <c r="A234" s="34">
        <v>45249</v>
      </c>
      <c r="B234" s="36"/>
      <c r="C234" s="36" t="s">
        <v>97</v>
      </c>
      <c r="D234" s="1"/>
      <c r="E234" s="1"/>
      <c r="F234" s="66"/>
      <c r="G234" s="66"/>
      <c r="H234" s="1"/>
      <c r="I234" s="1"/>
      <c r="J234" s="1"/>
      <c r="K234" s="1"/>
      <c r="L234" s="18"/>
      <c r="M234" s="18"/>
      <c r="N234" s="18"/>
      <c r="O234" s="18"/>
      <c r="P234" s="23"/>
      <c r="Q234" s="225"/>
      <c r="R234" s="125"/>
      <c r="S234" s="21"/>
    </row>
    <row r="235" spans="1:22" x14ac:dyDescent="0.35">
      <c r="A235" s="34">
        <v>45250</v>
      </c>
      <c r="B235" s="36"/>
      <c r="C235" s="36" t="s">
        <v>97</v>
      </c>
      <c r="D235" s="1"/>
      <c r="E235" s="1"/>
      <c r="F235" s="66"/>
      <c r="G235" s="66"/>
      <c r="H235" s="1"/>
      <c r="I235" s="1"/>
      <c r="J235" s="1"/>
      <c r="K235" s="1"/>
      <c r="L235" s="18"/>
      <c r="M235" s="18"/>
      <c r="N235" s="18"/>
      <c r="O235" s="18"/>
      <c r="P235" s="23"/>
      <c r="Q235" s="225"/>
      <c r="R235" s="125"/>
    </row>
    <row r="236" spans="1:22" x14ac:dyDescent="0.35">
      <c r="A236" s="34">
        <v>45251</v>
      </c>
      <c r="B236" s="36"/>
      <c r="C236" s="36" t="s">
        <v>97</v>
      </c>
      <c r="D236" s="1"/>
      <c r="E236" s="1"/>
      <c r="F236" s="66"/>
      <c r="G236" s="66"/>
      <c r="H236" s="1"/>
      <c r="I236" s="1"/>
      <c r="J236" s="1"/>
      <c r="K236" s="1"/>
      <c r="L236" s="18"/>
      <c r="M236" s="18"/>
      <c r="N236" s="18"/>
      <c r="O236" s="18"/>
      <c r="P236" s="23"/>
      <c r="Q236" s="225"/>
      <c r="R236" s="125"/>
      <c r="T236" s="50"/>
      <c r="U236" s="50"/>
      <c r="V236" s="50"/>
    </row>
    <row r="237" spans="1:22" x14ac:dyDescent="0.35">
      <c r="A237" s="34">
        <v>45252</v>
      </c>
      <c r="B237" s="36"/>
      <c r="C237" s="36" t="s">
        <v>97</v>
      </c>
      <c r="D237" s="1"/>
      <c r="E237" s="1"/>
      <c r="F237" s="66"/>
      <c r="G237" s="66"/>
      <c r="H237" s="1"/>
      <c r="I237" s="1"/>
      <c r="J237" s="1"/>
      <c r="K237" s="1"/>
      <c r="L237" s="18"/>
      <c r="M237" s="18"/>
      <c r="N237" s="18"/>
      <c r="O237" s="18"/>
      <c r="P237" s="23"/>
      <c r="Q237" s="225"/>
      <c r="R237" s="125"/>
    </row>
    <row r="238" spans="1:22" x14ac:dyDescent="0.35">
      <c r="A238" s="34">
        <v>45253</v>
      </c>
      <c r="B238" s="36"/>
      <c r="C238" s="36" t="s">
        <v>97</v>
      </c>
      <c r="D238" s="1"/>
      <c r="E238" s="1"/>
      <c r="F238" s="66"/>
      <c r="G238" s="66"/>
      <c r="H238" s="1"/>
      <c r="I238" s="1"/>
      <c r="J238" s="1"/>
      <c r="K238" s="1"/>
      <c r="L238" s="18"/>
      <c r="M238" s="18"/>
      <c r="N238" s="18"/>
      <c r="O238" s="18"/>
      <c r="P238" s="23"/>
      <c r="Q238" s="225"/>
      <c r="R238" s="125"/>
    </row>
    <row r="239" spans="1:22" x14ac:dyDescent="0.35">
      <c r="A239" s="34">
        <v>45254</v>
      </c>
      <c r="B239" s="36"/>
      <c r="C239" s="36" t="s">
        <v>97</v>
      </c>
      <c r="D239" s="1"/>
      <c r="E239" s="1"/>
      <c r="F239" s="66"/>
      <c r="G239" s="66"/>
      <c r="H239" s="1"/>
      <c r="I239" s="1"/>
      <c r="J239" s="1"/>
      <c r="K239" s="1"/>
      <c r="L239" s="18"/>
      <c r="M239" s="18"/>
      <c r="N239" s="18"/>
      <c r="O239" s="18"/>
      <c r="P239" s="23"/>
      <c r="Q239" s="225"/>
      <c r="R239" s="125"/>
    </row>
    <row r="240" spans="1:22" x14ac:dyDescent="0.35">
      <c r="A240" s="34">
        <v>45255</v>
      </c>
      <c r="B240" s="36"/>
      <c r="C240" s="36" t="s">
        <v>97</v>
      </c>
      <c r="D240" s="1"/>
      <c r="E240" s="1"/>
      <c r="F240" s="66"/>
      <c r="G240" s="66"/>
      <c r="H240" s="1"/>
      <c r="I240" s="1"/>
      <c r="J240" s="1"/>
      <c r="K240" s="1"/>
      <c r="L240" s="18"/>
      <c r="M240" s="18"/>
      <c r="N240" s="18"/>
      <c r="O240" s="18"/>
      <c r="P240" s="23"/>
      <c r="Q240" s="225"/>
      <c r="R240" s="125"/>
    </row>
    <row r="241" spans="1:22" x14ac:dyDescent="0.35">
      <c r="A241" s="34">
        <v>45256</v>
      </c>
      <c r="B241" s="36"/>
      <c r="C241" s="36" t="s">
        <v>97</v>
      </c>
      <c r="D241" s="1"/>
      <c r="E241" s="1"/>
      <c r="F241" s="66"/>
      <c r="G241" s="66"/>
      <c r="H241" s="1"/>
      <c r="I241" s="1"/>
      <c r="J241" s="1"/>
      <c r="K241" s="1"/>
      <c r="L241" s="18"/>
      <c r="M241" s="18"/>
      <c r="N241" s="18"/>
      <c r="O241" s="18"/>
      <c r="P241" s="23"/>
      <c r="Q241" s="225"/>
      <c r="R241" s="125"/>
    </row>
    <row r="242" spans="1:22" x14ac:dyDescent="0.35">
      <c r="A242" s="34">
        <v>45257</v>
      </c>
      <c r="B242" s="36"/>
      <c r="C242" s="36" t="s">
        <v>97</v>
      </c>
      <c r="D242" s="1"/>
      <c r="E242" s="1"/>
      <c r="F242" s="66"/>
      <c r="G242" s="66"/>
      <c r="H242" s="1"/>
      <c r="I242" s="1"/>
      <c r="J242" s="1"/>
      <c r="K242" s="1"/>
      <c r="L242" s="18"/>
      <c r="M242" s="18"/>
      <c r="N242" s="18"/>
      <c r="O242" s="18"/>
      <c r="P242" s="23"/>
      <c r="Q242" s="225"/>
      <c r="R242" s="125"/>
    </row>
    <row r="243" spans="1:22" x14ac:dyDescent="0.35">
      <c r="A243" s="34">
        <v>45258</v>
      </c>
      <c r="B243" s="36"/>
      <c r="C243" s="36" t="s">
        <v>97</v>
      </c>
      <c r="D243" s="1"/>
      <c r="E243" s="1"/>
      <c r="F243" s="66"/>
      <c r="G243" s="66"/>
      <c r="H243" s="1"/>
      <c r="I243" s="1"/>
      <c r="J243" s="1"/>
      <c r="K243" s="1"/>
      <c r="L243" s="18"/>
      <c r="M243" s="18"/>
      <c r="N243" s="18"/>
      <c r="O243" s="18"/>
      <c r="P243" s="23"/>
      <c r="Q243" s="225"/>
      <c r="R243" s="125"/>
    </row>
    <row r="244" spans="1:22" x14ac:dyDescent="0.35">
      <c r="A244" s="34">
        <v>45259</v>
      </c>
      <c r="B244" s="36"/>
      <c r="C244" s="36" t="s">
        <v>97</v>
      </c>
      <c r="D244" s="1"/>
      <c r="E244" s="1"/>
      <c r="F244" s="66"/>
      <c r="G244" s="66"/>
      <c r="H244" s="1"/>
      <c r="I244" s="1"/>
      <c r="J244" s="1"/>
      <c r="K244" s="1"/>
      <c r="L244" s="18"/>
      <c r="M244" s="18"/>
      <c r="N244" s="18"/>
      <c r="O244" s="18"/>
      <c r="P244" s="23"/>
      <c r="Q244" s="225"/>
      <c r="R244" s="125"/>
    </row>
    <row r="245" spans="1:22" x14ac:dyDescent="0.35">
      <c r="A245" s="34">
        <v>45260</v>
      </c>
      <c r="B245" s="36"/>
      <c r="C245" s="36" t="s">
        <v>97</v>
      </c>
      <c r="D245" s="1"/>
      <c r="E245" s="1"/>
      <c r="F245" s="66"/>
      <c r="G245" s="66"/>
      <c r="H245" s="1"/>
      <c r="I245" s="1"/>
      <c r="J245" s="1"/>
      <c r="K245" s="1"/>
      <c r="L245" s="18"/>
      <c r="M245" s="18"/>
      <c r="N245" s="18"/>
      <c r="O245" s="18"/>
      <c r="P245" s="23"/>
      <c r="Q245" s="225"/>
      <c r="R245" s="125"/>
    </row>
    <row r="246" spans="1:22" s="49" customFormat="1" x14ac:dyDescent="0.35">
      <c r="A246" s="34">
        <v>45261</v>
      </c>
      <c r="B246" s="78"/>
      <c r="C246" s="36" t="s">
        <v>97</v>
      </c>
      <c r="D246" s="1"/>
      <c r="E246" s="1"/>
      <c r="F246" s="66"/>
      <c r="G246" s="66"/>
      <c r="H246" s="1"/>
      <c r="I246" s="1"/>
      <c r="J246" s="1"/>
      <c r="K246" s="1"/>
      <c r="L246" s="18"/>
      <c r="M246" s="18"/>
      <c r="N246" s="18"/>
      <c r="O246" s="18"/>
      <c r="P246" s="23"/>
      <c r="Q246" s="225"/>
      <c r="R246" s="125"/>
      <c r="S246" s="160"/>
      <c r="T246"/>
      <c r="U246"/>
      <c r="V246"/>
    </row>
    <row r="247" spans="1:22" x14ac:dyDescent="0.35">
      <c r="A247" s="34">
        <v>45262</v>
      </c>
      <c r="B247" s="36"/>
      <c r="C247" s="36" t="s">
        <v>97</v>
      </c>
      <c r="D247" s="1"/>
      <c r="E247" s="1"/>
      <c r="F247" s="66"/>
      <c r="G247" s="66"/>
      <c r="H247" s="1"/>
      <c r="I247" s="1"/>
      <c r="J247" s="1"/>
      <c r="K247" s="1"/>
      <c r="L247" s="18"/>
      <c r="M247" s="18"/>
      <c r="N247" s="18"/>
      <c r="O247" s="18"/>
      <c r="P247" s="23"/>
      <c r="Q247" s="225"/>
      <c r="R247" s="125"/>
    </row>
    <row r="248" spans="1:22" x14ac:dyDescent="0.35">
      <c r="A248" s="34">
        <v>45263</v>
      </c>
      <c r="B248" s="36"/>
      <c r="C248" s="36" t="s">
        <v>97</v>
      </c>
      <c r="D248" s="1"/>
      <c r="E248" s="1"/>
      <c r="F248" s="66"/>
      <c r="G248" s="66"/>
      <c r="H248" s="1"/>
      <c r="I248" s="1"/>
      <c r="J248" s="1"/>
      <c r="K248" s="1"/>
      <c r="L248" s="18"/>
      <c r="M248" s="18"/>
      <c r="N248" s="18"/>
      <c r="O248" s="18"/>
      <c r="P248" s="23"/>
      <c r="Q248" s="225"/>
      <c r="R248" s="125"/>
    </row>
    <row r="249" spans="1:22" x14ac:dyDescent="0.35">
      <c r="A249" s="34">
        <v>45264</v>
      </c>
      <c r="B249" s="36"/>
      <c r="C249" s="36" t="s">
        <v>97</v>
      </c>
      <c r="D249" s="1"/>
      <c r="E249" s="1"/>
      <c r="F249" s="66"/>
      <c r="G249" s="66"/>
      <c r="H249" s="1"/>
      <c r="I249" s="1"/>
      <c r="J249" s="1"/>
      <c r="K249" s="1"/>
      <c r="L249" s="18"/>
      <c r="M249" s="18"/>
      <c r="N249" s="18"/>
      <c r="O249" s="18"/>
      <c r="P249" s="23"/>
      <c r="Q249" s="225"/>
      <c r="R249" s="125"/>
    </row>
    <row r="250" spans="1:22" x14ac:dyDescent="0.35">
      <c r="A250" s="34">
        <v>45265</v>
      </c>
      <c r="B250" s="36"/>
      <c r="C250" s="36" t="s">
        <v>97</v>
      </c>
      <c r="D250" s="1"/>
      <c r="E250" s="1"/>
      <c r="F250" s="66"/>
      <c r="G250" s="66"/>
      <c r="H250" s="1"/>
      <c r="I250" s="1"/>
      <c r="J250" s="1"/>
      <c r="K250" s="1"/>
      <c r="L250" s="18"/>
      <c r="M250" s="18"/>
      <c r="N250" s="18"/>
      <c r="O250" s="18"/>
      <c r="P250" s="23"/>
      <c r="Q250" s="225"/>
      <c r="R250" s="125"/>
    </row>
    <row r="251" spans="1:22" x14ac:dyDescent="0.35">
      <c r="A251" s="34">
        <v>45266</v>
      </c>
      <c r="B251" s="36"/>
      <c r="C251" s="36" t="s">
        <v>97</v>
      </c>
      <c r="D251" s="1"/>
      <c r="E251" s="1"/>
      <c r="F251" s="66"/>
      <c r="G251" s="66"/>
      <c r="H251" s="1"/>
      <c r="I251" s="1"/>
      <c r="J251" s="1"/>
      <c r="K251" s="1"/>
      <c r="L251" s="18"/>
      <c r="M251" s="18"/>
      <c r="N251" s="18"/>
      <c r="O251" s="18"/>
      <c r="P251" s="23"/>
      <c r="Q251" s="225"/>
      <c r="R251" s="125"/>
    </row>
    <row r="252" spans="1:22" x14ac:dyDescent="0.35">
      <c r="A252" s="34">
        <v>45267</v>
      </c>
      <c r="B252" s="36"/>
      <c r="C252" s="36" t="s">
        <v>97</v>
      </c>
      <c r="D252" s="1"/>
      <c r="E252" s="1"/>
      <c r="F252" s="66"/>
      <c r="G252" s="66"/>
      <c r="H252" s="1"/>
      <c r="I252" s="1"/>
      <c r="J252" s="1"/>
      <c r="K252" s="1"/>
      <c r="L252" s="18"/>
      <c r="M252" s="18"/>
      <c r="N252" s="18"/>
      <c r="O252" s="18"/>
      <c r="P252" s="23"/>
      <c r="Q252" s="225"/>
      <c r="R252" s="125"/>
    </row>
    <row r="253" spans="1:22" x14ac:dyDescent="0.35">
      <c r="A253" s="34">
        <v>45268</v>
      </c>
      <c r="B253" s="36"/>
      <c r="C253" s="36" t="s">
        <v>97</v>
      </c>
      <c r="D253" s="1"/>
      <c r="E253" s="1"/>
      <c r="F253" s="66"/>
      <c r="G253" s="66"/>
      <c r="H253" s="1"/>
      <c r="I253" s="1"/>
      <c r="J253" s="1"/>
      <c r="K253" s="1"/>
      <c r="L253" s="18"/>
      <c r="M253" s="18"/>
      <c r="N253" s="18"/>
      <c r="O253" s="18"/>
      <c r="P253" s="23"/>
      <c r="Q253" s="225"/>
      <c r="R253" s="125"/>
    </row>
    <row r="254" spans="1:22" x14ac:dyDescent="0.35">
      <c r="A254" s="34">
        <v>45269</v>
      </c>
      <c r="B254" s="36"/>
      <c r="C254" s="36" t="s">
        <v>97</v>
      </c>
      <c r="D254" s="1"/>
      <c r="E254" s="1"/>
      <c r="F254" s="66"/>
      <c r="G254" s="66"/>
      <c r="H254" s="1"/>
      <c r="I254" s="1"/>
      <c r="J254" s="1"/>
      <c r="K254" s="1"/>
      <c r="L254" s="18"/>
      <c r="M254" s="18"/>
      <c r="N254" s="18"/>
      <c r="O254" s="18"/>
      <c r="P254" s="23"/>
      <c r="Q254" s="225"/>
      <c r="R254" s="125"/>
      <c r="S254" s="21"/>
    </row>
    <row r="255" spans="1:22" x14ac:dyDescent="0.35">
      <c r="A255" s="34">
        <v>45270</v>
      </c>
      <c r="B255" s="36"/>
      <c r="C255" s="36" t="s">
        <v>97</v>
      </c>
      <c r="D255" s="1"/>
      <c r="E255" s="1"/>
      <c r="F255" s="66"/>
      <c r="G255" s="66"/>
      <c r="H255" s="1"/>
      <c r="I255" s="1"/>
      <c r="J255" s="1"/>
      <c r="K255" s="1"/>
      <c r="L255" s="18"/>
      <c r="M255" s="18"/>
      <c r="N255" s="18"/>
      <c r="O255" s="18"/>
      <c r="P255" s="23"/>
      <c r="Q255" s="225"/>
      <c r="R255" s="125"/>
      <c r="S255" s="21"/>
    </row>
    <row r="256" spans="1:22" x14ac:dyDescent="0.35">
      <c r="A256" s="34">
        <v>45271</v>
      </c>
      <c r="B256" s="36"/>
      <c r="C256" s="36" t="s">
        <v>97</v>
      </c>
      <c r="D256" s="1"/>
      <c r="E256" s="1"/>
      <c r="F256" s="66"/>
      <c r="G256" s="66"/>
      <c r="H256" s="1"/>
      <c r="I256" s="1"/>
      <c r="J256" s="1"/>
      <c r="K256" s="1"/>
      <c r="L256" s="18"/>
      <c r="M256" s="18"/>
      <c r="N256" s="18"/>
      <c r="O256" s="18"/>
      <c r="P256" s="23"/>
      <c r="Q256" s="225"/>
      <c r="R256" s="125"/>
      <c r="S256" s="21"/>
    </row>
    <row r="257" spans="1:22" x14ac:dyDescent="0.35">
      <c r="A257" s="34">
        <v>45272</v>
      </c>
      <c r="B257" s="36"/>
      <c r="C257" s="36" t="s">
        <v>97</v>
      </c>
      <c r="D257" s="1"/>
      <c r="E257" s="1"/>
      <c r="F257" s="66"/>
      <c r="G257" s="66"/>
      <c r="H257" s="1"/>
      <c r="I257" s="1"/>
      <c r="J257" s="1"/>
      <c r="K257" s="1"/>
      <c r="L257" s="18"/>
      <c r="M257" s="18"/>
      <c r="N257" s="18"/>
      <c r="O257" s="18"/>
      <c r="P257" s="23"/>
      <c r="Q257" s="225"/>
      <c r="R257" s="125"/>
      <c r="S257" s="21"/>
    </row>
    <row r="258" spans="1:22" x14ac:dyDescent="0.35">
      <c r="A258" s="34">
        <v>45273</v>
      </c>
      <c r="B258" s="36"/>
      <c r="C258" s="36" t="s">
        <v>97</v>
      </c>
      <c r="D258" s="1"/>
      <c r="E258" s="1"/>
      <c r="F258" s="66"/>
      <c r="G258" s="66"/>
      <c r="H258" s="1"/>
      <c r="I258" s="1"/>
      <c r="J258" s="1"/>
      <c r="K258" s="1"/>
      <c r="L258" s="18"/>
      <c r="M258" s="18"/>
      <c r="N258" s="18"/>
      <c r="O258" s="18"/>
      <c r="P258" s="23"/>
      <c r="Q258" s="225"/>
      <c r="R258" s="125"/>
      <c r="S258" s="21"/>
      <c r="U258">
        <f>AVERAGEIF(P1:P367,"&lt;&gt;0")</f>
        <v>0.99848837209302332</v>
      </c>
    </row>
    <row r="259" spans="1:22" x14ac:dyDescent="0.35">
      <c r="A259" s="34">
        <v>45274</v>
      </c>
      <c r="B259" s="36"/>
      <c r="C259" s="36" t="s">
        <v>97</v>
      </c>
      <c r="D259" s="1"/>
      <c r="E259" s="1"/>
      <c r="F259" s="66"/>
      <c r="G259" s="66"/>
      <c r="H259" s="1"/>
      <c r="I259" s="1"/>
      <c r="J259" s="1"/>
      <c r="K259" s="1"/>
      <c r="L259" s="18"/>
      <c r="M259" s="18"/>
      <c r="N259" s="18"/>
      <c r="O259" s="18"/>
      <c r="P259" s="23"/>
      <c r="Q259" s="225"/>
      <c r="R259" s="125"/>
      <c r="S259" s="21"/>
    </row>
    <row r="260" spans="1:22" x14ac:dyDescent="0.35">
      <c r="A260" s="34">
        <v>45275</v>
      </c>
      <c r="B260" s="36"/>
      <c r="C260" s="36" t="s">
        <v>97</v>
      </c>
      <c r="D260" s="1"/>
      <c r="E260" s="1"/>
      <c r="F260" s="66"/>
      <c r="G260" s="66"/>
      <c r="H260" s="1"/>
      <c r="I260" s="1"/>
      <c r="J260" s="1"/>
      <c r="K260" s="1"/>
      <c r="L260" s="18"/>
      <c r="M260" s="18"/>
      <c r="N260" s="18"/>
      <c r="O260" s="18"/>
      <c r="P260" s="23"/>
      <c r="Q260" s="225"/>
      <c r="R260" s="125"/>
      <c r="S260" s="21"/>
    </row>
    <row r="261" spans="1:22" x14ac:dyDescent="0.35">
      <c r="A261" s="34">
        <v>45276</v>
      </c>
      <c r="B261" s="36"/>
      <c r="C261" s="36" t="s">
        <v>97</v>
      </c>
      <c r="D261" s="1"/>
      <c r="E261" s="1"/>
      <c r="F261" s="66"/>
      <c r="G261" s="66"/>
      <c r="H261" s="1"/>
      <c r="I261" s="1"/>
      <c r="J261" s="1"/>
      <c r="K261" s="1"/>
      <c r="L261" s="18"/>
      <c r="M261" s="18"/>
      <c r="N261" s="18"/>
      <c r="O261" s="18"/>
      <c r="P261" s="23"/>
      <c r="Q261" s="225"/>
      <c r="R261" s="125"/>
      <c r="S261" s="21"/>
    </row>
    <row r="262" spans="1:22" x14ac:dyDescent="0.35">
      <c r="A262" s="34">
        <v>45277</v>
      </c>
      <c r="B262" s="36"/>
      <c r="C262" s="36" t="s">
        <v>97</v>
      </c>
      <c r="D262" s="1"/>
      <c r="E262" s="1"/>
      <c r="F262" s="66"/>
      <c r="G262" s="66"/>
      <c r="H262" s="1"/>
      <c r="I262" s="1"/>
      <c r="J262" s="1"/>
      <c r="K262" s="1"/>
      <c r="L262" s="18"/>
      <c r="M262" s="18"/>
      <c r="N262" s="18"/>
      <c r="O262" s="18"/>
      <c r="P262" s="23"/>
      <c r="Q262" s="225"/>
      <c r="R262" s="125"/>
      <c r="S262" s="21"/>
    </row>
    <row r="263" spans="1:22" x14ac:dyDescent="0.35">
      <c r="A263" s="34">
        <v>45278</v>
      </c>
      <c r="B263" s="36"/>
      <c r="C263" s="36" t="s">
        <v>97</v>
      </c>
      <c r="D263" s="1"/>
      <c r="E263" s="1"/>
      <c r="F263" s="66"/>
      <c r="G263" s="66"/>
      <c r="H263" s="1"/>
      <c r="I263" s="1"/>
      <c r="J263" s="1"/>
      <c r="K263" s="1"/>
      <c r="L263" s="18"/>
      <c r="M263" s="18"/>
      <c r="N263" s="18"/>
      <c r="O263" s="18"/>
      <c r="P263" s="23"/>
      <c r="Q263" s="225"/>
      <c r="R263" s="125"/>
      <c r="S263" s="21"/>
    </row>
    <row r="264" spans="1:22" x14ac:dyDescent="0.35">
      <c r="A264" s="34">
        <v>45279</v>
      </c>
      <c r="B264" s="94"/>
      <c r="C264" s="36" t="s">
        <v>97</v>
      </c>
      <c r="D264" s="1"/>
      <c r="E264" s="1"/>
      <c r="F264" s="66"/>
      <c r="G264" s="66"/>
      <c r="H264" s="1"/>
      <c r="I264" s="1"/>
      <c r="J264" s="1"/>
      <c r="K264" s="1"/>
      <c r="L264" s="18"/>
      <c r="M264" s="18"/>
      <c r="N264" s="18"/>
      <c r="O264" s="18"/>
      <c r="P264" s="23"/>
      <c r="Q264" s="225"/>
      <c r="R264" s="125"/>
      <c r="S264" s="21"/>
      <c r="T264" s="49"/>
      <c r="U264" s="49"/>
      <c r="V264" s="49"/>
    </row>
    <row r="265" spans="1:22" x14ac:dyDescent="0.35">
      <c r="A265" s="34">
        <v>45280</v>
      </c>
      <c r="B265" s="94"/>
      <c r="C265" s="36" t="s">
        <v>97</v>
      </c>
      <c r="D265" s="1"/>
      <c r="E265" s="1"/>
      <c r="F265" s="66"/>
      <c r="G265" s="66"/>
      <c r="H265" s="1"/>
      <c r="I265" s="1"/>
      <c r="J265" s="1"/>
      <c r="K265" s="1"/>
      <c r="L265" s="18"/>
      <c r="M265" s="18"/>
      <c r="N265" s="18"/>
      <c r="O265" s="18"/>
      <c r="P265" s="23"/>
      <c r="Q265" s="225"/>
      <c r="R265" s="125"/>
      <c r="S265" s="21"/>
    </row>
    <row r="266" spans="1:22" x14ac:dyDescent="0.35">
      <c r="A266" s="34">
        <v>45281</v>
      </c>
      <c r="B266" s="36"/>
      <c r="C266" s="36" t="s">
        <v>97</v>
      </c>
      <c r="D266" s="1"/>
      <c r="E266" s="1"/>
      <c r="F266" s="66"/>
      <c r="G266" s="66"/>
      <c r="H266" s="1"/>
      <c r="I266" s="1"/>
      <c r="J266" s="1"/>
      <c r="K266" s="1"/>
      <c r="L266" s="18"/>
      <c r="M266" s="18"/>
      <c r="N266" s="18"/>
      <c r="O266" s="18"/>
      <c r="P266" s="23"/>
      <c r="Q266" s="225"/>
      <c r="R266" s="125"/>
      <c r="S266" s="21"/>
    </row>
    <row r="267" spans="1:22" x14ac:dyDescent="0.35">
      <c r="A267" s="34">
        <v>45282</v>
      </c>
      <c r="B267" s="36"/>
      <c r="C267" s="36" t="s">
        <v>97</v>
      </c>
      <c r="D267" s="1"/>
      <c r="E267" s="1"/>
      <c r="F267" s="66"/>
      <c r="G267" s="66"/>
      <c r="H267" s="1"/>
      <c r="I267" s="1"/>
      <c r="J267" s="1"/>
      <c r="K267" s="1"/>
      <c r="L267" s="18"/>
      <c r="M267" s="18"/>
      <c r="N267" s="18"/>
      <c r="O267" s="18"/>
      <c r="P267" s="23"/>
      <c r="Q267" s="225"/>
      <c r="R267" s="125"/>
      <c r="S267" s="21"/>
    </row>
    <row r="268" spans="1:22" x14ac:dyDescent="0.35">
      <c r="A268" s="34">
        <v>45283</v>
      </c>
      <c r="B268" s="36"/>
      <c r="C268" s="36" t="s">
        <v>97</v>
      </c>
      <c r="D268" s="1"/>
      <c r="E268" s="1"/>
      <c r="F268" s="66"/>
      <c r="G268" s="66"/>
      <c r="H268" s="1"/>
      <c r="I268" s="1"/>
      <c r="J268" s="1"/>
      <c r="K268" s="1"/>
      <c r="L268" s="18"/>
      <c r="M268" s="18"/>
      <c r="N268" s="18"/>
      <c r="O268" s="18"/>
      <c r="P268" s="23"/>
      <c r="Q268" s="225"/>
      <c r="R268" s="125"/>
      <c r="S268" s="21"/>
    </row>
    <row r="269" spans="1:22" x14ac:dyDescent="0.35">
      <c r="A269" s="34">
        <v>45284</v>
      </c>
      <c r="B269" s="36"/>
      <c r="C269" s="36" t="s">
        <v>97</v>
      </c>
      <c r="D269" s="1"/>
      <c r="E269" s="1"/>
      <c r="F269" s="66"/>
      <c r="G269" s="66"/>
      <c r="H269" s="1"/>
      <c r="I269" s="1"/>
      <c r="J269" s="1"/>
      <c r="K269" s="1"/>
      <c r="L269" s="18"/>
      <c r="M269" s="18"/>
      <c r="N269" s="18"/>
      <c r="O269" s="18"/>
      <c r="P269" s="23"/>
      <c r="Q269" s="225"/>
      <c r="R269" s="125"/>
      <c r="S269" s="21"/>
    </row>
    <row r="270" spans="1:22" x14ac:dyDescent="0.35">
      <c r="A270" s="34">
        <v>45285</v>
      </c>
      <c r="B270" s="36"/>
      <c r="C270" s="36" t="s">
        <v>97</v>
      </c>
      <c r="D270" s="1"/>
      <c r="E270" s="1"/>
      <c r="F270" s="66"/>
      <c r="G270" s="66"/>
      <c r="H270" s="1"/>
      <c r="I270" s="1"/>
      <c r="J270" s="1"/>
      <c r="K270" s="1"/>
      <c r="L270" s="18"/>
      <c r="M270" s="18"/>
      <c r="N270" s="18"/>
      <c r="O270" s="18"/>
      <c r="P270" s="23"/>
      <c r="Q270" s="225"/>
      <c r="R270" s="125"/>
      <c r="S270" s="21"/>
    </row>
    <row r="271" spans="1:22" x14ac:dyDescent="0.35">
      <c r="A271" s="34">
        <v>45286</v>
      </c>
      <c r="B271" s="36"/>
      <c r="C271" s="36" t="s">
        <v>97</v>
      </c>
      <c r="D271" s="1"/>
      <c r="E271" s="1"/>
      <c r="F271" s="66"/>
      <c r="G271" s="66"/>
      <c r="H271" s="1"/>
      <c r="I271" s="1"/>
      <c r="J271" s="1"/>
      <c r="K271" s="1"/>
      <c r="L271" s="18"/>
      <c r="M271" s="18"/>
      <c r="N271" s="18"/>
      <c r="O271" s="18"/>
      <c r="P271" s="23"/>
      <c r="Q271" s="225"/>
      <c r="R271" s="125"/>
      <c r="S271" s="21"/>
    </row>
    <row r="272" spans="1:22" x14ac:dyDescent="0.35">
      <c r="A272" s="34">
        <v>45287</v>
      </c>
      <c r="B272" s="36"/>
      <c r="C272" s="36" t="s">
        <v>97</v>
      </c>
      <c r="D272" s="1"/>
      <c r="E272" s="1"/>
      <c r="F272" s="66"/>
      <c r="G272" s="66"/>
      <c r="H272" s="1"/>
      <c r="I272" s="1"/>
      <c r="J272" s="1"/>
      <c r="K272" s="1"/>
      <c r="L272" s="18"/>
      <c r="M272" s="18"/>
      <c r="N272" s="18"/>
      <c r="O272" s="18"/>
      <c r="P272" s="23"/>
      <c r="Q272" s="225"/>
      <c r="R272" s="125"/>
      <c r="S272" s="21"/>
    </row>
    <row r="273" spans="1:19" x14ac:dyDescent="0.35">
      <c r="A273" s="34">
        <v>45288</v>
      </c>
      <c r="B273" s="36"/>
      <c r="C273" s="36" t="s">
        <v>97</v>
      </c>
      <c r="D273" s="1"/>
      <c r="E273" s="1"/>
      <c r="F273" s="66"/>
      <c r="G273" s="66"/>
      <c r="H273" s="1"/>
      <c r="I273" s="1"/>
      <c r="J273" s="1"/>
      <c r="K273" s="1"/>
      <c r="L273" s="18"/>
      <c r="M273" s="18"/>
      <c r="N273" s="18"/>
      <c r="O273" s="18"/>
      <c r="P273" s="23"/>
      <c r="Q273" s="225"/>
      <c r="R273" s="125"/>
      <c r="S273" s="21"/>
    </row>
    <row r="274" spans="1:19" x14ac:dyDescent="0.35">
      <c r="A274" s="34">
        <v>45289</v>
      </c>
      <c r="B274" s="36"/>
      <c r="C274" s="36" t="s">
        <v>97</v>
      </c>
      <c r="D274" s="1"/>
      <c r="E274" s="1"/>
      <c r="F274" s="66"/>
      <c r="G274" s="66"/>
      <c r="H274" s="1"/>
      <c r="I274" s="1"/>
      <c r="J274" s="1"/>
      <c r="K274" s="1"/>
      <c r="L274" s="18"/>
      <c r="M274" s="18"/>
      <c r="N274" s="18"/>
      <c r="O274" s="18"/>
      <c r="P274" s="23"/>
      <c r="Q274" s="225"/>
      <c r="R274" s="125"/>
      <c r="S274" s="21"/>
    </row>
    <row r="275" spans="1:19" x14ac:dyDescent="0.35">
      <c r="A275" s="34">
        <v>45290</v>
      </c>
      <c r="B275" s="36"/>
      <c r="C275" s="36" t="s">
        <v>97</v>
      </c>
      <c r="D275" s="1"/>
      <c r="E275" s="1"/>
      <c r="F275" s="66"/>
      <c r="G275" s="66"/>
      <c r="H275" s="1"/>
      <c r="I275" s="1"/>
      <c r="J275" s="1"/>
      <c r="K275" s="1"/>
      <c r="L275" s="18"/>
      <c r="M275" s="18"/>
      <c r="N275" s="18"/>
      <c r="O275" s="18"/>
      <c r="P275" s="23"/>
      <c r="Q275" s="225"/>
      <c r="R275" s="125"/>
      <c r="S275" s="21"/>
    </row>
    <row r="276" spans="1:19" x14ac:dyDescent="0.35">
      <c r="A276" s="34">
        <v>45291</v>
      </c>
      <c r="B276" s="36"/>
      <c r="C276" s="36" t="s">
        <v>97</v>
      </c>
      <c r="D276" s="1"/>
      <c r="E276" s="1"/>
      <c r="F276" s="66"/>
      <c r="G276" s="66"/>
      <c r="H276" s="1"/>
      <c r="I276" s="1"/>
      <c r="J276" s="1"/>
      <c r="K276" s="1"/>
      <c r="L276" s="18"/>
      <c r="M276" s="18"/>
      <c r="N276" s="18"/>
      <c r="O276" s="18"/>
      <c r="P276" s="23"/>
      <c r="Q276" s="225"/>
      <c r="R276" s="125"/>
      <c r="S276" s="21"/>
    </row>
    <row r="277" spans="1:19" x14ac:dyDescent="0.35">
      <c r="A277" s="34">
        <v>45292</v>
      </c>
      <c r="B277" s="36"/>
      <c r="C277" s="36" t="s">
        <v>97</v>
      </c>
      <c r="D277" s="1"/>
      <c r="E277" s="1"/>
      <c r="F277" s="66"/>
      <c r="G277" s="66"/>
      <c r="H277" s="1"/>
      <c r="I277" s="1"/>
      <c r="J277" s="1"/>
      <c r="K277" s="1"/>
      <c r="L277" s="18"/>
      <c r="M277" s="18"/>
      <c r="N277" s="18"/>
      <c r="O277" s="18"/>
      <c r="P277" s="23"/>
      <c r="Q277" s="225"/>
      <c r="R277" s="125"/>
      <c r="S277" s="21"/>
    </row>
    <row r="278" spans="1:19" x14ac:dyDescent="0.35">
      <c r="A278" s="34">
        <v>45293</v>
      </c>
      <c r="B278" s="36"/>
      <c r="C278" s="36" t="s">
        <v>97</v>
      </c>
      <c r="D278" s="1"/>
      <c r="E278" s="1"/>
      <c r="F278" s="66"/>
      <c r="G278" s="66"/>
      <c r="H278" s="1"/>
      <c r="I278" s="1"/>
      <c r="J278" s="1"/>
      <c r="K278" s="1"/>
      <c r="L278" s="18"/>
      <c r="M278" s="18"/>
      <c r="N278" s="18"/>
      <c r="O278" s="18"/>
      <c r="P278" s="23"/>
      <c r="Q278" s="225"/>
      <c r="R278" s="125"/>
      <c r="S278" s="21"/>
    </row>
    <row r="279" spans="1:19" x14ac:dyDescent="0.35">
      <c r="A279" s="34">
        <v>45294</v>
      </c>
      <c r="B279" s="36"/>
      <c r="C279" s="36" t="s">
        <v>97</v>
      </c>
      <c r="D279" s="1"/>
      <c r="E279" s="1"/>
      <c r="F279" s="66"/>
      <c r="G279" s="66"/>
      <c r="H279" s="1"/>
      <c r="I279" s="1"/>
      <c r="J279" s="1"/>
      <c r="K279" s="1"/>
      <c r="L279" s="18"/>
      <c r="M279" s="18"/>
      <c r="N279" s="18"/>
      <c r="O279" s="18"/>
      <c r="P279" s="23"/>
      <c r="Q279" s="225"/>
      <c r="R279" s="125"/>
      <c r="S279" s="21"/>
    </row>
    <row r="280" spans="1:19" x14ac:dyDescent="0.35">
      <c r="A280" s="34">
        <v>45295</v>
      </c>
      <c r="B280" s="36"/>
      <c r="C280" s="36" t="s">
        <v>97</v>
      </c>
      <c r="D280" s="1"/>
      <c r="E280" s="1"/>
      <c r="F280" s="66"/>
      <c r="G280" s="66"/>
      <c r="H280" s="1"/>
      <c r="I280" s="1"/>
      <c r="J280" s="1"/>
      <c r="K280" s="1"/>
      <c r="L280" s="18"/>
      <c r="M280" s="18"/>
      <c r="N280" s="18"/>
      <c r="O280" s="18"/>
      <c r="P280" s="23"/>
      <c r="Q280" s="225"/>
      <c r="R280" s="125"/>
      <c r="S280" s="21"/>
    </row>
    <row r="281" spans="1:19" x14ac:dyDescent="0.35">
      <c r="A281" s="34">
        <v>45296</v>
      </c>
      <c r="B281" s="36"/>
      <c r="C281" s="36" t="s">
        <v>97</v>
      </c>
      <c r="D281" s="1"/>
      <c r="E281" s="1"/>
      <c r="F281" s="66"/>
      <c r="G281" s="66"/>
      <c r="H281" s="1"/>
      <c r="I281" s="1"/>
      <c r="J281" s="1"/>
      <c r="K281" s="1"/>
      <c r="L281" s="18"/>
      <c r="M281" s="18"/>
      <c r="N281" s="18"/>
      <c r="O281" s="18"/>
      <c r="P281" s="23"/>
      <c r="Q281" s="225"/>
      <c r="R281" s="125"/>
      <c r="S281" s="21"/>
    </row>
    <row r="282" spans="1:19" x14ac:dyDescent="0.35">
      <c r="A282" s="34">
        <v>45297</v>
      </c>
      <c r="B282" s="36"/>
      <c r="C282" s="36" t="s">
        <v>97</v>
      </c>
      <c r="D282" s="1"/>
      <c r="E282" s="1"/>
      <c r="F282" s="66"/>
      <c r="G282" s="66"/>
      <c r="H282" s="1"/>
      <c r="I282" s="1"/>
      <c r="J282" s="1"/>
      <c r="K282" s="1"/>
      <c r="L282" s="18"/>
      <c r="M282" s="18"/>
      <c r="N282" s="18"/>
      <c r="O282" s="18"/>
      <c r="P282" s="23"/>
      <c r="Q282" s="225"/>
      <c r="R282" s="125"/>
      <c r="S282" s="21"/>
    </row>
    <row r="283" spans="1:19" x14ac:dyDescent="0.35">
      <c r="A283" s="34">
        <v>45298</v>
      </c>
      <c r="B283" s="36"/>
      <c r="C283" s="36" t="s">
        <v>97</v>
      </c>
      <c r="D283" s="1"/>
      <c r="E283" s="1"/>
      <c r="F283" s="66"/>
      <c r="G283" s="66"/>
      <c r="H283" s="1"/>
      <c r="I283" s="1"/>
      <c r="J283" s="1"/>
      <c r="K283" s="1"/>
      <c r="L283" s="18"/>
      <c r="M283" s="18"/>
      <c r="N283" s="18"/>
      <c r="O283" s="18"/>
      <c r="P283" s="23"/>
      <c r="Q283" s="225"/>
      <c r="R283" s="125"/>
      <c r="S283" s="21"/>
    </row>
    <row r="284" spans="1:19" x14ac:dyDescent="0.35">
      <c r="A284" s="34">
        <v>45299</v>
      </c>
      <c r="B284" s="36"/>
      <c r="C284" s="36" t="s">
        <v>97</v>
      </c>
      <c r="D284" s="1"/>
      <c r="E284" s="1"/>
      <c r="F284" s="66"/>
      <c r="G284" s="66"/>
      <c r="H284" s="1"/>
      <c r="I284" s="1"/>
      <c r="J284" s="1"/>
      <c r="K284" s="1"/>
      <c r="L284" s="18"/>
      <c r="M284" s="18"/>
      <c r="N284" s="18"/>
      <c r="O284" s="18"/>
      <c r="P284" s="23"/>
      <c r="Q284" s="225"/>
      <c r="R284" s="125"/>
      <c r="S284" s="21"/>
    </row>
    <row r="285" spans="1:19" x14ac:dyDescent="0.35">
      <c r="A285" s="34">
        <v>45300</v>
      </c>
      <c r="B285" s="36"/>
      <c r="C285" s="36" t="s">
        <v>97</v>
      </c>
      <c r="D285" s="1"/>
      <c r="E285" s="1"/>
      <c r="F285" s="66"/>
      <c r="G285" s="66"/>
      <c r="H285" s="1"/>
      <c r="I285" s="1"/>
      <c r="J285" s="1"/>
      <c r="K285" s="1"/>
      <c r="L285" s="18"/>
      <c r="M285" s="18"/>
      <c r="N285" s="18"/>
      <c r="O285" s="18"/>
      <c r="P285" s="23"/>
      <c r="Q285" s="225"/>
      <c r="R285" s="125"/>
      <c r="S285" s="21"/>
    </row>
    <row r="286" spans="1:19" x14ac:dyDescent="0.35">
      <c r="A286" s="34">
        <v>45301</v>
      </c>
      <c r="B286" s="36"/>
      <c r="C286" s="36" t="s">
        <v>97</v>
      </c>
      <c r="D286" s="1"/>
      <c r="E286" s="1"/>
      <c r="F286" s="66"/>
      <c r="G286" s="66"/>
      <c r="H286" s="1"/>
      <c r="I286" s="1"/>
      <c r="J286" s="1"/>
      <c r="K286" s="1"/>
      <c r="L286" s="18"/>
      <c r="M286" s="18"/>
      <c r="N286" s="18"/>
      <c r="O286" s="18"/>
      <c r="P286" s="23"/>
      <c r="Q286" s="225"/>
      <c r="R286" s="125"/>
      <c r="S286" s="21"/>
    </row>
    <row r="287" spans="1:19" x14ac:dyDescent="0.35">
      <c r="A287" s="34">
        <v>45302</v>
      </c>
      <c r="B287" s="36"/>
      <c r="C287" s="36" t="s">
        <v>97</v>
      </c>
      <c r="D287" s="1"/>
      <c r="E287" s="1"/>
      <c r="F287" s="66"/>
      <c r="G287" s="66"/>
      <c r="H287" s="1"/>
      <c r="I287" s="1"/>
      <c r="J287" s="1"/>
      <c r="K287" s="1"/>
      <c r="L287" s="18"/>
      <c r="M287" s="18"/>
      <c r="N287" s="18"/>
      <c r="O287" s="18"/>
      <c r="P287" s="23"/>
      <c r="Q287" s="225"/>
      <c r="R287" s="125"/>
      <c r="S287" s="21"/>
    </row>
    <row r="288" spans="1:19" x14ac:dyDescent="0.35">
      <c r="A288" s="34">
        <v>45303</v>
      </c>
      <c r="B288" s="36"/>
      <c r="C288" s="36" t="s">
        <v>97</v>
      </c>
      <c r="D288" s="1"/>
      <c r="E288" s="1"/>
      <c r="F288" s="66"/>
      <c r="G288" s="66"/>
      <c r="H288" s="1"/>
      <c r="I288" s="1"/>
      <c r="J288" s="1"/>
      <c r="K288" s="1"/>
      <c r="L288" s="18"/>
      <c r="M288" s="18"/>
      <c r="N288" s="18"/>
      <c r="O288" s="18"/>
      <c r="P288" s="23"/>
      <c r="Q288" s="225"/>
      <c r="R288" s="125"/>
      <c r="S288" s="21"/>
    </row>
    <row r="289" spans="1:19" x14ac:dyDescent="0.35">
      <c r="A289" s="34">
        <v>45304</v>
      </c>
      <c r="B289" s="36"/>
      <c r="C289" s="36" t="s">
        <v>97</v>
      </c>
      <c r="D289" s="1"/>
      <c r="E289" s="1"/>
      <c r="F289" s="66"/>
      <c r="G289" s="66"/>
      <c r="H289" s="1"/>
      <c r="I289" s="1"/>
      <c r="J289" s="1"/>
      <c r="K289" s="1"/>
      <c r="L289" s="18"/>
      <c r="M289" s="18"/>
      <c r="N289" s="18"/>
      <c r="O289" s="18"/>
      <c r="P289" s="23"/>
      <c r="Q289" s="225"/>
      <c r="R289" s="125"/>
      <c r="S289" s="21"/>
    </row>
    <row r="290" spans="1:19" x14ac:dyDescent="0.35">
      <c r="A290" s="34">
        <v>45305</v>
      </c>
      <c r="B290" s="36"/>
      <c r="C290" s="36" t="s">
        <v>97</v>
      </c>
      <c r="D290" s="1"/>
      <c r="E290" s="1"/>
      <c r="F290" s="66"/>
      <c r="G290" s="66"/>
      <c r="H290" s="1"/>
      <c r="I290" s="1"/>
      <c r="J290" s="1"/>
      <c r="K290" s="1"/>
      <c r="L290" s="18"/>
      <c r="M290" s="18"/>
      <c r="N290" s="18"/>
      <c r="O290" s="18"/>
      <c r="P290" s="23"/>
      <c r="Q290" s="225"/>
      <c r="R290" s="125"/>
      <c r="S290" s="21"/>
    </row>
    <row r="291" spans="1:19" x14ac:dyDescent="0.35">
      <c r="A291" s="34">
        <v>45306</v>
      </c>
      <c r="B291" s="36"/>
      <c r="C291" s="36" t="s">
        <v>97</v>
      </c>
      <c r="D291" s="1"/>
      <c r="E291" s="1"/>
      <c r="F291" s="66"/>
      <c r="G291" s="66"/>
      <c r="H291" s="1"/>
      <c r="I291" s="1"/>
      <c r="J291" s="1"/>
      <c r="K291" s="1"/>
      <c r="L291" s="18"/>
      <c r="M291" s="18"/>
      <c r="N291" s="18"/>
      <c r="O291" s="18"/>
      <c r="P291" s="23"/>
      <c r="Q291" s="225"/>
      <c r="R291" s="125"/>
      <c r="S291" s="21"/>
    </row>
    <row r="292" spans="1:19" x14ac:dyDescent="0.35">
      <c r="A292" s="34">
        <v>45307</v>
      </c>
      <c r="B292" s="36"/>
      <c r="C292" s="36" t="s">
        <v>97</v>
      </c>
      <c r="D292" s="1"/>
      <c r="E292" s="1"/>
      <c r="F292" s="66"/>
      <c r="G292" s="66"/>
      <c r="H292" s="1"/>
      <c r="I292" s="1"/>
      <c r="J292" s="1"/>
      <c r="K292" s="1"/>
      <c r="L292" s="18"/>
      <c r="M292" s="18"/>
      <c r="N292" s="18"/>
      <c r="O292" s="18"/>
      <c r="P292" s="23"/>
      <c r="Q292" s="225"/>
      <c r="R292" s="125"/>
      <c r="S292" s="21"/>
    </row>
    <row r="293" spans="1:19" x14ac:dyDescent="0.35">
      <c r="A293" s="34">
        <v>45308</v>
      </c>
      <c r="B293" s="36"/>
      <c r="C293" s="36" t="s">
        <v>97</v>
      </c>
      <c r="D293" s="1"/>
      <c r="E293" s="1"/>
      <c r="F293" s="66"/>
      <c r="G293" s="66"/>
      <c r="H293" s="1"/>
      <c r="I293" s="1"/>
      <c r="J293" s="1"/>
      <c r="K293" s="1"/>
      <c r="L293" s="18"/>
      <c r="M293" s="18"/>
      <c r="N293" s="18"/>
      <c r="O293" s="18"/>
      <c r="P293" s="23"/>
      <c r="Q293" s="225"/>
      <c r="R293" s="125"/>
      <c r="S293" s="21"/>
    </row>
    <row r="294" spans="1:19" x14ac:dyDescent="0.35">
      <c r="A294" s="34">
        <v>45309</v>
      </c>
      <c r="B294" s="36"/>
      <c r="C294" s="36" t="s">
        <v>97</v>
      </c>
      <c r="D294" s="1"/>
      <c r="E294" s="1"/>
      <c r="F294" s="66"/>
      <c r="G294" s="66"/>
      <c r="H294" s="1"/>
      <c r="I294" s="1"/>
      <c r="J294" s="1"/>
      <c r="K294" s="1"/>
      <c r="L294" s="18"/>
      <c r="M294" s="18"/>
      <c r="N294" s="18"/>
      <c r="O294" s="18"/>
      <c r="P294" s="23"/>
      <c r="Q294" s="225"/>
      <c r="R294" s="125"/>
      <c r="S294" s="21"/>
    </row>
    <row r="295" spans="1:19" x14ac:dyDescent="0.35">
      <c r="A295" s="34">
        <v>45310</v>
      </c>
      <c r="B295" s="36"/>
      <c r="C295" s="36" t="s">
        <v>97</v>
      </c>
      <c r="D295" s="1"/>
      <c r="E295" s="1"/>
      <c r="F295" s="66"/>
      <c r="G295" s="66"/>
      <c r="H295" s="1"/>
      <c r="I295" s="1"/>
      <c r="J295" s="1"/>
      <c r="K295" s="1"/>
      <c r="L295" s="18"/>
      <c r="M295" s="18"/>
      <c r="N295" s="18"/>
      <c r="O295" s="18"/>
      <c r="P295" s="23"/>
      <c r="Q295" s="225"/>
      <c r="R295" s="125"/>
      <c r="S295" s="21"/>
    </row>
    <row r="296" spans="1:19" x14ac:dyDescent="0.35">
      <c r="A296" s="34">
        <v>45311</v>
      </c>
      <c r="B296" s="36"/>
      <c r="C296" s="36" t="s">
        <v>97</v>
      </c>
      <c r="D296" s="1"/>
      <c r="E296" s="1"/>
      <c r="F296" s="66"/>
      <c r="G296" s="66"/>
      <c r="H296" s="1"/>
      <c r="I296" s="1"/>
      <c r="J296" s="1"/>
      <c r="K296" s="1"/>
      <c r="L296" s="18"/>
      <c r="M296" s="18"/>
      <c r="N296" s="18"/>
      <c r="O296" s="18"/>
      <c r="P296" s="23"/>
      <c r="Q296" s="225"/>
      <c r="R296" s="125"/>
      <c r="S296" s="21"/>
    </row>
    <row r="297" spans="1:19" x14ac:dyDescent="0.35">
      <c r="A297" s="34">
        <v>45312</v>
      </c>
      <c r="B297" s="36"/>
      <c r="C297" s="36" t="s">
        <v>97</v>
      </c>
      <c r="D297" s="1"/>
      <c r="E297" s="1"/>
      <c r="F297" s="66"/>
      <c r="G297" s="66"/>
      <c r="H297" s="1"/>
      <c r="I297" s="1"/>
      <c r="J297" s="1"/>
      <c r="K297" s="1"/>
      <c r="L297" s="18"/>
      <c r="M297" s="18"/>
      <c r="N297" s="18"/>
      <c r="O297" s="18"/>
      <c r="P297" s="23"/>
      <c r="Q297" s="225"/>
      <c r="R297" s="125"/>
      <c r="S297" s="21"/>
    </row>
    <row r="298" spans="1:19" x14ac:dyDescent="0.35">
      <c r="A298" s="34">
        <v>45313</v>
      </c>
      <c r="B298" s="36"/>
      <c r="C298" s="36" t="s">
        <v>97</v>
      </c>
      <c r="D298" s="1"/>
      <c r="E298" s="1"/>
      <c r="F298" s="66"/>
      <c r="G298" s="66"/>
      <c r="H298" s="1"/>
      <c r="I298" s="1"/>
      <c r="J298" s="1"/>
      <c r="K298" s="1"/>
      <c r="L298" s="18"/>
      <c r="M298" s="18"/>
      <c r="N298" s="18"/>
      <c r="O298" s="18"/>
      <c r="P298" s="23"/>
      <c r="Q298" s="225"/>
      <c r="R298" s="125"/>
      <c r="S298" s="21"/>
    </row>
    <row r="299" spans="1:19" x14ac:dyDescent="0.35">
      <c r="A299" s="34">
        <v>45314</v>
      </c>
      <c r="B299" s="36"/>
      <c r="C299" s="36" t="s">
        <v>97</v>
      </c>
      <c r="D299" s="1"/>
      <c r="E299" s="1"/>
      <c r="F299" s="66"/>
      <c r="G299" s="66"/>
      <c r="H299" s="1"/>
      <c r="I299" s="1"/>
      <c r="J299" s="1"/>
      <c r="K299" s="1"/>
      <c r="L299" s="18"/>
      <c r="M299" s="18"/>
      <c r="N299" s="18"/>
      <c r="O299" s="18"/>
      <c r="P299" s="23"/>
      <c r="Q299" s="225"/>
      <c r="R299" s="125"/>
      <c r="S299" s="21"/>
    </row>
    <row r="300" spans="1:19" x14ac:dyDescent="0.35">
      <c r="A300" s="34">
        <v>45315</v>
      </c>
      <c r="B300" s="36"/>
      <c r="C300" s="36" t="s">
        <v>97</v>
      </c>
      <c r="D300" s="1"/>
      <c r="E300" s="1"/>
      <c r="F300" s="66"/>
      <c r="G300" s="66"/>
      <c r="H300" s="1"/>
      <c r="I300" s="1"/>
      <c r="J300" s="1"/>
      <c r="K300" s="1"/>
      <c r="L300" s="18"/>
      <c r="M300" s="18"/>
      <c r="N300" s="18"/>
      <c r="O300" s="18"/>
      <c r="P300" s="23"/>
      <c r="Q300" s="225"/>
      <c r="R300" s="125"/>
      <c r="S300" s="21"/>
    </row>
    <row r="301" spans="1:19" x14ac:dyDescent="0.35">
      <c r="A301" s="34">
        <v>45316</v>
      </c>
      <c r="B301" s="36"/>
      <c r="C301" s="36" t="s">
        <v>97</v>
      </c>
      <c r="D301" s="1"/>
      <c r="E301" s="1"/>
      <c r="F301" s="66"/>
      <c r="G301" s="66"/>
      <c r="H301" s="1"/>
      <c r="I301" s="1"/>
      <c r="J301" s="1"/>
      <c r="K301" s="1"/>
      <c r="L301" s="18"/>
      <c r="M301" s="18"/>
      <c r="N301" s="18"/>
      <c r="O301" s="18"/>
      <c r="P301" s="23"/>
      <c r="Q301" s="225"/>
      <c r="R301" s="125"/>
      <c r="S301" s="21"/>
    </row>
    <row r="302" spans="1:19" x14ac:dyDescent="0.35">
      <c r="A302" s="34">
        <v>45317</v>
      </c>
      <c r="B302" s="36"/>
      <c r="C302" s="36" t="s">
        <v>97</v>
      </c>
      <c r="D302" s="1"/>
      <c r="E302" s="1"/>
      <c r="F302" s="66"/>
      <c r="G302" s="66"/>
      <c r="H302" s="1"/>
      <c r="I302" s="1"/>
      <c r="J302" s="1"/>
      <c r="K302" s="1"/>
      <c r="L302" s="18"/>
      <c r="M302" s="18"/>
      <c r="N302" s="18"/>
      <c r="O302" s="18"/>
      <c r="P302" s="23"/>
      <c r="Q302" s="225"/>
      <c r="R302" s="125"/>
      <c r="S302" s="21"/>
    </row>
    <row r="303" spans="1:19" x14ac:dyDescent="0.35">
      <c r="A303" s="34">
        <v>45318</v>
      </c>
      <c r="B303" s="36"/>
      <c r="C303" s="36" t="s">
        <v>97</v>
      </c>
      <c r="D303" s="1"/>
      <c r="E303" s="1"/>
      <c r="F303" s="66"/>
      <c r="G303" s="66"/>
      <c r="H303" s="1"/>
      <c r="I303" s="1"/>
      <c r="J303" s="1"/>
      <c r="K303" s="1"/>
      <c r="L303" s="18"/>
      <c r="M303" s="18"/>
      <c r="N303" s="18"/>
      <c r="O303" s="18"/>
      <c r="P303" s="23"/>
      <c r="Q303" s="225"/>
      <c r="R303" s="125"/>
      <c r="S303" s="21"/>
    </row>
    <row r="304" spans="1:19" x14ac:dyDescent="0.35">
      <c r="A304" s="34">
        <v>45319</v>
      </c>
      <c r="B304" s="36"/>
      <c r="C304" s="36" t="s">
        <v>97</v>
      </c>
      <c r="D304" s="1"/>
      <c r="E304" s="1"/>
      <c r="F304" s="66"/>
      <c r="G304" s="66"/>
      <c r="H304" s="1"/>
      <c r="I304" s="1"/>
      <c r="J304" s="1"/>
      <c r="K304" s="1"/>
      <c r="L304" s="18"/>
      <c r="M304" s="18"/>
      <c r="N304" s="18"/>
      <c r="O304" s="18"/>
      <c r="P304" s="23"/>
      <c r="Q304" s="225"/>
      <c r="R304" s="125"/>
      <c r="S304" s="21"/>
    </row>
    <row r="305" spans="1:22" x14ac:dyDescent="0.35">
      <c r="A305" s="34">
        <v>45320</v>
      </c>
      <c r="B305" s="36"/>
      <c r="C305" s="36" t="s">
        <v>97</v>
      </c>
      <c r="D305" s="1"/>
      <c r="E305" s="1"/>
      <c r="F305" s="66"/>
      <c r="G305" s="66"/>
      <c r="H305" s="1"/>
      <c r="I305" s="1"/>
      <c r="J305" s="1"/>
      <c r="K305" s="1"/>
      <c r="L305" s="18"/>
      <c r="M305" s="18"/>
      <c r="N305" s="18"/>
      <c r="O305" s="18"/>
      <c r="P305" s="23"/>
      <c r="Q305" s="225"/>
      <c r="R305" s="125"/>
      <c r="S305" s="21"/>
    </row>
    <row r="306" spans="1:22" x14ac:dyDescent="0.35">
      <c r="A306" s="34">
        <v>45321</v>
      </c>
      <c r="B306" s="36"/>
      <c r="C306" s="36" t="s">
        <v>97</v>
      </c>
      <c r="D306" s="1"/>
      <c r="E306" s="1"/>
      <c r="F306" s="66"/>
      <c r="G306" s="66"/>
      <c r="H306" s="1"/>
      <c r="I306" s="1"/>
      <c r="J306" s="1"/>
      <c r="K306" s="1"/>
      <c r="L306" s="18"/>
      <c r="M306" s="18"/>
      <c r="N306" s="18"/>
      <c r="O306" s="18"/>
      <c r="P306" s="23"/>
      <c r="Q306" s="225"/>
      <c r="R306" s="125"/>
      <c r="S306" s="21"/>
    </row>
    <row r="307" spans="1:22" s="50" customFormat="1" x14ac:dyDescent="0.35">
      <c r="A307" s="34">
        <v>45322</v>
      </c>
      <c r="B307" s="51"/>
      <c r="C307" s="36" t="s">
        <v>97</v>
      </c>
      <c r="D307" s="1"/>
      <c r="E307" s="1"/>
      <c r="F307" s="66"/>
      <c r="G307" s="66"/>
      <c r="H307" s="1"/>
      <c r="I307" s="1"/>
      <c r="J307" s="1"/>
      <c r="K307" s="1"/>
      <c r="L307" s="18"/>
      <c r="M307" s="18"/>
      <c r="N307" s="18"/>
      <c r="O307" s="18"/>
      <c r="P307" s="23"/>
      <c r="Q307" s="225"/>
      <c r="R307" s="125"/>
      <c r="S307" s="161"/>
      <c r="T307"/>
      <c r="U307"/>
      <c r="V307"/>
    </row>
    <row r="308" spans="1:22" x14ac:dyDescent="0.35">
      <c r="A308" s="34">
        <v>45323</v>
      </c>
      <c r="B308" s="36"/>
      <c r="C308" s="36" t="s">
        <v>97</v>
      </c>
      <c r="D308" s="1"/>
      <c r="E308" s="1"/>
      <c r="F308" s="66"/>
      <c r="G308" s="66"/>
      <c r="H308" s="1"/>
      <c r="I308" s="1"/>
      <c r="J308" s="1"/>
      <c r="K308" s="1"/>
      <c r="L308" s="18"/>
      <c r="M308" s="18"/>
      <c r="N308" s="18"/>
      <c r="O308" s="18"/>
      <c r="P308" s="23"/>
      <c r="Q308" s="225"/>
      <c r="R308" s="125"/>
      <c r="S308" s="21"/>
    </row>
    <row r="309" spans="1:22" x14ac:dyDescent="0.35">
      <c r="A309" s="34">
        <v>45324</v>
      </c>
      <c r="B309" s="36"/>
      <c r="C309" s="36" t="s">
        <v>97</v>
      </c>
      <c r="D309" s="1"/>
      <c r="E309" s="1"/>
      <c r="F309" s="66"/>
      <c r="G309" s="66"/>
      <c r="H309" s="1"/>
      <c r="I309" s="1"/>
      <c r="J309" s="1"/>
      <c r="K309" s="1"/>
      <c r="L309" s="18"/>
      <c r="M309" s="18"/>
      <c r="N309" s="18"/>
      <c r="O309" s="18"/>
      <c r="P309" s="23"/>
      <c r="Q309" s="225"/>
      <c r="R309" s="125"/>
      <c r="S309" s="21"/>
    </row>
    <row r="310" spans="1:22" x14ac:dyDescent="0.35">
      <c r="A310" s="34">
        <v>45325</v>
      </c>
      <c r="B310" s="36"/>
      <c r="C310" s="36" t="s">
        <v>97</v>
      </c>
      <c r="D310" s="1"/>
      <c r="E310" s="1"/>
      <c r="F310" s="66"/>
      <c r="G310" s="66"/>
      <c r="H310" s="1"/>
      <c r="I310" s="1"/>
      <c r="J310" s="1"/>
      <c r="K310" s="1"/>
      <c r="L310" s="18"/>
      <c r="M310" s="18"/>
      <c r="N310" s="18"/>
      <c r="O310" s="18"/>
      <c r="P310" s="23"/>
      <c r="Q310" s="225"/>
      <c r="R310" s="125"/>
      <c r="S310" s="21"/>
    </row>
    <row r="311" spans="1:22" x14ac:dyDescent="0.35">
      <c r="A311" s="34">
        <v>45326</v>
      </c>
      <c r="B311" s="36"/>
      <c r="C311" s="36" t="s">
        <v>97</v>
      </c>
      <c r="D311" s="1"/>
      <c r="E311" s="1"/>
      <c r="F311" s="66"/>
      <c r="G311" s="66"/>
      <c r="H311" s="1"/>
      <c r="I311" s="1"/>
      <c r="J311" s="1"/>
      <c r="K311" s="1"/>
      <c r="L311" s="18"/>
      <c r="M311" s="18"/>
      <c r="N311" s="18"/>
      <c r="O311" s="18"/>
      <c r="P311" s="23"/>
      <c r="Q311" s="225"/>
      <c r="R311" s="125"/>
    </row>
    <row r="312" spans="1:22" x14ac:dyDescent="0.35">
      <c r="A312" s="34">
        <v>45327</v>
      </c>
      <c r="B312" s="36"/>
      <c r="C312" s="36" t="s">
        <v>97</v>
      </c>
      <c r="D312" s="1"/>
      <c r="E312" s="1"/>
      <c r="F312" s="66"/>
      <c r="G312" s="66"/>
      <c r="H312" s="1"/>
      <c r="I312" s="1"/>
      <c r="J312" s="1"/>
      <c r="K312" s="1"/>
      <c r="L312" s="18"/>
      <c r="M312" s="18"/>
      <c r="N312" s="18"/>
      <c r="O312" s="18"/>
      <c r="P312" s="23"/>
      <c r="Q312" s="225"/>
      <c r="R312" s="125"/>
    </row>
    <row r="313" spans="1:22" x14ac:dyDescent="0.35">
      <c r="A313" s="34">
        <v>45328</v>
      </c>
      <c r="B313" s="36"/>
      <c r="C313" s="36" t="s">
        <v>97</v>
      </c>
      <c r="D313" s="1"/>
      <c r="E313" s="1"/>
      <c r="F313" s="66"/>
      <c r="G313" s="66"/>
      <c r="H313" s="1"/>
      <c r="I313" s="1"/>
      <c r="J313" s="1"/>
      <c r="K313" s="1"/>
      <c r="L313" s="18"/>
      <c r="M313" s="18"/>
      <c r="N313" s="18"/>
      <c r="O313" s="18"/>
      <c r="P313" s="23"/>
      <c r="Q313" s="225"/>
      <c r="R313" s="125"/>
    </row>
    <row r="314" spans="1:22" x14ac:dyDescent="0.35">
      <c r="A314" s="34">
        <v>45329</v>
      </c>
      <c r="B314" s="36"/>
      <c r="C314" s="36" t="s">
        <v>97</v>
      </c>
      <c r="D314" s="1"/>
      <c r="E314" s="1"/>
      <c r="F314" s="66"/>
      <c r="G314" s="66"/>
      <c r="H314" s="1"/>
      <c r="I314" s="1"/>
      <c r="J314" s="1"/>
      <c r="K314" s="1"/>
      <c r="L314" s="18"/>
      <c r="M314" s="18"/>
      <c r="N314" s="18"/>
      <c r="O314" s="18"/>
      <c r="P314" s="23"/>
      <c r="Q314" s="225"/>
      <c r="R314" s="125"/>
      <c r="T314" s="50"/>
      <c r="U314" s="50"/>
      <c r="V314" s="50"/>
    </row>
    <row r="315" spans="1:22" x14ac:dyDescent="0.35">
      <c r="A315" s="34">
        <v>45330</v>
      </c>
      <c r="B315" s="36"/>
      <c r="C315" s="36" t="s">
        <v>97</v>
      </c>
      <c r="D315" s="1"/>
      <c r="E315" s="1"/>
      <c r="F315" s="66"/>
      <c r="G315" s="66"/>
      <c r="H315" s="1"/>
      <c r="I315" s="1"/>
      <c r="J315" s="1"/>
      <c r="K315" s="1"/>
      <c r="L315" s="18"/>
      <c r="M315" s="18"/>
      <c r="N315" s="18"/>
      <c r="O315" s="18"/>
      <c r="P315" s="23"/>
      <c r="Q315" s="225"/>
      <c r="R315" s="125"/>
    </row>
    <row r="316" spans="1:22" x14ac:dyDescent="0.35">
      <c r="A316" s="34">
        <v>45331</v>
      </c>
      <c r="B316" s="36"/>
      <c r="C316" s="36" t="s">
        <v>97</v>
      </c>
      <c r="D316" s="1"/>
      <c r="E316" s="1"/>
      <c r="F316" s="66"/>
      <c r="G316" s="66"/>
      <c r="H316" s="1"/>
      <c r="I316" s="1"/>
      <c r="J316" s="1"/>
      <c r="K316" s="1"/>
      <c r="L316" s="18"/>
      <c r="M316" s="18"/>
      <c r="N316" s="18"/>
      <c r="O316" s="18"/>
      <c r="P316" s="23"/>
      <c r="Q316" s="225"/>
      <c r="R316" s="125"/>
    </row>
    <row r="317" spans="1:22" x14ac:dyDescent="0.35">
      <c r="A317" s="34">
        <v>45332</v>
      </c>
      <c r="B317" s="36"/>
      <c r="C317" s="36" t="s">
        <v>97</v>
      </c>
      <c r="D317" s="1"/>
      <c r="E317" s="1"/>
      <c r="F317" s="66"/>
      <c r="G317" s="66"/>
      <c r="H317" s="1"/>
      <c r="I317" s="1"/>
      <c r="J317" s="1"/>
      <c r="K317" s="1"/>
      <c r="L317" s="18"/>
      <c r="M317" s="18"/>
      <c r="N317" s="18"/>
      <c r="O317" s="18"/>
      <c r="P317" s="23"/>
      <c r="Q317" s="225"/>
      <c r="R317" s="125"/>
    </row>
    <row r="318" spans="1:22" x14ac:dyDescent="0.35">
      <c r="A318" s="34">
        <v>45333</v>
      </c>
      <c r="B318" s="36"/>
      <c r="C318" s="36" t="s">
        <v>97</v>
      </c>
      <c r="D318" s="1"/>
      <c r="E318" s="1"/>
      <c r="F318" s="66"/>
      <c r="G318" s="66"/>
      <c r="H318" s="1"/>
      <c r="I318" s="1"/>
      <c r="J318" s="1"/>
      <c r="K318" s="1"/>
      <c r="L318" s="18"/>
      <c r="M318" s="18"/>
      <c r="N318" s="18"/>
      <c r="O318" s="18"/>
      <c r="P318" s="23"/>
      <c r="Q318" s="225"/>
      <c r="R318" s="125"/>
    </row>
    <row r="319" spans="1:22" x14ac:dyDescent="0.35">
      <c r="A319" s="34">
        <v>45334</v>
      </c>
      <c r="B319" s="36"/>
      <c r="C319" s="36" t="s">
        <v>97</v>
      </c>
      <c r="D319" s="1"/>
      <c r="E319" s="1"/>
      <c r="F319" s="66"/>
      <c r="G319" s="66"/>
      <c r="H319" s="1"/>
      <c r="I319" s="1"/>
      <c r="J319" s="1"/>
      <c r="K319" s="1"/>
      <c r="L319" s="18"/>
      <c r="M319" s="18"/>
      <c r="N319" s="18"/>
      <c r="O319" s="18"/>
      <c r="P319" s="23"/>
      <c r="Q319" s="225"/>
      <c r="R319" s="125"/>
    </row>
    <row r="320" spans="1:22" x14ac:dyDescent="0.35">
      <c r="A320" s="34">
        <v>45335</v>
      </c>
      <c r="B320" s="36"/>
      <c r="C320" s="36" t="s">
        <v>97</v>
      </c>
      <c r="D320" s="1"/>
      <c r="E320" s="1"/>
      <c r="F320" s="66"/>
      <c r="G320" s="66"/>
      <c r="H320" s="1"/>
      <c r="I320" s="1"/>
      <c r="J320" s="1"/>
      <c r="K320" s="1"/>
      <c r="L320" s="18"/>
      <c r="M320" s="18"/>
      <c r="N320" s="18"/>
      <c r="O320" s="18"/>
      <c r="P320" s="23"/>
      <c r="Q320" s="225"/>
      <c r="R320" s="125"/>
    </row>
    <row r="321" spans="1:22" x14ac:dyDescent="0.35">
      <c r="A321" s="34">
        <v>45336</v>
      </c>
      <c r="B321" s="36"/>
      <c r="C321" s="36" t="s">
        <v>97</v>
      </c>
      <c r="D321" s="1"/>
      <c r="E321" s="1"/>
      <c r="F321" s="66"/>
      <c r="G321" s="66"/>
      <c r="H321" s="1"/>
      <c r="I321" s="1"/>
      <c r="J321" s="1"/>
      <c r="K321" s="1"/>
      <c r="L321" s="18"/>
      <c r="M321" s="18"/>
      <c r="N321" s="18"/>
      <c r="O321" s="18"/>
      <c r="P321" s="23"/>
      <c r="Q321" s="225"/>
      <c r="R321" s="125"/>
    </row>
    <row r="322" spans="1:22" x14ac:dyDescent="0.35">
      <c r="A322" s="34">
        <v>45337</v>
      </c>
      <c r="B322" s="36"/>
      <c r="C322" s="36" t="s">
        <v>97</v>
      </c>
      <c r="D322" s="1"/>
      <c r="E322" s="1"/>
      <c r="F322" s="66"/>
      <c r="G322" s="66"/>
      <c r="H322" s="1"/>
      <c r="I322" s="1"/>
      <c r="J322" s="1"/>
      <c r="K322" s="1"/>
      <c r="L322" s="18"/>
      <c r="M322" s="18"/>
      <c r="N322" s="18"/>
      <c r="O322" s="18"/>
      <c r="P322" s="23"/>
      <c r="Q322" s="225"/>
      <c r="R322" s="125"/>
    </row>
    <row r="323" spans="1:22" x14ac:dyDescent="0.35">
      <c r="A323" s="34">
        <v>45338</v>
      </c>
      <c r="B323" s="36"/>
      <c r="C323" s="36" t="s">
        <v>97</v>
      </c>
      <c r="D323" s="1"/>
      <c r="E323" s="1"/>
      <c r="F323" s="66"/>
      <c r="G323" s="66"/>
      <c r="H323" s="1"/>
      <c r="I323" s="1"/>
      <c r="J323" s="1"/>
      <c r="K323" s="1"/>
      <c r="L323" s="18"/>
      <c r="M323" s="18"/>
      <c r="N323" s="18"/>
      <c r="O323" s="18"/>
      <c r="P323" s="23"/>
      <c r="Q323" s="225"/>
      <c r="R323" s="125"/>
    </row>
    <row r="324" spans="1:22" x14ac:dyDescent="0.35">
      <c r="A324" s="34">
        <v>45339</v>
      </c>
      <c r="B324" s="36"/>
      <c r="C324" s="36" t="s">
        <v>97</v>
      </c>
      <c r="D324" s="1"/>
      <c r="E324" s="1"/>
      <c r="F324" s="66"/>
      <c r="G324" s="66"/>
      <c r="H324" s="1"/>
      <c r="I324" s="1"/>
      <c r="J324" s="1"/>
      <c r="K324" s="1"/>
      <c r="L324" s="18"/>
      <c r="M324" s="18"/>
      <c r="N324" s="18"/>
      <c r="O324" s="18"/>
      <c r="P324" s="23"/>
      <c r="Q324" s="225"/>
      <c r="R324" s="125"/>
    </row>
    <row r="325" spans="1:22" x14ac:dyDescent="0.35">
      <c r="A325" s="34">
        <v>45340</v>
      </c>
      <c r="B325" s="36"/>
      <c r="C325" s="36" t="s">
        <v>97</v>
      </c>
      <c r="D325" s="1"/>
      <c r="E325" s="1"/>
      <c r="F325" s="66"/>
      <c r="G325" s="66"/>
      <c r="H325" s="1"/>
      <c r="I325" s="1"/>
      <c r="J325" s="1"/>
      <c r="K325" s="1"/>
      <c r="L325" s="18"/>
      <c r="M325" s="18"/>
      <c r="N325" s="18"/>
      <c r="O325" s="18"/>
      <c r="P325" s="23"/>
      <c r="Q325" s="225"/>
      <c r="R325" s="125"/>
    </row>
    <row r="326" spans="1:22" x14ac:dyDescent="0.35">
      <c r="A326" s="34">
        <v>45341</v>
      </c>
      <c r="B326" s="36"/>
      <c r="C326" s="36" t="s">
        <v>97</v>
      </c>
      <c r="D326" s="1"/>
      <c r="E326" s="1"/>
      <c r="F326" s="66"/>
      <c r="G326" s="66"/>
      <c r="H326" s="1"/>
      <c r="I326" s="1"/>
      <c r="J326" s="1"/>
      <c r="K326" s="1"/>
      <c r="L326" s="18"/>
      <c r="M326" s="18"/>
      <c r="N326" s="18"/>
      <c r="O326" s="18"/>
      <c r="P326" s="23"/>
      <c r="Q326" s="225"/>
      <c r="R326" s="125"/>
    </row>
    <row r="327" spans="1:22" x14ac:dyDescent="0.35">
      <c r="A327" s="34">
        <v>45342</v>
      </c>
      <c r="B327" s="36"/>
      <c r="C327" s="36" t="s">
        <v>97</v>
      </c>
      <c r="D327" s="1"/>
      <c r="E327" s="1"/>
      <c r="F327" s="66"/>
      <c r="G327" s="66"/>
      <c r="H327" s="1"/>
      <c r="I327" s="1"/>
      <c r="J327" s="1"/>
      <c r="K327" s="1"/>
      <c r="L327" s="18"/>
      <c r="M327" s="18"/>
      <c r="N327" s="18"/>
      <c r="O327" s="18"/>
      <c r="P327" s="23"/>
      <c r="Q327" s="225"/>
      <c r="R327" s="125"/>
    </row>
    <row r="328" spans="1:22" x14ac:dyDescent="0.35">
      <c r="A328" s="34">
        <v>45343</v>
      </c>
      <c r="B328" s="36"/>
      <c r="C328" s="36" t="s">
        <v>97</v>
      </c>
      <c r="D328" s="1"/>
      <c r="E328" s="1"/>
      <c r="F328" s="66"/>
      <c r="G328" s="66"/>
      <c r="H328" s="1"/>
      <c r="I328" s="1"/>
      <c r="J328" s="1"/>
      <c r="K328" s="1"/>
      <c r="L328" s="18"/>
      <c r="M328" s="18"/>
      <c r="N328" s="18"/>
      <c r="O328" s="18"/>
      <c r="P328" s="23"/>
      <c r="Q328" s="225"/>
      <c r="R328" s="125"/>
    </row>
    <row r="329" spans="1:22" x14ac:dyDescent="0.35">
      <c r="A329" s="34">
        <v>45344</v>
      </c>
      <c r="B329" s="36"/>
      <c r="C329" s="36" t="s">
        <v>97</v>
      </c>
      <c r="D329" s="1"/>
      <c r="E329" s="1"/>
      <c r="F329" s="66"/>
      <c r="G329" s="66"/>
      <c r="H329" s="1"/>
      <c r="I329" s="1"/>
      <c r="J329" s="1"/>
      <c r="K329" s="1"/>
      <c r="L329" s="18"/>
      <c r="M329" s="18"/>
      <c r="N329" s="18"/>
      <c r="O329" s="18"/>
      <c r="P329" s="23"/>
      <c r="Q329" s="225"/>
      <c r="R329" s="125"/>
    </row>
    <row r="330" spans="1:22" x14ac:dyDescent="0.35">
      <c r="A330" s="34">
        <v>45345</v>
      </c>
      <c r="B330" s="36"/>
      <c r="C330" s="36" t="s">
        <v>97</v>
      </c>
      <c r="D330" s="1"/>
      <c r="E330" s="1"/>
      <c r="F330" s="66"/>
      <c r="G330" s="66"/>
      <c r="H330" s="1"/>
      <c r="I330" s="1"/>
      <c r="J330" s="1"/>
      <c r="K330" s="1"/>
      <c r="L330" s="18"/>
      <c r="M330" s="18"/>
      <c r="N330" s="18"/>
      <c r="O330" s="18"/>
      <c r="P330" s="23"/>
      <c r="Q330" s="225"/>
      <c r="R330" s="125"/>
    </row>
    <row r="331" spans="1:22" x14ac:dyDescent="0.35">
      <c r="A331" s="34">
        <v>45346</v>
      </c>
      <c r="B331" s="36"/>
      <c r="C331" s="36" t="s">
        <v>97</v>
      </c>
      <c r="D331" s="1"/>
      <c r="E331" s="1"/>
      <c r="F331" s="66"/>
      <c r="G331" s="66"/>
      <c r="H331" s="1"/>
      <c r="I331" s="1"/>
      <c r="J331" s="1"/>
      <c r="K331" s="1"/>
      <c r="L331" s="18"/>
      <c r="M331" s="18"/>
      <c r="N331" s="18"/>
      <c r="O331" s="18"/>
      <c r="P331" s="23"/>
      <c r="Q331" s="225"/>
      <c r="R331" s="125"/>
    </row>
    <row r="332" spans="1:22" x14ac:dyDescent="0.35">
      <c r="A332" s="34">
        <v>45347</v>
      </c>
      <c r="B332" s="36"/>
      <c r="C332" s="36" t="s">
        <v>97</v>
      </c>
      <c r="D332" s="1"/>
      <c r="E332" s="1"/>
      <c r="F332" s="66"/>
      <c r="G332" s="66"/>
      <c r="H332" s="1"/>
      <c r="I332" s="1"/>
      <c r="J332" s="1"/>
      <c r="K332" s="1"/>
      <c r="L332" s="18"/>
      <c r="M332" s="18"/>
      <c r="N332" s="18"/>
      <c r="O332" s="18"/>
      <c r="P332" s="23"/>
      <c r="Q332" s="225"/>
      <c r="R332" s="125"/>
    </row>
    <row r="333" spans="1:22" x14ac:dyDescent="0.35">
      <c r="A333" s="34">
        <v>45348</v>
      </c>
      <c r="B333" s="36"/>
      <c r="C333" s="36" t="s">
        <v>97</v>
      </c>
      <c r="D333" s="1"/>
      <c r="E333" s="1"/>
      <c r="F333" s="66"/>
      <c r="G333" s="66"/>
      <c r="H333" s="1"/>
      <c r="I333" s="1"/>
      <c r="J333" s="1"/>
      <c r="K333" s="1"/>
      <c r="L333" s="18"/>
      <c r="M333" s="18"/>
      <c r="N333" s="18"/>
      <c r="O333" s="18"/>
      <c r="P333" s="23"/>
      <c r="Q333" s="225"/>
      <c r="R333" s="125"/>
    </row>
    <row r="334" spans="1:22" x14ac:dyDescent="0.35">
      <c r="A334" s="34">
        <v>45349</v>
      </c>
      <c r="B334" s="36"/>
      <c r="C334" s="36" t="s">
        <v>97</v>
      </c>
      <c r="D334" s="1"/>
      <c r="E334" s="1"/>
      <c r="F334" s="66"/>
      <c r="G334" s="66"/>
      <c r="H334" s="1"/>
      <c r="I334" s="1"/>
      <c r="J334" s="1"/>
      <c r="K334" s="1"/>
      <c r="L334" s="18"/>
      <c r="M334" s="18"/>
      <c r="N334" s="18"/>
      <c r="O334" s="18"/>
      <c r="P334" s="23"/>
      <c r="Q334" s="225"/>
      <c r="R334" s="125"/>
    </row>
    <row r="335" spans="1:22" s="50" customFormat="1" x14ac:dyDescent="0.35">
      <c r="A335" s="34">
        <v>45350</v>
      </c>
      <c r="B335" s="51"/>
      <c r="C335" s="36" t="s">
        <v>97</v>
      </c>
      <c r="D335" s="1"/>
      <c r="E335" s="1"/>
      <c r="F335" s="66"/>
      <c r="G335" s="66"/>
      <c r="H335" s="1"/>
      <c r="I335" s="1"/>
      <c r="J335" s="1"/>
      <c r="K335" s="1"/>
      <c r="L335" s="18"/>
      <c r="M335" s="18"/>
      <c r="N335" s="18"/>
      <c r="O335" s="18"/>
      <c r="P335" s="23"/>
      <c r="Q335" s="225"/>
      <c r="R335" s="125"/>
      <c r="S335" s="165"/>
      <c r="T335"/>
      <c r="U335"/>
      <c r="V335"/>
    </row>
    <row r="336" spans="1:22" x14ac:dyDescent="0.35">
      <c r="A336" s="34">
        <v>45351</v>
      </c>
      <c r="B336" s="36"/>
      <c r="C336" s="36" t="s">
        <v>97</v>
      </c>
      <c r="D336" s="1"/>
      <c r="E336" s="1"/>
      <c r="F336" s="66"/>
      <c r="G336" s="66"/>
      <c r="H336" s="1"/>
      <c r="I336" s="1"/>
      <c r="J336" s="1"/>
      <c r="K336" s="1"/>
      <c r="L336" s="18"/>
      <c r="M336" s="18"/>
      <c r="N336" s="18"/>
      <c r="O336" s="18"/>
      <c r="P336" s="23"/>
      <c r="Q336" s="225"/>
      <c r="R336" s="125"/>
    </row>
    <row r="337" spans="1:22" x14ac:dyDescent="0.35">
      <c r="A337" s="34">
        <v>45352</v>
      </c>
      <c r="B337" s="36"/>
      <c r="C337" s="36" t="s">
        <v>97</v>
      </c>
      <c r="D337" s="1"/>
      <c r="E337" s="1"/>
      <c r="F337" s="66"/>
      <c r="G337" s="66"/>
      <c r="H337" s="1"/>
      <c r="I337" s="1"/>
      <c r="J337" s="1"/>
      <c r="K337" s="1"/>
      <c r="L337" s="18"/>
      <c r="M337" s="18"/>
      <c r="N337" s="18"/>
      <c r="O337" s="18"/>
      <c r="P337" s="23"/>
      <c r="Q337" s="225"/>
      <c r="R337" s="125"/>
    </row>
    <row r="338" spans="1:22" x14ac:dyDescent="0.35">
      <c r="A338" s="34">
        <v>45353</v>
      </c>
      <c r="B338" s="36"/>
      <c r="C338" s="36" t="s">
        <v>97</v>
      </c>
      <c r="D338" s="1"/>
      <c r="E338" s="1"/>
      <c r="F338" s="66"/>
      <c r="G338" s="66"/>
      <c r="H338" s="1"/>
      <c r="I338" s="1"/>
      <c r="J338" s="1"/>
      <c r="K338" s="1"/>
      <c r="L338" s="18"/>
      <c r="M338" s="18"/>
      <c r="N338" s="18"/>
      <c r="O338" s="18"/>
      <c r="P338" s="23"/>
      <c r="Q338" s="225"/>
      <c r="R338" s="125"/>
    </row>
    <row r="339" spans="1:22" x14ac:dyDescent="0.35">
      <c r="A339" s="34">
        <v>45354</v>
      </c>
      <c r="B339" s="36"/>
      <c r="C339" s="36" t="s">
        <v>97</v>
      </c>
      <c r="D339" s="1"/>
      <c r="E339" s="1"/>
      <c r="F339" s="66"/>
      <c r="G339" s="66"/>
      <c r="H339" s="1"/>
      <c r="I339" s="1"/>
      <c r="J339" s="1"/>
      <c r="K339" s="1"/>
      <c r="L339" s="18"/>
      <c r="M339" s="18"/>
      <c r="N339" s="18"/>
      <c r="O339" s="18"/>
      <c r="P339" s="23"/>
      <c r="Q339" s="225"/>
      <c r="R339" s="125"/>
      <c r="T339" s="50"/>
      <c r="U339" s="50"/>
      <c r="V339" s="50"/>
    </row>
    <row r="340" spans="1:22" x14ac:dyDescent="0.35">
      <c r="A340" s="34">
        <v>45355</v>
      </c>
      <c r="B340" s="36"/>
      <c r="C340" s="36" t="s">
        <v>97</v>
      </c>
      <c r="D340" s="1"/>
      <c r="E340" s="1"/>
      <c r="F340" s="66"/>
      <c r="G340" s="66"/>
      <c r="H340" s="1"/>
      <c r="I340" s="1"/>
      <c r="J340" s="1"/>
      <c r="K340" s="1"/>
      <c r="L340" s="18"/>
      <c r="M340" s="18"/>
      <c r="N340" s="18"/>
      <c r="O340" s="18"/>
      <c r="P340" s="23"/>
      <c r="Q340" s="225"/>
      <c r="R340" s="125"/>
    </row>
    <row r="341" spans="1:22" x14ac:dyDescent="0.35">
      <c r="A341" s="34">
        <v>45356</v>
      </c>
      <c r="B341" s="36"/>
      <c r="C341" s="36" t="s">
        <v>97</v>
      </c>
      <c r="D341" s="1"/>
      <c r="E341" s="1"/>
      <c r="F341" s="66"/>
      <c r="G341" s="66"/>
      <c r="H341" s="1"/>
      <c r="I341" s="1"/>
      <c r="J341" s="1"/>
      <c r="K341" s="1"/>
      <c r="L341" s="18"/>
      <c r="M341" s="18"/>
      <c r="N341" s="18"/>
      <c r="O341" s="18"/>
      <c r="P341" s="23"/>
      <c r="Q341" s="225"/>
      <c r="R341" s="125"/>
    </row>
    <row r="342" spans="1:22" x14ac:dyDescent="0.35">
      <c r="A342" s="34">
        <v>45357</v>
      </c>
      <c r="B342" s="36"/>
      <c r="C342" s="36" t="s">
        <v>97</v>
      </c>
      <c r="D342" s="1"/>
      <c r="E342" s="1"/>
      <c r="F342" s="66"/>
      <c r="G342" s="66"/>
      <c r="H342" s="1"/>
      <c r="I342" s="1"/>
      <c r="J342" s="1"/>
      <c r="K342" s="1"/>
      <c r="L342" s="18"/>
      <c r="M342" s="18"/>
      <c r="N342" s="18"/>
      <c r="O342" s="18"/>
      <c r="P342" s="23"/>
      <c r="Q342" s="225"/>
      <c r="R342" s="125"/>
    </row>
    <row r="343" spans="1:22" x14ac:dyDescent="0.35">
      <c r="A343" s="34">
        <v>45358</v>
      </c>
      <c r="B343" s="36"/>
      <c r="C343" s="36" t="s">
        <v>97</v>
      </c>
      <c r="D343" s="1"/>
      <c r="E343" s="1"/>
      <c r="F343" s="66"/>
      <c r="G343" s="66"/>
      <c r="H343" s="1"/>
      <c r="I343" s="1"/>
      <c r="J343" s="1"/>
      <c r="K343" s="1"/>
      <c r="L343" s="18"/>
      <c r="M343" s="18"/>
      <c r="N343" s="18"/>
      <c r="O343" s="18"/>
      <c r="P343" s="23"/>
      <c r="Q343" s="225"/>
      <c r="R343" s="125"/>
    </row>
    <row r="344" spans="1:22" x14ac:dyDescent="0.35">
      <c r="A344" s="34">
        <v>45359</v>
      </c>
      <c r="B344" s="36"/>
      <c r="C344" s="36" t="s">
        <v>97</v>
      </c>
      <c r="D344" s="1"/>
      <c r="E344" s="1"/>
      <c r="F344" s="66"/>
      <c r="G344" s="66"/>
      <c r="H344" s="1"/>
      <c r="I344" s="1"/>
      <c r="J344" s="1"/>
      <c r="K344" s="1"/>
      <c r="L344" s="18"/>
      <c r="M344" s="18"/>
      <c r="N344" s="18"/>
      <c r="O344" s="18"/>
      <c r="P344" s="23"/>
      <c r="Q344" s="225"/>
      <c r="R344" s="125"/>
    </row>
    <row r="345" spans="1:22" x14ac:dyDescent="0.35">
      <c r="A345" s="34">
        <v>45360</v>
      </c>
      <c r="B345" s="36"/>
      <c r="C345" s="36" t="s">
        <v>97</v>
      </c>
      <c r="D345" s="1"/>
      <c r="E345" s="1"/>
      <c r="F345" s="66"/>
      <c r="G345" s="66"/>
      <c r="H345" s="1"/>
      <c r="I345" s="1"/>
      <c r="J345" s="1"/>
      <c r="K345" s="1"/>
      <c r="L345" s="18"/>
      <c r="M345" s="18"/>
      <c r="N345" s="18"/>
      <c r="O345" s="18"/>
      <c r="P345" s="23"/>
      <c r="Q345" s="225"/>
      <c r="R345" s="125"/>
    </row>
    <row r="346" spans="1:22" x14ac:dyDescent="0.35">
      <c r="A346" s="34">
        <v>45361</v>
      </c>
      <c r="B346" s="36"/>
      <c r="C346" s="36" t="s">
        <v>97</v>
      </c>
      <c r="D346" s="1"/>
      <c r="E346" s="1"/>
      <c r="F346" s="66"/>
      <c r="G346" s="66"/>
      <c r="H346" s="1"/>
      <c r="I346" s="1"/>
      <c r="J346" s="1"/>
      <c r="K346" s="1"/>
      <c r="L346" s="18"/>
      <c r="M346" s="18"/>
      <c r="N346" s="18"/>
      <c r="O346" s="18"/>
      <c r="P346" s="23"/>
      <c r="Q346" s="225"/>
      <c r="R346" s="125"/>
    </row>
    <row r="347" spans="1:22" x14ac:dyDescent="0.35">
      <c r="A347" s="34">
        <v>45362</v>
      </c>
      <c r="B347" s="36"/>
      <c r="C347" s="36" t="s">
        <v>97</v>
      </c>
      <c r="D347" s="1"/>
      <c r="E347" s="1"/>
      <c r="F347" s="66"/>
      <c r="G347" s="66"/>
      <c r="H347" s="1"/>
      <c r="I347" s="1"/>
      <c r="J347" s="1"/>
      <c r="K347" s="1"/>
      <c r="L347" s="18"/>
      <c r="M347" s="18"/>
      <c r="N347" s="18"/>
      <c r="O347" s="18"/>
      <c r="P347" s="23"/>
      <c r="Q347" s="225"/>
      <c r="R347" s="125"/>
    </row>
    <row r="348" spans="1:22" x14ac:dyDescent="0.35">
      <c r="A348" s="34">
        <v>45363</v>
      </c>
      <c r="B348" s="36"/>
      <c r="C348" s="36" t="s">
        <v>97</v>
      </c>
      <c r="D348" s="1"/>
      <c r="E348" s="1"/>
      <c r="F348" s="66"/>
      <c r="G348" s="66"/>
      <c r="H348" s="1"/>
      <c r="I348" s="1"/>
      <c r="J348" s="1"/>
      <c r="K348" s="1"/>
      <c r="L348" s="18"/>
      <c r="M348" s="18"/>
      <c r="N348" s="18"/>
      <c r="O348" s="18"/>
      <c r="P348" s="23"/>
      <c r="Q348" s="225"/>
      <c r="R348" s="125"/>
    </row>
    <row r="349" spans="1:22" x14ac:dyDescent="0.35">
      <c r="A349" s="34">
        <v>45364</v>
      </c>
      <c r="B349" s="36"/>
      <c r="C349" s="36" t="s">
        <v>97</v>
      </c>
      <c r="D349" s="1"/>
      <c r="E349" s="1"/>
      <c r="F349" s="66"/>
      <c r="G349" s="66"/>
      <c r="H349" s="1"/>
      <c r="I349" s="1"/>
      <c r="J349" s="1"/>
      <c r="K349" s="1"/>
      <c r="L349" s="18"/>
      <c r="M349" s="18"/>
      <c r="N349" s="18"/>
      <c r="O349" s="18"/>
      <c r="P349" s="23"/>
      <c r="Q349" s="225"/>
      <c r="R349" s="125"/>
    </row>
    <row r="350" spans="1:22" x14ac:dyDescent="0.35">
      <c r="A350" s="34">
        <v>45365</v>
      </c>
      <c r="B350" s="36"/>
      <c r="C350" s="36" t="s">
        <v>97</v>
      </c>
      <c r="D350" s="1"/>
      <c r="E350" s="1"/>
      <c r="F350" s="66"/>
      <c r="G350" s="66"/>
      <c r="H350" s="1"/>
      <c r="I350" s="1"/>
      <c r="J350" s="1"/>
      <c r="K350" s="1"/>
      <c r="L350" s="18"/>
      <c r="M350" s="18"/>
      <c r="N350" s="18"/>
      <c r="O350" s="18"/>
      <c r="P350" s="23"/>
      <c r="Q350" s="225"/>
      <c r="R350" s="125"/>
    </row>
    <row r="351" spans="1:22" x14ac:dyDescent="0.35">
      <c r="A351" s="34">
        <v>45366</v>
      </c>
      <c r="B351" s="36"/>
      <c r="C351" s="36" t="s">
        <v>97</v>
      </c>
      <c r="D351" s="1"/>
      <c r="E351" s="1"/>
      <c r="F351" s="66"/>
      <c r="G351" s="66"/>
      <c r="H351" s="1"/>
      <c r="I351" s="1"/>
      <c r="J351" s="1"/>
      <c r="K351" s="1"/>
      <c r="L351" s="18"/>
      <c r="M351" s="18"/>
      <c r="N351" s="18"/>
      <c r="O351" s="18"/>
      <c r="P351" s="23"/>
      <c r="Q351" s="225"/>
      <c r="R351" s="125"/>
    </row>
    <row r="352" spans="1:22" x14ac:dyDescent="0.35">
      <c r="A352" s="34">
        <v>45367</v>
      </c>
      <c r="B352" s="36"/>
      <c r="C352" s="36" t="s">
        <v>97</v>
      </c>
      <c r="D352" s="1"/>
      <c r="E352" s="1"/>
      <c r="F352" s="66"/>
      <c r="G352" s="66"/>
      <c r="H352" s="1"/>
      <c r="I352" s="1"/>
      <c r="J352" s="1"/>
      <c r="K352" s="1"/>
      <c r="L352" s="18"/>
      <c r="M352" s="18"/>
      <c r="N352" s="18"/>
      <c r="O352" s="18"/>
      <c r="P352" s="23"/>
      <c r="Q352" s="225"/>
      <c r="R352" s="125"/>
    </row>
    <row r="353" spans="1:18" x14ac:dyDescent="0.35">
      <c r="A353" s="34">
        <v>45368</v>
      </c>
      <c r="B353" s="36"/>
      <c r="C353" s="36" t="s">
        <v>97</v>
      </c>
      <c r="D353" s="1"/>
      <c r="E353" s="1"/>
      <c r="F353" s="66"/>
      <c r="G353" s="66"/>
      <c r="H353" s="1"/>
      <c r="I353" s="1"/>
      <c r="J353" s="1"/>
      <c r="K353" s="1"/>
      <c r="L353" s="18"/>
      <c r="M353" s="18"/>
      <c r="N353" s="18"/>
      <c r="O353" s="18"/>
      <c r="P353" s="23"/>
      <c r="Q353" s="225"/>
      <c r="R353" s="125"/>
    </row>
    <row r="354" spans="1:18" x14ac:dyDescent="0.35">
      <c r="A354" s="34">
        <v>45369</v>
      </c>
      <c r="B354" s="36"/>
      <c r="C354" s="36" t="s">
        <v>97</v>
      </c>
      <c r="D354" s="1"/>
      <c r="E354" s="1"/>
      <c r="F354" s="66"/>
      <c r="G354" s="66"/>
      <c r="H354" s="1"/>
      <c r="I354" s="1"/>
      <c r="J354" s="1"/>
      <c r="K354" s="1"/>
      <c r="L354" s="18"/>
      <c r="M354" s="18"/>
      <c r="N354" s="18"/>
      <c r="O354" s="18"/>
      <c r="P354" s="23"/>
      <c r="Q354" s="225"/>
      <c r="R354" s="125"/>
    </row>
    <row r="355" spans="1:18" x14ac:dyDescent="0.35">
      <c r="A355" s="34">
        <v>45370</v>
      </c>
      <c r="B355" s="36"/>
      <c r="C355" s="36" t="s">
        <v>97</v>
      </c>
      <c r="D355" s="1"/>
      <c r="E355" s="1"/>
      <c r="F355" s="66"/>
      <c r="G355" s="66"/>
      <c r="H355" s="1"/>
      <c r="I355" s="1"/>
      <c r="J355" s="1"/>
      <c r="K355" s="1"/>
      <c r="L355" s="18"/>
      <c r="M355" s="18"/>
      <c r="N355" s="18"/>
      <c r="O355" s="18"/>
      <c r="P355" s="23"/>
      <c r="Q355" s="225"/>
      <c r="R355" s="125"/>
    </row>
    <row r="356" spans="1:18" x14ac:dyDescent="0.35">
      <c r="A356" s="34">
        <v>45371</v>
      </c>
      <c r="B356" s="36"/>
      <c r="C356" s="36" t="s">
        <v>97</v>
      </c>
      <c r="D356" s="1"/>
      <c r="E356" s="1"/>
      <c r="F356" s="66"/>
      <c r="G356" s="66"/>
      <c r="H356" s="1"/>
      <c r="I356" s="1"/>
      <c r="J356" s="1"/>
      <c r="K356" s="1"/>
      <c r="L356" s="18"/>
      <c r="M356" s="18"/>
      <c r="N356" s="18"/>
      <c r="O356" s="18"/>
      <c r="P356" s="23"/>
      <c r="Q356" s="225"/>
      <c r="R356" s="125"/>
    </row>
    <row r="357" spans="1:18" x14ac:dyDescent="0.35">
      <c r="A357" s="34">
        <v>45372</v>
      </c>
      <c r="B357" s="36"/>
      <c r="C357" s="36" t="s">
        <v>97</v>
      </c>
      <c r="D357" s="1"/>
      <c r="E357" s="1"/>
      <c r="F357" s="66"/>
      <c r="G357" s="66"/>
      <c r="H357" s="1"/>
      <c r="I357" s="1"/>
      <c r="J357" s="1"/>
      <c r="K357" s="1"/>
      <c r="L357" s="18"/>
      <c r="M357" s="18"/>
      <c r="N357" s="18"/>
      <c r="O357" s="18"/>
      <c r="P357" s="23"/>
      <c r="Q357" s="225"/>
      <c r="R357" s="125"/>
    </row>
    <row r="358" spans="1:18" x14ac:dyDescent="0.35">
      <c r="A358" s="34">
        <v>45373</v>
      </c>
      <c r="B358" s="36"/>
      <c r="C358" s="36" t="s">
        <v>97</v>
      </c>
      <c r="D358" s="1"/>
      <c r="E358" s="1"/>
      <c r="F358" s="66"/>
      <c r="G358" s="66"/>
      <c r="H358" s="1"/>
      <c r="I358" s="1"/>
      <c r="J358" s="1"/>
      <c r="K358" s="1"/>
      <c r="L358" s="18"/>
      <c r="M358" s="18"/>
      <c r="N358" s="18"/>
      <c r="O358" s="18"/>
      <c r="P358" s="23"/>
      <c r="Q358" s="225"/>
      <c r="R358" s="125"/>
    </row>
    <row r="359" spans="1:18" x14ac:dyDescent="0.35">
      <c r="A359" s="34">
        <v>45374</v>
      </c>
      <c r="B359" s="36"/>
      <c r="C359" s="36" t="s">
        <v>97</v>
      </c>
      <c r="D359" s="1"/>
      <c r="E359" s="1"/>
      <c r="F359" s="66"/>
      <c r="G359" s="66"/>
      <c r="H359" s="1"/>
      <c r="I359" s="1"/>
      <c r="J359" s="1"/>
      <c r="K359" s="1"/>
      <c r="L359" s="18"/>
      <c r="M359" s="18"/>
      <c r="N359" s="18"/>
      <c r="O359" s="18"/>
      <c r="P359" s="23"/>
      <c r="Q359" s="225"/>
      <c r="R359" s="125"/>
    </row>
    <row r="360" spans="1:18" x14ac:dyDescent="0.35">
      <c r="A360" s="34">
        <v>45375</v>
      </c>
      <c r="B360" s="36"/>
      <c r="C360" s="36" t="s">
        <v>97</v>
      </c>
      <c r="D360" s="1"/>
      <c r="E360" s="1"/>
      <c r="F360" s="66"/>
      <c r="G360" s="66"/>
      <c r="H360" s="1"/>
      <c r="I360" s="1"/>
      <c r="J360" s="1"/>
      <c r="K360" s="1"/>
      <c r="L360" s="18"/>
      <c r="M360" s="18"/>
      <c r="N360" s="18"/>
      <c r="O360" s="18"/>
      <c r="P360" s="23"/>
      <c r="Q360" s="225"/>
      <c r="R360" s="125"/>
    </row>
    <row r="361" spans="1:18" x14ac:dyDescent="0.35">
      <c r="A361" s="34">
        <v>45376</v>
      </c>
      <c r="B361" s="36"/>
      <c r="C361" s="36" t="s">
        <v>97</v>
      </c>
      <c r="D361" s="1"/>
      <c r="E361" s="1"/>
      <c r="F361" s="66"/>
      <c r="G361" s="66"/>
      <c r="H361" s="1"/>
      <c r="I361" s="1"/>
      <c r="J361" s="1"/>
      <c r="K361" s="1"/>
      <c r="L361" s="18"/>
      <c r="M361" s="18"/>
      <c r="N361" s="18"/>
      <c r="O361" s="18"/>
      <c r="P361" s="23"/>
      <c r="Q361" s="225"/>
      <c r="R361" s="125"/>
    </row>
    <row r="362" spans="1:18" x14ac:dyDescent="0.35">
      <c r="A362" s="34">
        <v>45377</v>
      </c>
      <c r="B362" s="36"/>
      <c r="C362" s="36" t="s">
        <v>97</v>
      </c>
      <c r="D362" s="1"/>
      <c r="E362" s="1"/>
      <c r="F362" s="66"/>
      <c r="G362" s="66"/>
      <c r="H362" s="1"/>
      <c r="I362" s="1"/>
      <c r="J362" s="1"/>
      <c r="K362" s="1"/>
      <c r="L362" s="18"/>
      <c r="M362" s="18"/>
      <c r="N362" s="18"/>
      <c r="O362" s="18"/>
      <c r="P362" s="23"/>
      <c r="Q362" s="225"/>
      <c r="R362" s="125"/>
    </row>
    <row r="363" spans="1:18" x14ac:dyDescent="0.35">
      <c r="A363" s="34">
        <v>45378</v>
      </c>
      <c r="B363" s="36"/>
      <c r="C363" s="36" t="s">
        <v>97</v>
      </c>
      <c r="D363" s="1"/>
      <c r="E363" s="1"/>
      <c r="F363" s="66"/>
      <c r="G363" s="66"/>
      <c r="H363" s="1"/>
      <c r="I363" s="1"/>
      <c r="J363" s="1"/>
      <c r="K363" s="1"/>
      <c r="L363" s="18"/>
      <c r="M363" s="18"/>
      <c r="N363" s="18"/>
      <c r="O363" s="18"/>
      <c r="P363" s="23"/>
      <c r="Q363" s="225"/>
      <c r="R363" s="125"/>
    </row>
    <row r="364" spans="1:18" x14ac:dyDescent="0.35">
      <c r="A364" s="34">
        <v>45379</v>
      </c>
      <c r="B364" s="36"/>
      <c r="C364" s="36" t="s">
        <v>97</v>
      </c>
      <c r="D364" s="1"/>
      <c r="E364" s="1"/>
      <c r="F364" s="66"/>
      <c r="G364" s="66"/>
      <c r="H364" s="1"/>
      <c r="I364" s="1"/>
      <c r="J364" s="1"/>
      <c r="K364" s="1"/>
      <c r="L364" s="18"/>
      <c r="M364" s="18"/>
      <c r="N364" s="18"/>
      <c r="O364" s="18"/>
      <c r="P364" s="23"/>
      <c r="Q364" s="225"/>
      <c r="R364" s="125"/>
    </row>
    <row r="365" spans="1:18" x14ac:dyDescent="0.35">
      <c r="A365" s="34">
        <v>45380</v>
      </c>
      <c r="B365" s="36"/>
      <c r="C365" s="36" t="s">
        <v>97</v>
      </c>
      <c r="D365" s="1"/>
      <c r="E365" s="1"/>
      <c r="F365" s="66"/>
      <c r="G365" s="66"/>
      <c r="H365" s="1"/>
      <c r="I365" s="1"/>
      <c r="J365" s="1"/>
      <c r="K365" s="1"/>
      <c r="L365" s="18"/>
      <c r="M365" s="18"/>
      <c r="N365" s="18"/>
      <c r="O365" s="18"/>
      <c r="P365" s="23"/>
      <c r="Q365" s="225"/>
      <c r="R365" s="125"/>
    </row>
    <row r="366" spans="1:18" x14ac:dyDescent="0.35">
      <c r="A366" s="34">
        <v>45381</v>
      </c>
      <c r="B366" s="36"/>
      <c r="C366" s="36" t="s">
        <v>97</v>
      </c>
      <c r="D366" s="1"/>
      <c r="E366" s="1"/>
      <c r="F366" s="66"/>
      <c r="G366" s="66"/>
      <c r="H366" s="1"/>
      <c r="I366" s="1"/>
      <c r="J366" s="1"/>
      <c r="K366" s="1"/>
      <c r="L366" s="18"/>
      <c r="M366" s="18"/>
      <c r="N366" s="18"/>
      <c r="O366" s="18"/>
      <c r="P366" s="23"/>
      <c r="Q366" s="225"/>
      <c r="R366" s="125"/>
    </row>
    <row r="367" spans="1:18" x14ac:dyDescent="0.35">
      <c r="A367" s="34">
        <v>45382</v>
      </c>
      <c r="B367" s="36"/>
      <c r="C367" s="36" t="s">
        <v>97</v>
      </c>
      <c r="D367" s="1"/>
      <c r="E367" s="1"/>
      <c r="F367" s="1"/>
      <c r="G367" s="1"/>
      <c r="H367" s="1"/>
      <c r="I367" s="1"/>
      <c r="J367" s="1"/>
      <c r="K367" s="1"/>
      <c r="L367" s="18"/>
      <c r="M367" s="18"/>
      <c r="N367" s="18"/>
      <c r="O367" s="18"/>
      <c r="P367" s="23"/>
      <c r="Q367" s="225"/>
      <c r="R367" s="125"/>
    </row>
  </sheetData>
  <mergeCells count="1">
    <mergeCell ref="U133:V133"/>
  </mergeCells>
  <phoneticPr fontId="8" type="noConversion"/>
  <dataValidations disablePrompts="1" count="2">
    <dataValidation type="list" allowBlank="1" showInputMessage="1" showErrorMessage="1" sqref="W46:W47 U110:U111" xr:uid="{0C60AD72-4AA5-4C15-91AB-46FAC66AFAF3}">
      <formula1>period_GUY</formula1>
    </dataValidation>
    <dataValidation type="list" allowBlank="1" showInputMessage="1" showErrorMessage="1" sqref="X3:X4" xr:uid="{E1B45D47-F307-4719-92C6-37E919E75AF0}">
      <formula1>WoW_dates_GUY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A367"/>
  <sheetViews>
    <sheetView tabSelected="1" zoomScale="55" zoomScaleNormal="55" workbookViewId="0">
      <pane xSplit="1" ySplit="1" topLeftCell="B87" activePane="bottomRight" state="frozen"/>
      <selection pane="topRight" activeCell="B1" sqref="B1"/>
      <selection pane="bottomLeft" activeCell="A3" sqref="A3"/>
      <selection pane="bottomRight" activeCell="L110" sqref="L110"/>
    </sheetView>
  </sheetViews>
  <sheetFormatPr defaultRowHeight="14.5" x14ac:dyDescent="0.35"/>
  <cols>
    <col min="2" max="2" width="19" bestFit="1" customWidth="1"/>
    <col min="3" max="3" width="6.90625" customWidth="1"/>
    <col min="4" max="4" width="10.54296875" customWidth="1"/>
    <col min="5" max="5" width="14.1796875" bestFit="1" customWidth="1"/>
    <col min="6" max="7" width="21.81640625" customWidth="1"/>
    <col min="8" max="8" width="19.36328125" customWidth="1"/>
    <col min="9" max="9" width="21" bestFit="1" customWidth="1"/>
    <col min="10" max="10" width="18.7265625" customWidth="1"/>
    <col min="11" max="11" width="17.6328125" bestFit="1" customWidth="1"/>
    <col min="15" max="15" width="8.90625" customWidth="1"/>
    <col min="21" max="21" width="9.90625" customWidth="1"/>
    <col min="22" max="22" width="21.26953125" customWidth="1"/>
    <col min="23" max="23" width="23.1796875" customWidth="1"/>
    <col min="26" max="26" width="10.7265625" bestFit="1" customWidth="1"/>
  </cols>
  <sheetData>
    <row r="1" spans="1:27" ht="17" customHeight="1" x14ac:dyDescent="0.35">
      <c r="A1" s="25" t="s">
        <v>36</v>
      </c>
      <c r="B1" s="26" t="s">
        <v>55</v>
      </c>
      <c r="C1" s="26" t="s">
        <v>60</v>
      </c>
      <c r="D1" s="26" t="s">
        <v>59</v>
      </c>
      <c r="E1" s="26" t="s">
        <v>34</v>
      </c>
      <c r="F1" s="26" t="s">
        <v>62</v>
      </c>
      <c r="G1" s="26" t="s">
        <v>61</v>
      </c>
      <c r="H1" s="26" t="s">
        <v>56</v>
      </c>
      <c r="I1" s="26" t="s">
        <v>57</v>
      </c>
      <c r="J1" s="26" t="s">
        <v>103</v>
      </c>
      <c r="K1" s="26" t="s">
        <v>58</v>
      </c>
      <c r="L1" s="26" t="s">
        <v>32</v>
      </c>
      <c r="M1" s="26" t="s">
        <v>5</v>
      </c>
      <c r="N1" s="26" t="s">
        <v>4</v>
      </c>
      <c r="O1" s="26" t="s">
        <v>33</v>
      </c>
      <c r="P1" s="27" t="s">
        <v>7</v>
      </c>
      <c r="Q1" s="26" t="s">
        <v>82</v>
      </c>
      <c r="R1" s="26" t="s">
        <v>83</v>
      </c>
      <c r="S1" s="26" t="s">
        <v>80</v>
      </c>
    </row>
    <row r="2" spans="1:27" ht="17" customHeight="1" x14ac:dyDescent="0.35">
      <c r="A2" s="32">
        <v>45017</v>
      </c>
      <c r="B2" s="1" t="s">
        <v>54</v>
      </c>
      <c r="C2" s="33" t="s">
        <v>97</v>
      </c>
      <c r="D2" s="1">
        <v>684</v>
      </c>
      <c r="E2" s="1">
        <v>603</v>
      </c>
      <c r="F2" s="84">
        <v>-4.3356643356643354E-2</v>
      </c>
      <c r="G2" s="84">
        <v>-8.7745839636913764E-2</v>
      </c>
      <c r="H2" s="33">
        <f>Table6[[#This Row],[Calls Off]]</f>
        <v>684</v>
      </c>
      <c r="I2" s="33">
        <f>Table6[[#This Row],[Calls Ans]]</f>
        <v>603</v>
      </c>
      <c r="J2" s="33">
        <f>Table6[[#This Row],[Calls Off]]</f>
        <v>684</v>
      </c>
      <c r="K2" s="33">
        <f>Table6[[#This Row],[Calls Ans]]</f>
        <v>603</v>
      </c>
      <c r="L2" s="18">
        <v>0.71</v>
      </c>
      <c r="M2" s="18">
        <v>0.12</v>
      </c>
      <c r="N2" s="18">
        <v>0.88</v>
      </c>
      <c r="O2" s="38">
        <v>0.76</v>
      </c>
      <c r="P2" s="180"/>
      <c r="Q2" s="227">
        <v>3.0092592592592588E-3</v>
      </c>
      <c r="R2" s="175">
        <v>6.5972222222222224E-2</v>
      </c>
      <c r="S2" s="7">
        <v>8</v>
      </c>
    </row>
    <row r="3" spans="1:27" ht="17" customHeight="1" x14ac:dyDescent="0.35">
      <c r="A3" s="32">
        <v>45018</v>
      </c>
      <c r="B3" s="1" t="s">
        <v>48</v>
      </c>
      <c r="C3" s="1" t="s">
        <v>97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0"/>
      <c r="Q3" s="224">
        <v>0</v>
      </c>
      <c r="R3" s="155">
        <v>0</v>
      </c>
      <c r="S3" s="1">
        <v>0</v>
      </c>
    </row>
    <row r="4" spans="1:27" ht="17" customHeight="1" x14ac:dyDescent="0.35">
      <c r="A4" s="32">
        <v>45019</v>
      </c>
      <c r="B4" s="1" t="s">
        <v>49</v>
      </c>
      <c r="C4" s="1" t="s">
        <v>97</v>
      </c>
      <c r="D4" s="1">
        <v>892</v>
      </c>
      <c r="E4" s="1">
        <v>864</v>
      </c>
      <c r="F4" s="66">
        <v>-6.400839454354669E-2</v>
      </c>
      <c r="G4" s="66">
        <v>-7.7908217716115266E-2</v>
      </c>
      <c r="H4" s="1">
        <f>H2+Table6[[#This Row],[Calls Off]]</f>
        <v>1576</v>
      </c>
      <c r="I4" s="1">
        <f>I2+Table6[[#This Row],[Calls Ans]]</f>
        <v>1467</v>
      </c>
      <c r="J4" s="1">
        <f>J2+Table6[[#This Row],[Calls Off]]</f>
        <v>1576</v>
      </c>
      <c r="K4" s="1">
        <f>K2+Table6[[#This Row],[Calls Ans]]</f>
        <v>1467</v>
      </c>
      <c r="L4" s="18">
        <v>0.89</v>
      </c>
      <c r="M4" s="18">
        <v>0.03</v>
      </c>
      <c r="N4" s="18">
        <v>0.97</v>
      </c>
      <c r="O4" s="18">
        <v>0.69</v>
      </c>
      <c r="P4" s="180"/>
      <c r="Q4" s="224">
        <v>3.1134259259259257E-3</v>
      </c>
      <c r="R4" s="155">
        <v>1.1111111111111112E-2</v>
      </c>
      <c r="S4" s="1">
        <v>13</v>
      </c>
    </row>
    <row r="5" spans="1:27" ht="17" customHeight="1" x14ac:dyDescent="0.35">
      <c r="A5" s="32">
        <v>45020</v>
      </c>
      <c r="B5" s="1" t="s">
        <v>50</v>
      </c>
      <c r="C5" s="1" t="s">
        <v>97</v>
      </c>
      <c r="D5" s="1">
        <v>873</v>
      </c>
      <c r="E5" s="1">
        <v>850</v>
      </c>
      <c r="F5" s="66">
        <v>-6.6310160427807491E-2</v>
      </c>
      <c r="G5" s="66">
        <v>-7.2052401746724892E-2</v>
      </c>
      <c r="H5" s="1">
        <f>H4+Table6[[#This Row],[Calls Off]]</f>
        <v>2449</v>
      </c>
      <c r="I5" s="1">
        <f>I4+Table6[[#This Row],[Calls Ans]]</f>
        <v>2317</v>
      </c>
      <c r="J5" s="1">
        <f>J4+Table6[[#This Row],[Calls Off]]</f>
        <v>2449</v>
      </c>
      <c r="K5" s="1">
        <f>K4+Table6[[#This Row],[Calls Ans]]</f>
        <v>2317</v>
      </c>
      <c r="L5" s="18">
        <v>0.93</v>
      </c>
      <c r="M5" s="18">
        <v>0.03</v>
      </c>
      <c r="N5" s="18">
        <v>0.97</v>
      </c>
      <c r="O5" s="18">
        <v>0.55000000000000004</v>
      </c>
      <c r="P5" s="180"/>
      <c r="Q5" s="229">
        <v>3.472222222222222E-3</v>
      </c>
      <c r="R5" s="181">
        <v>6.9444444444444441E-3</v>
      </c>
      <c r="S5" s="1">
        <v>18</v>
      </c>
      <c r="U5" t="s">
        <v>66</v>
      </c>
      <c r="V5" t="s">
        <v>67</v>
      </c>
      <c r="W5" t="s">
        <v>68</v>
      </c>
      <c r="Z5" t="s">
        <v>69</v>
      </c>
      <c r="AA5" s="16">
        <v>44654</v>
      </c>
    </row>
    <row r="6" spans="1:27" ht="17" customHeight="1" x14ac:dyDescent="0.35">
      <c r="A6" s="32">
        <v>45021</v>
      </c>
      <c r="B6" s="1" t="s">
        <v>51</v>
      </c>
      <c r="C6" s="1" t="s">
        <v>97</v>
      </c>
      <c r="D6" s="1">
        <v>856</v>
      </c>
      <c r="E6" s="1">
        <v>791</v>
      </c>
      <c r="F6" s="66">
        <v>-0.11478800413650465</v>
      </c>
      <c r="G6" s="66">
        <v>-0.12111111111111111</v>
      </c>
      <c r="H6" s="1">
        <f>H5+Table6[[#This Row],[Calls Off]]</f>
        <v>3305</v>
      </c>
      <c r="I6" s="1">
        <f>I5+Table6[[#This Row],[Calls Ans]]</f>
        <v>3108</v>
      </c>
      <c r="J6" s="1">
        <f>J5+Table6[[#This Row],[Calls Off]]</f>
        <v>3305</v>
      </c>
      <c r="K6" s="1">
        <f>K5+Table6[[#This Row],[Calls Ans]]</f>
        <v>3108</v>
      </c>
      <c r="L6" s="18">
        <v>0.77</v>
      </c>
      <c r="M6" s="18">
        <v>0.08</v>
      </c>
      <c r="N6" s="18">
        <v>0.92</v>
      </c>
      <c r="O6" s="18">
        <v>0.65</v>
      </c>
      <c r="P6" s="180"/>
      <c r="Q6" s="229">
        <v>3.472222222222222E-3</v>
      </c>
      <c r="R6" s="181">
        <v>4.1666666666666664E-2</v>
      </c>
      <c r="S6" s="1">
        <v>14</v>
      </c>
      <c r="U6" s="22">
        <v>45020</v>
      </c>
      <c r="V6" s="1" cm="1">
        <f t="array" ref="V6">SUMIFS(calls_off_JAM,period_JAM,"&gt;="&amp;U6,period_JAM,"&lt;"&amp;U7)</f>
        <v>3243</v>
      </c>
      <c r="W6" s="1" cm="1">
        <f t="array" ref="W6">SUMIFS(calls_ans_JAM,period_JAM,"&gt;="&amp;U6,period_JAM,"&lt;"&amp;U7)</f>
        <v>3049</v>
      </c>
      <c r="Z6" t="s">
        <v>70</v>
      </c>
      <c r="AA6" s="16">
        <v>44675</v>
      </c>
    </row>
    <row r="7" spans="1:27" ht="17" customHeight="1" x14ac:dyDescent="0.35">
      <c r="A7" s="32">
        <v>45022</v>
      </c>
      <c r="B7" s="1" t="s">
        <v>52</v>
      </c>
      <c r="C7" s="1" t="s">
        <v>97</v>
      </c>
      <c r="D7" s="1">
        <v>834</v>
      </c>
      <c r="E7" s="1">
        <v>775</v>
      </c>
      <c r="F7" s="66">
        <v>-7.2302558398220251E-2</v>
      </c>
      <c r="G7" s="66">
        <v>-8.5005903187721374E-2</v>
      </c>
      <c r="H7" s="1">
        <f>H6+Table6[[#This Row],[Calls Off]]</f>
        <v>4139</v>
      </c>
      <c r="I7" s="1">
        <f>I6+Table6[[#This Row],[Calls Ans]]</f>
        <v>3883</v>
      </c>
      <c r="J7" s="1">
        <f>J6+Table6[[#This Row],[Calls Off]]</f>
        <v>4139</v>
      </c>
      <c r="K7" s="1">
        <f>K6+Table6[[#This Row],[Calls Ans]]</f>
        <v>3883</v>
      </c>
      <c r="L7" s="18">
        <v>0.76</v>
      </c>
      <c r="M7" s="18">
        <v>7.0000000000000007E-2</v>
      </c>
      <c r="N7" s="18">
        <v>0.93</v>
      </c>
      <c r="O7" s="18">
        <v>0.6</v>
      </c>
      <c r="P7" s="180"/>
      <c r="Q7" s="224">
        <v>3.472222222222222E-3</v>
      </c>
      <c r="R7" s="155">
        <v>2.2916666666666669E-2</v>
      </c>
      <c r="S7" s="1">
        <v>15</v>
      </c>
      <c r="U7" s="22">
        <f>U6+7</f>
        <v>45027</v>
      </c>
      <c r="V7" s="1" cm="1">
        <f t="array" ref="V7">SUMIFS(calls_off_JAM,period_JAM,"&gt;="&amp;U7,period_JAM,"&lt;"&amp;U8)</f>
        <v>5529</v>
      </c>
      <c r="W7" s="1" cm="1">
        <f t="array" ref="W7">SUMIFS(calls_ans_JAM,period_JAM,"&gt;="&amp;U7,period_JAM,"&lt;"&amp;U8)</f>
        <v>5129</v>
      </c>
    </row>
    <row r="8" spans="1:27" ht="17" customHeight="1" x14ac:dyDescent="0.35">
      <c r="A8" s="32">
        <v>45023</v>
      </c>
      <c r="B8" s="1" t="s">
        <v>53</v>
      </c>
      <c r="C8" s="1" t="s">
        <v>97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8">
        <v>0</v>
      </c>
      <c r="M8" s="18">
        <v>0</v>
      </c>
      <c r="N8" s="18">
        <v>0</v>
      </c>
      <c r="O8" s="18">
        <v>0</v>
      </c>
      <c r="P8" s="180"/>
      <c r="Q8" s="224">
        <v>0</v>
      </c>
      <c r="R8" s="155">
        <v>0</v>
      </c>
      <c r="S8" s="1">
        <v>0</v>
      </c>
      <c r="U8" s="22">
        <f t="shared" ref="U8:U21" si="0">U7+7</f>
        <v>45034</v>
      </c>
      <c r="V8" s="1" cm="1">
        <f t="array" ref="V8">SUMIFS(calls_off_JAM,period_JAM,"&gt;="&amp;U8,period_JAM,"&lt;"&amp;U9)</f>
        <v>5066</v>
      </c>
      <c r="W8" s="1" cm="1">
        <f t="array" ref="W8">SUMIFS(calls_ans_JAM,period_JAM,"&gt;="&amp;U8,period_JAM,"&lt;"&amp;U9)</f>
        <v>4580</v>
      </c>
    </row>
    <row r="9" spans="1:27" ht="17" customHeight="1" x14ac:dyDescent="0.35">
      <c r="A9" s="32">
        <v>45024</v>
      </c>
      <c r="B9" s="1" t="s">
        <v>54</v>
      </c>
      <c r="C9" s="1" t="s">
        <v>97</v>
      </c>
      <c r="D9" s="1">
        <v>680</v>
      </c>
      <c r="E9" s="1">
        <v>633</v>
      </c>
      <c r="F9" s="66">
        <f>(Table6[[#This Row],[Calls Off]]-D2)/D2</f>
        <v>-5.8479532163742687E-3</v>
      </c>
      <c r="G9" s="66">
        <f>(Table6[[#This Row],[Calls Ans]]-E2)/E2</f>
        <v>4.975124378109453E-2</v>
      </c>
      <c r="H9" s="1">
        <f>H7+Table6[[#This Row],[Calls Off]]</f>
        <v>4819</v>
      </c>
      <c r="I9" s="1">
        <f>I7+Table6[[#This Row],[Calls Ans]]</f>
        <v>4516</v>
      </c>
      <c r="J9" s="1">
        <f>J7+Table6[[#This Row],[Calls Off]]</f>
        <v>4819</v>
      </c>
      <c r="K9" s="1">
        <f>K7+Table6[[#This Row],[Calls Ans]]</f>
        <v>4516</v>
      </c>
      <c r="L9" s="18">
        <v>0.8</v>
      </c>
      <c r="M9" s="18">
        <v>7.0000000000000007E-2</v>
      </c>
      <c r="N9" s="18">
        <v>0.93</v>
      </c>
      <c r="O9" s="18">
        <v>0.61</v>
      </c>
      <c r="P9" s="180"/>
      <c r="Q9" s="224">
        <v>3.472222222222222E-3</v>
      </c>
      <c r="R9" s="155">
        <v>2.2916666666666669E-2</v>
      </c>
      <c r="S9" s="1">
        <v>12</v>
      </c>
      <c r="U9" s="22">
        <f t="shared" si="0"/>
        <v>45041</v>
      </c>
      <c r="V9" s="1" cm="1">
        <f t="array" ref="V9">SUMIFS(calls_off_JAM,period_JAM,"&gt;="&amp;U9,period_JAM,"&lt;"&amp;U10)</f>
        <v>5819</v>
      </c>
      <c r="W9" s="1" cm="1">
        <f t="array" ref="W9">SUMIFS(calls_ans_JAM,period_JAM,"&gt;="&amp;U9,period_JAM,"&lt;"&amp;U10)</f>
        <v>4985</v>
      </c>
    </row>
    <row r="10" spans="1:27" ht="17" customHeight="1" x14ac:dyDescent="0.35">
      <c r="A10" s="32">
        <v>45025</v>
      </c>
      <c r="B10" s="1" t="s">
        <v>48</v>
      </c>
      <c r="C10" s="1" t="s">
        <v>97</v>
      </c>
      <c r="D10" s="1">
        <v>0</v>
      </c>
      <c r="E10" s="1">
        <v>0</v>
      </c>
      <c r="F10" s="66">
        <v>0</v>
      </c>
      <c r="G10" s="66">
        <v>0</v>
      </c>
      <c r="H10" s="1">
        <v>0</v>
      </c>
      <c r="I10" s="1">
        <v>0</v>
      </c>
      <c r="J10" s="1">
        <v>0</v>
      </c>
      <c r="K10" s="1">
        <v>0</v>
      </c>
      <c r="L10" s="18">
        <v>0</v>
      </c>
      <c r="M10" s="18">
        <v>0</v>
      </c>
      <c r="N10" s="18">
        <v>0</v>
      </c>
      <c r="O10" s="18">
        <v>0</v>
      </c>
      <c r="P10" s="180"/>
      <c r="Q10" s="229">
        <v>0</v>
      </c>
      <c r="R10" s="181">
        <v>0</v>
      </c>
      <c r="S10" s="1">
        <v>0</v>
      </c>
      <c r="U10" s="22">
        <f t="shared" si="0"/>
        <v>45048</v>
      </c>
      <c r="V10" s="1" cm="1">
        <f t="array" ref="V10">SUMIFS(calls_off_JAM,period_JAM,"&gt;="&amp;U10,period_JAM,"&lt;"&amp;U11)</f>
        <v>5436</v>
      </c>
      <c r="W10" s="1" cm="1">
        <f t="array" ref="W10">SUMIFS(calls_ans_JAM,period_JAM,"&gt;="&amp;U10,period_JAM,"&lt;"&amp;U11)</f>
        <v>4917</v>
      </c>
    </row>
    <row r="11" spans="1:27" ht="17" customHeight="1" x14ac:dyDescent="0.35">
      <c r="A11" s="32">
        <v>45026</v>
      </c>
      <c r="B11" s="1" t="s">
        <v>49</v>
      </c>
      <c r="C11" s="1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0"/>
      <c r="Q11" s="229">
        <v>0</v>
      </c>
      <c r="R11" s="181">
        <v>0</v>
      </c>
      <c r="S11" s="1">
        <v>0</v>
      </c>
      <c r="U11" s="22">
        <f t="shared" si="0"/>
        <v>45055</v>
      </c>
      <c r="V11" s="1" cm="1">
        <f t="array" ref="V11">SUMIFS(calls_off_JAM,period_JAM,"&gt;="&amp;U11,period_JAM,"&lt;"&amp;U12)</f>
        <v>5074</v>
      </c>
      <c r="W11" s="1" cm="1">
        <f t="array" ref="W11">SUMIFS(calls_ans_JAM,period_JAM,"&gt;="&amp;U11,period_JAM,"&lt;"&amp;U12)</f>
        <v>4385</v>
      </c>
    </row>
    <row r="12" spans="1:27" ht="17" customHeight="1" x14ac:dyDescent="0.35">
      <c r="A12" s="32">
        <v>45027</v>
      </c>
      <c r="B12" s="1" t="s">
        <v>50</v>
      </c>
      <c r="C12" s="1" t="s">
        <v>97</v>
      </c>
      <c r="D12" s="1">
        <v>1095</v>
      </c>
      <c r="E12" s="1">
        <v>934</v>
      </c>
      <c r="F12" s="66">
        <f>_xlfn.IFNA((Table6[[#This Row],[Calls Off]]-D5)/D5,0)</f>
        <v>0.25429553264604809</v>
      </c>
      <c r="G12" s="66">
        <f>_xlfn.IFNA((Table6[[#This Row],[Calls Ans]]-E5)/E5,0)</f>
        <v>9.8823529411764699E-2</v>
      </c>
      <c r="H12" s="1">
        <f>Table6[[#This Row],[Calls Off]]+H9</f>
        <v>5914</v>
      </c>
      <c r="I12" s="1">
        <f>I9+Table6[[#This Row],[Calls Ans]]</f>
        <v>5450</v>
      </c>
      <c r="J12" s="1">
        <f>J9+Table6[[#This Row],[Calls Off]]</f>
        <v>5914</v>
      </c>
      <c r="K12" s="1">
        <f>K9+Table6[[#This Row],[Calls Ans]]</f>
        <v>5450</v>
      </c>
      <c r="L12" s="18">
        <v>0.74</v>
      </c>
      <c r="M12" s="18">
        <v>0.15</v>
      </c>
      <c r="N12" s="18">
        <v>0.85</v>
      </c>
      <c r="O12" s="18">
        <v>0.7</v>
      </c>
      <c r="P12" s="180"/>
      <c r="Q12" s="229">
        <v>3.3912037037037036E-3</v>
      </c>
      <c r="R12" s="181">
        <v>7.9166666666666663E-2</v>
      </c>
      <c r="S12" s="1">
        <v>15</v>
      </c>
      <c r="U12" s="22">
        <f t="shared" si="0"/>
        <v>45062</v>
      </c>
      <c r="V12" s="1" cm="1">
        <f t="array" ref="V12">SUMIFS(calls_off_JAM,period_JAM,"&gt;="&amp;U12,period_JAM,"&lt;"&amp;U13)</f>
        <v>4844</v>
      </c>
      <c r="W12" s="1" cm="1">
        <f t="array" ref="W12">SUMIFS(calls_ans_JAM,period_JAM,"&gt;="&amp;U12,period_JAM,"&lt;"&amp;U13)</f>
        <v>4437</v>
      </c>
    </row>
    <row r="13" spans="1:27" ht="17" customHeight="1" x14ac:dyDescent="0.35">
      <c r="A13" s="32">
        <v>45028</v>
      </c>
      <c r="B13" s="1" t="s">
        <v>51</v>
      </c>
      <c r="C13" s="1" t="s">
        <v>97</v>
      </c>
      <c r="D13" s="1">
        <v>953</v>
      </c>
      <c r="E13" s="1">
        <v>933</v>
      </c>
      <c r="F13" s="66">
        <f>_xlfn.IFNA((Table6[[#This Row],[Calls Off]]-D6)/D6,0)</f>
        <v>0.11331775700934579</v>
      </c>
      <c r="G13" s="66">
        <f>_xlfn.IFNA((Table6[[#This Row],[Calls Ans]]-E6)/E6,0)</f>
        <v>0.179519595448799</v>
      </c>
      <c r="H13" s="1">
        <f>Table6[[#This Row],[Calls Off]]+H12</f>
        <v>6867</v>
      </c>
      <c r="I13" s="1">
        <f>I12+Table6[[#This Row],[Calls Ans]]</f>
        <v>6383</v>
      </c>
      <c r="J13" s="1">
        <f>J12+Table6[[#This Row],[Calls Off]]</f>
        <v>6867</v>
      </c>
      <c r="K13" s="1">
        <f>K12+Table6[[#This Row],[Calls Ans]]</f>
        <v>6383</v>
      </c>
      <c r="L13" s="18">
        <v>0.97</v>
      </c>
      <c r="M13" s="18">
        <v>0.02</v>
      </c>
      <c r="N13" s="18">
        <v>0.98</v>
      </c>
      <c r="O13" s="18">
        <v>0.73</v>
      </c>
      <c r="P13" s="180"/>
      <c r="Q13" s="229">
        <v>3.7384259259259263E-3</v>
      </c>
      <c r="R13" s="181">
        <v>4.8611111111111112E-3</v>
      </c>
      <c r="S13" s="1">
        <v>16</v>
      </c>
      <c r="U13" s="22">
        <f t="shared" si="0"/>
        <v>45069</v>
      </c>
      <c r="V13" s="1" cm="1">
        <f t="array" ref="V13">SUMIFS(calls_off_JAM,period_JAM,"&gt;="&amp;U13,period_JAM,"&lt;"&amp;U14)</f>
        <v>5245</v>
      </c>
      <c r="W13" s="1" cm="1">
        <f t="array" ref="W13">SUMIFS(calls_ans_JAM,period_JAM,"&gt;="&amp;U13,period_JAM,"&lt;"&amp;U14)</f>
        <v>3873</v>
      </c>
    </row>
    <row r="14" spans="1:27" ht="17" customHeight="1" x14ac:dyDescent="0.35">
      <c r="A14" s="32">
        <v>45029</v>
      </c>
      <c r="B14" s="1" t="s">
        <v>52</v>
      </c>
      <c r="C14" s="1" t="s">
        <v>97</v>
      </c>
      <c r="D14" s="1">
        <v>875</v>
      </c>
      <c r="E14" s="1">
        <v>859</v>
      </c>
      <c r="F14" s="66">
        <f>_xlfn.IFNA((Table6[[#This Row],[Calls Off]]-D7)/D7,0)</f>
        <v>4.9160671462829736E-2</v>
      </c>
      <c r="G14" s="66">
        <f>_xlfn.IFNA((Table6[[#This Row],[Calls Ans]]-E7)/E7,0)</f>
        <v>0.10838709677419354</v>
      </c>
      <c r="H14" s="1">
        <f>Table6[[#This Row],[Calls Off]]+H13</f>
        <v>7742</v>
      </c>
      <c r="I14" s="1">
        <f>I13+Table6[[#This Row],[Calls Ans]]</f>
        <v>7242</v>
      </c>
      <c r="J14" s="1">
        <f>J13+Table6[[#This Row],[Calls Off]]</f>
        <v>7742</v>
      </c>
      <c r="K14" s="1">
        <f>K13+Table6[[#This Row],[Calls Ans]]</f>
        <v>7242</v>
      </c>
      <c r="L14" s="18">
        <v>0.95</v>
      </c>
      <c r="M14" s="18">
        <v>0.02</v>
      </c>
      <c r="N14" s="18">
        <v>0.98</v>
      </c>
      <c r="O14" s="18">
        <v>0.45</v>
      </c>
      <c r="P14" s="180"/>
      <c r="Q14" s="229">
        <v>2.9861111111111113E-3</v>
      </c>
      <c r="R14" s="181">
        <v>5.5555555555555558E-3</v>
      </c>
      <c r="S14" s="1">
        <v>19</v>
      </c>
      <c r="U14" s="22">
        <f t="shared" si="0"/>
        <v>45076</v>
      </c>
      <c r="V14" s="1" cm="1">
        <f t="array" ref="V14">SUMIFS(calls_off_JAM,period_JAM,"&gt;="&amp;U14,period_JAM,"&lt;"&amp;U15)</f>
        <v>5236</v>
      </c>
      <c r="W14" s="1" cm="1">
        <f t="array" ref="W14">SUMIFS(calls_ans_JAM,period_JAM,"&gt;="&amp;U14,period_JAM,"&lt;"&amp;U15)</f>
        <v>4658</v>
      </c>
    </row>
    <row r="15" spans="1:27" ht="17" customHeight="1" x14ac:dyDescent="0.35">
      <c r="A15" s="32">
        <v>45030</v>
      </c>
      <c r="B15" s="1" t="s">
        <v>53</v>
      </c>
      <c r="C15" s="1" t="s">
        <v>97</v>
      </c>
      <c r="D15" s="1">
        <v>904</v>
      </c>
      <c r="E15" s="1">
        <v>828</v>
      </c>
      <c r="F15" s="66">
        <v>0</v>
      </c>
      <c r="G15" s="66">
        <v>0</v>
      </c>
      <c r="H15" s="1">
        <f>Table6[[#This Row],[Calls Off]]+H14</f>
        <v>8646</v>
      </c>
      <c r="I15" s="1">
        <f>I14+Table6[[#This Row],[Calls Ans]]</f>
        <v>8070</v>
      </c>
      <c r="J15" s="1">
        <f>J14+Table6[[#This Row],[Calls Off]]</f>
        <v>8646</v>
      </c>
      <c r="K15" s="1">
        <f>K14+Table6[[#This Row],[Calls Ans]]</f>
        <v>8070</v>
      </c>
      <c r="L15" s="18">
        <v>0.72</v>
      </c>
      <c r="M15" s="18">
        <v>0.08</v>
      </c>
      <c r="N15" s="18">
        <v>0.92</v>
      </c>
      <c r="O15" s="18">
        <v>0.68</v>
      </c>
      <c r="P15" s="180"/>
      <c r="Q15" s="229">
        <v>3.4606481481481485E-3</v>
      </c>
      <c r="R15" s="181">
        <v>2.9166666666666664E-2</v>
      </c>
      <c r="S15" s="1">
        <v>14</v>
      </c>
      <c r="U15" s="22">
        <f t="shared" si="0"/>
        <v>45083</v>
      </c>
      <c r="V15" s="1" cm="1">
        <f t="array" ref="V15">SUMIFS(calls_off_JAM,period_JAM,"&gt;="&amp;U15,period_JAM,"&lt;"&amp;U16)</f>
        <v>5139</v>
      </c>
      <c r="W15" s="1" cm="1">
        <f t="array" ref="W15">SUMIFS(calls_ans_JAM,period_JAM,"&gt;="&amp;U15,period_JAM,"&lt;"&amp;U16)</f>
        <v>4846</v>
      </c>
    </row>
    <row r="16" spans="1:27" ht="17" customHeight="1" x14ac:dyDescent="0.35">
      <c r="A16" s="32">
        <v>45031</v>
      </c>
      <c r="B16" s="1" t="s">
        <v>54</v>
      </c>
      <c r="C16" s="1" t="s">
        <v>97</v>
      </c>
      <c r="D16" s="1">
        <v>757</v>
      </c>
      <c r="E16" s="1">
        <v>680</v>
      </c>
      <c r="F16" s="66">
        <f>_xlfn.IFNA((Table6[[#This Row],[Calls Off]]-D9)/D9,0)</f>
        <v>0.11323529411764706</v>
      </c>
      <c r="G16" s="66">
        <f>_xlfn.IFNA((Table6[[#This Row],[Calls Ans]]-E9)/E9,0)</f>
        <v>7.4249605055292253E-2</v>
      </c>
      <c r="H16" s="1">
        <f>Table6[[#This Row],[Calls Off]]+H15</f>
        <v>9403</v>
      </c>
      <c r="I16" s="1">
        <f>I15+Table6[[#This Row],[Calls Ans]]</f>
        <v>8750</v>
      </c>
      <c r="J16" s="1">
        <f>J15+Table6[[#This Row],[Calls Off]]</f>
        <v>9403</v>
      </c>
      <c r="K16" s="1">
        <f>K15+Table6[[#This Row],[Calls Ans]]</f>
        <v>8750</v>
      </c>
      <c r="L16" s="18">
        <v>0.87</v>
      </c>
      <c r="M16" s="18">
        <v>0.1</v>
      </c>
      <c r="N16" s="18">
        <v>0.9</v>
      </c>
      <c r="O16" s="18">
        <v>0.43</v>
      </c>
      <c r="P16" s="180"/>
      <c r="Q16" s="229">
        <v>3.0092592592592588E-3</v>
      </c>
      <c r="R16" s="181">
        <v>6.2499999999999995E-3</v>
      </c>
      <c r="S16" s="1">
        <v>16</v>
      </c>
      <c r="U16" s="22">
        <f>U15+7</f>
        <v>45090</v>
      </c>
      <c r="V16" s="1" cm="1">
        <f t="array" ref="V16">SUMIFS(calls_off_JAM,period_JAM,"&gt;="&amp;U16,period_JAM,"&lt;"&amp;U17)</f>
        <v>5803</v>
      </c>
      <c r="W16" s="1" cm="1">
        <f t="array" ref="W16">SUMIFS(calls_ans_JAM,period_JAM,"&gt;="&amp;U16,period_JAM,"&lt;"&amp;U17)</f>
        <v>5373</v>
      </c>
    </row>
    <row r="17" spans="1:23" ht="17" customHeight="1" x14ac:dyDescent="0.35">
      <c r="A17" s="32">
        <v>45032</v>
      </c>
      <c r="B17" s="1" t="s">
        <v>48</v>
      </c>
      <c r="C17" s="1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180"/>
      <c r="Q17" s="229">
        <v>0</v>
      </c>
      <c r="R17" s="181">
        <v>0</v>
      </c>
      <c r="S17" s="1">
        <v>0</v>
      </c>
      <c r="U17" s="22">
        <f t="shared" si="0"/>
        <v>45097</v>
      </c>
      <c r="V17" s="1" cm="1">
        <f t="array" ref="V17">SUMIFS(calls_off_JAM,period_JAM,"&gt;="&amp;U17,period_JAM,"&lt;"&amp;U18)</f>
        <v>5825</v>
      </c>
      <c r="W17" s="1" cm="1">
        <f t="array" ref="W17">SUMIFS(calls_ans_JAM,period_JAM,"&gt;="&amp;U17,period_JAM,"&lt;"&amp;U18)</f>
        <v>5283</v>
      </c>
    </row>
    <row r="18" spans="1:23" ht="17" customHeight="1" x14ac:dyDescent="0.35">
      <c r="A18" s="32">
        <v>45033</v>
      </c>
      <c r="B18" s="1" t="s">
        <v>49</v>
      </c>
      <c r="C18" s="1" t="s">
        <v>97</v>
      </c>
      <c r="D18" s="1">
        <v>945</v>
      </c>
      <c r="E18" s="1">
        <v>895</v>
      </c>
      <c r="F18" s="66">
        <v>0</v>
      </c>
      <c r="G18" s="66">
        <v>0</v>
      </c>
      <c r="H18" s="1">
        <f>Table6[[#This Row],[Calls Off]]+H16</f>
        <v>10348</v>
      </c>
      <c r="I18" s="1">
        <f>I16+Table6[[#This Row],[Calls Ans]]</f>
        <v>9645</v>
      </c>
      <c r="J18" s="1">
        <f>J16+Table6[[#This Row],[Calls Off]]</f>
        <v>10348</v>
      </c>
      <c r="K18" s="1">
        <f>K16+Table6[[#This Row],[Calls Ans]]</f>
        <v>9645</v>
      </c>
      <c r="L18" s="18">
        <v>0.82</v>
      </c>
      <c r="M18" s="18">
        <v>0.05</v>
      </c>
      <c r="N18" s="18">
        <v>0.95</v>
      </c>
      <c r="O18" s="18">
        <v>0.61</v>
      </c>
      <c r="P18" s="180"/>
      <c r="Q18" s="230">
        <v>2.8472222222222219E-3</v>
      </c>
      <c r="R18" s="182">
        <v>1.8749999999999999E-2</v>
      </c>
      <c r="S18" s="1">
        <v>14</v>
      </c>
      <c r="U18" s="22">
        <f t="shared" si="0"/>
        <v>45104</v>
      </c>
      <c r="V18" s="1" cm="1">
        <f t="array" ref="V18">SUMIFS(calls_off_JAM,period_JAM,"&gt;="&amp;U18,period_JAM,"&lt;"&amp;U19)</f>
        <v>5418</v>
      </c>
      <c r="W18" s="1" cm="1">
        <f t="array" ref="W18">SUMIFS(calls_ans_JAM,period_JAM,"&gt;="&amp;U18,period_JAM,"&lt;"&amp;U19)</f>
        <v>4979</v>
      </c>
    </row>
    <row r="19" spans="1:23" ht="17" customHeight="1" x14ac:dyDescent="0.35">
      <c r="A19" s="32">
        <v>45034</v>
      </c>
      <c r="B19" s="1" t="s">
        <v>50</v>
      </c>
      <c r="C19" s="1" t="s">
        <v>97</v>
      </c>
      <c r="D19" s="1">
        <v>844</v>
      </c>
      <c r="E19" s="1">
        <v>741</v>
      </c>
      <c r="F19" s="66">
        <f>_xlfn.IFNA((Table6[[#This Row],[Calls Off]]-D12)/D12,0)</f>
        <v>-0.22922374429223744</v>
      </c>
      <c r="G19" s="66">
        <f>_xlfn.IFNA((Table6[[#This Row],[Calls Ans]]-E12)/E12,0)</f>
        <v>-0.20663811563169165</v>
      </c>
      <c r="H19" s="1">
        <f>Table6[[#This Row],[Calls Off]]+H18</f>
        <v>11192</v>
      </c>
      <c r="I19" s="1">
        <f>I18+Table6[[#This Row],[Calls Ans]]</f>
        <v>10386</v>
      </c>
      <c r="J19" s="1">
        <f>J18+Table6[[#This Row],[Calls Off]]</f>
        <v>11192</v>
      </c>
      <c r="K19" s="1">
        <f>K18+Table6[[#This Row],[Calls Ans]]</f>
        <v>10386</v>
      </c>
      <c r="L19" s="18">
        <v>0.62</v>
      </c>
      <c r="M19" s="18">
        <v>0.12</v>
      </c>
      <c r="N19" s="18">
        <v>0.88</v>
      </c>
      <c r="O19" s="18">
        <v>0.91</v>
      </c>
      <c r="P19" s="180"/>
      <c r="Q19" s="230">
        <v>3.6805555555555554E-3</v>
      </c>
      <c r="R19" s="182">
        <v>4.0972222222222222E-2</v>
      </c>
      <c r="S19" s="1">
        <v>10</v>
      </c>
      <c r="U19" s="22">
        <f t="shared" si="0"/>
        <v>45111</v>
      </c>
      <c r="V19" s="1" cm="1">
        <f t="array" ref="V19">SUMIFS(calls_off_JAM,period_JAM,"&gt;="&amp;U19,period_JAM,"&lt;"&amp;U20)</f>
        <v>5671</v>
      </c>
      <c r="W19" s="1" cm="1">
        <f t="array" ref="W19">SUMIFS(calls_ans_JAM,period_JAM,"&gt;="&amp;U19,period_JAM,"&lt;"&amp;U20)</f>
        <v>5212</v>
      </c>
    </row>
    <row r="20" spans="1:23" ht="17" customHeight="1" x14ac:dyDescent="0.35">
      <c r="A20" s="32">
        <v>45035</v>
      </c>
      <c r="B20" s="1" t="s">
        <v>51</v>
      </c>
      <c r="C20" s="1" t="s">
        <v>97</v>
      </c>
      <c r="D20" s="1">
        <v>825</v>
      </c>
      <c r="E20" s="1">
        <v>752</v>
      </c>
      <c r="F20" s="66">
        <f>_xlfn.IFNA((Table6[[#This Row],[Calls Off]]-D13)/D13,0)</f>
        <v>-0.13431269674711438</v>
      </c>
      <c r="G20" s="66">
        <f>_xlfn.IFNA((Table6[[#This Row],[Calls Ans]]-E13)/E13,0)</f>
        <v>-0.19399785637727759</v>
      </c>
      <c r="H20" s="1">
        <f>Table6[[#This Row],[Calls Off]]+H19</f>
        <v>12017</v>
      </c>
      <c r="I20" s="1">
        <f>I19+Table6[[#This Row],[Calls Ans]]</f>
        <v>11138</v>
      </c>
      <c r="J20" s="1">
        <f>J19+Table6[[#This Row],[Calls Off]]</f>
        <v>12017</v>
      </c>
      <c r="K20" s="1">
        <f>K19+Table6[[#This Row],[Calls Ans]]</f>
        <v>11138</v>
      </c>
      <c r="L20" s="18">
        <v>0.73</v>
      </c>
      <c r="M20" s="18">
        <v>0.09</v>
      </c>
      <c r="N20" s="18">
        <v>0.91</v>
      </c>
      <c r="O20" s="18">
        <v>0.72</v>
      </c>
      <c r="P20" s="180"/>
      <c r="Q20" s="229">
        <v>2.8819444444444444E-3</v>
      </c>
      <c r="R20" s="181">
        <v>2.4999999999999998E-2</v>
      </c>
      <c r="S20" s="1">
        <v>10</v>
      </c>
      <c r="U20" s="22">
        <f>U19+7</f>
        <v>45118</v>
      </c>
      <c r="V20" s="1" cm="1">
        <f t="array" ref="V20">SUMIFS(calls_off_JAM,period_JAM,"&gt;="&amp;U20,period_JAM,"&lt;"&amp;U21)</f>
        <v>5687</v>
      </c>
      <c r="W20" s="1" cm="1">
        <f t="array" ref="W20">SUMIFS(calls_ans_JAM,period_JAM,"&gt;="&amp;U20,period_JAM,"&lt;"&amp;U21)</f>
        <v>5379</v>
      </c>
    </row>
    <row r="21" spans="1:23" ht="17" customHeight="1" x14ac:dyDescent="0.35">
      <c r="A21" s="32">
        <v>45036</v>
      </c>
      <c r="B21" s="1" t="s">
        <v>52</v>
      </c>
      <c r="C21" s="1" t="s">
        <v>97</v>
      </c>
      <c r="D21" s="1">
        <v>809</v>
      </c>
      <c r="E21" s="1">
        <v>752</v>
      </c>
      <c r="F21" s="66">
        <f>_xlfn.IFNA((Table6[[#This Row],[Calls Off]]-D14)/D14,0)</f>
        <v>-7.5428571428571428E-2</v>
      </c>
      <c r="G21" s="66">
        <f>_xlfn.IFNA((Table6[[#This Row],[Calls Ans]]-E14)/E14,0)</f>
        <v>-0.12456344586728754</v>
      </c>
      <c r="H21" s="1">
        <f>Table6[[#This Row],[Calls Off]]+H20</f>
        <v>12826</v>
      </c>
      <c r="I21" s="1">
        <f>I20+Table6[[#This Row],[Calls Ans]]</f>
        <v>11890</v>
      </c>
      <c r="J21" s="1">
        <f>J20+Table6[[#This Row],[Calls Off]]</f>
        <v>12826</v>
      </c>
      <c r="K21" s="1">
        <f>K20+Table6[[#This Row],[Calls Ans]]</f>
        <v>11890</v>
      </c>
      <c r="L21" s="18">
        <v>0.75</v>
      </c>
      <c r="M21" s="18">
        <v>7.0000000000000007E-2</v>
      </c>
      <c r="N21" s="18">
        <v>0.93</v>
      </c>
      <c r="O21" s="18">
        <v>0.74</v>
      </c>
      <c r="P21" s="180"/>
      <c r="Q21" s="229">
        <v>3.2523148148148151E-3</v>
      </c>
      <c r="R21" s="181">
        <v>3.2638888888888891E-2</v>
      </c>
      <c r="S21" s="1">
        <v>11</v>
      </c>
      <c r="U21" s="22">
        <f t="shared" si="0"/>
        <v>45125</v>
      </c>
      <c r="V21" s="1" cm="1">
        <f t="array" ref="V21">SUMIFS(calls_off_JAM,period_JAM,"&gt;="&amp;U21,period_JAM,"&lt;"&amp;U22)</f>
        <v>0</v>
      </c>
      <c r="W21" s="1" cm="1">
        <f t="array" ref="W21">SUMIFS(calls_ans_JAM,period_JAM,"&gt;="&amp;U21,period_JAM,"&lt;"&amp;U22)</f>
        <v>0</v>
      </c>
    </row>
    <row r="22" spans="1:23" ht="17" customHeight="1" x14ac:dyDescent="0.35">
      <c r="A22" s="32">
        <v>45037</v>
      </c>
      <c r="B22" s="1" t="s">
        <v>53</v>
      </c>
      <c r="C22" s="1" t="s">
        <v>97</v>
      </c>
      <c r="D22" s="1">
        <v>887</v>
      </c>
      <c r="E22" s="1">
        <v>743</v>
      </c>
      <c r="F22" s="66">
        <f>_xlfn.IFNA((Table6[[#This Row],[Calls Off]]-D15)/D15,0)</f>
        <v>-1.8805309734513276E-2</v>
      </c>
      <c r="G22" s="66">
        <f>_xlfn.IFNA((Table6[[#This Row],[Calls Ans]]-E15)/E15,0)</f>
        <v>-0.10265700483091787</v>
      </c>
      <c r="H22" s="1">
        <f>Table6[[#This Row],[Calls Off]]+H21</f>
        <v>13713</v>
      </c>
      <c r="I22" s="1">
        <f>I21+Table6[[#This Row],[Calls Ans]]</f>
        <v>12633</v>
      </c>
      <c r="J22" s="1">
        <f>J21+Table6[[#This Row],[Calls Off]]</f>
        <v>13713</v>
      </c>
      <c r="K22" s="1">
        <f>K21+Table6[[#This Row],[Calls Ans]]</f>
        <v>12633</v>
      </c>
      <c r="L22" s="18">
        <v>0.54</v>
      </c>
      <c r="M22" s="18">
        <v>0.16</v>
      </c>
      <c r="N22" s="18">
        <v>0.84</v>
      </c>
      <c r="O22" s="18">
        <v>0.96</v>
      </c>
      <c r="P22" s="180"/>
      <c r="Q22" s="229">
        <v>3.472222222222222E-3</v>
      </c>
      <c r="R22" s="181">
        <v>4.3750000000000004E-2</v>
      </c>
      <c r="S22" s="1">
        <v>9</v>
      </c>
      <c r="U22" s="22">
        <f t="shared" ref="U22:U51" si="1">U21+7</f>
        <v>45132</v>
      </c>
      <c r="V22" s="1" cm="1">
        <f t="array" ref="V22">SUMIFS(calls_off_JAM,period_JAM,"&gt;="&amp;U22,period_JAM,"&lt;"&amp;U23)</f>
        <v>0</v>
      </c>
      <c r="W22" s="1" cm="1">
        <f t="array" ref="W22">SUMIFS(calls_ans_JAM,period_JAM,"&gt;="&amp;U22,period_JAM,"&lt;"&amp;U23)</f>
        <v>0</v>
      </c>
    </row>
    <row r="23" spans="1:23" ht="17" customHeight="1" x14ac:dyDescent="0.35">
      <c r="A23" s="32">
        <v>45038</v>
      </c>
      <c r="B23" s="1" t="s">
        <v>54</v>
      </c>
      <c r="C23" s="1" t="s">
        <v>97</v>
      </c>
      <c r="D23" s="1">
        <v>709</v>
      </c>
      <c r="E23" s="1">
        <v>650</v>
      </c>
      <c r="F23" s="66">
        <f>_xlfn.IFNA((Table6[[#This Row],[Calls Off]]-D16)/D16,0)</f>
        <v>-6.3408190224570671E-2</v>
      </c>
      <c r="G23" s="66">
        <f>_xlfn.IFNA((Table6[[#This Row],[Calls Ans]]-E16)/E16,0)</f>
        <v>-4.4117647058823532E-2</v>
      </c>
      <c r="H23" s="1">
        <f>Table6[[#This Row],[Calls Off]]+H22</f>
        <v>14422</v>
      </c>
      <c r="I23" s="1">
        <f>I22+Table6[[#This Row],[Calls Ans]]</f>
        <v>13283</v>
      </c>
      <c r="J23" s="1">
        <f>J22+Table6[[#This Row],[Calls Off]]</f>
        <v>14422</v>
      </c>
      <c r="K23" s="1">
        <f>K22+Table6[[#This Row],[Calls Ans]]</f>
        <v>13283</v>
      </c>
      <c r="L23" s="18">
        <v>0.77</v>
      </c>
      <c r="M23" s="18">
        <v>0.08</v>
      </c>
      <c r="N23" s="18">
        <v>0.92</v>
      </c>
      <c r="O23" s="18">
        <v>0.55000000000000004</v>
      </c>
      <c r="P23" s="180"/>
      <c r="Q23" s="229">
        <v>2.7777777777777779E-3</v>
      </c>
      <c r="R23" s="181">
        <v>2.5694444444444447E-2</v>
      </c>
      <c r="S23" s="1">
        <v>11</v>
      </c>
      <c r="U23" s="22">
        <f t="shared" si="1"/>
        <v>45139</v>
      </c>
      <c r="V23" s="1" cm="1">
        <f t="array" ref="V23">SUMIFS(calls_off_JAM,period_JAM,"&gt;="&amp;U23,period_JAM,"&lt;"&amp;U24)</f>
        <v>0</v>
      </c>
      <c r="W23" s="1" cm="1">
        <f t="array" ref="W23">SUMIFS(calls_ans_JAM,period_JAM,"&gt;="&amp;U23,period_JAM,"&lt;"&amp;U24)</f>
        <v>0</v>
      </c>
    </row>
    <row r="24" spans="1:23" ht="17" customHeight="1" x14ac:dyDescent="0.35">
      <c r="A24" s="32">
        <v>45039</v>
      </c>
      <c r="B24" s="1" t="s">
        <v>48</v>
      </c>
      <c r="C24" s="1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1">
        <v>0</v>
      </c>
      <c r="K24" s="1">
        <v>0</v>
      </c>
      <c r="L24" s="18">
        <v>0</v>
      </c>
      <c r="M24" s="18">
        <v>0</v>
      </c>
      <c r="N24" s="18">
        <v>0</v>
      </c>
      <c r="O24" s="18">
        <v>0</v>
      </c>
      <c r="P24" s="180"/>
      <c r="Q24" s="229">
        <v>0</v>
      </c>
      <c r="R24" s="181">
        <v>0</v>
      </c>
      <c r="S24" s="1">
        <v>0</v>
      </c>
      <c r="U24" s="22">
        <f t="shared" si="1"/>
        <v>45146</v>
      </c>
      <c r="V24" s="1" cm="1">
        <f t="array" ref="V24">SUMIFS(calls_off_JAM,period_JAM,"&gt;="&amp;U24,period_JAM,"&lt;"&amp;U25)</f>
        <v>0</v>
      </c>
      <c r="W24" s="1" cm="1">
        <f t="array" ref="W24">SUMIFS(calls_ans_JAM,period_JAM,"&gt;="&amp;U24,period_JAM,"&lt;"&amp;U25)</f>
        <v>0</v>
      </c>
    </row>
    <row r="25" spans="1:23" ht="17" customHeight="1" x14ac:dyDescent="0.35">
      <c r="A25" s="32">
        <v>45040</v>
      </c>
      <c r="B25" s="1" t="s">
        <v>49</v>
      </c>
      <c r="C25" s="1" t="s">
        <v>97</v>
      </c>
      <c r="D25" s="1">
        <v>992</v>
      </c>
      <c r="E25" s="1">
        <v>942</v>
      </c>
      <c r="F25" s="66">
        <f>_xlfn.IFNA((Table6[[#This Row],[Calls Off]]-D18)/D18,0)</f>
        <v>4.9735449735449737E-2</v>
      </c>
      <c r="G25" s="66">
        <f>_xlfn.IFNA((Table6[[#This Row],[Calls Ans]]-E18)/E18,0)</f>
        <v>5.2513966480446927E-2</v>
      </c>
      <c r="H25" s="1">
        <f>Table6[[#This Row],[Calls Off]]+H23</f>
        <v>15414</v>
      </c>
      <c r="I25" s="1">
        <f>I23+Table6[[#This Row],[Calls Ans]]</f>
        <v>14225</v>
      </c>
      <c r="J25" s="1">
        <f>J23+Table6[[#This Row],[Calls Off]]</f>
        <v>15414</v>
      </c>
      <c r="K25" s="1">
        <f>K23+Table6[[#This Row],[Calls Ans]]</f>
        <v>14225</v>
      </c>
      <c r="L25" s="18">
        <v>0.87</v>
      </c>
      <c r="M25" s="18">
        <v>0.05</v>
      </c>
      <c r="N25" s="18">
        <v>0.95</v>
      </c>
      <c r="O25" s="18">
        <v>0.73</v>
      </c>
      <c r="P25" s="180"/>
      <c r="Q25" s="230">
        <v>3.0324074074074073E-3</v>
      </c>
      <c r="R25" s="182">
        <v>2.5694444444444447E-2</v>
      </c>
      <c r="S25" s="1">
        <v>13</v>
      </c>
      <c r="U25" s="22">
        <f t="shared" si="1"/>
        <v>45153</v>
      </c>
      <c r="V25" s="1" cm="1">
        <f t="array" ref="V25">SUMIFS(calls_off_JAM,period_JAM,"&gt;="&amp;U25,period_JAM,"&lt;"&amp;U26)</f>
        <v>0</v>
      </c>
      <c r="W25" s="1" cm="1">
        <f t="array" ref="W25">SUMIFS(calls_ans_JAM,period_JAM,"&gt;="&amp;U25,period_JAM,"&lt;"&amp;U26)</f>
        <v>0</v>
      </c>
    </row>
    <row r="26" spans="1:23" ht="17" customHeight="1" x14ac:dyDescent="0.35">
      <c r="A26" s="32">
        <v>45041</v>
      </c>
      <c r="B26" s="1" t="s">
        <v>50</v>
      </c>
      <c r="C26" s="1" t="s">
        <v>97</v>
      </c>
      <c r="D26" s="1">
        <v>957</v>
      </c>
      <c r="E26" s="1">
        <v>894</v>
      </c>
      <c r="F26" s="66">
        <f>_xlfn.IFNA((Table6[[#This Row],[Calls Off]]-D19)/D19,0)</f>
        <v>0.13388625592417061</v>
      </c>
      <c r="G26" s="66">
        <f>_xlfn.IFNA((Table6[[#This Row],[Calls Ans]]-E19)/E19,0)</f>
        <v>0.20647773279352227</v>
      </c>
      <c r="H26" s="1">
        <f>Table6[[#This Row],[Calls Off]]+H25</f>
        <v>16371</v>
      </c>
      <c r="I26" s="1">
        <f>I25+Table6[[#This Row],[Calls Ans]]</f>
        <v>15119</v>
      </c>
      <c r="J26" s="1">
        <f>J25+Table6[[#This Row],[Calls Off]]</f>
        <v>16371</v>
      </c>
      <c r="K26" s="1">
        <f>K25+Table6[[#This Row],[Calls Ans]]</f>
        <v>15119</v>
      </c>
      <c r="L26" s="18">
        <v>0.77</v>
      </c>
      <c r="M26" s="18">
        <v>7.0000000000000007E-2</v>
      </c>
      <c r="N26" s="18">
        <v>0.93</v>
      </c>
      <c r="O26" s="18">
        <v>0.75</v>
      </c>
      <c r="P26" s="180"/>
      <c r="Q26" s="229">
        <v>3.2523148148148151E-3</v>
      </c>
      <c r="R26" s="181">
        <v>2.1527777777777781E-2</v>
      </c>
      <c r="S26" s="1">
        <v>13</v>
      </c>
      <c r="U26" s="22">
        <f t="shared" si="1"/>
        <v>45160</v>
      </c>
      <c r="V26" s="1" cm="1">
        <f t="array" ref="V26">SUMIFS(calls_off_JAM,period_JAM,"&gt;="&amp;U26,period_JAM,"&lt;"&amp;U27)</f>
        <v>0</v>
      </c>
      <c r="W26" s="1" cm="1">
        <f t="array" ref="W26">SUMIFS(calls_ans_JAM,period_JAM,"&gt;="&amp;U26,period_JAM,"&lt;"&amp;U27)</f>
        <v>0</v>
      </c>
    </row>
    <row r="27" spans="1:23" ht="17" customHeight="1" x14ac:dyDescent="0.35">
      <c r="A27" s="32">
        <v>45042</v>
      </c>
      <c r="B27" s="1" t="s">
        <v>51</v>
      </c>
      <c r="C27" s="1" t="s">
        <v>97</v>
      </c>
      <c r="D27" s="1">
        <v>1101</v>
      </c>
      <c r="E27" s="1">
        <v>912</v>
      </c>
      <c r="F27" s="66">
        <f>_xlfn.IFNA((Table6[[#This Row],[Calls Off]]-D20)/D20,0)</f>
        <v>0.33454545454545453</v>
      </c>
      <c r="G27" s="66">
        <f>_xlfn.IFNA((Table6[[#This Row],[Calls Ans]]-E20)/E20,0)</f>
        <v>0.21276595744680851</v>
      </c>
      <c r="H27" s="1">
        <f>Table6[[#This Row],[Calls Off]]+H26</f>
        <v>17472</v>
      </c>
      <c r="I27" s="1">
        <f>I26+Table6[[#This Row],[Calls Ans]]</f>
        <v>16031</v>
      </c>
      <c r="J27" s="1">
        <f>J26+Table6[[#This Row],[Calls Off]]</f>
        <v>17472</v>
      </c>
      <c r="K27" s="1">
        <f>K26+Table6[[#This Row],[Calls Ans]]</f>
        <v>16031</v>
      </c>
      <c r="L27" s="18">
        <v>0.47</v>
      </c>
      <c r="M27" s="18">
        <v>0.17</v>
      </c>
      <c r="N27" s="18">
        <v>0.83</v>
      </c>
      <c r="O27" s="18">
        <v>0.87</v>
      </c>
      <c r="P27" s="180"/>
      <c r="Q27" s="229">
        <v>3.7268518518518514E-3</v>
      </c>
      <c r="R27" s="181">
        <v>6.25E-2</v>
      </c>
      <c r="S27" s="1">
        <v>13</v>
      </c>
      <c r="U27" s="22">
        <f t="shared" si="1"/>
        <v>45167</v>
      </c>
      <c r="V27" s="1" cm="1">
        <f t="array" ref="V27">SUMIFS(calls_off_JAM,period_JAM,"&gt;="&amp;U27,period_JAM,"&lt;"&amp;U28)</f>
        <v>0</v>
      </c>
      <c r="W27" s="1" cm="1">
        <f t="array" ref="W27">SUMIFS(calls_ans_JAM,period_JAM,"&gt;="&amp;U27,period_JAM,"&lt;"&amp;U28)</f>
        <v>0</v>
      </c>
    </row>
    <row r="28" spans="1:23" ht="17" customHeight="1" x14ac:dyDescent="0.35">
      <c r="A28" s="32">
        <v>45043</v>
      </c>
      <c r="B28" s="1" t="s">
        <v>52</v>
      </c>
      <c r="C28" s="1" t="s">
        <v>97</v>
      </c>
      <c r="D28" s="1">
        <v>931</v>
      </c>
      <c r="E28" s="1">
        <v>850</v>
      </c>
      <c r="F28" s="66">
        <f>_xlfn.IFNA((Table6[[#This Row],[Calls Off]]-D21)/D21,0)</f>
        <v>0.15080346106304079</v>
      </c>
      <c r="G28" s="66">
        <f>_xlfn.IFNA((Table6[[#This Row],[Calls Ans]]-E21)/E21,0)</f>
        <v>0.13031914893617022</v>
      </c>
      <c r="H28" s="1">
        <f>Table6[[#This Row],[Calls Off]]+H27</f>
        <v>18403</v>
      </c>
      <c r="I28" s="1">
        <f>I27+Table6[[#This Row],[Calls Ans]]</f>
        <v>16881</v>
      </c>
      <c r="J28" s="1">
        <f>J27+Table6[[#This Row],[Calls Off]]</f>
        <v>18403</v>
      </c>
      <c r="K28" s="1">
        <f>K27+Table6[[#This Row],[Calls Ans]]</f>
        <v>16881</v>
      </c>
      <c r="L28" s="18">
        <v>0.73</v>
      </c>
      <c r="M28" s="18">
        <v>0.09</v>
      </c>
      <c r="N28" s="18">
        <v>0.91</v>
      </c>
      <c r="O28" s="18">
        <v>0.84</v>
      </c>
      <c r="P28" s="180"/>
      <c r="Q28" s="229">
        <v>3.5532407407407405E-3</v>
      </c>
      <c r="R28" s="181">
        <v>2.6388888888888889E-2</v>
      </c>
      <c r="S28" s="1">
        <v>12</v>
      </c>
      <c r="U28" s="22">
        <f t="shared" si="1"/>
        <v>45174</v>
      </c>
      <c r="V28" s="1" cm="1">
        <f t="array" ref="V28">SUMIFS(calls_off_JAM,period_JAM,"&gt;="&amp;U28,period_JAM,"&lt;"&amp;U29)</f>
        <v>0</v>
      </c>
      <c r="W28" s="1" cm="1">
        <f t="array" ref="W28">SUMIFS(calls_ans_JAM,period_JAM,"&gt;="&amp;U28,period_JAM,"&lt;"&amp;U29)</f>
        <v>0</v>
      </c>
    </row>
    <row r="29" spans="1:23" ht="17" customHeight="1" x14ac:dyDescent="0.35">
      <c r="A29" s="32">
        <v>45044</v>
      </c>
      <c r="B29" s="1" t="s">
        <v>53</v>
      </c>
      <c r="C29" s="1" t="s">
        <v>97</v>
      </c>
      <c r="D29" s="1">
        <v>1002</v>
      </c>
      <c r="E29" s="1">
        <v>846</v>
      </c>
      <c r="F29" s="66">
        <f>_xlfn.IFNA((Table6[[#This Row],[Calls Off]]-D22)/D22,0)</f>
        <v>0.12965050732807215</v>
      </c>
      <c r="G29" s="66">
        <f>_xlfn.IFNA((Table6[[#This Row],[Calls Ans]]-E22)/E22,0)</f>
        <v>0.1386271870794078</v>
      </c>
      <c r="H29" s="1">
        <f>Table6[[#This Row],[Calls Off]]+H28</f>
        <v>19405</v>
      </c>
      <c r="I29" s="1">
        <f>I28+Table6[[#This Row],[Calls Ans]]</f>
        <v>17727</v>
      </c>
      <c r="J29" s="1">
        <f>J28+Table6[[#This Row],[Calls Off]]</f>
        <v>19405</v>
      </c>
      <c r="K29" s="1">
        <f>K28+Table6[[#This Row],[Calls Ans]]</f>
        <v>17727</v>
      </c>
      <c r="L29" s="18">
        <v>0.54</v>
      </c>
      <c r="M29" s="18">
        <v>0.16</v>
      </c>
      <c r="N29" s="18">
        <v>0.84</v>
      </c>
      <c r="O29" s="18">
        <v>0.78</v>
      </c>
      <c r="P29" s="180"/>
      <c r="Q29" s="229">
        <v>3.3333333333333335E-3</v>
      </c>
      <c r="R29" s="181">
        <v>5.2777777777777778E-2</v>
      </c>
      <c r="S29" s="1">
        <v>12</v>
      </c>
      <c r="U29" s="22">
        <f t="shared" si="1"/>
        <v>45181</v>
      </c>
      <c r="V29" s="1" cm="1">
        <f t="array" ref="V29">SUMIFS(calls_off_JAM,period_JAM,"&gt;="&amp;U29,period_JAM,"&lt;"&amp;U30)</f>
        <v>0</v>
      </c>
      <c r="W29" s="1" cm="1">
        <f t="array" ref="W29">SUMIFS(calls_ans_JAM,period_JAM,"&gt;="&amp;U29,period_JAM,"&lt;"&amp;U30)</f>
        <v>0</v>
      </c>
    </row>
    <row r="30" spans="1:23" ht="17" customHeight="1" x14ac:dyDescent="0.35">
      <c r="A30" s="32">
        <v>45045</v>
      </c>
      <c r="B30" s="1" t="s">
        <v>54</v>
      </c>
      <c r="C30" s="1" t="s">
        <v>97</v>
      </c>
      <c r="D30" s="1">
        <v>767</v>
      </c>
      <c r="E30" s="1">
        <v>575</v>
      </c>
      <c r="F30" s="66">
        <f>_xlfn.IFNA((Table6[[#This Row],[Calls Off]]-D23)/D23,0)</f>
        <v>8.1805359661495061E-2</v>
      </c>
      <c r="G30" s="66">
        <f>_xlfn.IFNA((Table6[[#This Row],[Calls Ans]]-E23)/E23,0)</f>
        <v>-0.11538461538461539</v>
      </c>
      <c r="H30" s="1">
        <f>Table6[[#This Row],[Calls Off]]+H29</f>
        <v>20172</v>
      </c>
      <c r="I30" s="1">
        <f>I29+Table6[[#This Row],[Calls Ans]]</f>
        <v>18302</v>
      </c>
      <c r="J30" s="1">
        <f>J29+Table6[[#This Row],[Calls Off]]</f>
        <v>20172</v>
      </c>
      <c r="K30" s="1">
        <f>K29+Table6[[#This Row],[Calls Ans]]</f>
        <v>18302</v>
      </c>
      <c r="L30" s="18">
        <v>0.4</v>
      </c>
      <c r="M30" s="18">
        <v>0.25</v>
      </c>
      <c r="N30" s="18">
        <v>0.75</v>
      </c>
      <c r="O30" s="18">
        <v>0.75</v>
      </c>
      <c r="P30" s="180"/>
      <c r="Q30" s="229">
        <v>3.5185185185185185E-3</v>
      </c>
      <c r="R30" s="181">
        <v>0.11875000000000001</v>
      </c>
      <c r="S30" s="1">
        <v>9</v>
      </c>
      <c r="U30" s="22">
        <f t="shared" si="1"/>
        <v>45188</v>
      </c>
      <c r="V30" s="1" cm="1">
        <f t="array" ref="V30">SUMIFS(calls_off_JAM,period_JAM,"&gt;="&amp;U30,period_JAM,"&lt;"&amp;U31)</f>
        <v>0</v>
      </c>
      <c r="W30" s="1" cm="1">
        <f t="array" ref="W30">SUMIFS(calls_ans_JAM,period_JAM,"&gt;="&amp;U30,period_JAM,"&lt;"&amp;U31)</f>
        <v>0</v>
      </c>
    </row>
    <row r="31" spans="1:23" ht="17" customHeight="1" x14ac:dyDescent="0.35">
      <c r="A31" s="32">
        <v>45046</v>
      </c>
      <c r="B31" s="1" t="s">
        <v>48</v>
      </c>
      <c r="C31" s="1" t="s">
        <v>97</v>
      </c>
      <c r="D31" s="1">
        <v>0</v>
      </c>
      <c r="E31" s="1">
        <v>0</v>
      </c>
      <c r="F31" s="66">
        <v>0</v>
      </c>
      <c r="G31" s="66">
        <v>0</v>
      </c>
      <c r="H31" s="70">
        <v>0</v>
      </c>
      <c r="I31" s="70">
        <v>0</v>
      </c>
      <c r="J31" s="70">
        <v>0</v>
      </c>
      <c r="K31" s="70">
        <v>0</v>
      </c>
      <c r="L31" s="18">
        <v>0</v>
      </c>
      <c r="M31" s="18">
        <v>0</v>
      </c>
      <c r="N31" s="18">
        <v>0</v>
      </c>
      <c r="O31" s="18">
        <v>0</v>
      </c>
      <c r="P31" s="180"/>
      <c r="Q31" s="229">
        <v>0</v>
      </c>
      <c r="R31" s="181">
        <v>0</v>
      </c>
      <c r="S31" s="1">
        <v>0</v>
      </c>
      <c r="U31" s="22">
        <f t="shared" si="1"/>
        <v>45195</v>
      </c>
      <c r="V31" s="1" cm="1">
        <f t="array" ref="V31">SUMIFS(calls_off_JAM,period_JAM,"&gt;="&amp;U31,period_JAM,"&lt;"&amp;U32)</f>
        <v>0</v>
      </c>
      <c r="W31" s="1" cm="1">
        <f t="array" ref="W31">SUMIFS(calls_ans_JAM,period_JAM,"&gt;="&amp;U31,period_JAM,"&lt;"&amp;U32)</f>
        <v>0</v>
      </c>
    </row>
    <row r="32" spans="1:23" ht="17" customHeight="1" x14ac:dyDescent="0.35">
      <c r="A32" s="32">
        <v>45047</v>
      </c>
      <c r="B32" s="1" t="s">
        <v>49</v>
      </c>
      <c r="C32" s="1" t="s">
        <v>97</v>
      </c>
      <c r="D32" s="1">
        <v>1061</v>
      </c>
      <c r="E32" s="1">
        <v>908</v>
      </c>
      <c r="F32" s="66">
        <f>_xlfn.IFNA((Table6[[#This Row],[Calls Off]]-D25)/D25,0)</f>
        <v>6.955645161290322E-2</v>
      </c>
      <c r="G32" s="66">
        <f>_xlfn.IFNA((Table6[[#This Row],[Calls Ans]]-E25)/E25,0)</f>
        <v>-3.6093418259023353E-2</v>
      </c>
      <c r="H32" s="1">
        <f>Table6[[#This Row],[Calls Off]]+H31</f>
        <v>1061</v>
      </c>
      <c r="I32" s="1">
        <f>I31+Table6[[#This Row],[Calls Ans]]</f>
        <v>908</v>
      </c>
      <c r="J32" s="1">
        <f>J30+Table6[[#This Row],[Calls Off]]</f>
        <v>21233</v>
      </c>
      <c r="K32" s="1">
        <f>K30+Table6[[#This Row],[Calls Ans]]</f>
        <v>19210</v>
      </c>
      <c r="L32" s="18">
        <v>0.56999999999999995</v>
      </c>
      <c r="M32" s="18">
        <v>0.14000000000000001</v>
      </c>
      <c r="N32" s="18">
        <v>0.86</v>
      </c>
      <c r="O32" s="18">
        <v>0.83</v>
      </c>
      <c r="P32" s="180"/>
      <c r="Q32" s="230">
        <v>3.5763888888888894E-3</v>
      </c>
      <c r="R32" s="182">
        <v>7.1527777777777787E-2</v>
      </c>
      <c r="S32" s="1">
        <v>13</v>
      </c>
      <c r="U32" s="22">
        <f t="shared" si="1"/>
        <v>45202</v>
      </c>
      <c r="V32" s="1" cm="1">
        <f t="array" ref="V32">SUMIFS(calls_off_JAM,period_JAM,"&gt;="&amp;U32,period_JAM,"&lt;"&amp;U33)</f>
        <v>0</v>
      </c>
      <c r="W32" s="1" cm="1">
        <f t="array" ref="W32">SUMIFS(calls_ans_JAM,period_JAM,"&gt;="&amp;U32,period_JAM,"&lt;"&amp;U33)</f>
        <v>0</v>
      </c>
    </row>
    <row r="33" spans="1:23" ht="17" customHeight="1" x14ac:dyDescent="0.35">
      <c r="A33" s="32">
        <v>45048</v>
      </c>
      <c r="B33" s="1" t="s">
        <v>50</v>
      </c>
      <c r="C33" s="1" t="s">
        <v>97</v>
      </c>
      <c r="D33" s="1">
        <v>1062</v>
      </c>
      <c r="E33" s="1">
        <v>1011</v>
      </c>
      <c r="F33" s="66">
        <f>_xlfn.IFNA((Table6[[#This Row],[Calls Off]]-D26)/D26,0)</f>
        <v>0.109717868338558</v>
      </c>
      <c r="G33" s="66">
        <f>_xlfn.IFNA((Table6[[#This Row],[Calls Ans]]-E26)/E26,0)</f>
        <v>0.13087248322147652</v>
      </c>
      <c r="H33" s="1">
        <f>Table6[[#This Row],[Calls Off]]+H32</f>
        <v>2123</v>
      </c>
      <c r="I33" s="1">
        <f>I32+Table6[[#This Row],[Calls Ans]]</f>
        <v>1919</v>
      </c>
      <c r="J33" s="1">
        <f>J32+Table6[[#This Row],[Calls Off]]</f>
        <v>22295</v>
      </c>
      <c r="K33" s="1">
        <f>K32+Table6[[#This Row],[Calls Ans]]</f>
        <v>20221</v>
      </c>
      <c r="L33" s="18">
        <v>0.83</v>
      </c>
      <c r="M33" s="18">
        <v>0.05</v>
      </c>
      <c r="N33" s="18">
        <v>0.95</v>
      </c>
      <c r="O33" s="18">
        <v>0.75</v>
      </c>
      <c r="P33" s="180"/>
      <c r="Q33" s="229">
        <v>3.5763888888888894E-3</v>
      </c>
      <c r="R33" s="181">
        <v>7.1527777777777787E-2</v>
      </c>
      <c r="S33" s="1">
        <v>16</v>
      </c>
      <c r="U33" s="22">
        <f t="shared" si="1"/>
        <v>45209</v>
      </c>
      <c r="V33" s="1" cm="1">
        <f t="array" ref="V33">SUMIFS(calls_off_JAM,period_JAM,"&gt;="&amp;U33,period_JAM,"&lt;"&amp;U34)</f>
        <v>0</v>
      </c>
      <c r="W33" s="1" cm="1">
        <f t="array" ref="W33">SUMIFS(calls_ans_JAM,period_JAM,"&gt;="&amp;U33,period_JAM,"&lt;"&amp;U34)</f>
        <v>0</v>
      </c>
    </row>
    <row r="34" spans="1:23" ht="17" customHeight="1" x14ac:dyDescent="0.35">
      <c r="A34" s="32">
        <v>45049</v>
      </c>
      <c r="B34" s="39" t="s">
        <v>51</v>
      </c>
      <c r="C34" s="1" t="s">
        <v>97</v>
      </c>
      <c r="D34" s="39">
        <v>879</v>
      </c>
      <c r="E34" s="39">
        <v>803</v>
      </c>
      <c r="F34" s="66">
        <f>_xlfn.IFNA((Table6[[#This Row],[Calls Off]]-D27)/D27,0)</f>
        <v>-0.20163487738419619</v>
      </c>
      <c r="G34" s="66">
        <f>_xlfn.IFNA((Table6[[#This Row],[Calls Ans]]-E27)/E27,0)</f>
        <v>-0.11951754385964912</v>
      </c>
      <c r="H34" s="1">
        <f>Table6[[#This Row],[Calls Off]]+H33</f>
        <v>3002</v>
      </c>
      <c r="I34" s="1">
        <f>I33+Table6[[#This Row],[Calls Ans]]</f>
        <v>2722</v>
      </c>
      <c r="J34" s="1">
        <f>J33+Table6[[#This Row],[Calls Off]]</f>
        <v>23174</v>
      </c>
      <c r="K34" s="1">
        <f>K33+Table6[[#This Row],[Calls Ans]]</f>
        <v>21024</v>
      </c>
      <c r="L34" s="48">
        <v>0.77</v>
      </c>
      <c r="M34" s="48">
        <v>0.09</v>
      </c>
      <c r="N34" s="48">
        <v>0.91</v>
      </c>
      <c r="O34" s="48">
        <v>0.77</v>
      </c>
      <c r="P34" s="180"/>
      <c r="Q34" s="229">
        <v>3.472222222222222E-3</v>
      </c>
      <c r="R34" s="181">
        <v>9.4444444444444442E-2</v>
      </c>
      <c r="S34" s="1">
        <v>12</v>
      </c>
      <c r="U34" s="22">
        <f t="shared" si="1"/>
        <v>45216</v>
      </c>
      <c r="V34" s="1" cm="1">
        <f t="array" ref="V34">SUMIFS(calls_off_JAM,period_JAM,"&gt;="&amp;U34,period_JAM,"&lt;"&amp;U35)</f>
        <v>0</v>
      </c>
      <c r="W34" s="1" cm="1">
        <f t="array" ref="W34">SUMIFS(calls_ans_JAM,period_JAM,"&gt;="&amp;U34,period_JAM,"&lt;"&amp;U35)</f>
        <v>0</v>
      </c>
    </row>
    <row r="35" spans="1:23" ht="17" customHeight="1" x14ac:dyDescent="0.35">
      <c r="A35" s="32">
        <v>45050</v>
      </c>
      <c r="B35" s="1" t="s">
        <v>52</v>
      </c>
      <c r="C35" s="1" t="s">
        <v>97</v>
      </c>
      <c r="D35" s="1">
        <v>946</v>
      </c>
      <c r="E35" s="1">
        <v>862</v>
      </c>
      <c r="F35" s="66">
        <f>_xlfn.IFNA((Table6[[#This Row],[Calls Off]]-D28)/D28,0)</f>
        <v>1.611170784103115E-2</v>
      </c>
      <c r="G35" s="66">
        <f>_xlfn.IFNA((Table6[[#This Row],[Calls Ans]]-E28)/E28,0)</f>
        <v>1.411764705882353E-2</v>
      </c>
      <c r="H35" s="1">
        <f>Table6[[#This Row],[Calls Off]]+H34</f>
        <v>3948</v>
      </c>
      <c r="I35" s="1">
        <f>I34+Table6[[#This Row],[Calls Ans]]</f>
        <v>3584</v>
      </c>
      <c r="J35" s="1">
        <f>J34+Table6[[#This Row],[Calls Off]]</f>
        <v>24120</v>
      </c>
      <c r="K35" s="1">
        <f>K34+Table6[[#This Row],[Calls Ans]]</f>
        <v>21886</v>
      </c>
      <c r="L35" s="18">
        <v>0.73</v>
      </c>
      <c r="M35" s="18">
        <v>0.09</v>
      </c>
      <c r="N35" s="18">
        <v>0.91</v>
      </c>
      <c r="O35" s="18">
        <v>0.76</v>
      </c>
      <c r="P35" s="180"/>
      <c r="Q35" s="229">
        <v>3.4606481481481485E-3</v>
      </c>
      <c r="R35" s="181">
        <v>3.3333333333333333E-2</v>
      </c>
      <c r="S35" s="1">
        <v>13</v>
      </c>
      <c r="U35" s="22">
        <f t="shared" si="1"/>
        <v>45223</v>
      </c>
      <c r="V35" s="1" cm="1">
        <f t="array" ref="V35">SUMIFS(calls_off_JAM,period_JAM,"&gt;="&amp;U35,period_JAM,"&lt;"&amp;U36)</f>
        <v>0</v>
      </c>
      <c r="W35" s="1" cm="1">
        <f t="array" ref="W35">SUMIFS(calls_ans_JAM,period_JAM,"&gt;="&amp;U35,period_JAM,"&lt;"&amp;U36)</f>
        <v>0</v>
      </c>
    </row>
    <row r="36" spans="1:23" x14ac:dyDescent="0.35">
      <c r="A36" s="32">
        <v>45051</v>
      </c>
      <c r="B36" s="1" t="s">
        <v>53</v>
      </c>
      <c r="C36" s="1" t="s">
        <v>97</v>
      </c>
      <c r="D36" s="1">
        <v>923</v>
      </c>
      <c r="E36" s="1">
        <v>817</v>
      </c>
      <c r="F36" s="66">
        <f>_xlfn.IFNA((Table6[[#This Row],[Calls Off]]-D29)/D29,0)</f>
        <v>-7.8842315369261479E-2</v>
      </c>
      <c r="G36" s="66">
        <f>_xlfn.IFNA((Table6[[#This Row],[Calls Ans]]-E29)/E29,0)</f>
        <v>-3.4278959810874705E-2</v>
      </c>
      <c r="H36" s="1">
        <f>Table6[[#This Row],[Calls Off]]+H35</f>
        <v>4871</v>
      </c>
      <c r="I36" s="1">
        <f>I35+Table6[[#This Row],[Calls Ans]]</f>
        <v>4401</v>
      </c>
      <c r="J36" s="1">
        <f>J35+Table6[[#This Row],[Calls Off]]</f>
        <v>25043</v>
      </c>
      <c r="K36" s="1">
        <f>K35+Table6[[#This Row],[Calls Ans]]</f>
        <v>22703</v>
      </c>
      <c r="L36" s="18">
        <v>0.68</v>
      </c>
      <c r="M36" s="18">
        <v>0.11</v>
      </c>
      <c r="N36" s="18">
        <v>0.89</v>
      </c>
      <c r="O36" s="18">
        <v>0.7</v>
      </c>
      <c r="P36" s="180"/>
      <c r="Q36" s="229">
        <v>3.6111111111111114E-3</v>
      </c>
      <c r="R36" s="181">
        <v>2.9861111111111113E-2</v>
      </c>
      <c r="S36" s="1">
        <v>14</v>
      </c>
      <c r="U36" s="22">
        <f t="shared" si="1"/>
        <v>45230</v>
      </c>
      <c r="V36" s="1" cm="1">
        <f t="array" ref="V36">SUMIFS(calls_off_JAM,period_JAM,"&gt;="&amp;U36,period_JAM,"&lt;"&amp;U37)</f>
        <v>0</v>
      </c>
      <c r="W36" s="1" cm="1">
        <f t="array" ref="W36">SUMIFS(calls_ans_JAM,period_JAM,"&gt;="&amp;U36,period_JAM,"&lt;"&amp;U37)</f>
        <v>0</v>
      </c>
    </row>
    <row r="37" spans="1:23" x14ac:dyDescent="0.35">
      <c r="A37" s="32">
        <v>45052</v>
      </c>
      <c r="B37" s="1" t="s">
        <v>54</v>
      </c>
      <c r="C37" s="1" t="s">
        <v>97</v>
      </c>
      <c r="D37" s="1">
        <v>692</v>
      </c>
      <c r="E37" s="1">
        <v>573</v>
      </c>
      <c r="F37" s="66">
        <f>_xlfn.IFNA((Table6[[#This Row],[Calls Off]]-D30)/D30,0)</f>
        <v>-9.7783572359843543E-2</v>
      </c>
      <c r="G37" s="66">
        <f>_xlfn.IFNA((Table6[[#This Row],[Calls Ans]]-E30)/E30,0)</f>
        <v>-3.4782608695652175E-3</v>
      </c>
      <c r="H37" s="1">
        <f>Table6[[#This Row],[Calls Off]]+H36</f>
        <v>5563</v>
      </c>
      <c r="I37" s="1">
        <f>I36+Table6[[#This Row],[Calls Ans]]</f>
        <v>4974</v>
      </c>
      <c r="J37" s="1">
        <f>J36+Table6[[#This Row],[Calls Off]]</f>
        <v>25735</v>
      </c>
      <c r="K37" s="1">
        <f>K36+Table6[[#This Row],[Calls Ans]]</f>
        <v>23276</v>
      </c>
      <c r="L37" s="18">
        <v>0.59</v>
      </c>
      <c r="M37" s="18">
        <v>0.17</v>
      </c>
      <c r="N37" s="18">
        <v>0.83</v>
      </c>
      <c r="O37" s="18">
        <v>0.75</v>
      </c>
      <c r="P37" s="180"/>
      <c r="Q37" s="229">
        <v>3.5185185185185185E-3</v>
      </c>
      <c r="R37" s="181">
        <v>4.4444444444444446E-2</v>
      </c>
      <c r="S37" s="1">
        <v>9</v>
      </c>
      <c r="U37" s="22">
        <f t="shared" si="1"/>
        <v>45237</v>
      </c>
      <c r="V37" s="1" cm="1">
        <f t="array" ref="V37">SUMIFS(calls_off_JAM,period_JAM,"&gt;="&amp;U37,period_JAM,"&lt;"&amp;U38)</f>
        <v>0</v>
      </c>
      <c r="W37" s="1" cm="1">
        <f t="array" ref="W37">SUMIFS(calls_ans_JAM,period_JAM,"&gt;="&amp;U37,period_JAM,"&lt;"&amp;U38)</f>
        <v>0</v>
      </c>
    </row>
    <row r="38" spans="1:23" x14ac:dyDescent="0.35">
      <c r="A38" s="32">
        <v>45053</v>
      </c>
      <c r="B38" s="1" t="s">
        <v>48</v>
      </c>
      <c r="C38" s="1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180"/>
      <c r="Q38" s="229">
        <v>0</v>
      </c>
      <c r="R38" s="181">
        <v>0</v>
      </c>
      <c r="S38" s="1">
        <v>0</v>
      </c>
      <c r="U38" s="22">
        <f t="shared" si="1"/>
        <v>45244</v>
      </c>
      <c r="V38" s="1" cm="1">
        <f t="array" ref="V38">SUMIFS(calls_off_JAM,period_JAM,"&gt;="&amp;U38,period_JAM,"&lt;"&amp;U39)</f>
        <v>0</v>
      </c>
      <c r="W38" s="1" cm="1">
        <f t="array" ref="W38">SUMIFS(calls_ans_JAM,period_JAM,"&gt;="&amp;U38,period_JAM,"&lt;"&amp;U39)</f>
        <v>0</v>
      </c>
    </row>
    <row r="39" spans="1:23" x14ac:dyDescent="0.35">
      <c r="A39" s="32">
        <v>45054</v>
      </c>
      <c r="B39" s="1" t="s">
        <v>49</v>
      </c>
      <c r="C39" s="1" t="s">
        <v>97</v>
      </c>
      <c r="D39" s="1">
        <v>934</v>
      </c>
      <c r="E39" s="1">
        <v>851</v>
      </c>
      <c r="F39" s="66">
        <f>_xlfn.IFNA((Table6[[#This Row],[Calls Off]]-D32)/D32,0)</f>
        <v>-0.11969839773798303</v>
      </c>
      <c r="G39" s="66">
        <f>_xlfn.IFNA((Table6[[#This Row],[Calls Ans]]-E32)/E32,0)</f>
        <v>-6.2775330396475773E-2</v>
      </c>
      <c r="H39" s="1">
        <f>Table6[[#This Row],[Calls Off]]+H37</f>
        <v>6497</v>
      </c>
      <c r="I39" s="1">
        <f>I37+Table6[[#This Row],[Calls Ans]]</f>
        <v>5825</v>
      </c>
      <c r="J39" s="1">
        <f>J37+Table6[[#This Row],[Calls Off]]</f>
        <v>26669</v>
      </c>
      <c r="K39" s="1">
        <f>K37+Table6[[#This Row],[Calls Ans]]</f>
        <v>24127</v>
      </c>
      <c r="L39" s="18">
        <v>0.74</v>
      </c>
      <c r="M39" s="18">
        <v>0.09</v>
      </c>
      <c r="N39" s="18">
        <v>0.91</v>
      </c>
      <c r="O39" s="18">
        <v>0.75</v>
      </c>
      <c r="P39" s="180"/>
      <c r="Q39" s="230">
        <v>3.7037037037037034E-3</v>
      </c>
      <c r="R39" s="182">
        <v>2.7083333333333334E-2</v>
      </c>
      <c r="S39" s="1">
        <v>14</v>
      </c>
      <c r="U39" s="22">
        <f t="shared" si="1"/>
        <v>45251</v>
      </c>
      <c r="V39" s="1" cm="1">
        <f t="array" ref="V39">SUMIFS(calls_off_JAM,period_JAM,"&gt;="&amp;U39,period_JAM,"&lt;"&amp;U40)</f>
        <v>0</v>
      </c>
      <c r="W39" s="1" cm="1">
        <f t="array" ref="W39">SUMIFS(calls_ans_JAM,period_JAM,"&gt;="&amp;U39,period_JAM,"&lt;"&amp;U40)</f>
        <v>0</v>
      </c>
    </row>
    <row r="40" spans="1:23" x14ac:dyDescent="0.35">
      <c r="A40" s="32">
        <v>45055</v>
      </c>
      <c r="B40" s="1" t="s">
        <v>50</v>
      </c>
      <c r="C40" s="1" t="s">
        <v>97</v>
      </c>
      <c r="D40" s="1">
        <v>864</v>
      </c>
      <c r="E40" s="1">
        <v>806</v>
      </c>
      <c r="F40" s="66">
        <f>_xlfn.IFNA((Table6[[#This Row],[Calls Off]]-D33)/D33,0)</f>
        <v>-0.1864406779661017</v>
      </c>
      <c r="G40" s="66">
        <f>_xlfn.IFNA((Table6[[#This Row],[Calls Ans]]-E33)/E33,0)</f>
        <v>-0.20276953511374876</v>
      </c>
      <c r="H40" s="1">
        <f>Table6[[#This Row],[Calls Off]]+H39</f>
        <v>7361</v>
      </c>
      <c r="I40" s="1">
        <f>I39+Table6[[#This Row],[Calls Ans]]</f>
        <v>6631</v>
      </c>
      <c r="J40" s="1">
        <f>J39+Table6[[#This Row],[Calls Off]]</f>
        <v>27533</v>
      </c>
      <c r="K40" s="1">
        <f>K39+Table6[[#This Row],[Calls Ans]]</f>
        <v>24933</v>
      </c>
      <c r="L40" s="18">
        <v>0.84</v>
      </c>
      <c r="M40" s="18">
        <v>7.0000000000000007E-2</v>
      </c>
      <c r="N40" s="18">
        <v>0.93</v>
      </c>
      <c r="O40" s="18">
        <v>0.69</v>
      </c>
      <c r="P40" s="180"/>
      <c r="Q40" s="229">
        <v>3.5763888888888894E-3</v>
      </c>
      <c r="R40" s="181">
        <v>1.8055555555555557E-2</v>
      </c>
      <c r="S40" s="1">
        <v>14</v>
      </c>
      <c r="U40" s="22">
        <f t="shared" si="1"/>
        <v>45258</v>
      </c>
      <c r="V40" s="1" cm="1">
        <f t="array" ref="V40">SUMIFS(calls_off_JAM,period_JAM,"&gt;="&amp;U40,period_JAM,"&lt;"&amp;U41)</f>
        <v>0</v>
      </c>
      <c r="W40" s="1" cm="1">
        <f t="array" ref="W40">SUMIFS(calls_ans_JAM,period_JAM,"&gt;="&amp;U40,period_JAM,"&lt;"&amp;U41)</f>
        <v>0</v>
      </c>
    </row>
    <row r="41" spans="1:23" x14ac:dyDescent="0.35">
      <c r="A41" s="32">
        <v>45056</v>
      </c>
      <c r="B41" s="1" t="s">
        <v>51</v>
      </c>
      <c r="C41" s="1" t="s">
        <v>97</v>
      </c>
      <c r="D41" s="1">
        <v>812</v>
      </c>
      <c r="E41" s="1">
        <v>748</v>
      </c>
      <c r="F41" s="66">
        <f>_xlfn.IFNA((Table6[[#This Row],[Calls Off]]-D34)/D34,0)</f>
        <v>-7.6222980659840733E-2</v>
      </c>
      <c r="G41" s="66">
        <f>_xlfn.IFNA((Table6[[#This Row],[Calls Ans]]-E34)/E34,0)</f>
        <v>-6.8493150684931503E-2</v>
      </c>
      <c r="H41" s="1">
        <f>Table6[[#This Row],[Calls Off]]+H40</f>
        <v>8173</v>
      </c>
      <c r="I41" s="1">
        <f>I40+Table6[[#This Row],[Calls Ans]]</f>
        <v>7379</v>
      </c>
      <c r="J41" s="1">
        <f>J40+Table6[[#This Row],[Calls Off]]</f>
        <v>28345</v>
      </c>
      <c r="K41" s="1">
        <f>K40+Table6[[#This Row],[Calls Ans]]</f>
        <v>25681</v>
      </c>
      <c r="L41" s="18">
        <v>0.71</v>
      </c>
      <c r="M41" s="18">
        <v>0.09</v>
      </c>
      <c r="N41" s="18">
        <v>0.91</v>
      </c>
      <c r="O41" s="18">
        <v>0.72</v>
      </c>
      <c r="P41" s="180"/>
      <c r="Q41" s="229">
        <v>3.472222222222222E-3</v>
      </c>
      <c r="R41" s="181">
        <v>3.1944444444444449E-2</v>
      </c>
      <c r="S41" s="1">
        <v>12</v>
      </c>
      <c r="U41" s="22">
        <f t="shared" si="1"/>
        <v>45265</v>
      </c>
      <c r="V41" s="1" cm="1">
        <f t="array" ref="V41">SUMIFS(calls_off_JAM,period_JAM,"&gt;="&amp;U41,period_JAM,"&lt;"&amp;U42)</f>
        <v>0</v>
      </c>
      <c r="W41" s="1" cm="1">
        <f t="array" ref="W41">SUMIFS(calls_ans_JAM,period_JAM,"&gt;="&amp;U41,period_JAM,"&lt;"&amp;U42)</f>
        <v>0</v>
      </c>
    </row>
    <row r="42" spans="1:23" x14ac:dyDescent="0.35">
      <c r="A42" s="32">
        <v>45057</v>
      </c>
      <c r="B42" s="1" t="s">
        <v>52</v>
      </c>
      <c r="C42" s="1" t="s">
        <v>97</v>
      </c>
      <c r="D42" s="1">
        <v>782</v>
      </c>
      <c r="E42" s="1">
        <v>718</v>
      </c>
      <c r="F42" s="66">
        <f>_xlfn.IFNA((Table6[[#This Row],[Calls Off]]-D35)/D35,0)</f>
        <v>-0.17336152219873149</v>
      </c>
      <c r="G42" s="66">
        <f>_xlfn.IFNA((Table6[[#This Row],[Calls Ans]]-E35)/E35,0)</f>
        <v>-0.16705336426914152</v>
      </c>
      <c r="H42" s="1">
        <f>Table6[[#This Row],[Calls Off]]+H41</f>
        <v>8955</v>
      </c>
      <c r="I42" s="1">
        <f>I41+Table6[[#This Row],[Calls Ans]]</f>
        <v>8097</v>
      </c>
      <c r="J42" s="1">
        <f>J41+Table6[[#This Row],[Calls Off]]</f>
        <v>29127</v>
      </c>
      <c r="K42" s="1">
        <f>K41+Table6[[#This Row],[Calls Ans]]</f>
        <v>26399</v>
      </c>
      <c r="L42" s="18">
        <v>0.77</v>
      </c>
      <c r="M42" s="18">
        <v>0.08</v>
      </c>
      <c r="N42" s="18">
        <v>0.92</v>
      </c>
      <c r="O42" s="18">
        <v>0.66</v>
      </c>
      <c r="P42" s="180"/>
      <c r="Q42" s="229">
        <v>3.3217592592592591E-3</v>
      </c>
      <c r="R42" s="181">
        <v>2.5694444444444447E-2</v>
      </c>
      <c r="S42" s="1">
        <v>12</v>
      </c>
      <c r="U42" s="22">
        <f t="shared" si="1"/>
        <v>45272</v>
      </c>
      <c r="V42" s="1" cm="1">
        <f t="array" ref="V42">SUMIFS(calls_off_JAM,period_JAM,"&gt;="&amp;U42,period_JAM,"&lt;"&amp;U43)</f>
        <v>0</v>
      </c>
      <c r="W42" s="1" cm="1">
        <f t="array" ref="W42">SUMIFS(calls_ans_JAM,period_JAM,"&gt;="&amp;U42,period_JAM,"&lt;"&amp;U43)</f>
        <v>0</v>
      </c>
    </row>
    <row r="43" spans="1:23" x14ac:dyDescent="0.35">
      <c r="A43" s="32">
        <v>45058</v>
      </c>
      <c r="B43" s="1" t="s">
        <v>53</v>
      </c>
      <c r="C43" s="1" t="s">
        <v>97</v>
      </c>
      <c r="D43" s="1">
        <v>930</v>
      </c>
      <c r="E43" s="1">
        <v>792</v>
      </c>
      <c r="F43" s="66">
        <f>_xlfn.IFNA((Table6[[#This Row],[Calls Off]]-D36)/D36,0)</f>
        <v>7.5839653304442039E-3</v>
      </c>
      <c r="G43" s="66">
        <f>_xlfn.IFNA((Table6[[#This Row],[Calls Ans]]-E36)/E36,0)</f>
        <v>-3.0599755201958383E-2</v>
      </c>
      <c r="H43" s="1">
        <f>Table6[[#This Row],[Calls Off]]+H42</f>
        <v>9885</v>
      </c>
      <c r="I43" s="1">
        <f>I42+Table6[[#This Row],[Calls Ans]]</f>
        <v>8889</v>
      </c>
      <c r="J43" s="1">
        <f>J42+Table6[[#This Row],[Calls Off]]</f>
        <v>30057</v>
      </c>
      <c r="K43" s="1">
        <f>K42+Table6[[#This Row],[Calls Ans]]</f>
        <v>27191</v>
      </c>
      <c r="L43" s="18">
        <v>0.61</v>
      </c>
      <c r="M43" s="18">
        <v>0.15</v>
      </c>
      <c r="N43" s="18">
        <v>0.85</v>
      </c>
      <c r="O43" s="18">
        <v>0.77</v>
      </c>
      <c r="P43" s="180"/>
      <c r="Q43" s="229">
        <v>3.4953703703703705E-3</v>
      </c>
      <c r="R43" s="181">
        <v>5.2083333333333336E-2</v>
      </c>
      <c r="S43" s="1">
        <v>12</v>
      </c>
      <c r="U43" s="22">
        <f t="shared" si="1"/>
        <v>45279</v>
      </c>
      <c r="V43" s="1" cm="1">
        <f t="array" ref="V43">SUMIFS(calls_off_JAM,period_JAM,"&gt;="&amp;U43,period_JAM,"&lt;"&amp;U44)</f>
        <v>0</v>
      </c>
      <c r="W43" s="1" cm="1">
        <f t="array" ref="W43">SUMIFS(calls_ans_JAM,period_JAM,"&gt;="&amp;U43,period_JAM,"&lt;"&amp;U44)</f>
        <v>0</v>
      </c>
    </row>
    <row r="44" spans="1:23" x14ac:dyDescent="0.35">
      <c r="A44" s="32">
        <v>45059</v>
      </c>
      <c r="B44" s="1" t="s">
        <v>54</v>
      </c>
      <c r="C44" s="1" t="s">
        <v>97</v>
      </c>
      <c r="D44" s="1">
        <v>774</v>
      </c>
      <c r="E44" s="1">
        <v>443</v>
      </c>
      <c r="F44" s="66">
        <f>_xlfn.IFNA((Table6[[#This Row],[Calls Off]]-D37)/D37,0)</f>
        <v>0.11849710982658959</v>
      </c>
      <c r="G44" s="66">
        <f>_xlfn.IFNA((Table6[[#This Row],[Calls Ans]]-E37)/E37,0)</f>
        <v>-0.2268760907504363</v>
      </c>
      <c r="H44" s="1">
        <f>Table6[[#This Row],[Calls Off]]+H43</f>
        <v>10659</v>
      </c>
      <c r="I44" s="1">
        <f>I43+Table6[[#This Row],[Calls Ans]]</f>
        <v>9332</v>
      </c>
      <c r="J44" s="1">
        <f>J43+Table6[[#This Row],[Calls Off]]</f>
        <v>30831</v>
      </c>
      <c r="K44" s="1">
        <f>K43+Table6[[#This Row],[Calls Ans]]</f>
        <v>27634</v>
      </c>
      <c r="L44" s="18">
        <v>0.17</v>
      </c>
      <c r="M44" s="18">
        <v>0.43</v>
      </c>
      <c r="N44" s="18">
        <v>0.56999999999999995</v>
      </c>
      <c r="O44" s="18">
        <v>1.84</v>
      </c>
      <c r="P44" s="180"/>
      <c r="Q44" s="229">
        <v>3.7384259259259263E-3</v>
      </c>
      <c r="R44" s="181">
        <v>0.17222222222222225</v>
      </c>
      <c r="S44" s="1">
        <v>3</v>
      </c>
      <c r="U44" s="22">
        <f t="shared" si="1"/>
        <v>45286</v>
      </c>
      <c r="V44" s="1" cm="1">
        <f t="array" ref="V44">SUMIFS(calls_off_JAM,period_JAM,"&gt;="&amp;U44,period_JAM,"&lt;"&amp;U45)</f>
        <v>0</v>
      </c>
      <c r="W44" s="1" cm="1">
        <f t="array" ref="W44">SUMIFS(calls_ans_JAM,period_JAM,"&gt;="&amp;U44,period_JAM,"&lt;"&amp;U45)</f>
        <v>0</v>
      </c>
    </row>
    <row r="45" spans="1:23" x14ac:dyDescent="0.35">
      <c r="A45" s="32">
        <v>45060</v>
      </c>
      <c r="B45" s="1" t="s">
        <v>48</v>
      </c>
      <c r="C45" s="1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0"/>
      <c r="Q45" s="229">
        <v>0</v>
      </c>
      <c r="R45" s="181">
        <v>0</v>
      </c>
      <c r="S45" s="1">
        <v>0</v>
      </c>
      <c r="U45" s="22">
        <f t="shared" si="1"/>
        <v>45293</v>
      </c>
      <c r="V45" s="1" cm="1">
        <f t="array" ref="V45">SUMIFS(calls_off_JAM,period_JAM,"&gt;="&amp;U45,period_JAM,"&lt;"&amp;U46)</f>
        <v>0</v>
      </c>
      <c r="W45" s="1" cm="1">
        <f t="array" ref="W45">SUMIFS(calls_ans_JAM,period_JAM,"&gt;="&amp;U45,period_JAM,"&lt;"&amp;U46)</f>
        <v>0</v>
      </c>
    </row>
    <row r="46" spans="1:23" x14ac:dyDescent="0.35">
      <c r="A46" s="32">
        <v>45061</v>
      </c>
      <c r="B46" s="1" t="s">
        <v>49</v>
      </c>
      <c r="C46" s="1" t="s">
        <v>97</v>
      </c>
      <c r="D46" s="1">
        <v>912</v>
      </c>
      <c r="E46" s="1">
        <v>878</v>
      </c>
      <c r="F46" s="66">
        <f>_xlfn.IFNA((Table6[[#This Row],[Calls Off]]-D39)/D39,0)</f>
        <v>-2.3554603854389723E-2</v>
      </c>
      <c r="G46" s="66">
        <f>_xlfn.IFNA((Table6[[#This Row],[Calls Ans]]-E39)/E39,0)</f>
        <v>3.1727379553466509E-2</v>
      </c>
      <c r="H46" s="1">
        <f>Table6[[#This Row],[Calls Off]]+H44</f>
        <v>11571</v>
      </c>
      <c r="I46" s="1">
        <f>I44+Table6[[#This Row],[Calls Ans]]</f>
        <v>10210</v>
      </c>
      <c r="J46" s="1">
        <f>J44+Table6[[#This Row],[Calls Off]]</f>
        <v>31743</v>
      </c>
      <c r="K46" s="1">
        <f>K44+Table6[[#This Row],[Calls Ans]]</f>
        <v>28512</v>
      </c>
      <c r="L46" s="18">
        <v>0.88</v>
      </c>
      <c r="M46" s="18">
        <v>0.04</v>
      </c>
      <c r="N46" s="18">
        <v>0.96</v>
      </c>
      <c r="O46" s="18">
        <v>0.68</v>
      </c>
      <c r="P46" s="180"/>
      <c r="Q46" s="230">
        <v>3.2407407407407406E-3</v>
      </c>
      <c r="R46" s="182">
        <v>1.1111111111111112E-2</v>
      </c>
      <c r="S46" s="1">
        <v>14</v>
      </c>
      <c r="U46" s="22">
        <f t="shared" si="1"/>
        <v>45300</v>
      </c>
      <c r="V46" s="1" cm="1">
        <f t="array" ref="V46">SUMIFS(calls_off_JAM,period_JAM,"&gt;="&amp;U46,period_JAM,"&lt;"&amp;U47)</f>
        <v>0</v>
      </c>
      <c r="W46" s="1" cm="1">
        <f t="array" ref="W46">SUMIFS(calls_ans_JAM,period_JAM,"&gt;="&amp;U46,period_JAM,"&lt;"&amp;U47)</f>
        <v>0</v>
      </c>
    </row>
    <row r="47" spans="1:23" x14ac:dyDescent="0.35">
      <c r="A47" s="32">
        <v>45062</v>
      </c>
      <c r="B47" s="1" t="s">
        <v>50</v>
      </c>
      <c r="C47" s="1" t="s">
        <v>97</v>
      </c>
      <c r="D47" s="1">
        <v>912</v>
      </c>
      <c r="E47" s="1">
        <v>769</v>
      </c>
      <c r="F47" s="66">
        <f>_xlfn.IFNA((Table6[[#This Row],[Calls Off]]-D40)/D40,0)</f>
        <v>5.5555555555555552E-2</v>
      </c>
      <c r="G47" s="66">
        <f>_xlfn.IFNA((Table6[[#This Row],[Calls Ans]]-E40)/E40,0)</f>
        <v>-4.590570719602978E-2</v>
      </c>
      <c r="H47" s="1">
        <f>Table6[[#This Row],[Calls Off]]+H46</f>
        <v>12483</v>
      </c>
      <c r="I47" s="1">
        <f>I46+Table6[[#This Row],[Calls Ans]]</f>
        <v>10979</v>
      </c>
      <c r="J47" s="1">
        <f>J46+Table6[[#This Row],[Calls Off]]</f>
        <v>32655</v>
      </c>
      <c r="K47" s="1">
        <f>K46+Table6[[#This Row],[Calls Ans]]</f>
        <v>29281</v>
      </c>
      <c r="L47" s="18">
        <v>0.45</v>
      </c>
      <c r="M47" s="18">
        <v>0.16</v>
      </c>
      <c r="N47" s="18">
        <v>0.84</v>
      </c>
      <c r="O47" s="18">
        <v>0.78</v>
      </c>
      <c r="P47" s="180"/>
      <c r="Q47" s="229">
        <v>3.6574074074074074E-3</v>
      </c>
      <c r="R47" s="181">
        <v>5.9027777777777783E-2</v>
      </c>
      <c r="S47" s="1">
        <v>12</v>
      </c>
      <c r="U47" s="22">
        <f t="shared" si="1"/>
        <v>45307</v>
      </c>
      <c r="V47" s="1" cm="1">
        <f t="array" ref="V47">SUMIFS(calls_off_JAM,period_JAM,"&gt;="&amp;U47,period_JAM,"&lt;"&amp;U48)</f>
        <v>0</v>
      </c>
      <c r="W47" s="1" cm="1">
        <f t="array" ref="W47">SUMIFS(calls_ans_JAM,period_JAM,"&gt;="&amp;U47,period_JAM,"&lt;"&amp;U48)</f>
        <v>0</v>
      </c>
    </row>
    <row r="48" spans="1:23" x14ac:dyDescent="0.35">
      <c r="A48" s="32">
        <v>45063</v>
      </c>
      <c r="B48" s="1" t="s">
        <v>51</v>
      </c>
      <c r="C48" s="1" t="s">
        <v>97</v>
      </c>
      <c r="D48" s="1">
        <v>829</v>
      </c>
      <c r="E48" s="1">
        <v>782</v>
      </c>
      <c r="F48" s="66">
        <f>_xlfn.IFNA((Table6[[#This Row],[Calls Off]]-D41)/D41,0)</f>
        <v>2.0935960591133004E-2</v>
      </c>
      <c r="G48" s="66">
        <f>_xlfn.IFNA((Table6[[#This Row],[Calls Ans]]-E41)/E41,0)</f>
        <v>4.5454545454545456E-2</v>
      </c>
      <c r="H48" s="1">
        <f>Table6[[#This Row],[Calls Off]]+H47</f>
        <v>13312</v>
      </c>
      <c r="I48" s="1">
        <f>I47+Table6[[#This Row],[Calls Ans]]</f>
        <v>11761</v>
      </c>
      <c r="J48" s="1">
        <f>J47+Table6[[#This Row],[Calls Off]]</f>
        <v>33484</v>
      </c>
      <c r="K48" s="1">
        <f>K47+Table6[[#This Row],[Calls Ans]]</f>
        <v>30063</v>
      </c>
      <c r="L48" s="18">
        <v>0.9</v>
      </c>
      <c r="M48" s="18">
        <v>0.06</v>
      </c>
      <c r="N48" s="18">
        <v>0.94</v>
      </c>
      <c r="O48" s="18">
        <v>0.7</v>
      </c>
      <c r="P48" s="180"/>
      <c r="Q48" s="229">
        <v>3.5069444444444445E-3</v>
      </c>
      <c r="R48" s="181">
        <v>1.0416666666666666E-2</v>
      </c>
      <c r="S48" s="1">
        <v>13</v>
      </c>
      <c r="U48" s="22">
        <f t="shared" si="1"/>
        <v>45314</v>
      </c>
      <c r="V48" s="1" cm="1">
        <f t="array" ref="V48">SUMIFS(calls_off_JAM,period_JAM,"&gt;="&amp;U48,period_JAM,"&lt;"&amp;U49)</f>
        <v>0</v>
      </c>
      <c r="W48" s="1" cm="1">
        <f t="array" ref="W48">SUMIFS(calls_ans_JAM,period_JAM,"&gt;="&amp;U48,period_JAM,"&lt;"&amp;U49)</f>
        <v>0</v>
      </c>
    </row>
    <row r="49" spans="1:23" x14ac:dyDescent="0.35">
      <c r="A49" s="32">
        <v>45064</v>
      </c>
      <c r="B49" s="1" t="s">
        <v>52</v>
      </c>
      <c r="C49" s="1" t="s">
        <v>97</v>
      </c>
      <c r="D49" s="1">
        <v>805</v>
      </c>
      <c r="E49" s="1">
        <v>747</v>
      </c>
      <c r="F49" s="66">
        <f>_xlfn.IFNA((Table6[[#This Row],[Calls Off]]-D42)/D42,0)</f>
        <v>2.9411764705882353E-2</v>
      </c>
      <c r="G49" s="66">
        <f>_xlfn.IFNA((Table6[[#This Row],[Calls Ans]]-E42)/E42,0)</f>
        <v>4.0389972144846797E-2</v>
      </c>
      <c r="H49" s="1">
        <f>Table6[[#This Row],[Calls Off]]+H48</f>
        <v>14117</v>
      </c>
      <c r="I49" s="1">
        <f>I48+Table6[[#This Row],[Calls Ans]]</f>
        <v>12508</v>
      </c>
      <c r="J49" s="1">
        <f>J48+Table6[[#This Row],[Calls Off]]</f>
        <v>34289</v>
      </c>
      <c r="K49" s="1">
        <f>K48+Table6[[#This Row],[Calls Ans]]</f>
        <v>30810</v>
      </c>
      <c r="L49" s="18">
        <v>0.75</v>
      </c>
      <c r="M49" s="18">
        <v>7.0000000000000007E-2</v>
      </c>
      <c r="N49" s="18">
        <v>0.93</v>
      </c>
      <c r="O49" s="18">
        <v>0.87</v>
      </c>
      <c r="P49" s="180"/>
      <c r="Q49" s="229">
        <v>3.5069444444444445E-3</v>
      </c>
      <c r="R49" s="181">
        <v>2.4999999999999998E-2</v>
      </c>
      <c r="S49" s="1">
        <v>10</v>
      </c>
      <c r="U49" s="22">
        <f t="shared" si="1"/>
        <v>45321</v>
      </c>
      <c r="V49" s="1" cm="1">
        <f t="array" ref="V49">SUMIFS(calls_off_JAM,period_JAM,"&gt;="&amp;U49,period_JAM,"&lt;"&amp;U50)</f>
        <v>0</v>
      </c>
      <c r="W49" s="1" cm="1">
        <f t="array" ref="W49">SUMIFS(calls_ans_JAM,period_JAM,"&gt;="&amp;U49,period_JAM,"&lt;"&amp;U50)</f>
        <v>0</v>
      </c>
    </row>
    <row r="50" spans="1:23" x14ac:dyDescent="0.35">
      <c r="A50" s="32">
        <v>45065</v>
      </c>
      <c r="B50" s="1" t="s">
        <v>53</v>
      </c>
      <c r="C50" s="1" t="s">
        <v>97</v>
      </c>
      <c r="D50" s="1">
        <v>748</v>
      </c>
      <c r="E50" s="1">
        <v>694</v>
      </c>
      <c r="F50" s="66">
        <f>_xlfn.IFNA((Table6[[#This Row],[Calls Off]]-D43)/D43,0)</f>
        <v>-0.19569892473118281</v>
      </c>
      <c r="G50" s="66">
        <f>_xlfn.IFNA((Table6[[#This Row],[Calls Ans]]-E43)/E43,0)</f>
        <v>-0.12373737373737374</v>
      </c>
      <c r="H50" s="1">
        <f>Table6[[#This Row],[Calls Off]]+H49</f>
        <v>14865</v>
      </c>
      <c r="I50" s="1">
        <f>I49+Table6[[#This Row],[Calls Ans]]</f>
        <v>13202</v>
      </c>
      <c r="J50" s="1">
        <f>J49+Table6[[#This Row],[Calls Off]]</f>
        <v>35037</v>
      </c>
      <c r="K50" s="1">
        <f>K49+Table6[[#This Row],[Calls Ans]]</f>
        <v>31504</v>
      </c>
      <c r="L50" s="18">
        <v>0.82</v>
      </c>
      <c r="M50" s="18">
        <v>7.0000000000000007E-2</v>
      </c>
      <c r="N50" s="18">
        <v>0.93</v>
      </c>
      <c r="O50" s="18">
        <v>0.68</v>
      </c>
      <c r="P50" s="180"/>
      <c r="Q50" s="229">
        <v>3.530092592592592E-3</v>
      </c>
      <c r="R50" s="181">
        <v>2.0833333333333332E-2</v>
      </c>
      <c r="S50" s="1">
        <v>12</v>
      </c>
      <c r="U50" s="22">
        <f t="shared" si="1"/>
        <v>45328</v>
      </c>
      <c r="V50" s="1" cm="1">
        <f t="array" ref="V50">SUMIFS(calls_off_JAM,period_JAM,"&gt;="&amp;U50,period_JAM,"&lt;"&amp;U51)</f>
        <v>0</v>
      </c>
      <c r="W50" s="1" cm="1">
        <f t="array" ref="W50">SUMIFS(calls_ans_JAM,period_JAM,"&gt;="&amp;U50,period_JAM,"&lt;"&amp;U51)</f>
        <v>0</v>
      </c>
    </row>
    <row r="51" spans="1:23" x14ac:dyDescent="0.35">
      <c r="A51" s="32">
        <v>45066</v>
      </c>
      <c r="B51" s="1" t="s">
        <v>54</v>
      </c>
      <c r="C51" s="1" t="s">
        <v>97</v>
      </c>
      <c r="D51" s="1">
        <v>601</v>
      </c>
      <c r="E51" s="1">
        <v>581</v>
      </c>
      <c r="F51" s="66">
        <f>_xlfn.IFNA((Table6[[#This Row],[Calls Off]]-D44)/D44,0)</f>
        <v>-0.22351421188630491</v>
      </c>
      <c r="G51" s="66">
        <f>_xlfn.IFNA((Table6[[#This Row],[Calls Ans]]-E44)/E44,0)</f>
        <v>0.31151241534988711</v>
      </c>
      <c r="H51" s="1">
        <f>Table6[[#This Row],[Calls Off]]+H50</f>
        <v>15466</v>
      </c>
      <c r="I51" s="1">
        <f>I50+Table6[[#This Row],[Calls Ans]]</f>
        <v>13783</v>
      </c>
      <c r="J51" s="1">
        <f>J50+Table6[[#This Row],[Calls Off]]</f>
        <v>35638</v>
      </c>
      <c r="K51" s="1">
        <f>K50+Table6[[#This Row],[Calls Ans]]</f>
        <v>32085</v>
      </c>
      <c r="L51" s="18">
        <v>0.95</v>
      </c>
      <c r="M51" s="18">
        <v>0.03</v>
      </c>
      <c r="N51" s="18">
        <v>0.97</v>
      </c>
      <c r="O51" s="18">
        <v>0.51</v>
      </c>
      <c r="P51" s="180"/>
      <c r="Q51" s="229">
        <v>3.1712962962962958E-3</v>
      </c>
      <c r="R51" s="181">
        <v>3.7499999999999999E-2</v>
      </c>
      <c r="S51" s="1">
        <v>12</v>
      </c>
      <c r="U51" s="22">
        <f t="shared" si="1"/>
        <v>45335</v>
      </c>
      <c r="V51" s="1" cm="1">
        <f t="array" ref="V51">SUMIFS(calls_off_JAM,period_JAM,"&gt;="&amp;U51,period_JAM,"&lt;"&amp;U52)</f>
        <v>0</v>
      </c>
      <c r="W51" s="1" cm="1">
        <f t="array" ref="W51">SUMIFS(calls_ans_JAM,period_JAM,"&gt;="&amp;U51,period_JAM,"&lt;"&amp;U52)</f>
        <v>0</v>
      </c>
    </row>
    <row r="52" spans="1:23" x14ac:dyDescent="0.35">
      <c r="A52" s="32">
        <v>45067</v>
      </c>
      <c r="B52" s="1" t="s">
        <v>48</v>
      </c>
      <c r="C52" s="1" t="s">
        <v>97</v>
      </c>
      <c r="D52" s="1">
        <v>0</v>
      </c>
      <c r="E52" s="1">
        <v>0</v>
      </c>
      <c r="F52" s="66">
        <v>0</v>
      </c>
      <c r="G52" s="66">
        <v>0</v>
      </c>
      <c r="H52" s="1">
        <v>0</v>
      </c>
      <c r="I52" s="1">
        <v>0</v>
      </c>
      <c r="J52" s="1">
        <v>0</v>
      </c>
      <c r="K52" s="1">
        <v>0</v>
      </c>
      <c r="L52" s="18">
        <v>0</v>
      </c>
      <c r="M52" s="18">
        <v>0</v>
      </c>
      <c r="N52" s="18">
        <v>0</v>
      </c>
      <c r="O52" s="18">
        <v>0</v>
      </c>
      <c r="P52" s="180"/>
      <c r="Q52" s="229">
        <v>0</v>
      </c>
      <c r="R52" s="181">
        <v>0</v>
      </c>
      <c r="S52" s="1">
        <v>0</v>
      </c>
      <c r="U52" s="22">
        <f>U51+7</f>
        <v>45342</v>
      </c>
      <c r="V52" s="1" cm="1">
        <f t="array" ref="V52">SUMIFS(calls_off_JAM,period_JAM,"&gt;="&amp;U52,period_JAM,"&lt;"&amp;U53)</f>
        <v>0</v>
      </c>
      <c r="W52" s="1" cm="1">
        <f t="array" ref="W52">SUMIFS(calls_ans_JAM,period_JAM,"&gt;="&amp;U52,period_JAM,"&lt;"&amp;U53)</f>
        <v>0</v>
      </c>
    </row>
    <row r="53" spans="1:23" x14ac:dyDescent="0.35">
      <c r="A53" s="32">
        <v>45068</v>
      </c>
      <c r="B53" s="1" t="s">
        <v>49</v>
      </c>
      <c r="C53" s="1" t="s">
        <v>97</v>
      </c>
      <c r="D53" s="1">
        <v>949</v>
      </c>
      <c r="E53" s="1">
        <v>864</v>
      </c>
      <c r="F53" s="66">
        <f>_xlfn.IFNA((Table6[[#This Row],[Calls Off]]-D46)/D46,0)</f>
        <v>4.0570175438596492E-2</v>
      </c>
      <c r="G53" s="66">
        <f>_xlfn.IFNA((Table6[[#This Row],[Calls Ans]]-E46)/E46,0)</f>
        <v>-1.5945330296127564E-2</v>
      </c>
      <c r="H53" s="1">
        <f>Table6[[#This Row],[Calls Off]]+H51</f>
        <v>16415</v>
      </c>
      <c r="I53" s="1">
        <f>I51+Table6[[#This Row],[Calls Ans]]</f>
        <v>14647</v>
      </c>
      <c r="J53" s="1">
        <f>J51+Table6[[#This Row],[Calls Off]]</f>
        <v>36587</v>
      </c>
      <c r="K53" s="1">
        <f>K51+Table6[[#This Row],[Calls Ans]]</f>
        <v>32949</v>
      </c>
      <c r="L53" s="18">
        <v>0.68</v>
      </c>
      <c r="M53" s="18">
        <v>0.09</v>
      </c>
      <c r="N53" s="18">
        <v>0.91</v>
      </c>
      <c r="O53" s="18">
        <v>0.81</v>
      </c>
      <c r="P53" s="180"/>
      <c r="Q53" s="230">
        <v>3.37962962962963E-3</v>
      </c>
      <c r="R53" s="182">
        <v>6.2499999999999995E-3</v>
      </c>
      <c r="S53" s="1">
        <v>12</v>
      </c>
      <c r="U53" s="22">
        <f>U52+7</f>
        <v>45349</v>
      </c>
      <c r="V53" s="1" cm="1">
        <f t="array" ref="V53">SUMIFS(calls_off_JAM,period_JAM,"&gt;="&amp;U53,period_JAM,"&lt;"&amp;U54)</f>
        <v>0</v>
      </c>
      <c r="W53" s="1" cm="1">
        <f t="array" ref="W53">SUMIFS(calls_ans_JAM,period_JAM,"&gt;="&amp;U53,period_JAM,"&lt;"&amp;U54)</f>
        <v>0</v>
      </c>
    </row>
    <row r="54" spans="1:23" x14ac:dyDescent="0.35">
      <c r="A54" s="32">
        <v>45069</v>
      </c>
      <c r="B54" s="1" t="s">
        <v>50</v>
      </c>
      <c r="C54" s="1" t="s">
        <v>97</v>
      </c>
      <c r="D54" s="127">
        <v>0</v>
      </c>
      <c r="E54" s="127">
        <v>0</v>
      </c>
      <c r="F54" s="66">
        <v>0</v>
      </c>
      <c r="G54" s="66">
        <v>0</v>
      </c>
      <c r="H54" s="1">
        <v>0</v>
      </c>
      <c r="I54" s="1">
        <v>0</v>
      </c>
      <c r="J54" s="1">
        <v>0</v>
      </c>
      <c r="K54" s="1">
        <v>0</v>
      </c>
      <c r="L54" s="62">
        <v>0</v>
      </c>
      <c r="M54" s="62">
        <v>0</v>
      </c>
      <c r="N54" s="62">
        <v>0</v>
      </c>
      <c r="O54" s="62">
        <v>0</v>
      </c>
      <c r="P54" s="180"/>
      <c r="Q54" s="231">
        <v>0</v>
      </c>
      <c r="R54" s="205">
        <v>0</v>
      </c>
      <c r="S54" s="1">
        <v>0</v>
      </c>
      <c r="U54" s="22">
        <f>U53+7</f>
        <v>45356</v>
      </c>
      <c r="V54" s="1" cm="1">
        <f t="array" ref="V54">SUMIFS(calls_off_JAM,period_JAM,"&gt;="&amp;U54,period_JAM,"&lt;"&amp;U55)</f>
        <v>0</v>
      </c>
      <c r="W54" s="1" cm="1">
        <f t="array" ref="W54">SUMIFS(calls_ans_JAM,period_JAM,"&gt;="&amp;U54,period_JAM,"&lt;"&amp;U55)</f>
        <v>0</v>
      </c>
    </row>
    <row r="55" spans="1:23" x14ac:dyDescent="0.35">
      <c r="A55" s="32">
        <v>45070</v>
      </c>
      <c r="B55" s="1" t="s">
        <v>51</v>
      </c>
      <c r="C55" s="1" t="s">
        <v>97</v>
      </c>
      <c r="D55" s="1">
        <v>1201</v>
      </c>
      <c r="E55" s="1">
        <v>735</v>
      </c>
      <c r="F55" s="66">
        <f>_xlfn.IFNA((Table6[[#This Row],[Calls Off]]-D48)/D48,0)</f>
        <v>0.44873341375150783</v>
      </c>
      <c r="G55" s="66">
        <f>_xlfn.IFNA((Table6[[#This Row],[Calls Ans]]-E48)/E48,0)</f>
        <v>-6.010230179028133E-2</v>
      </c>
      <c r="H55" s="1">
        <f>Table6[[#This Row],[Calls Off]]+H53</f>
        <v>17616</v>
      </c>
      <c r="I55" s="1">
        <f>I53+Table6[[#This Row],[Calls Ans]]</f>
        <v>15382</v>
      </c>
      <c r="J55" s="1">
        <f>J53+Table6[[#This Row],[Calls Off]]</f>
        <v>37788</v>
      </c>
      <c r="K55" s="1">
        <f>K53+Table6[[#This Row],[Calls Ans]]</f>
        <v>33684</v>
      </c>
      <c r="L55" s="18">
        <v>0.14000000000000001</v>
      </c>
      <c r="M55" s="18">
        <v>0.39</v>
      </c>
      <c r="N55" s="18">
        <v>0.61</v>
      </c>
      <c r="O55" s="18">
        <v>1.04</v>
      </c>
      <c r="P55" s="180"/>
      <c r="Q55" s="229">
        <v>3.37962962962963E-3</v>
      </c>
      <c r="R55" s="181">
        <v>6.2499999999999995E-3</v>
      </c>
      <c r="S55" s="1">
        <v>8</v>
      </c>
      <c r="U55" s="22">
        <f>U54+7</f>
        <v>45363</v>
      </c>
      <c r="V55" s="1" cm="1">
        <f t="array" ref="V55">SUMIFS(calls_off_JAM,period_JAM,"&gt;="&amp;U55,period_JAM,"&lt;"&amp;U56)</f>
        <v>0</v>
      </c>
      <c r="W55" s="1" cm="1">
        <f t="array" ref="W55">SUMIFS(calls_ans_JAM,period_JAM,"&gt;="&amp;U55,period_JAM,"&lt;"&amp;U56)</f>
        <v>0</v>
      </c>
    </row>
    <row r="56" spans="1:23" x14ac:dyDescent="0.35">
      <c r="A56" s="32">
        <v>45071</v>
      </c>
      <c r="B56" s="1" t="s">
        <v>52</v>
      </c>
      <c r="C56" s="1" t="s">
        <v>97</v>
      </c>
      <c r="D56" s="1">
        <v>916</v>
      </c>
      <c r="E56" s="1">
        <v>827</v>
      </c>
      <c r="F56" s="66">
        <f>_xlfn.IFNA((Table6[[#This Row],[Calls Off]]-D49)/D49,0)</f>
        <v>0.13788819875776398</v>
      </c>
      <c r="G56" s="66">
        <f>_xlfn.IFNA((Table6[[#This Row],[Calls Ans]]-E49)/E49,0)</f>
        <v>0.107095046854083</v>
      </c>
      <c r="H56" s="1">
        <f>Table6[[#This Row],[Calls Off]]+H55</f>
        <v>18532</v>
      </c>
      <c r="I56" s="1">
        <f>I55+Table6[[#This Row],[Calls Ans]]</f>
        <v>16209</v>
      </c>
      <c r="J56" s="1">
        <f>J55+Table6[[#This Row],[Calls Off]]</f>
        <v>38704</v>
      </c>
      <c r="K56" s="1">
        <f>K55+Table6[[#This Row],[Calls Ans]]</f>
        <v>34511</v>
      </c>
      <c r="L56" s="18">
        <v>0.64</v>
      </c>
      <c r="M56" s="18">
        <v>0.09</v>
      </c>
      <c r="N56" s="18">
        <v>0.91</v>
      </c>
      <c r="O56" s="18">
        <v>0.92</v>
      </c>
      <c r="P56" s="180"/>
      <c r="Q56" s="229">
        <v>3.6689814814814814E-3</v>
      </c>
      <c r="R56" s="181">
        <v>3.6805555555555557E-2</v>
      </c>
      <c r="S56" s="1">
        <v>11</v>
      </c>
      <c r="U56" s="22">
        <f t="shared" ref="U56:U57" si="2">U55+7</f>
        <v>45370</v>
      </c>
      <c r="V56" s="1" cm="1">
        <f t="array" ref="V56">SUMIFS(calls_off_JAM,period_JAM,"&gt;="&amp;U56,period_JAM,"&lt;"&amp;U57)</f>
        <v>0</v>
      </c>
      <c r="W56" s="1" cm="1">
        <f t="array" ref="W56">SUMIFS(calls_ans_JAM,period_JAM,"&gt;="&amp;U56,period_JAM,"&lt;"&amp;U57)</f>
        <v>0</v>
      </c>
    </row>
    <row r="57" spans="1:23" x14ac:dyDescent="0.35">
      <c r="A57" s="32">
        <v>45072</v>
      </c>
      <c r="B57" s="1" t="s">
        <v>53</v>
      </c>
      <c r="C57" s="1" t="s">
        <v>97</v>
      </c>
      <c r="D57" s="1">
        <v>1046</v>
      </c>
      <c r="E57" s="1">
        <v>827</v>
      </c>
      <c r="F57" s="66">
        <f>_xlfn.IFNA((Table6[[#This Row],[Calls Off]]-D50)/D50,0)</f>
        <v>0.39839572192513367</v>
      </c>
      <c r="G57" s="66">
        <f>_xlfn.IFNA((Table6[[#This Row],[Calls Ans]]-E50)/E50,0)</f>
        <v>0.19164265129682997</v>
      </c>
      <c r="H57" s="1">
        <f>Table6[[#This Row],[Calls Off]]+H56</f>
        <v>19578</v>
      </c>
      <c r="I57" s="1">
        <f>I56+Table6[[#This Row],[Calls Ans]]</f>
        <v>17036</v>
      </c>
      <c r="J57" s="1">
        <f>J56+Table6[[#This Row],[Calls Off]]</f>
        <v>39750</v>
      </c>
      <c r="K57" s="1">
        <f>K56+Table6[[#This Row],[Calls Ans]]</f>
        <v>35338</v>
      </c>
      <c r="L57" s="18">
        <v>0.44</v>
      </c>
      <c r="M57" s="18">
        <v>0.21</v>
      </c>
      <c r="N57" s="18">
        <v>0.79</v>
      </c>
      <c r="O57" s="18">
        <v>1.2</v>
      </c>
      <c r="P57" s="180"/>
      <c r="Q57" s="229">
        <v>3.9120370370370368E-3</v>
      </c>
      <c r="R57" s="181">
        <v>8.6111111111111124E-2</v>
      </c>
      <c r="S57" s="1">
        <v>9</v>
      </c>
      <c r="U57" s="22">
        <f t="shared" si="2"/>
        <v>45377</v>
      </c>
      <c r="V57" s="1" cm="1">
        <f t="array" ref="V57">SUMIFS(calls_off_JAM,period_JAM,"&gt;="&amp;U57,period_JAM,"&lt;"&amp;U58)</f>
        <v>0</v>
      </c>
      <c r="W57" s="1" cm="1">
        <f t="array" ref="W57">SUMIFS(calls_ans_JAM,period_JAM,"&gt;="&amp;U57,period_JAM,"&lt;"&amp;U58)</f>
        <v>0</v>
      </c>
    </row>
    <row r="58" spans="1:23" x14ac:dyDescent="0.35">
      <c r="A58" s="32">
        <v>45073</v>
      </c>
      <c r="B58" s="1" t="s">
        <v>54</v>
      </c>
      <c r="C58" s="1" t="s">
        <v>97</v>
      </c>
      <c r="D58" s="1">
        <v>986</v>
      </c>
      <c r="E58" s="1">
        <v>558</v>
      </c>
      <c r="F58" s="66">
        <f>_xlfn.IFNA((Table6[[#This Row],[Calls Off]]-D51)/D51,0)</f>
        <v>0.6405990016638935</v>
      </c>
      <c r="G58" s="66">
        <f>_xlfn.IFNA((Table6[[#This Row],[Calls Ans]]-E51)/E51,0)</f>
        <v>-3.9586919104991396E-2</v>
      </c>
      <c r="H58" s="1">
        <f>Table6[[#This Row],[Calls Off]]+H57</f>
        <v>20564</v>
      </c>
      <c r="I58" s="1">
        <f>I57+Table6[[#This Row],[Calls Ans]]</f>
        <v>17594</v>
      </c>
      <c r="J58" s="1">
        <f>J57+Table6[[#This Row],[Calls Off]]</f>
        <v>40736</v>
      </c>
      <c r="K58" s="1">
        <f>K57+Table6[[#This Row],[Calls Ans]]</f>
        <v>35896</v>
      </c>
      <c r="L58" s="18">
        <v>0.14000000000000001</v>
      </c>
      <c r="M58" s="18">
        <v>0.43</v>
      </c>
      <c r="N58" s="18">
        <v>0.56999999999999995</v>
      </c>
      <c r="O58" s="18">
        <v>0.97</v>
      </c>
      <c r="P58" s="180"/>
      <c r="Q58" s="229">
        <v>3.6342592592592594E-3</v>
      </c>
      <c r="R58" s="181">
        <v>0.16597222222222222</v>
      </c>
      <c r="S58" s="1">
        <v>7</v>
      </c>
    </row>
    <row r="59" spans="1:23" x14ac:dyDescent="0.35">
      <c r="A59" s="32">
        <v>45074</v>
      </c>
      <c r="B59" s="1" t="s">
        <v>48</v>
      </c>
      <c r="C59" s="1" t="s">
        <v>97</v>
      </c>
      <c r="D59" s="1">
        <v>0</v>
      </c>
      <c r="E59" s="1">
        <v>0</v>
      </c>
      <c r="F59" s="66">
        <v>0</v>
      </c>
      <c r="G59" s="66">
        <v>0</v>
      </c>
      <c r="H59" s="1">
        <v>0</v>
      </c>
      <c r="I59" s="1">
        <v>0</v>
      </c>
      <c r="J59" s="1">
        <v>0</v>
      </c>
      <c r="K59" s="1">
        <v>0</v>
      </c>
      <c r="L59" s="18">
        <v>0</v>
      </c>
      <c r="M59" s="18">
        <v>0</v>
      </c>
      <c r="N59" s="18">
        <v>0</v>
      </c>
      <c r="O59" s="18">
        <v>0</v>
      </c>
      <c r="P59" s="180"/>
      <c r="Q59" s="229">
        <v>0</v>
      </c>
      <c r="R59" s="181">
        <v>0</v>
      </c>
      <c r="S59" s="1">
        <v>0</v>
      </c>
    </row>
    <row r="60" spans="1:23" x14ac:dyDescent="0.35">
      <c r="A60" s="32">
        <v>45075</v>
      </c>
      <c r="B60" s="1" t="s">
        <v>49</v>
      </c>
      <c r="C60" s="1" t="s">
        <v>97</v>
      </c>
      <c r="D60" s="1">
        <v>1096</v>
      </c>
      <c r="E60" s="1">
        <v>926</v>
      </c>
      <c r="F60" s="66">
        <f>_xlfn.IFNA((Table6[[#This Row],[Calls Off]]-D53)/D53,0)</f>
        <v>0.15489989462592202</v>
      </c>
      <c r="G60" s="66">
        <f>_xlfn.IFNA((Table6[[#This Row],[Calls Ans]]-E53)/E53,0)</f>
        <v>7.1759259259259259E-2</v>
      </c>
      <c r="H60" s="1">
        <f>Table6[[#This Row],[Calls Off]]+H58</f>
        <v>21660</v>
      </c>
      <c r="I60" s="1">
        <f>I58+Table6[[#This Row],[Calls Ans]]</f>
        <v>18520</v>
      </c>
      <c r="J60" s="1">
        <f>J58+Table6[[#This Row],[Calls Off]]</f>
        <v>41832</v>
      </c>
      <c r="K60" s="1">
        <f>K58+Table6[[#This Row],[Calls Ans]]</f>
        <v>36822</v>
      </c>
      <c r="L60" s="18">
        <v>0.44</v>
      </c>
      <c r="M60" s="18">
        <v>0.16</v>
      </c>
      <c r="N60" s="18">
        <v>0.84</v>
      </c>
      <c r="O60" s="18">
        <v>1.1399999999999999</v>
      </c>
      <c r="P60" s="180"/>
      <c r="Q60" s="230">
        <v>3.6805555555555554E-3</v>
      </c>
      <c r="R60" s="182">
        <v>7.4999999999999997E-2</v>
      </c>
      <c r="S60" s="1">
        <v>10</v>
      </c>
    </row>
    <row r="61" spans="1:23" x14ac:dyDescent="0.35">
      <c r="A61" s="32">
        <v>45076</v>
      </c>
      <c r="B61" s="1" t="s">
        <v>50</v>
      </c>
      <c r="C61" s="1" t="s">
        <v>97</v>
      </c>
      <c r="D61" s="1">
        <v>956</v>
      </c>
      <c r="E61" s="1">
        <v>836</v>
      </c>
      <c r="F61" s="66">
        <v>0</v>
      </c>
      <c r="G61" s="66">
        <v>0</v>
      </c>
      <c r="H61" s="1">
        <f>Table6[[#This Row],[Calls Off]]+H60</f>
        <v>22616</v>
      </c>
      <c r="I61" s="1">
        <f>I60+Table6[[#This Row],[Calls Ans]]</f>
        <v>19356</v>
      </c>
      <c r="J61" s="1">
        <f>J60+Table6[[#This Row],[Calls Off]]</f>
        <v>42788</v>
      </c>
      <c r="K61" s="1">
        <f>K60+Table6[[#This Row],[Calls Ans]]</f>
        <v>37658</v>
      </c>
      <c r="L61" s="18">
        <v>0.64</v>
      </c>
      <c r="M61" s="18">
        <v>0.13</v>
      </c>
      <c r="N61" s="18">
        <v>0.87</v>
      </c>
      <c r="O61" s="18">
        <v>0.8</v>
      </c>
      <c r="P61" s="180"/>
      <c r="Q61" s="229">
        <v>3.1481481481481482E-3</v>
      </c>
      <c r="R61" s="181">
        <v>4.6527777777777779E-2</v>
      </c>
      <c r="S61" s="1">
        <v>11</v>
      </c>
      <c r="U61">
        <f>AVERAGEIF(O32:O62,"&lt;&gt;0")</f>
        <v>0.83846153846153848</v>
      </c>
    </row>
    <row r="62" spans="1:23" x14ac:dyDescent="0.35">
      <c r="A62" s="32">
        <v>45077</v>
      </c>
      <c r="B62" s="1" t="s">
        <v>51</v>
      </c>
      <c r="C62" s="1" t="s">
        <v>97</v>
      </c>
      <c r="D62" s="1">
        <v>939</v>
      </c>
      <c r="E62" s="1">
        <v>864</v>
      </c>
      <c r="F62" s="66">
        <f>_xlfn.IFNA((Table6[[#This Row],[Calls Off]]-D55)/D55,0)</f>
        <v>-0.21815154038301415</v>
      </c>
      <c r="G62" s="66">
        <f>_xlfn.IFNA((Table6[[#This Row],[Calls Ans]]-E55)/E55,0)</f>
        <v>0.17551020408163265</v>
      </c>
      <c r="H62" s="1">
        <f>Table6[[#This Row],[Calls Off]]+H61</f>
        <v>23555</v>
      </c>
      <c r="I62" s="1">
        <f>I61+Table6[[#This Row],[Calls Ans]]</f>
        <v>20220</v>
      </c>
      <c r="J62" s="1">
        <f>J61+Table6[[#This Row],[Calls Off]]</f>
        <v>43727</v>
      </c>
      <c r="K62" s="1">
        <f>K61+Table6[[#This Row],[Calls Ans]]</f>
        <v>38522</v>
      </c>
      <c r="L62" s="18">
        <v>0.77</v>
      </c>
      <c r="M62" s="18">
        <v>0.08</v>
      </c>
      <c r="N62" s="18">
        <v>0.92</v>
      </c>
      <c r="O62" s="18">
        <v>0.71</v>
      </c>
      <c r="P62" s="77"/>
      <c r="Q62" s="229">
        <v>3.7037037037037034E-3</v>
      </c>
      <c r="R62" s="181">
        <v>4.1666666666666664E-2</v>
      </c>
      <c r="S62" s="1">
        <v>15</v>
      </c>
    </row>
    <row r="63" spans="1:23" x14ac:dyDescent="0.35">
      <c r="A63" s="32">
        <v>45078</v>
      </c>
      <c r="B63" s="39" t="s">
        <v>52</v>
      </c>
      <c r="C63" s="1" t="s">
        <v>97</v>
      </c>
      <c r="D63" s="39">
        <v>763</v>
      </c>
      <c r="E63" s="39">
        <v>744</v>
      </c>
      <c r="F63" s="66">
        <f>_xlfn.IFNA((Table6[[#This Row],[Calls Off]]-D56)/D56,0)</f>
        <v>-0.16703056768558952</v>
      </c>
      <c r="G63" s="66">
        <f>_xlfn.IFNA((Table6[[#This Row],[Calls Ans]]-E56)/E56,0)</f>
        <v>-0.10036275695284159</v>
      </c>
      <c r="H63" s="1">
        <f>Table6[[#This Row],[Calls Off]]</f>
        <v>763</v>
      </c>
      <c r="I63" s="1">
        <f>Table6[[#This Row],[Calls Ans]]</f>
        <v>744</v>
      </c>
      <c r="J63" s="1">
        <f>J62+Table6[[#This Row],[Calls Off]]</f>
        <v>44490</v>
      </c>
      <c r="K63" s="1">
        <f>K62+Table6[[#This Row],[Calls Ans]]</f>
        <v>39266</v>
      </c>
      <c r="L63" s="48">
        <v>0.92</v>
      </c>
      <c r="M63" s="48">
        <v>0.02</v>
      </c>
      <c r="N63" s="48">
        <v>0.98</v>
      </c>
      <c r="O63" s="48">
        <v>0.86</v>
      </c>
      <c r="P63" s="180"/>
      <c r="Q63" s="232">
        <v>3.4490740740740745E-3</v>
      </c>
      <c r="R63" s="183">
        <v>6.9444444444444441E-3</v>
      </c>
      <c r="S63" s="1">
        <v>10</v>
      </c>
    </row>
    <row r="64" spans="1:23" x14ac:dyDescent="0.35">
      <c r="A64" s="32">
        <v>45079</v>
      </c>
      <c r="B64" s="1" t="s">
        <v>53</v>
      </c>
      <c r="C64" s="1" t="s">
        <v>97</v>
      </c>
      <c r="D64" s="1">
        <v>668</v>
      </c>
      <c r="E64" s="1">
        <v>591</v>
      </c>
      <c r="F64" s="66">
        <f>_xlfn.IFNA((Table6[[#This Row],[Calls Off]]-D57)/D57,0)</f>
        <v>-0.36137667304015297</v>
      </c>
      <c r="G64" s="66">
        <f>_xlfn.IFNA((Table6[[#This Row],[Calls Ans]]-E57)/E57,0)</f>
        <v>-0.28536880290205563</v>
      </c>
      <c r="H64" s="1">
        <f>Table6[[#This Row],[Calls Off]]+H63</f>
        <v>1431</v>
      </c>
      <c r="I64" s="1">
        <f>Table6[[#This Row],[Calls Ans]]+I63</f>
        <v>1335</v>
      </c>
      <c r="J64" s="1">
        <f>J63+Table6[[#This Row],[Calls Off]]</f>
        <v>45158</v>
      </c>
      <c r="K64" s="1">
        <f>K63+Table6[[#This Row],[Calls Ans]]</f>
        <v>39857</v>
      </c>
      <c r="L64" s="48">
        <v>0.7</v>
      </c>
      <c r="M64" s="48">
        <v>0.12</v>
      </c>
      <c r="N64" s="48">
        <v>0.88</v>
      </c>
      <c r="O64" s="48">
        <v>0.87</v>
      </c>
      <c r="P64" s="180"/>
      <c r="Q64" s="230">
        <v>3.5185185185185185E-3</v>
      </c>
      <c r="R64" s="182">
        <v>2.361111111111111E-2</v>
      </c>
      <c r="S64" s="1">
        <v>8</v>
      </c>
    </row>
    <row r="65" spans="1:19" x14ac:dyDescent="0.35">
      <c r="A65" s="32">
        <v>45080</v>
      </c>
      <c r="B65" s="1" t="s">
        <v>54</v>
      </c>
      <c r="C65" s="1" t="s">
        <v>97</v>
      </c>
      <c r="D65" s="1">
        <v>813</v>
      </c>
      <c r="E65" s="1">
        <v>576</v>
      </c>
      <c r="F65" s="66">
        <f>_xlfn.IFNA((Table6[[#This Row],[Calls Off]]-D58)/D58,0)</f>
        <v>-0.17545638945233266</v>
      </c>
      <c r="G65" s="66">
        <f>_xlfn.IFNA((Table6[[#This Row],[Calls Ans]]-E58)/E58,0)</f>
        <v>3.2258064516129031E-2</v>
      </c>
      <c r="H65" s="1">
        <f>Table6[[#This Row],[Calls Off]]+H64</f>
        <v>2244</v>
      </c>
      <c r="I65" s="1">
        <f>Table6[[#This Row],[Calls Ans]]+I64</f>
        <v>1911</v>
      </c>
      <c r="J65" s="1">
        <f>J64+Table6[[#This Row],[Calls Off]]</f>
        <v>45971</v>
      </c>
      <c r="K65" s="1">
        <f>K64+Table6[[#This Row],[Calls Ans]]</f>
        <v>40433</v>
      </c>
      <c r="L65" s="18">
        <v>0.21</v>
      </c>
      <c r="M65" s="18">
        <v>0.28999999999999998</v>
      </c>
      <c r="N65" s="18">
        <v>0.71</v>
      </c>
      <c r="O65" s="18">
        <v>1.52</v>
      </c>
      <c r="P65" s="180"/>
      <c r="Q65" s="230">
        <v>3.9699074074074072E-3</v>
      </c>
      <c r="R65" s="182">
        <v>0.11597222222222221</v>
      </c>
      <c r="S65" s="1">
        <v>5</v>
      </c>
    </row>
    <row r="66" spans="1:19" x14ac:dyDescent="0.35">
      <c r="A66" s="32">
        <v>45081</v>
      </c>
      <c r="B66" s="1" t="s">
        <v>48</v>
      </c>
      <c r="C66" s="1" t="s">
        <v>97</v>
      </c>
      <c r="D66" s="1">
        <v>0</v>
      </c>
      <c r="E66" s="1">
        <v>0</v>
      </c>
      <c r="F66" s="83">
        <v>0</v>
      </c>
      <c r="G66" s="83">
        <v>0</v>
      </c>
      <c r="H66" s="39">
        <v>0</v>
      </c>
      <c r="I66" s="39">
        <v>0</v>
      </c>
      <c r="J66" s="39">
        <v>0</v>
      </c>
      <c r="K66" s="39">
        <v>0</v>
      </c>
      <c r="L66" s="18">
        <v>0</v>
      </c>
      <c r="M66" s="18">
        <v>0</v>
      </c>
      <c r="N66" s="18">
        <v>0</v>
      </c>
      <c r="O66" s="18">
        <v>0</v>
      </c>
      <c r="P66" s="180"/>
      <c r="Q66" s="230">
        <v>0</v>
      </c>
      <c r="R66" s="182">
        <v>0</v>
      </c>
      <c r="S66" s="1">
        <v>0</v>
      </c>
    </row>
    <row r="67" spans="1:19" x14ac:dyDescent="0.35">
      <c r="A67" s="32">
        <v>45082</v>
      </c>
      <c r="B67" s="1" t="s">
        <v>49</v>
      </c>
      <c r="C67" s="1" t="s">
        <v>97</v>
      </c>
      <c r="D67" s="1">
        <v>1097</v>
      </c>
      <c r="E67" s="1">
        <v>1047</v>
      </c>
      <c r="F67" s="66">
        <f>_xlfn.IFNA((Table6[[#This Row],[Calls Off]]-D60)/D60,0)</f>
        <v>9.1240875912408756E-4</v>
      </c>
      <c r="G67" s="66">
        <f>_xlfn.IFNA((Table6[[#This Row],[Calls Ans]]-E60)/E60,0)</f>
        <v>0.13066954643628509</v>
      </c>
      <c r="H67" s="1">
        <f>Table6[[#This Row],[Calls Off]]+H65</f>
        <v>3341</v>
      </c>
      <c r="I67" s="1">
        <f>Table6[[#This Row],[Calls Ans]]+I65</f>
        <v>2958</v>
      </c>
      <c r="J67" s="1">
        <f>J65+Table6[[#This Row],[Calls Off]]</f>
        <v>47068</v>
      </c>
      <c r="K67" s="1">
        <f>K65+Table6[[#This Row],[Calls Ans]]</f>
        <v>41480</v>
      </c>
      <c r="L67" s="18">
        <v>0.87</v>
      </c>
      <c r="M67" s="18">
        <v>0.05</v>
      </c>
      <c r="N67" s="18">
        <v>0.95</v>
      </c>
      <c r="O67" s="18">
        <v>0.83</v>
      </c>
      <c r="P67" s="180"/>
      <c r="Q67" s="230">
        <v>2.8587962962962963E-3</v>
      </c>
      <c r="R67" s="182">
        <v>1.1805555555555555E-2</v>
      </c>
      <c r="S67" s="1">
        <v>12</v>
      </c>
    </row>
    <row r="68" spans="1:19" x14ac:dyDescent="0.35">
      <c r="A68" s="32">
        <v>45083</v>
      </c>
      <c r="B68" s="1" t="s">
        <v>50</v>
      </c>
      <c r="C68" s="1" t="s">
        <v>97</v>
      </c>
      <c r="D68" s="1">
        <v>966</v>
      </c>
      <c r="E68" s="1">
        <v>949</v>
      </c>
      <c r="F68" s="66">
        <f>_xlfn.IFNA((Table6[[#This Row],[Calls Off]]-D61)/D61,0)</f>
        <v>1.0460251046025104E-2</v>
      </c>
      <c r="G68" s="66">
        <f>_xlfn.IFNA((Table6[[#This Row],[Calls Ans]]-E61)/E61,0)</f>
        <v>0.13516746411483255</v>
      </c>
      <c r="H68" s="1">
        <f>Table6[[#This Row],[Calls Off]]+H67</f>
        <v>4307</v>
      </c>
      <c r="I68" s="1">
        <f>Table6[[#This Row],[Calls Ans]]+I67</f>
        <v>3907</v>
      </c>
      <c r="J68" s="1">
        <f>J67+Table6[[#This Row],[Calls Off]]</f>
        <v>48034</v>
      </c>
      <c r="K68" s="1">
        <f>K67+Table6[[#This Row],[Calls Ans]]</f>
        <v>42429</v>
      </c>
      <c r="L68" s="18">
        <v>0.77</v>
      </c>
      <c r="M68" s="18">
        <v>0.02</v>
      </c>
      <c r="N68" s="18">
        <v>0.98</v>
      </c>
      <c r="O68" s="18">
        <v>0.87</v>
      </c>
      <c r="P68" s="180"/>
      <c r="Q68" s="230">
        <v>3.8657407407407408E-3</v>
      </c>
      <c r="R68" s="182">
        <v>2.1527777777777781E-2</v>
      </c>
      <c r="S68" s="1">
        <v>14</v>
      </c>
    </row>
    <row r="69" spans="1:19" x14ac:dyDescent="0.35">
      <c r="A69" s="32">
        <v>45084</v>
      </c>
      <c r="B69" s="1" t="s">
        <v>51</v>
      </c>
      <c r="C69" s="1" t="s">
        <v>97</v>
      </c>
      <c r="D69" s="1">
        <v>898</v>
      </c>
      <c r="E69" s="1">
        <v>857</v>
      </c>
      <c r="F69" s="66">
        <f>_xlfn.IFNA((Table6[[#This Row],[Calls Off]]-D62)/D62,0)</f>
        <v>-4.3663471778487756E-2</v>
      </c>
      <c r="G69" s="66">
        <f>_xlfn.IFNA((Table6[[#This Row],[Calls Ans]]-E62)/E62,0)</f>
        <v>-8.1018518518518514E-3</v>
      </c>
      <c r="H69" s="1">
        <f>Table6[[#This Row],[Calls Off]]+H68</f>
        <v>5205</v>
      </c>
      <c r="I69" s="1">
        <f>Table6[[#This Row],[Calls Ans]]+I68</f>
        <v>4764</v>
      </c>
      <c r="J69" s="1">
        <f>J68+Table6[[#This Row],[Calls Off]]</f>
        <v>48932</v>
      </c>
      <c r="K69" s="1">
        <f>K68+Table6[[#This Row],[Calls Ans]]</f>
        <v>43286</v>
      </c>
      <c r="L69" s="18">
        <v>0.87</v>
      </c>
      <c r="M69" s="18">
        <v>0.05</v>
      </c>
      <c r="N69" s="18">
        <v>0.95</v>
      </c>
      <c r="O69" s="18">
        <v>0.71</v>
      </c>
      <c r="P69" s="180"/>
      <c r="Q69" s="230">
        <v>3.472222222222222E-3</v>
      </c>
      <c r="R69" s="182">
        <v>1.3888888888888888E-2</v>
      </c>
      <c r="S69" s="1">
        <v>14</v>
      </c>
    </row>
    <row r="70" spans="1:19" x14ac:dyDescent="0.35">
      <c r="A70" s="32">
        <v>45085</v>
      </c>
      <c r="B70" s="1" t="s">
        <v>52</v>
      </c>
      <c r="C70" s="1" t="s">
        <v>97</v>
      </c>
      <c r="D70" s="1">
        <v>808</v>
      </c>
      <c r="E70" s="1">
        <v>712</v>
      </c>
      <c r="F70" s="66">
        <f>_xlfn.IFNA((Table6[[#This Row],[Calls Off]]-D63)/D63,0)</f>
        <v>5.8977719528178242E-2</v>
      </c>
      <c r="G70" s="66">
        <f>_xlfn.IFNA((Table6[[#This Row],[Calls Ans]]-E63)/E63,0)</f>
        <v>-4.3010752688172046E-2</v>
      </c>
      <c r="H70" s="1">
        <f>Table6[[#This Row],[Calls Off]]+H69</f>
        <v>6013</v>
      </c>
      <c r="I70" s="1">
        <f>Table6[[#This Row],[Calls Ans]]+I69</f>
        <v>5476</v>
      </c>
      <c r="J70" s="1">
        <f>J69+Table6[[#This Row],[Calls Off]]</f>
        <v>49740</v>
      </c>
      <c r="K70" s="1">
        <f>K69+Table6[[#This Row],[Calls Ans]]</f>
        <v>43998</v>
      </c>
      <c r="L70" s="18">
        <v>0.63</v>
      </c>
      <c r="M70" s="18">
        <v>0.12</v>
      </c>
      <c r="N70" s="18">
        <v>0.88</v>
      </c>
      <c r="O70" s="18">
        <v>0.7</v>
      </c>
      <c r="P70" s="180"/>
      <c r="Q70" s="230">
        <v>3.8078703703703707E-3</v>
      </c>
      <c r="R70" s="182">
        <v>4.9305555555555554E-2</v>
      </c>
      <c r="S70" s="1">
        <v>13</v>
      </c>
    </row>
    <row r="71" spans="1:19" x14ac:dyDescent="0.35">
      <c r="A71" s="32">
        <v>45086</v>
      </c>
      <c r="B71" s="1" t="s">
        <v>53</v>
      </c>
      <c r="C71" s="1" t="s">
        <v>97</v>
      </c>
      <c r="D71" s="1">
        <v>768</v>
      </c>
      <c r="E71" s="1">
        <v>751</v>
      </c>
      <c r="F71" s="66">
        <f>_xlfn.IFNA((Table6[[#This Row],[Calls Off]]-D64)/D64,0)</f>
        <v>0.1497005988023952</v>
      </c>
      <c r="G71" s="66">
        <f>_xlfn.IFNA((Table6[[#This Row],[Calls Ans]]-E64)/E64,0)</f>
        <v>0.27072758037225042</v>
      </c>
      <c r="H71" s="1">
        <f>Table6[[#This Row],[Calls Off]]+H70</f>
        <v>6781</v>
      </c>
      <c r="I71" s="1">
        <f>Table6[[#This Row],[Calls Ans]]+I70</f>
        <v>6227</v>
      </c>
      <c r="J71" s="1">
        <f>J70+Table6[[#This Row],[Calls Off]]</f>
        <v>50508</v>
      </c>
      <c r="K71" s="1">
        <f>K70+Table6[[#This Row],[Calls Ans]]</f>
        <v>44749</v>
      </c>
      <c r="L71" s="18">
        <v>0.92</v>
      </c>
      <c r="M71" s="18">
        <v>0.02</v>
      </c>
      <c r="N71" s="18">
        <v>0.98</v>
      </c>
      <c r="O71" s="18">
        <v>0.56999999999999995</v>
      </c>
      <c r="P71" s="180"/>
      <c r="Q71" s="230">
        <v>3.414351851851852E-3</v>
      </c>
      <c r="R71" s="182">
        <v>9.7222222222222224E-3</v>
      </c>
      <c r="S71" s="1">
        <v>15</v>
      </c>
    </row>
    <row r="72" spans="1:19" x14ac:dyDescent="0.35">
      <c r="A72" s="32">
        <v>45087</v>
      </c>
      <c r="B72" s="1" t="s">
        <v>54</v>
      </c>
      <c r="C72" s="1" t="s">
        <v>97</v>
      </c>
      <c r="D72" s="1">
        <v>698</v>
      </c>
      <c r="E72" s="1">
        <v>656</v>
      </c>
      <c r="F72" s="66">
        <f>_xlfn.IFNA((Table6[[#This Row],[Calls Off]]-D65)/D65,0)</f>
        <v>-0.14145141451414514</v>
      </c>
      <c r="G72" s="66">
        <f>_xlfn.IFNA((Table6[[#This Row],[Calls Ans]]-E65)/E65,0)</f>
        <v>0.1388888888888889</v>
      </c>
      <c r="H72" s="1">
        <f>Table6[[#This Row],[Calls Off]]+H71</f>
        <v>7479</v>
      </c>
      <c r="I72" s="1">
        <f>Table6[[#This Row],[Calls Ans]]+I71</f>
        <v>6883</v>
      </c>
      <c r="J72" s="1">
        <f>J71+Table6[[#This Row],[Calls Off]]</f>
        <v>51206</v>
      </c>
      <c r="K72" s="1">
        <f>K71+Table6[[#This Row],[Calls Ans]]</f>
        <v>45405</v>
      </c>
      <c r="L72" s="18">
        <v>0.81</v>
      </c>
      <c r="M72" s="18">
        <v>0.06</v>
      </c>
      <c r="N72" s="18">
        <v>0.94</v>
      </c>
      <c r="O72" s="18">
        <v>0.63</v>
      </c>
      <c r="P72" s="180"/>
      <c r="Q72" s="230">
        <v>3.472222222222222E-3</v>
      </c>
      <c r="R72" s="182">
        <v>2.2916666666666669E-2</v>
      </c>
      <c r="S72" s="1">
        <v>12</v>
      </c>
    </row>
    <row r="73" spans="1:19" x14ac:dyDescent="0.35">
      <c r="A73" s="32">
        <v>45088</v>
      </c>
      <c r="B73" s="1" t="s">
        <v>48</v>
      </c>
      <c r="C73" s="1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0"/>
      <c r="Q73" s="230">
        <v>0</v>
      </c>
      <c r="R73" s="182">
        <v>0</v>
      </c>
      <c r="S73" s="1">
        <v>0</v>
      </c>
    </row>
    <row r="74" spans="1:19" x14ac:dyDescent="0.35">
      <c r="A74" s="32">
        <v>45089</v>
      </c>
      <c r="B74" s="1" t="s">
        <v>49</v>
      </c>
      <c r="C74" s="1" t="s">
        <v>97</v>
      </c>
      <c r="D74" s="1">
        <v>1001</v>
      </c>
      <c r="E74" s="1">
        <v>921</v>
      </c>
      <c r="F74" s="66">
        <f>_xlfn.IFNA((Table6[[#This Row],[Calls Off]]-D67)/D67,0)</f>
        <v>-8.7511394712853241E-2</v>
      </c>
      <c r="G74" s="66">
        <f>_xlfn.IFNA((Table6[[#This Row],[Calls Ans]]-E67)/E67,0)</f>
        <v>-0.12034383954154727</v>
      </c>
      <c r="H74" s="1">
        <f>Table6[[#This Row],[Calls Off]]+H72</f>
        <v>8480</v>
      </c>
      <c r="I74" s="1">
        <f>Table6[[#This Row],[Calls Ans]]+I72</f>
        <v>7804</v>
      </c>
      <c r="J74" s="1">
        <f>J72+Table6[[#This Row],[Calls Off]]</f>
        <v>52207</v>
      </c>
      <c r="K74" s="1">
        <f>K72+Table6[[#This Row],[Calls Ans]]</f>
        <v>46326</v>
      </c>
      <c r="L74" s="18">
        <v>0.76</v>
      </c>
      <c r="M74" s="18">
        <v>0.08</v>
      </c>
      <c r="N74" s="18">
        <v>0.92</v>
      </c>
      <c r="O74" s="18">
        <v>0.88</v>
      </c>
      <c r="P74" s="180"/>
      <c r="Q74" s="230">
        <v>3.7268518518518514E-3</v>
      </c>
      <c r="R74" s="182">
        <v>2.361111111111111E-2</v>
      </c>
      <c r="S74" s="1">
        <v>12</v>
      </c>
    </row>
    <row r="75" spans="1:19" x14ac:dyDescent="0.35">
      <c r="A75" s="32">
        <v>45090</v>
      </c>
      <c r="B75" s="1" t="s">
        <v>50</v>
      </c>
      <c r="C75" s="1" t="s">
        <v>97</v>
      </c>
      <c r="D75" s="1">
        <v>1038</v>
      </c>
      <c r="E75" s="1">
        <v>994</v>
      </c>
      <c r="F75" s="66">
        <f>_xlfn.IFNA((Table6[[#This Row],[Calls Off]]-D68)/D68,0)</f>
        <v>7.4534161490683232E-2</v>
      </c>
      <c r="G75" s="66">
        <f>_xlfn.IFNA((Table6[[#This Row],[Calls Ans]]-E68)/E68,0)</f>
        <v>4.7418335089567963E-2</v>
      </c>
      <c r="H75" s="1">
        <f>Table6[[#This Row],[Calls Off]]+H74</f>
        <v>9518</v>
      </c>
      <c r="I75" s="1">
        <f>Table6[[#This Row],[Calls Ans]]+I74</f>
        <v>8798</v>
      </c>
      <c r="J75" s="1">
        <f>J74+Table6[[#This Row],[Calls Off]]</f>
        <v>53245</v>
      </c>
      <c r="K75" s="1">
        <f>K74+Table6[[#This Row],[Calls Ans]]</f>
        <v>47320</v>
      </c>
      <c r="L75" s="18">
        <v>0.92</v>
      </c>
      <c r="M75" s="18">
        <v>0.04</v>
      </c>
      <c r="N75" s="18">
        <v>0.96</v>
      </c>
      <c r="O75" s="18">
        <v>0.74</v>
      </c>
      <c r="P75" s="180"/>
      <c r="Q75" s="230">
        <v>3.1134259259259257E-3</v>
      </c>
      <c r="R75" s="182">
        <v>6.2499999999999995E-3</v>
      </c>
      <c r="S75" s="1">
        <v>14</v>
      </c>
    </row>
    <row r="76" spans="1:19" x14ac:dyDescent="0.35">
      <c r="A76" s="32">
        <v>45091</v>
      </c>
      <c r="B76" s="1" t="s">
        <v>51</v>
      </c>
      <c r="C76" s="1" t="s">
        <v>97</v>
      </c>
      <c r="D76" s="1">
        <v>1281</v>
      </c>
      <c r="E76" s="1">
        <v>1030</v>
      </c>
      <c r="F76" s="66">
        <f>_xlfn.IFNA((Table6[[#This Row],[Calls Off]]-D69)/D69,0)</f>
        <v>0.42650334075723828</v>
      </c>
      <c r="G76" s="66">
        <f>_xlfn.IFNA((Table6[[#This Row],[Calls Ans]]-E69)/E69,0)</f>
        <v>0.20186697782963828</v>
      </c>
      <c r="H76" s="1">
        <f>Table6[[#This Row],[Calls Off]]+H75</f>
        <v>10799</v>
      </c>
      <c r="I76" s="1">
        <f>Table6[[#This Row],[Calls Ans]]+I75</f>
        <v>9828</v>
      </c>
      <c r="J76" s="1">
        <f>J75+Table6[[#This Row],[Calls Off]]</f>
        <v>54526</v>
      </c>
      <c r="K76" s="1">
        <f>K75+Table6[[#This Row],[Calls Ans]]</f>
        <v>48350</v>
      </c>
      <c r="L76" s="18">
        <v>0.48</v>
      </c>
      <c r="M76" s="18">
        <v>0.2</v>
      </c>
      <c r="N76" s="18">
        <v>0.8</v>
      </c>
      <c r="O76" s="18">
        <v>1.03</v>
      </c>
      <c r="P76" s="180"/>
      <c r="Q76" s="230">
        <v>3.9120370370370368E-3</v>
      </c>
      <c r="R76" s="182">
        <v>8.7500000000000008E-2</v>
      </c>
      <c r="S76" s="1">
        <v>13</v>
      </c>
    </row>
    <row r="77" spans="1:19" x14ac:dyDescent="0.35">
      <c r="A77" s="32">
        <v>45092</v>
      </c>
      <c r="B77" s="1" t="s">
        <v>52</v>
      </c>
      <c r="C77" s="1" t="s">
        <v>97</v>
      </c>
      <c r="D77" s="1">
        <v>857</v>
      </c>
      <c r="E77" s="1">
        <v>828</v>
      </c>
      <c r="F77" s="66">
        <f>_xlfn.IFNA((Table6[[#This Row],[Calls Off]]-D70)/D70,0)</f>
        <v>6.0643564356435642E-2</v>
      </c>
      <c r="G77" s="66">
        <f>_xlfn.IFNA((Table6[[#This Row],[Calls Ans]]-E70)/E70,0)</f>
        <v>0.16292134831460675</v>
      </c>
      <c r="H77" s="1">
        <f>Table6[[#This Row],[Calls Off]]+H76</f>
        <v>11656</v>
      </c>
      <c r="I77" s="1">
        <f>Table6[[#This Row],[Calls Ans]]+I76</f>
        <v>10656</v>
      </c>
      <c r="J77" s="1">
        <f>J76+Table6[[#This Row],[Calls Off]]</f>
        <v>55383</v>
      </c>
      <c r="K77" s="1">
        <f>K76+Table6[[#This Row],[Calls Ans]]</f>
        <v>49178</v>
      </c>
      <c r="L77" s="18">
        <v>0.88</v>
      </c>
      <c r="M77" s="18">
        <v>0.03</v>
      </c>
      <c r="N77" s="18">
        <v>0.97</v>
      </c>
      <c r="O77" s="18">
        <v>0.78</v>
      </c>
      <c r="P77" s="180"/>
      <c r="Q77" s="230">
        <v>3.6921296296296298E-3</v>
      </c>
      <c r="R77" s="182">
        <v>1.1111111111111112E-2</v>
      </c>
      <c r="S77" s="1">
        <v>13</v>
      </c>
    </row>
    <row r="78" spans="1:19" x14ac:dyDescent="0.35">
      <c r="A78" s="32">
        <v>45093</v>
      </c>
      <c r="B78" s="1" t="s">
        <v>53</v>
      </c>
      <c r="C78" s="1" t="s">
        <v>97</v>
      </c>
      <c r="D78" s="1">
        <v>882</v>
      </c>
      <c r="E78" s="1">
        <v>861</v>
      </c>
      <c r="F78" s="66">
        <f>_xlfn.IFNA((Table6[[#This Row],[Calls Off]]-D71)/D71,0)</f>
        <v>0.1484375</v>
      </c>
      <c r="G78" s="66">
        <f>_xlfn.IFNA((Table6[[#This Row],[Calls Ans]]-E71)/E71,0)</f>
        <v>0.14647137150466044</v>
      </c>
      <c r="H78" s="1">
        <f>Table6[[#This Row],[Calls Off]]+H77</f>
        <v>12538</v>
      </c>
      <c r="I78" s="1">
        <f>Table6[[#This Row],[Calls Ans]]+I77</f>
        <v>11517</v>
      </c>
      <c r="J78" s="1">
        <f>J77+Table6[[#This Row],[Calls Off]]</f>
        <v>56265</v>
      </c>
      <c r="K78" s="1">
        <f>K77+Table6[[#This Row],[Calls Ans]]</f>
        <v>50039</v>
      </c>
      <c r="L78" s="18">
        <v>0.94</v>
      </c>
      <c r="M78" s="18">
        <v>0.02</v>
      </c>
      <c r="N78" s="18">
        <v>0.98</v>
      </c>
      <c r="O78" s="18">
        <v>0.66</v>
      </c>
      <c r="P78" s="180"/>
      <c r="Q78" s="230">
        <v>3.4606481481481485E-3</v>
      </c>
      <c r="R78" s="182">
        <v>6.9444444444444441E-3</v>
      </c>
      <c r="S78" s="1">
        <v>15</v>
      </c>
    </row>
    <row r="79" spans="1:19" x14ac:dyDescent="0.35">
      <c r="A79" s="32">
        <v>45094</v>
      </c>
      <c r="B79" s="1" t="s">
        <v>54</v>
      </c>
      <c r="C79" s="1" t="s">
        <v>97</v>
      </c>
      <c r="D79" s="1">
        <v>735</v>
      </c>
      <c r="E79" s="1">
        <v>702</v>
      </c>
      <c r="F79" s="66">
        <f>_xlfn.IFNA((Table6[[#This Row],[Calls Off]]-D72)/D72,0)</f>
        <v>5.300859598853868E-2</v>
      </c>
      <c r="G79" s="66">
        <f>_xlfn.IFNA((Table6[[#This Row],[Calls Ans]]-E72)/E72,0)</f>
        <v>7.0121951219512202E-2</v>
      </c>
      <c r="H79" s="1">
        <f>Table6[[#This Row],[Calls Off]]+H78</f>
        <v>13273</v>
      </c>
      <c r="I79" s="1">
        <f>Table6[[#This Row],[Calls Ans]]+I78</f>
        <v>12219</v>
      </c>
      <c r="J79" s="1">
        <f>J78+Table6[[#This Row],[Calls Off]]</f>
        <v>57000</v>
      </c>
      <c r="K79" s="1">
        <f>K78+Table6[[#This Row],[Calls Ans]]</f>
        <v>50741</v>
      </c>
      <c r="L79" s="18">
        <v>0.85</v>
      </c>
      <c r="M79" s="18">
        <v>0.04</v>
      </c>
      <c r="N79" s="18">
        <v>0.96</v>
      </c>
      <c r="O79" s="18">
        <v>0.74</v>
      </c>
      <c r="P79" s="180"/>
      <c r="Q79" s="230">
        <v>3.472222222222222E-3</v>
      </c>
      <c r="R79" s="182">
        <v>1.2499999999999999E-2</v>
      </c>
      <c r="S79" s="1">
        <v>11</v>
      </c>
    </row>
    <row r="80" spans="1:19" x14ac:dyDescent="0.35">
      <c r="A80" s="32">
        <v>45095</v>
      </c>
      <c r="B80" s="1" t="s">
        <v>48</v>
      </c>
      <c r="C80" s="1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180"/>
      <c r="Q80" s="230">
        <v>0</v>
      </c>
      <c r="R80" s="182">
        <v>0</v>
      </c>
      <c r="S80" s="1">
        <v>0</v>
      </c>
    </row>
    <row r="81" spans="1:22" x14ac:dyDescent="0.35">
      <c r="A81" s="32">
        <v>45096</v>
      </c>
      <c r="B81" s="1" t="s">
        <v>49</v>
      </c>
      <c r="C81" s="1" t="s">
        <v>97</v>
      </c>
      <c r="D81" s="1">
        <v>1010</v>
      </c>
      <c r="E81" s="1">
        <v>958</v>
      </c>
      <c r="F81" s="66">
        <f>_xlfn.IFNA((Table6[[#This Row],[Calls Off]]-D74)/D74,0)</f>
        <v>8.9910089910089919E-3</v>
      </c>
      <c r="G81" s="66">
        <f>_xlfn.IFNA((Table6[[#This Row],[Calls Ans]]-E74)/E74,0)</f>
        <v>4.0173724212812158E-2</v>
      </c>
      <c r="H81" s="1">
        <f>Table6[[#This Row],[Calls Off]]+H79</f>
        <v>14283</v>
      </c>
      <c r="I81" s="1">
        <f>Table6[[#This Row],[Calls Ans]]+I79</f>
        <v>13177</v>
      </c>
      <c r="J81" s="1">
        <f>J79+Table6[[#This Row],[Calls Off]]</f>
        <v>58010</v>
      </c>
      <c r="K81" s="1">
        <f>K79+Table6[[#This Row],[Calls Ans]]</f>
        <v>51699</v>
      </c>
      <c r="L81" s="18">
        <v>0.74</v>
      </c>
      <c r="M81" s="18">
        <v>0.05</v>
      </c>
      <c r="N81" s="18">
        <v>0.95</v>
      </c>
      <c r="O81" s="18">
        <v>0.9</v>
      </c>
      <c r="P81" s="180"/>
      <c r="Q81" s="230">
        <v>3.645833333333333E-3</v>
      </c>
      <c r="R81" s="182">
        <v>2.5694444444444447E-2</v>
      </c>
      <c r="S81" s="1">
        <v>13</v>
      </c>
      <c r="V81">
        <f>AVERAGEIF(O63:O92,"&lt;&gt;0")</f>
        <v>0.76407407407407413</v>
      </c>
    </row>
    <row r="82" spans="1:22" x14ac:dyDescent="0.35">
      <c r="A82" s="32">
        <v>45097</v>
      </c>
      <c r="B82" s="1" t="s">
        <v>50</v>
      </c>
      <c r="C82" s="1" t="s">
        <v>97</v>
      </c>
      <c r="D82" s="1">
        <v>863</v>
      </c>
      <c r="E82" s="1">
        <v>848</v>
      </c>
      <c r="F82" s="66">
        <f>_xlfn.IFNA((Table6[[#This Row],[Calls Off]]-D75)/D75,0)</f>
        <v>-0.16859344894026976</v>
      </c>
      <c r="G82" s="66">
        <f>_xlfn.IFNA((Table6[[#This Row],[Calls Ans]]-E75)/E75,0)</f>
        <v>-0.14688128772635814</v>
      </c>
      <c r="H82" s="1">
        <f>Table6[[#This Row],[Calls Off]]+H81</f>
        <v>15146</v>
      </c>
      <c r="I82" s="1">
        <f>Table6[[#This Row],[Calls Ans]]+I81</f>
        <v>14025</v>
      </c>
      <c r="J82" s="1">
        <f>J81+Table6[[#This Row],[Calls Off]]</f>
        <v>58873</v>
      </c>
      <c r="K82" s="1">
        <f>K81+Table6[[#This Row],[Calls Ans]]</f>
        <v>52547</v>
      </c>
      <c r="L82" s="18">
        <v>0.96</v>
      </c>
      <c r="M82" s="18">
        <v>0.02</v>
      </c>
      <c r="N82" s="18">
        <v>0.98</v>
      </c>
      <c r="O82" s="18">
        <v>0.66</v>
      </c>
      <c r="P82" s="180"/>
      <c r="Q82" s="230">
        <v>3.483796296296296E-3</v>
      </c>
      <c r="R82" s="182">
        <v>4.1666666666666666E-3</v>
      </c>
      <c r="S82" s="1">
        <v>15</v>
      </c>
    </row>
    <row r="83" spans="1:22" x14ac:dyDescent="0.35">
      <c r="A83" s="32">
        <v>45098</v>
      </c>
      <c r="B83" s="1" t="s">
        <v>51</v>
      </c>
      <c r="C83" s="1" t="s">
        <v>97</v>
      </c>
      <c r="D83" s="1">
        <v>975</v>
      </c>
      <c r="E83" s="1">
        <v>927</v>
      </c>
      <c r="F83" s="66">
        <f>_xlfn.IFNA((Table6[[#This Row],[Calls Off]]-D76)/D76,0)</f>
        <v>-0.2388758782201405</v>
      </c>
      <c r="G83" s="66">
        <f>_xlfn.IFNA((Table6[[#This Row],[Calls Ans]]-E76)/E76,0)</f>
        <v>-0.1</v>
      </c>
      <c r="H83" s="1">
        <f>Table6[[#This Row],[Calls Off]]+H82</f>
        <v>16121</v>
      </c>
      <c r="I83" s="1">
        <f>Table6[[#This Row],[Calls Ans]]+I82</f>
        <v>14952</v>
      </c>
      <c r="J83" s="1">
        <f>J82+Table6[[#This Row],[Calls Off]]</f>
        <v>59848</v>
      </c>
      <c r="K83" s="1">
        <f>K82+Table6[[#This Row],[Calls Ans]]</f>
        <v>53474</v>
      </c>
      <c r="L83" s="18">
        <v>0.87</v>
      </c>
      <c r="M83" s="18">
        <v>0.05</v>
      </c>
      <c r="N83" s="18">
        <v>0.95</v>
      </c>
      <c r="O83" s="18">
        <v>0.77</v>
      </c>
      <c r="P83" s="180"/>
      <c r="Q83" s="230">
        <v>3.4953703703703705E-3</v>
      </c>
      <c r="R83" s="182">
        <v>1.4583333333333332E-2</v>
      </c>
      <c r="S83" s="1">
        <v>14</v>
      </c>
    </row>
    <row r="84" spans="1:22" x14ac:dyDescent="0.35">
      <c r="A84" s="32">
        <v>45099</v>
      </c>
      <c r="B84" s="1" t="s">
        <v>52</v>
      </c>
      <c r="C84" s="1" t="s">
        <v>97</v>
      </c>
      <c r="D84" s="1">
        <v>1006</v>
      </c>
      <c r="E84" s="1">
        <v>944</v>
      </c>
      <c r="F84" s="66">
        <f>_xlfn.IFNA((Table6[[#This Row],[Calls Off]]-D77)/D77,0)</f>
        <v>0.17386231038506417</v>
      </c>
      <c r="G84" s="66">
        <f>_xlfn.IFNA((Table6[[#This Row],[Calls Ans]]-E77)/E77,0)</f>
        <v>0.14009661835748793</v>
      </c>
      <c r="H84" s="1">
        <f>Table6[[#This Row],[Calls Off]]+H83</f>
        <v>17127</v>
      </c>
      <c r="I84" s="1">
        <f>Table6[[#This Row],[Calls Ans]]+I83</f>
        <v>15896</v>
      </c>
      <c r="J84" s="1">
        <f>J83+Table6[[#This Row],[Calls Off]]</f>
        <v>60854</v>
      </c>
      <c r="K84" s="1">
        <f>K83+Table6[[#This Row],[Calls Ans]]</f>
        <v>54418</v>
      </c>
      <c r="L84" s="18">
        <v>0.79</v>
      </c>
      <c r="M84" s="18">
        <v>0.06</v>
      </c>
      <c r="N84" s="18">
        <v>0.94</v>
      </c>
      <c r="O84" s="18">
        <v>0.68</v>
      </c>
      <c r="P84" s="180"/>
      <c r="Q84" s="230">
        <v>3.2523148148148151E-3</v>
      </c>
      <c r="R84" s="182">
        <v>2.2222222222222223E-2</v>
      </c>
      <c r="S84" s="1">
        <v>15</v>
      </c>
    </row>
    <row r="85" spans="1:22" x14ac:dyDescent="0.35">
      <c r="A85" s="32">
        <v>45100</v>
      </c>
      <c r="B85" s="1" t="s">
        <v>53</v>
      </c>
      <c r="C85" s="1" t="s">
        <v>97</v>
      </c>
      <c r="D85" s="1">
        <v>1083</v>
      </c>
      <c r="E85" s="1">
        <v>903</v>
      </c>
      <c r="F85" s="66">
        <f>_xlfn.IFNA((Table6[[#This Row],[Calls Off]]-D78)/D78,0)</f>
        <v>0.22789115646258504</v>
      </c>
      <c r="G85" s="66">
        <f>_xlfn.IFNA((Table6[[#This Row],[Calls Ans]]-E78)/E78,0)</f>
        <v>4.878048780487805E-2</v>
      </c>
      <c r="H85" s="1">
        <f>Table6[[#This Row],[Calls Off]]+H84</f>
        <v>18210</v>
      </c>
      <c r="I85" s="1">
        <f>Table6[[#This Row],[Calls Ans]]+I84</f>
        <v>16799</v>
      </c>
      <c r="J85" s="1">
        <f>J84+Table6[[#This Row],[Calls Off]]</f>
        <v>61937</v>
      </c>
      <c r="K85" s="1">
        <f>K84+Table6[[#This Row],[Calls Ans]]</f>
        <v>55321</v>
      </c>
      <c r="L85" s="18">
        <v>0.48</v>
      </c>
      <c r="M85" s="18">
        <v>0.17</v>
      </c>
      <c r="N85" s="18">
        <v>0.83</v>
      </c>
      <c r="O85" s="18">
        <v>0.73</v>
      </c>
      <c r="P85" s="180"/>
      <c r="Q85" s="230">
        <v>3.37962962962963E-3</v>
      </c>
      <c r="R85" s="182">
        <v>5.1388888888888894E-2</v>
      </c>
      <c r="S85" s="1">
        <v>14</v>
      </c>
    </row>
    <row r="86" spans="1:22" x14ac:dyDescent="0.35">
      <c r="A86" s="32">
        <v>45101</v>
      </c>
      <c r="B86" s="1" t="s">
        <v>54</v>
      </c>
      <c r="C86" s="1" t="s">
        <v>97</v>
      </c>
      <c r="D86" s="1">
        <v>784</v>
      </c>
      <c r="E86" s="1">
        <v>585</v>
      </c>
      <c r="F86" s="66">
        <f>_xlfn.IFNA((Table6[[#This Row],[Calls Off]]-D79)/D79,0)</f>
        <v>6.6666666666666666E-2</v>
      </c>
      <c r="G86" s="66">
        <f>_xlfn.IFNA((Table6[[#This Row],[Calls Ans]]-E79)/E79,0)</f>
        <v>-0.16666666666666666</v>
      </c>
      <c r="H86" s="1">
        <f>Table6[[#This Row],[Calls Off]]+H85</f>
        <v>18994</v>
      </c>
      <c r="I86" s="1">
        <f>Table6[[#This Row],[Calls Ans]]+I85</f>
        <v>17384</v>
      </c>
      <c r="J86" s="1">
        <f>J85+Table6[[#This Row],[Calls Off]]</f>
        <v>62721</v>
      </c>
      <c r="K86" s="1">
        <f>K85+Table6[[#This Row],[Calls Ans]]</f>
        <v>55906</v>
      </c>
      <c r="L86" s="18">
        <v>0.32</v>
      </c>
      <c r="M86" s="18">
        <v>0.25</v>
      </c>
      <c r="N86" s="18">
        <v>0.75</v>
      </c>
      <c r="O86" s="18">
        <v>0.82</v>
      </c>
      <c r="P86" s="180"/>
      <c r="Q86" s="230">
        <v>3.37962962962963E-3</v>
      </c>
      <c r="R86" s="182">
        <v>5.1388888888888894E-2</v>
      </c>
      <c r="S86" s="1">
        <v>8</v>
      </c>
    </row>
    <row r="87" spans="1:22" x14ac:dyDescent="0.35">
      <c r="A87" s="32">
        <v>45102</v>
      </c>
      <c r="B87" s="1" t="s">
        <v>48</v>
      </c>
      <c r="C87" s="1" t="s">
        <v>97</v>
      </c>
      <c r="D87" s="1">
        <v>39</v>
      </c>
      <c r="E87" s="1">
        <v>39</v>
      </c>
      <c r="F87" s="66">
        <v>0</v>
      </c>
      <c r="G87" s="66">
        <v>0</v>
      </c>
      <c r="H87" s="1">
        <f>Table6[[#This Row],[Calls Off]]+H86</f>
        <v>19033</v>
      </c>
      <c r="I87" s="1">
        <f>Table6[[#This Row],[Calls Ans]]+I86</f>
        <v>17423</v>
      </c>
      <c r="J87" s="1">
        <f>J86+Table6[[#This Row],[Calls Off]]</f>
        <v>62760</v>
      </c>
      <c r="K87" s="1">
        <f>K86+Table6[[#This Row],[Calls Ans]]</f>
        <v>55945</v>
      </c>
      <c r="L87" s="18">
        <v>0.99</v>
      </c>
      <c r="M87" s="18">
        <v>0</v>
      </c>
      <c r="N87" s="18">
        <v>1</v>
      </c>
      <c r="O87" s="18">
        <v>0.1</v>
      </c>
      <c r="P87" s="180"/>
      <c r="Q87" s="230">
        <v>2.3148148148148151E-3</v>
      </c>
      <c r="R87" s="182">
        <v>3.472222222222222E-3</v>
      </c>
      <c r="S87" s="1">
        <v>3</v>
      </c>
    </row>
    <row r="88" spans="1:22" x14ac:dyDescent="0.35">
      <c r="A88" s="32">
        <v>45103</v>
      </c>
      <c r="B88" s="1" t="s">
        <v>49</v>
      </c>
      <c r="C88" s="1" t="s">
        <v>97</v>
      </c>
      <c r="D88" s="1">
        <v>1075</v>
      </c>
      <c r="E88" s="1">
        <v>1037</v>
      </c>
      <c r="F88" s="66">
        <f>_xlfn.IFNA((Table6[[#This Row],[Calls Off]]-D81)/D81,0)</f>
        <v>6.4356435643564358E-2</v>
      </c>
      <c r="G88" s="66">
        <f>_xlfn.IFNA((Table6[[#This Row],[Calls Ans]]-E81)/E81,0)</f>
        <v>8.2463465553235901E-2</v>
      </c>
      <c r="H88" s="1">
        <f>Table6[[#This Row],[Calls Off]]+H86</f>
        <v>20069</v>
      </c>
      <c r="I88" s="1">
        <f>Table6[[#This Row],[Calls Ans]]+I86</f>
        <v>18421</v>
      </c>
      <c r="J88" s="1">
        <f>J86+Table6[[#This Row],[Calls Off]]</f>
        <v>63796</v>
      </c>
      <c r="K88" s="1">
        <f>K86+Table6[[#This Row],[Calls Ans]]</f>
        <v>56943</v>
      </c>
      <c r="L88" s="18">
        <v>0.89</v>
      </c>
      <c r="M88" s="18">
        <v>0.04</v>
      </c>
      <c r="N88" s="18">
        <v>0.96</v>
      </c>
      <c r="O88" s="18">
        <v>0.53</v>
      </c>
      <c r="P88" s="180"/>
      <c r="Q88" s="230">
        <v>2.3148148148148151E-3</v>
      </c>
      <c r="R88" s="182">
        <v>3.472222222222222E-3</v>
      </c>
      <c r="S88" s="1">
        <v>15</v>
      </c>
    </row>
    <row r="89" spans="1:22" x14ac:dyDescent="0.35">
      <c r="A89" s="32">
        <v>45104</v>
      </c>
      <c r="B89" s="1" t="s">
        <v>50</v>
      </c>
      <c r="C89" s="1" t="s">
        <v>97</v>
      </c>
      <c r="D89" s="1">
        <v>979</v>
      </c>
      <c r="E89" s="1">
        <v>925</v>
      </c>
      <c r="F89" s="66">
        <f>_xlfn.IFNA((Table6[[#This Row],[Calls Off]]-D82)/D82,0)</f>
        <v>0.13441483198146004</v>
      </c>
      <c r="G89" s="66">
        <f>_xlfn.IFNA((Table6[[#This Row],[Calls Ans]]-E82)/E82,0)</f>
        <v>9.0801886792452824E-2</v>
      </c>
      <c r="H89" s="1">
        <f>Table6[[#This Row],[Calls Off]]+H88</f>
        <v>21048</v>
      </c>
      <c r="I89" s="1">
        <f>Table6[[#This Row],[Calls Ans]]+I88</f>
        <v>19346</v>
      </c>
      <c r="J89" s="1">
        <f>J88+Table6[[#This Row],[Calls Off]]</f>
        <v>64775</v>
      </c>
      <c r="K89" s="1">
        <f>K88+Table6[[#This Row],[Calls Ans]]</f>
        <v>57868</v>
      </c>
      <c r="L89" s="18">
        <v>0.85</v>
      </c>
      <c r="M89" s="18">
        <v>0.06</v>
      </c>
      <c r="N89" s="18">
        <v>0.94</v>
      </c>
      <c r="O89" s="18">
        <v>0.72</v>
      </c>
      <c r="P89" s="180"/>
      <c r="Q89" s="230">
        <v>3.5069444444444445E-3</v>
      </c>
      <c r="R89" s="182">
        <v>1.7361111111111112E-2</v>
      </c>
      <c r="S89" s="1">
        <v>15</v>
      </c>
    </row>
    <row r="90" spans="1:22" x14ac:dyDescent="0.35">
      <c r="A90" s="32">
        <v>45105</v>
      </c>
      <c r="B90" s="1" t="s">
        <v>51</v>
      </c>
      <c r="C90" s="1" t="s">
        <v>97</v>
      </c>
      <c r="D90" s="1">
        <v>1046</v>
      </c>
      <c r="E90" s="1">
        <v>919</v>
      </c>
      <c r="F90" s="66">
        <f>_xlfn.IFNA((Table6[[#This Row],[Calls Off]]-D83)/D83,0)</f>
        <v>7.2820512820512814E-2</v>
      </c>
      <c r="G90" s="66">
        <f>_xlfn.IFNA((Table6[[#This Row],[Calls Ans]]-E83)/E83,0)</f>
        <v>-8.6299892125134836E-3</v>
      </c>
      <c r="H90" s="1">
        <f>Table6[[#This Row],[Calls Off]]+H89</f>
        <v>22094</v>
      </c>
      <c r="I90" s="1">
        <f>Table6[[#This Row],[Calls Ans]]+I89</f>
        <v>20265</v>
      </c>
      <c r="J90" s="1">
        <f>J89+Table6[[#This Row],[Calls Off]]</f>
        <v>65821</v>
      </c>
      <c r="K90" s="1">
        <f>K89+Table6[[#This Row],[Calls Ans]]</f>
        <v>58787</v>
      </c>
      <c r="L90" s="18">
        <v>0.57999999999999996</v>
      </c>
      <c r="M90" s="18">
        <v>0.12</v>
      </c>
      <c r="N90" s="18">
        <v>0.88</v>
      </c>
      <c r="O90" s="18">
        <v>0.96</v>
      </c>
      <c r="P90" s="180"/>
      <c r="Q90" s="230">
        <v>3.7500000000000003E-3</v>
      </c>
      <c r="R90" s="182">
        <v>5.5555555555555552E-2</v>
      </c>
      <c r="S90" s="1">
        <v>12</v>
      </c>
    </row>
    <row r="91" spans="1:22" x14ac:dyDescent="0.35">
      <c r="A91" s="32">
        <v>45106</v>
      </c>
      <c r="B91" s="1" t="s">
        <v>52</v>
      </c>
      <c r="C91" s="1" t="s">
        <v>97</v>
      </c>
      <c r="D91" s="1">
        <v>825</v>
      </c>
      <c r="E91" s="1">
        <v>796</v>
      </c>
      <c r="F91" s="66">
        <f>_xlfn.IFNA((Table6[[#This Row],[Calls Off]]-D84)/D84,0)</f>
        <v>-0.17992047713717693</v>
      </c>
      <c r="G91" s="66">
        <f>_xlfn.IFNA((Table6[[#This Row],[Calls Ans]]-E84)/E84,0)</f>
        <v>-0.15677966101694915</v>
      </c>
      <c r="H91" s="1">
        <f>Table6[[#This Row],[Calls Off]]+H90</f>
        <v>22919</v>
      </c>
      <c r="I91" s="1">
        <f>Table6[[#This Row],[Calls Ans]]+I90</f>
        <v>21061</v>
      </c>
      <c r="J91" s="1">
        <f>J90+Table6[[#This Row],[Calls Off]]</f>
        <v>66646</v>
      </c>
      <c r="K91" s="1">
        <f>K90+Table6[[#This Row],[Calls Ans]]</f>
        <v>59583</v>
      </c>
      <c r="L91" s="18">
        <v>0.89</v>
      </c>
      <c r="M91" s="18">
        <v>0.04</v>
      </c>
      <c r="N91" s="18">
        <v>0.96</v>
      </c>
      <c r="O91" s="18">
        <v>0.7</v>
      </c>
      <c r="P91" s="180"/>
      <c r="Q91" s="230">
        <v>3.6689814814814814E-3</v>
      </c>
      <c r="R91" s="182">
        <v>1.3194444444444444E-2</v>
      </c>
      <c r="S91" s="1">
        <v>14</v>
      </c>
    </row>
    <row r="92" spans="1:22" x14ac:dyDescent="0.35">
      <c r="A92" s="32">
        <v>45107</v>
      </c>
      <c r="B92" s="67" t="s">
        <v>53</v>
      </c>
      <c r="C92" s="67" t="s">
        <v>97</v>
      </c>
      <c r="D92" s="67">
        <v>894</v>
      </c>
      <c r="E92" s="67">
        <v>856</v>
      </c>
      <c r="F92" s="82">
        <f>_xlfn.IFNA((Table6[[#This Row],[Calls Off]]-D85)/D85,0)</f>
        <v>-0.17451523545706371</v>
      </c>
      <c r="G92" s="82">
        <f>_xlfn.IFNA((Table6[[#This Row],[Calls Ans]]-E85)/E85,0)</f>
        <v>-5.2048726467331122E-2</v>
      </c>
      <c r="H92" s="67">
        <f>Table6[[#This Row],[Calls Off]]+H91</f>
        <v>23813</v>
      </c>
      <c r="I92" s="67">
        <f>Table6[[#This Row],[Calls Ans]]+I91</f>
        <v>21917</v>
      </c>
      <c r="J92" s="67">
        <f>J91+Table6[[#This Row],[Calls Off]]</f>
        <v>67540</v>
      </c>
      <c r="K92" s="67">
        <f>K91+Table6[[#This Row],[Calls Ans]]</f>
        <v>60439</v>
      </c>
      <c r="L92" s="2">
        <v>0.89</v>
      </c>
      <c r="M92" s="2">
        <v>0.04</v>
      </c>
      <c r="N92" s="2">
        <v>0.96</v>
      </c>
      <c r="O92" s="2">
        <v>0.67</v>
      </c>
      <c r="P92" s="180"/>
      <c r="Q92" s="230">
        <v>3.5069444444444445E-3</v>
      </c>
      <c r="R92" s="184">
        <v>1.0416666666666666E-2</v>
      </c>
      <c r="S92" s="1">
        <v>15</v>
      </c>
    </row>
    <row r="93" spans="1:22" x14ac:dyDescent="0.35">
      <c r="A93" s="32">
        <v>45108</v>
      </c>
      <c r="B93" s="1" t="s">
        <v>54</v>
      </c>
      <c r="C93" s="1" t="s">
        <v>97</v>
      </c>
      <c r="D93" s="1">
        <v>674</v>
      </c>
      <c r="E93" s="1">
        <v>586</v>
      </c>
      <c r="F93" s="66">
        <f>_xlfn.IFNA((Table6[[#This Row],[Calls Off]]-D86)/D86,0)</f>
        <v>-0.14030612244897958</v>
      </c>
      <c r="G93" s="66">
        <f>_xlfn.IFNA((Table6[[#This Row],[Calls Ans]]-E86)/E86,0)</f>
        <v>1.7094017094017094E-3</v>
      </c>
      <c r="H93" s="1">
        <f>Table6[[#This Row],[Calls Off]]</f>
        <v>674</v>
      </c>
      <c r="I93" s="1">
        <f>Table6[[#This Row],[Calls Ans]]</f>
        <v>586</v>
      </c>
      <c r="J93" s="1">
        <f>J92+Table6[[#This Row],[Calls Off]]</f>
        <v>68214</v>
      </c>
      <c r="K93" s="1">
        <f>K92+Table6[[#This Row],[Calls Ans]]</f>
        <v>61025</v>
      </c>
      <c r="L93" s="18">
        <v>0.57999999999999996</v>
      </c>
      <c r="M93" s="18">
        <v>0.13</v>
      </c>
      <c r="N93" s="18">
        <v>0.87</v>
      </c>
      <c r="O93" s="18">
        <v>0.6</v>
      </c>
      <c r="P93" s="180"/>
      <c r="Q93" s="230">
        <v>3.6921296296296298E-3</v>
      </c>
      <c r="R93" s="182">
        <v>6.9444444444444441E-3</v>
      </c>
      <c r="S93" s="1">
        <v>12</v>
      </c>
    </row>
    <row r="94" spans="1:22" x14ac:dyDescent="0.35">
      <c r="A94" s="32">
        <v>45109</v>
      </c>
      <c r="B94" s="1" t="s">
        <v>48</v>
      </c>
      <c r="C94" s="1" t="s">
        <v>97</v>
      </c>
      <c r="D94" s="1">
        <v>0</v>
      </c>
      <c r="E94" s="1">
        <v>0</v>
      </c>
      <c r="F94" s="66">
        <v>0</v>
      </c>
      <c r="G94" s="66">
        <v>0</v>
      </c>
      <c r="H94" s="1">
        <v>0</v>
      </c>
      <c r="I94" s="1">
        <v>0</v>
      </c>
      <c r="J94" s="1">
        <v>0</v>
      </c>
      <c r="K94" s="1">
        <v>0</v>
      </c>
      <c r="L94" s="18">
        <v>0</v>
      </c>
      <c r="M94" s="18">
        <v>0</v>
      </c>
      <c r="N94" s="18">
        <v>0</v>
      </c>
      <c r="O94" s="18">
        <v>0</v>
      </c>
      <c r="P94" s="180"/>
      <c r="Q94" s="230">
        <v>0</v>
      </c>
      <c r="R94" s="182">
        <v>0</v>
      </c>
      <c r="S94" s="1">
        <v>0</v>
      </c>
    </row>
    <row r="95" spans="1:22" x14ac:dyDescent="0.35">
      <c r="A95" s="32">
        <v>45110</v>
      </c>
      <c r="B95" s="1" t="s">
        <v>49</v>
      </c>
      <c r="C95" s="1" t="s">
        <v>97</v>
      </c>
      <c r="D95" s="1">
        <v>1000</v>
      </c>
      <c r="E95" s="1">
        <v>897</v>
      </c>
      <c r="F95" s="19">
        <f>_xlfn.IFNA((Table6[[#This Row],[Calls Off]]-D88)/D88,0)</f>
        <v>-6.9767441860465115E-2</v>
      </c>
      <c r="G95" s="19">
        <f>_xlfn.IFNA((Table6[[#This Row],[Calls Ans]]-E88)/E88,0)</f>
        <v>-0.13500482160077146</v>
      </c>
      <c r="H95" s="1">
        <f>Table6[[#This Row],[Calls Off]]+H93</f>
        <v>1674</v>
      </c>
      <c r="I95" s="1">
        <f>Table6[[#This Row],[Calls Ans]]+I93</f>
        <v>1483</v>
      </c>
      <c r="J95" s="1">
        <f>J93+Table6[[#This Row],[Calls Off]]</f>
        <v>69214</v>
      </c>
      <c r="K95" s="1">
        <f>K93+Table6[[#This Row],[Calls Ans]]</f>
        <v>61922</v>
      </c>
      <c r="L95" s="18">
        <v>0.76</v>
      </c>
      <c r="M95" s="18">
        <v>0.1</v>
      </c>
      <c r="N95" s="18">
        <v>0.9</v>
      </c>
      <c r="O95" s="18">
        <v>0.65</v>
      </c>
      <c r="P95" s="180"/>
      <c r="Q95" s="230">
        <v>3.4606481481481485E-3</v>
      </c>
      <c r="R95" s="182">
        <v>5.6250000000000001E-2</v>
      </c>
      <c r="S95" s="1">
        <v>16</v>
      </c>
    </row>
    <row r="96" spans="1:22" x14ac:dyDescent="0.35">
      <c r="A96" s="32">
        <v>45111</v>
      </c>
      <c r="B96" s="1" t="s">
        <v>50</v>
      </c>
      <c r="C96" s="1" t="s">
        <v>97</v>
      </c>
      <c r="D96" s="1">
        <v>928</v>
      </c>
      <c r="E96" s="1">
        <v>895</v>
      </c>
      <c r="F96" s="66">
        <f>_xlfn.IFNA((Table6[[#This Row],[Calls Off]]-D89)/D89,0)</f>
        <v>-5.2093973442288048E-2</v>
      </c>
      <c r="G96" s="66">
        <f>_xlfn.IFNA((Table6[[#This Row],[Calls Ans]]-E89)/E89,0)</f>
        <v>-3.2432432432432434E-2</v>
      </c>
      <c r="H96" s="1">
        <f>Table6[[#This Row],[Calls Off]]+H95</f>
        <v>2602</v>
      </c>
      <c r="I96" s="1">
        <f>Table6[[#This Row],[Calls Ans]]+I95</f>
        <v>2378</v>
      </c>
      <c r="J96" s="1">
        <f>J95+Table6[[#This Row],[Calls Off]]</f>
        <v>70142</v>
      </c>
      <c r="K96" s="1">
        <f>K95+Table6[[#This Row],[Calls Ans]]</f>
        <v>62817</v>
      </c>
      <c r="L96" s="18">
        <v>0.93</v>
      </c>
      <c r="M96" s="18">
        <v>0.04</v>
      </c>
      <c r="N96" s="18">
        <v>0.96</v>
      </c>
      <c r="O96" s="18">
        <v>0.73</v>
      </c>
      <c r="P96" s="180"/>
      <c r="Q96" s="230">
        <v>3.9236111111111112E-3</v>
      </c>
      <c r="R96" s="182">
        <v>6.9444444444444441E-3</v>
      </c>
      <c r="S96" s="1">
        <v>16</v>
      </c>
    </row>
    <row r="97" spans="1:23" x14ac:dyDescent="0.35">
      <c r="A97" s="32">
        <v>45112</v>
      </c>
      <c r="B97" s="1" t="s">
        <v>51</v>
      </c>
      <c r="C97" s="1" t="s">
        <v>97</v>
      </c>
      <c r="D97" s="1">
        <v>1042</v>
      </c>
      <c r="E97" s="1">
        <v>978</v>
      </c>
      <c r="F97" s="66">
        <f>_xlfn.IFNA((Table6[[#This Row],[Calls Off]]-D90)/D90,0)</f>
        <v>-3.8240917782026767E-3</v>
      </c>
      <c r="G97" s="66">
        <f>_xlfn.IFNA((Table6[[#This Row],[Calls Ans]]-E90)/E90,0)</f>
        <v>6.4200217627856368E-2</v>
      </c>
      <c r="H97" s="1">
        <f>Table6[[#This Row],[Calls Off]]+H96</f>
        <v>3644</v>
      </c>
      <c r="I97" s="1">
        <f>Table6[[#This Row],[Calls Ans]]+I96</f>
        <v>3356</v>
      </c>
      <c r="J97" s="1">
        <f>J96+Table6[[#This Row],[Calls Off]]</f>
        <v>71184</v>
      </c>
      <c r="K97" s="1">
        <f>K96+Table6[[#This Row],[Calls Ans]]</f>
        <v>63795</v>
      </c>
      <c r="L97" s="18">
        <v>0.81</v>
      </c>
      <c r="M97" s="18">
        <v>0.06</v>
      </c>
      <c r="N97" s="18">
        <v>0.94</v>
      </c>
      <c r="O97" s="18">
        <v>0.78</v>
      </c>
      <c r="P97" s="180"/>
      <c r="Q97" s="230">
        <v>3.5995370370370369E-3</v>
      </c>
      <c r="R97" s="182">
        <v>2.0833333333333332E-2</v>
      </c>
      <c r="S97" s="1">
        <v>15</v>
      </c>
    </row>
    <row r="98" spans="1:23" x14ac:dyDescent="0.35">
      <c r="A98" s="32">
        <v>45113</v>
      </c>
      <c r="B98" s="1" t="s">
        <v>52</v>
      </c>
      <c r="C98" s="1" t="s">
        <v>97</v>
      </c>
      <c r="D98" s="1">
        <v>948</v>
      </c>
      <c r="E98" s="1">
        <v>855</v>
      </c>
      <c r="F98" s="66">
        <f>_xlfn.IFNA((Table6[[#This Row],[Calls Off]]-D91)/D91,0)</f>
        <v>0.14909090909090908</v>
      </c>
      <c r="G98" s="66">
        <f>_xlfn.IFNA((Table6[[#This Row],[Calls Ans]]-E91)/E91,0)</f>
        <v>7.4120603015075379E-2</v>
      </c>
      <c r="H98" s="1">
        <f>Table6[[#This Row],[Calls Off]]+H97</f>
        <v>4592</v>
      </c>
      <c r="I98" s="1">
        <f>Table6[[#This Row],[Calls Ans]]+I97</f>
        <v>4211</v>
      </c>
      <c r="J98" s="1">
        <f>J97+Table6[[#This Row],[Calls Off]]</f>
        <v>72132</v>
      </c>
      <c r="K98" s="1">
        <f>K97+Table6[[#This Row],[Calls Ans]]</f>
        <v>64650</v>
      </c>
      <c r="L98" s="18">
        <v>0.68</v>
      </c>
      <c r="M98" s="18">
        <v>0.1</v>
      </c>
      <c r="N98" s="18">
        <v>0.9</v>
      </c>
      <c r="O98" s="18">
        <v>0.94</v>
      </c>
      <c r="P98" s="180"/>
      <c r="Q98" s="230">
        <v>3.8888888888888883E-3</v>
      </c>
      <c r="R98" s="182">
        <v>3.5416666666666666E-2</v>
      </c>
      <c r="S98" s="1">
        <v>12</v>
      </c>
    </row>
    <row r="99" spans="1:23" x14ac:dyDescent="0.35">
      <c r="A99" s="32">
        <v>45114</v>
      </c>
      <c r="B99" s="1" t="s">
        <v>53</v>
      </c>
      <c r="C99" s="1" t="s">
        <v>97</v>
      </c>
      <c r="D99" s="1">
        <v>962</v>
      </c>
      <c r="E99" s="1">
        <v>836</v>
      </c>
      <c r="F99" s="66">
        <f>_xlfn.IFNA((Table6[[#This Row],[Calls Off]]-D92)/D92,0)</f>
        <v>7.6062639821029079E-2</v>
      </c>
      <c r="G99" s="66">
        <f>_xlfn.IFNA((Table6[[#This Row],[Calls Ans]]-E92)/E92,0)</f>
        <v>-2.336448598130841E-2</v>
      </c>
      <c r="H99" s="1">
        <f>Table6[[#This Row],[Calls Off]]+H98</f>
        <v>5554</v>
      </c>
      <c r="I99" s="1">
        <f>Table6[[#This Row],[Calls Ans]]+I98</f>
        <v>5047</v>
      </c>
      <c r="J99" s="1">
        <f>J98+Table6[[#This Row],[Calls Off]]</f>
        <v>73094</v>
      </c>
      <c r="K99" s="1">
        <f>K98+Table6[[#This Row],[Calls Ans]]</f>
        <v>65486</v>
      </c>
      <c r="L99" s="18">
        <v>0.63</v>
      </c>
      <c r="M99" s="18">
        <v>0.13</v>
      </c>
      <c r="N99" s="18">
        <v>0.87</v>
      </c>
      <c r="O99" s="18">
        <v>0.79</v>
      </c>
      <c r="P99" s="180"/>
      <c r="Q99" s="230">
        <v>3.6921296296296298E-3</v>
      </c>
      <c r="R99" s="182">
        <v>5.8333333333333327E-2</v>
      </c>
      <c r="S99" s="1">
        <v>13</v>
      </c>
    </row>
    <row r="100" spans="1:23" x14ac:dyDescent="0.35">
      <c r="A100" s="32">
        <v>45115</v>
      </c>
      <c r="B100" s="1" t="s">
        <v>54</v>
      </c>
      <c r="C100" s="1" t="s">
        <v>97</v>
      </c>
      <c r="D100" s="1">
        <v>674</v>
      </c>
      <c r="E100" s="1">
        <v>622</v>
      </c>
      <c r="F100" s="66">
        <f>_xlfn.IFNA((Table6[[#This Row],[Calls Off]]-D93)/D93,0)</f>
        <v>0</v>
      </c>
      <c r="G100" s="66">
        <f>_xlfn.IFNA((Table6[[#This Row],[Calls Ans]]-E93)/E93,0)</f>
        <v>6.1433447098976107E-2</v>
      </c>
      <c r="H100" s="1">
        <f>Table6[[#This Row],[Calls Off]]+H99</f>
        <v>6228</v>
      </c>
      <c r="I100" s="1">
        <f>Table6[[#This Row],[Calls Ans]]+I99</f>
        <v>5669</v>
      </c>
      <c r="J100" s="1">
        <f>J99+Table6[[#This Row],[Calls Off]]</f>
        <v>73768</v>
      </c>
      <c r="K100" s="1">
        <f>K99+Table6[[#This Row],[Calls Ans]]</f>
        <v>66108</v>
      </c>
      <c r="L100" s="18">
        <v>0.76</v>
      </c>
      <c r="M100" s="18">
        <v>0.08</v>
      </c>
      <c r="N100" s="18">
        <v>0.92</v>
      </c>
      <c r="O100" s="18">
        <v>0.72</v>
      </c>
      <c r="P100" s="180"/>
      <c r="Q100" s="230">
        <v>3.1134259259259257E-3</v>
      </c>
      <c r="R100" s="182">
        <v>2.6388888888888889E-2</v>
      </c>
      <c r="S100" s="1">
        <v>9</v>
      </c>
    </row>
    <row r="101" spans="1:23" x14ac:dyDescent="0.35">
      <c r="A101" s="32">
        <v>45116</v>
      </c>
      <c r="B101" s="1" t="s">
        <v>48</v>
      </c>
      <c r="C101" s="1" t="s">
        <v>97</v>
      </c>
      <c r="D101" s="1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180"/>
      <c r="Q101" s="230">
        <v>0</v>
      </c>
      <c r="R101" s="182">
        <v>0</v>
      </c>
      <c r="S101" s="1">
        <v>0</v>
      </c>
    </row>
    <row r="102" spans="1:23" x14ac:dyDescent="0.35">
      <c r="A102" s="32">
        <v>45117</v>
      </c>
      <c r="B102" s="1" t="s">
        <v>49</v>
      </c>
      <c r="C102" s="1" t="s">
        <v>97</v>
      </c>
      <c r="D102" s="1">
        <v>1117</v>
      </c>
      <c r="E102" s="1">
        <v>1026</v>
      </c>
      <c r="F102" s="19">
        <f>_xlfn.IFNA((Table6[[#This Row],[Calls Off]]-D95)/D95,0)</f>
        <v>0.11700000000000001</v>
      </c>
      <c r="G102" s="19">
        <f>_xlfn.IFNA((Table6[[#This Row],[Calls Ans]]-E95)/E95,0)</f>
        <v>0.14381270903010032</v>
      </c>
      <c r="H102" s="1">
        <f>Table6[[#This Row],[Calls Off]]+H100</f>
        <v>7345</v>
      </c>
      <c r="I102" s="1">
        <f>Table6[[#This Row],[Calls Ans]]+I100</f>
        <v>6695</v>
      </c>
      <c r="J102" s="1">
        <f>J100+Table6[[#This Row],[Calls Off]]</f>
        <v>74885</v>
      </c>
      <c r="K102" s="1">
        <f>K100+Table6[[#This Row],[Calls Ans]]</f>
        <v>67134</v>
      </c>
      <c r="L102" s="18">
        <v>0.72</v>
      </c>
      <c r="M102" s="18">
        <v>0.08</v>
      </c>
      <c r="N102" s="18">
        <v>0.92</v>
      </c>
      <c r="O102" s="18">
        <v>0.89</v>
      </c>
      <c r="P102" s="180"/>
      <c r="Q102" s="230">
        <v>3.8888888888888883E-3</v>
      </c>
      <c r="R102" s="182">
        <v>3.6111111111111115E-2</v>
      </c>
      <c r="S102" s="1">
        <v>15</v>
      </c>
    </row>
    <row r="103" spans="1:23" x14ac:dyDescent="0.35">
      <c r="A103" s="32">
        <v>45118</v>
      </c>
      <c r="B103" s="1" t="s">
        <v>50</v>
      </c>
      <c r="C103" s="1" t="s">
        <v>97</v>
      </c>
      <c r="D103" s="1">
        <v>1014</v>
      </c>
      <c r="E103" s="1">
        <v>977</v>
      </c>
      <c r="F103" s="66">
        <f>_xlfn.IFNA((Table6[[#This Row],[Calls Off]]-D96)/D96,0)</f>
        <v>9.2672413793103453E-2</v>
      </c>
      <c r="G103" s="66">
        <f>_xlfn.IFNA((Table6[[#This Row],[Calls Ans]]-E96)/E96,0)</f>
        <v>9.1620111731843576E-2</v>
      </c>
      <c r="H103" s="1">
        <f>Table6[[#This Row],[Calls Off]]+H102</f>
        <v>8359</v>
      </c>
      <c r="I103" s="1">
        <f>Table6[[#This Row],[Calls Ans]]+I102</f>
        <v>7672</v>
      </c>
      <c r="J103" s="1">
        <f>J102+Table6[[#This Row],[Calls Off]]</f>
        <v>75899</v>
      </c>
      <c r="K103" s="1">
        <f>K102+Table6[[#This Row],[Calls Ans]]</f>
        <v>68111</v>
      </c>
      <c r="L103" s="18">
        <v>0.93</v>
      </c>
      <c r="M103" s="18">
        <v>0.04</v>
      </c>
      <c r="N103" s="18">
        <v>0.96</v>
      </c>
      <c r="O103" s="18">
        <v>0.74</v>
      </c>
      <c r="P103" s="180"/>
      <c r="Q103" s="230">
        <v>3.8773148148148143E-3</v>
      </c>
      <c r="R103" s="182">
        <v>8.3333333333333332E-3</v>
      </c>
      <c r="S103" s="1">
        <v>17</v>
      </c>
    </row>
    <row r="104" spans="1:23" x14ac:dyDescent="0.35">
      <c r="A104" s="32">
        <v>45119</v>
      </c>
      <c r="B104" s="1" t="s">
        <v>51</v>
      </c>
      <c r="C104" s="1" t="s">
        <v>97</v>
      </c>
      <c r="D104" s="1">
        <v>1035</v>
      </c>
      <c r="E104" s="1">
        <v>956</v>
      </c>
      <c r="F104" s="66">
        <f>_xlfn.IFNA((Table6[[#This Row],[Calls Off]]-D97)/D97,0)</f>
        <v>-6.7178502879078695E-3</v>
      </c>
      <c r="G104" s="66">
        <f>_xlfn.IFNA((Table6[[#This Row],[Calls Ans]]-E97)/E97,0)</f>
        <v>-2.2494887525562373E-2</v>
      </c>
      <c r="H104" s="1">
        <f>Table6[[#This Row],[Calls Off]]+H103</f>
        <v>9394</v>
      </c>
      <c r="I104" s="1">
        <f>Table6[[#This Row],[Calls Ans]]+I103</f>
        <v>8628</v>
      </c>
      <c r="J104" s="1">
        <f>J103+Table6[[#This Row],[Calls Off]]</f>
        <v>76934</v>
      </c>
      <c r="K104" s="1">
        <f>K103+Table6[[#This Row],[Calls Ans]]</f>
        <v>69067</v>
      </c>
      <c r="L104" s="18">
        <v>0.81</v>
      </c>
      <c r="M104" s="18">
        <v>0.08</v>
      </c>
      <c r="N104" s="18">
        <v>0.92</v>
      </c>
      <c r="O104" s="18">
        <v>0.69</v>
      </c>
      <c r="P104" s="180"/>
      <c r="Q104" s="230">
        <v>3.483796296296296E-3</v>
      </c>
      <c r="R104" s="182">
        <v>1.8749999999999999E-2</v>
      </c>
      <c r="S104" s="1">
        <v>16</v>
      </c>
    </row>
    <row r="105" spans="1:23" x14ac:dyDescent="0.35">
      <c r="A105" s="32">
        <v>45120</v>
      </c>
      <c r="B105" s="1" t="s">
        <v>52</v>
      </c>
      <c r="C105" s="1" t="s">
        <v>97</v>
      </c>
      <c r="D105" s="1">
        <v>905</v>
      </c>
      <c r="E105" s="1">
        <v>882</v>
      </c>
      <c r="F105" s="66">
        <f>_xlfn.IFNA((Table6[[#This Row],[Calls Off]]-D98)/D98,0)</f>
        <v>-4.5358649789029537E-2</v>
      </c>
      <c r="G105" s="66">
        <f>_xlfn.IFNA((Table6[[#This Row],[Calls Ans]]-E98)/E98,0)</f>
        <v>3.1578947368421054E-2</v>
      </c>
      <c r="H105" s="1">
        <f>Table6[[#This Row],[Calls Off]]+H104</f>
        <v>10299</v>
      </c>
      <c r="I105" s="1">
        <f>Table6[[#This Row],[Calls Ans]]+I104</f>
        <v>9510</v>
      </c>
      <c r="J105" s="1">
        <f>J104+Table6[[#This Row],[Calls Off]]</f>
        <v>77839</v>
      </c>
      <c r="K105" s="1">
        <f>K104+Table6[[#This Row],[Calls Ans]]</f>
        <v>69949</v>
      </c>
      <c r="L105" s="18">
        <v>0.9</v>
      </c>
      <c r="M105" s="18">
        <v>0.03</v>
      </c>
      <c r="N105" s="18">
        <v>0.97</v>
      </c>
      <c r="O105" s="18">
        <v>0.61</v>
      </c>
      <c r="P105" s="180"/>
      <c r="Q105" s="230">
        <v>3.3217592592592591E-3</v>
      </c>
      <c r="R105" s="182">
        <v>9.7222222222222224E-3</v>
      </c>
      <c r="S105" s="1">
        <v>16</v>
      </c>
    </row>
    <row r="106" spans="1:23" x14ac:dyDescent="0.35">
      <c r="A106" s="32">
        <v>45121</v>
      </c>
      <c r="B106" s="1" t="s">
        <v>53</v>
      </c>
      <c r="C106" s="1" t="s">
        <v>97</v>
      </c>
      <c r="D106" s="1">
        <v>951</v>
      </c>
      <c r="E106" s="1">
        <v>886</v>
      </c>
      <c r="F106" s="66">
        <f>_xlfn.IFNA((Table6[[#This Row],[Calls Off]]-D99)/D99,0)</f>
        <v>-1.1434511434511435E-2</v>
      </c>
      <c r="G106" s="66">
        <f>_xlfn.IFNA((Table6[[#This Row],[Calls Ans]]-E99)/E99,0)</f>
        <v>5.9808612440191387E-2</v>
      </c>
      <c r="H106" s="1">
        <f>Table6[[#This Row],[Calls Off]]+H105</f>
        <v>11250</v>
      </c>
      <c r="I106" s="1">
        <f>Table6[[#This Row],[Calls Ans]]+I105</f>
        <v>10396</v>
      </c>
      <c r="J106" s="1">
        <f>J105+Table6[[#This Row],[Calls Off]]</f>
        <v>78790</v>
      </c>
      <c r="K106" s="1">
        <f>K105+Table6[[#This Row],[Calls Ans]]</f>
        <v>70835</v>
      </c>
      <c r="L106" s="18">
        <v>0.82</v>
      </c>
      <c r="M106" s="18">
        <v>7.0000000000000007E-2</v>
      </c>
      <c r="N106" s="18">
        <v>0.93</v>
      </c>
      <c r="O106" s="18">
        <v>0.75</v>
      </c>
      <c r="P106" s="180"/>
      <c r="Q106" s="230">
        <v>3.7962962962962963E-3</v>
      </c>
      <c r="R106" s="182">
        <v>1.8749999999999999E-2</v>
      </c>
      <c r="S106" s="1">
        <v>15</v>
      </c>
    </row>
    <row r="107" spans="1:23" x14ac:dyDescent="0.35">
      <c r="A107" s="32">
        <v>45122</v>
      </c>
      <c r="B107" s="1" t="s">
        <v>54</v>
      </c>
      <c r="C107" s="1" t="s">
        <v>97</v>
      </c>
      <c r="D107" s="1">
        <v>773</v>
      </c>
      <c r="E107" s="1">
        <v>725</v>
      </c>
      <c r="F107" s="66">
        <f>_xlfn.IFNA((Table6[[#This Row],[Calls Off]]-D100)/D100,0)</f>
        <v>0.14688427299703263</v>
      </c>
      <c r="G107" s="66">
        <f>_xlfn.IFNA((Table6[[#This Row],[Calls Ans]]-E100)/E100,0)</f>
        <v>0.16559485530546625</v>
      </c>
      <c r="H107" s="1">
        <f>Table6[[#This Row],[Calls Off]]+H106</f>
        <v>12023</v>
      </c>
      <c r="I107" s="1">
        <f>Table6[[#This Row],[Calls Ans]]+I106</f>
        <v>11121</v>
      </c>
      <c r="J107" s="1">
        <f>J106+Table6[[#This Row],[Calls Off]]</f>
        <v>79563</v>
      </c>
      <c r="K107" s="1">
        <f>K106+Table6[[#This Row],[Calls Ans]]</f>
        <v>71560</v>
      </c>
      <c r="L107" s="18">
        <v>0.83</v>
      </c>
      <c r="M107" s="18">
        <v>0.06</v>
      </c>
      <c r="N107" s="18">
        <v>0.94</v>
      </c>
      <c r="O107" s="18">
        <v>0.86</v>
      </c>
      <c r="P107" s="180"/>
      <c r="Q107" s="230">
        <v>3.9236111111111112E-3</v>
      </c>
      <c r="R107" s="182">
        <v>1.8749999999999999E-2</v>
      </c>
      <c r="S107" s="1">
        <v>11</v>
      </c>
      <c r="U107" t="s">
        <v>63</v>
      </c>
      <c r="V107" s="16">
        <v>44652</v>
      </c>
    </row>
    <row r="108" spans="1:23" x14ac:dyDescent="0.35">
      <c r="A108" s="32">
        <v>45123</v>
      </c>
      <c r="B108" s="1" t="s">
        <v>48</v>
      </c>
      <c r="C108" s="1" t="s">
        <v>97</v>
      </c>
      <c r="D108" s="1">
        <v>0</v>
      </c>
      <c r="E108" s="1">
        <v>0</v>
      </c>
      <c r="F108" s="66">
        <v>0</v>
      </c>
      <c r="G108" s="66">
        <v>0</v>
      </c>
      <c r="H108" s="1">
        <v>0</v>
      </c>
      <c r="I108" s="1">
        <v>0</v>
      </c>
      <c r="J108" s="1">
        <v>0</v>
      </c>
      <c r="K108" s="1">
        <v>0</v>
      </c>
      <c r="L108" s="18">
        <v>0</v>
      </c>
      <c r="M108" s="18">
        <v>0</v>
      </c>
      <c r="N108" s="18">
        <v>0</v>
      </c>
      <c r="O108" s="18">
        <v>0</v>
      </c>
      <c r="P108" s="180"/>
      <c r="Q108" s="230">
        <v>0</v>
      </c>
      <c r="R108" s="182">
        <v>0</v>
      </c>
      <c r="S108" s="1">
        <v>0</v>
      </c>
      <c r="U108" t="s">
        <v>64</v>
      </c>
      <c r="V108" s="16">
        <v>44704</v>
      </c>
    </row>
    <row r="109" spans="1:23" x14ac:dyDescent="0.35">
      <c r="A109" s="32">
        <v>45124</v>
      </c>
      <c r="B109" s="1" t="s">
        <v>49</v>
      </c>
      <c r="C109" s="1" t="s">
        <v>97</v>
      </c>
      <c r="D109" s="1">
        <v>1009</v>
      </c>
      <c r="E109" s="1">
        <v>953</v>
      </c>
      <c r="F109" s="19">
        <f>_xlfn.IFNA((Table6[[#This Row],[Calls Off]]-D102)/D102,0)</f>
        <v>-9.6687555953446733E-2</v>
      </c>
      <c r="G109" s="19">
        <f>_xlfn.IFNA((Table6[[#This Row],[Calls Ans]]-E102)/E102,0)</f>
        <v>-7.1150097465886936E-2</v>
      </c>
      <c r="H109" s="1">
        <f>Table6[[#This Row],[Calls Off]]+H107</f>
        <v>13032</v>
      </c>
      <c r="I109" s="1">
        <f>Table6[[#This Row],[Calls Ans]]+I107</f>
        <v>12074</v>
      </c>
      <c r="J109" s="1">
        <f>J107+Table6[[#This Row],[Calls Off]]</f>
        <v>80572</v>
      </c>
      <c r="K109" s="1">
        <f>K107+Table6[[#This Row],[Calls Ans]]</f>
        <v>72513</v>
      </c>
      <c r="L109" s="18">
        <v>0.8</v>
      </c>
      <c r="M109" s="18">
        <v>0.06</v>
      </c>
      <c r="N109" s="18">
        <v>0.94</v>
      </c>
      <c r="O109" s="18">
        <v>0.67</v>
      </c>
      <c r="P109" s="180"/>
      <c r="Q109" s="230">
        <v>3.3912037037037036E-3</v>
      </c>
      <c r="R109" s="182">
        <v>2.361111111111111E-2</v>
      </c>
      <c r="S109" s="1">
        <v>16</v>
      </c>
    </row>
    <row r="110" spans="1:23" s="49" customFormat="1" x14ac:dyDescent="0.35">
      <c r="A110" s="32">
        <v>45125</v>
      </c>
      <c r="B110" s="1"/>
      <c r="C110" s="1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180"/>
      <c r="Q110" s="230"/>
      <c r="R110" s="182"/>
      <c r="S110" s="1"/>
      <c r="U110"/>
      <c r="V110"/>
      <c r="W110"/>
    </row>
    <row r="111" spans="1:23" x14ac:dyDescent="0.35">
      <c r="A111" s="32">
        <v>45126</v>
      </c>
      <c r="B111" s="1"/>
      <c r="C111" s="1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180"/>
      <c r="Q111" s="230"/>
      <c r="R111" s="182"/>
      <c r="S111" s="1"/>
    </row>
    <row r="112" spans="1:23" x14ac:dyDescent="0.35">
      <c r="A112" s="32">
        <v>45127</v>
      </c>
      <c r="B112" s="1"/>
      <c r="C112" s="1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180"/>
      <c r="Q112" s="230"/>
      <c r="R112" s="182"/>
      <c r="S112" s="1"/>
    </row>
    <row r="113" spans="1:19" x14ac:dyDescent="0.35">
      <c r="A113" s="32">
        <v>45128</v>
      </c>
      <c r="B113" s="1"/>
      <c r="C113" s="1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180"/>
      <c r="Q113" s="230"/>
      <c r="R113" s="182"/>
      <c r="S113" s="1"/>
    </row>
    <row r="114" spans="1:19" x14ac:dyDescent="0.35">
      <c r="A114" s="32">
        <v>45129</v>
      </c>
      <c r="B114" s="1"/>
      <c r="C114" s="1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180"/>
      <c r="Q114" s="230"/>
      <c r="R114" s="182"/>
      <c r="S114" s="1"/>
    </row>
    <row r="115" spans="1:19" x14ac:dyDescent="0.35">
      <c r="A115" s="32">
        <v>45130</v>
      </c>
      <c r="B115" s="1"/>
      <c r="C115" s="1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180"/>
      <c r="Q115" s="230"/>
      <c r="R115" s="182"/>
      <c r="S115" s="1"/>
    </row>
    <row r="116" spans="1:19" x14ac:dyDescent="0.35">
      <c r="A116" s="32">
        <v>45131</v>
      </c>
      <c r="B116" s="1"/>
      <c r="C116" s="1" t="s">
        <v>97</v>
      </c>
      <c r="D116" s="1"/>
      <c r="E116" s="1"/>
      <c r="F116" s="1"/>
      <c r="G116" s="1"/>
      <c r="H116" s="1"/>
      <c r="I116" s="1"/>
      <c r="J116" s="1"/>
      <c r="K116" s="1"/>
      <c r="L116" s="18"/>
      <c r="M116" s="18"/>
      <c r="N116" s="18"/>
      <c r="O116" s="18"/>
      <c r="P116" s="180"/>
      <c r="Q116" s="230"/>
      <c r="R116" s="182"/>
      <c r="S116" s="1"/>
    </row>
    <row r="117" spans="1:19" x14ac:dyDescent="0.35">
      <c r="A117" s="32">
        <v>45132</v>
      </c>
      <c r="B117" s="1"/>
      <c r="C117" s="1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180"/>
      <c r="Q117" s="230"/>
      <c r="R117" s="182"/>
      <c r="S117" s="1"/>
    </row>
    <row r="118" spans="1:19" x14ac:dyDescent="0.35">
      <c r="A118" s="32">
        <v>45133</v>
      </c>
      <c r="B118" s="1"/>
      <c r="C118" s="1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180"/>
      <c r="Q118" s="230"/>
      <c r="R118" s="182"/>
      <c r="S118" s="1"/>
    </row>
    <row r="119" spans="1:19" x14ac:dyDescent="0.35">
      <c r="A119" s="32">
        <v>45134</v>
      </c>
      <c r="B119" s="1"/>
      <c r="C119" s="1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180"/>
      <c r="Q119" s="230"/>
      <c r="R119" s="182"/>
      <c r="S119" s="1"/>
    </row>
    <row r="120" spans="1:19" x14ac:dyDescent="0.35">
      <c r="A120" s="32">
        <v>45135</v>
      </c>
      <c r="B120" s="1"/>
      <c r="C120" s="1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180"/>
      <c r="Q120" s="230"/>
      <c r="R120" s="181"/>
      <c r="S120" s="1"/>
    </row>
    <row r="121" spans="1:19" x14ac:dyDescent="0.35">
      <c r="A121" s="32">
        <v>45136</v>
      </c>
      <c r="B121" s="1"/>
      <c r="C121" s="1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180"/>
      <c r="Q121" s="230"/>
      <c r="R121" s="181"/>
      <c r="S121" s="1"/>
    </row>
    <row r="122" spans="1:19" x14ac:dyDescent="0.35">
      <c r="A122" s="32">
        <v>45137</v>
      </c>
      <c r="B122" s="1"/>
      <c r="C122" s="1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180"/>
      <c r="Q122" s="230"/>
      <c r="R122" s="181"/>
      <c r="S122" s="1"/>
    </row>
    <row r="123" spans="1:19" x14ac:dyDescent="0.35">
      <c r="A123" s="32">
        <v>45138</v>
      </c>
      <c r="B123" s="1"/>
      <c r="C123" s="1" t="s">
        <v>97</v>
      </c>
      <c r="D123" s="1"/>
      <c r="E123" s="1"/>
      <c r="F123" s="1"/>
      <c r="G123" s="1"/>
      <c r="H123" s="1"/>
      <c r="I123" s="1"/>
      <c r="J123" s="1"/>
      <c r="K123" s="1"/>
      <c r="L123" s="18"/>
      <c r="M123" s="18"/>
      <c r="N123" s="18"/>
      <c r="O123" s="18"/>
      <c r="P123" s="180"/>
      <c r="Q123" s="230"/>
      <c r="R123" s="182"/>
      <c r="S123" s="1"/>
    </row>
    <row r="124" spans="1:19" x14ac:dyDescent="0.35">
      <c r="A124" s="32">
        <v>45139</v>
      </c>
      <c r="B124" s="52"/>
      <c r="C124" s="1" t="s">
        <v>97</v>
      </c>
      <c r="D124" s="52"/>
      <c r="E124" s="52"/>
      <c r="F124" s="52"/>
      <c r="G124" s="52"/>
      <c r="H124" s="52"/>
      <c r="I124" s="52"/>
      <c r="J124" s="52"/>
      <c r="K124" s="52"/>
      <c r="L124" s="53"/>
      <c r="M124" s="53"/>
      <c r="N124" s="53"/>
      <c r="O124" s="53"/>
      <c r="P124" s="180"/>
      <c r="Q124" s="230"/>
      <c r="R124" s="185"/>
      <c r="S124" s="1"/>
    </row>
    <row r="125" spans="1:19" x14ac:dyDescent="0.35">
      <c r="A125" s="32">
        <v>45140</v>
      </c>
      <c r="B125" s="1"/>
      <c r="C125" s="1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180"/>
      <c r="Q125" s="230"/>
      <c r="R125" s="182"/>
      <c r="S125" s="1"/>
    </row>
    <row r="126" spans="1:19" x14ac:dyDescent="0.35">
      <c r="A126" s="32">
        <v>45141</v>
      </c>
      <c r="B126" s="1"/>
      <c r="C126" s="1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180"/>
      <c r="Q126" s="230"/>
      <c r="R126" s="182"/>
      <c r="S126" s="1"/>
    </row>
    <row r="127" spans="1:19" x14ac:dyDescent="0.35">
      <c r="A127" s="32">
        <v>45142</v>
      </c>
      <c r="B127" s="1"/>
      <c r="C127" s="1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180"/>
      <c r="Q127" s="230"/>
      <c r="R127" s="182"/>
      <c r="S127" s="1"/>
    </row>
    <row r="128" spans="1:19" x14ac:dyDescent="0.35">
      <c r="A128" s="32">
        <v>45143</v>
      </c>
      <c r="B128" s="1"/>
      <c r="C128" s="1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180"/>
      <c r="Q128" s="230"/>
      <c r="R128" s="182"/>
      <c r="S128" s="1"/>
    </row>
    <row r="129" spans="1:21" x14ac:dyDescent="0.35">
      <c r="A129" s="32">
        <v>45144</v>
      </c>
      <c r="B129" s="1"/>
      <c r="C129" s="1" t="s">
        <v>97</v>
      </c>
      <c r="D129" s="1"/>
      <c r="E129" s="1"/>
      <c r="F129" s="1"/>
      <c r="G129" s="1"/>
      <c r="H129" s="1"/>
      <c r="I129" s="1"/>
      <c r="J129" s="1"/>
      <c r="K129" s="1"/>
      <c r="L129" s="18"/>
      <c r="M129" s="18"/>
      <c r="N129" s="18"/>
      <c r="O129" s="18"/>
      <c r="P129" s="180"/>
      <c r="Q129" s="230"/>
      <c r="R129" s="182"/>
      <c r="S129" s="77"/>
    </row>
    <row r="130" spans="1:21" x14ac:dyDescent="0.35">
      <c r="A130" s="32">
        <v>45145</v>
      </c>
      <c r="B130" s="1"/>
      <c r="C130" s="1" t="s">
        <v>97</v>
      </c>
      <c r="D130" s="1"/>
      <c r="E130" s="1"/>
      <c r="F130" s="1"/>
      <c r="G130" s="1"/>
      <c r="H130" s="1"/>
      <c r="I130" s="1"/>
      <c r="J130" s="1"/>
      <c r="K130" s="1"/>
      <c r="L130" s="18"/>
      <c r="M130" s="18"/>
      <c r="N130" s="18"/>
      <c r="O130" s="18"/>
      <c r="P130" s="180"/>
      <c r="Q130" s="230"/>
      <c r="R130" s="182"/>
      <c r="S130" s="77"/>
    </row>
    <row r="131" spans="1:21" x14ac:dyDescent="0.35">
      <c r="A131" s="32">
        <v>45146</v>
      </c>
      <c r="B131" s="1"/>
      <c r="C131" s="1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180"/>
      <c r="Q131" s="230"/>
      <c r="R131" s="182"/>
      <c r="S131" s="1"/>
    </row>
    <row r="132" spans="1:21" x14ac:dyDescent="0.35">
      <c r="A132" s="32">
        <v>45147</v>
      </c>
      <c r="B132" s="1"/>
      <c r="C132" s="1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180"/>
      <c r="Q132" s="230"/>
      <c r="R132" s="182"/>
      <c r="S132" s="1"/>
    </row>
    <row r="133" spans="1:21" x14ac:dyDescent="0.35">
      <c r="A133" s="32">
        <v>45148</v>
      </c>
      <c r="B133" s="1"/>
      <c r="C133" s="1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180"/>
      <c r="Q133" s="230"/>
      <c r="R133" s="182"/>
      <c r="S133" s="1"/>
      <c r="U133">
        <f>AVERAGEIF(O48:O54,"&lt;&gt;0")</f>
        <v>0.71399999999999997</v>
      </c>
    </row>
    <row r="134" spans="1:21" x14ac:dyDescent="0.35">
      <c r="A134" s="32">
        <v>45149</v>
      </c>
      <c r="B134" s="1"/>
      <c r="C134" s="1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180"/>
      <c r="Q134" s="230"/>
      <c r="R134" s="182"/>
      <c r="S134" s="1"/>
    </row>
    <row r="135" spans="1:21" x14ac:dyDescent="0.35">
      <c r="A135" s="32">
        <v>45150</v>
      </c>
      <c r="B135" s="1"/>
      <c r="C135" s="1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180"/>
      <c r="Q135" s="230"/>
      <c r="R135" s="182"/>
      <c r="S135" s="1"/>
    </row>
    <row r="136" spans="1:21" x14ac:dyDescent="0.35">
      <c r="A136" s="32">
        <v>45151</v>
      </c>
      <c r="B136" s="1"/>
      <c r="C136" s="1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180"/>
      <c r="Q136" s="230"/>
      <c r="R136" s="182"/>
      <c r="S136" s="1"/>
    </row>
    <row r="137" spans="1:21" x14ac:dyDescent="0.35">
      <c r="A137" s="32">
        <v>45152</v>
      </c>
      <c r="B137" s="1"/>
      <c r="C137" s="1" t="s">
        <v>97</v>
      </c>
      <c r="D137" s="1"/>
      <c r="E137" s="1"/>
      <c r="F137" s="1"/>
      <c r="G137" s="1"/>
      <c r="H137" s="1"/>
      <c r="I137" s="1"/>
      <c r="J137" s="1"/>
      <c r="K137" s="1"/>
      <c r="L137" s="18"/>
      <c r="M137" s="18"/>
      <c r="N137" s="18"/>
      <c r="O137" s="18"/>
      <c r="P137" s="180"/>
      <c r="Q137" s="230"/>
      <c r="R137" s="182"/>
      <c r="S137" s="77"/>
    </row>
    <row r="138" spans="1:21" x14ac:dyDescent="0.35">
      <c r="A138" s="32">
        <v>45153</v>
      </c>
      <c r="B138" s="1"/>
      <c r="C138" s="1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180"/>
      <c r="Q138" s="230"/>
      <c r="R138" s="186"/>
      <c r="S138" s="39"/>
    </row>
    <row r="139" spans="1:21" x14ac:dyDescent="0.35">
      <c r="A139" s="32">
        <v>45154</v>
      </c>
      <c r="B139" s="1"/>
      <c r="C139" s="1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180"/>
      <c r="Q139" s="230"/>
      <c r="R139" s="182"/>
      <c r="S139" s="1"/>
    </row>
    <row r="140" spans="1:21" x14ac:dyDescent="0.35">
      <c r="A140" s="32">
        <v>45155</v>
      </c>
      <c r="B140" s="1"/>
      <c r="C140" s="1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180"/>
      <c r="Q140" s="230"/>
      <c r="R140" s="182"/>
      <c r="S140" s="1"/>
    </row>
    <row r="141" spans="1:21" x14ac:dyDescent="0.35">
      <c r="A141" s="32">
        <v>45156</v>
      </c>
      <c r="B141" s="1"/>
      <c r="C141" s="1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180"/>
      <c r="Q141" s="230"/>
      <c r="R141" s="182"/>
      <c r="S141" s="1"/>
    </row>
    <row r="142" spans="1:21" x14ac:dyDescent="0.35">
      <c r="A142" s="32">
        <v>45157</v>
      </c>
      <c r="B142" s="1"/>
      <c r="C142" s="1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180"/>
      <c r="Q142" s="230"/>
      <c r="R142" s="182"/>
      <c r="S142" s="1"/>
    </row>
    <row r="143" spans="1:21" x14ac:dyDescent="0.35">
      <c r="A143" s="32">
        <v>45158</v>
      </c>
      <c r="B143" s="1"/>
      <c r="C143" s="1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180"/>
      <c r="Q143" s="230"/>
      <c r="R143" s="182"/>
      <c r="S143" s="1"/>
    </row>
    <row r="144" spans="1:21" x14ac:dyDescent="0.35">
      <c r="A144" s="32">
        <v>45159</v>
      </c>
      <c r="B144" s="1"/>
      <c r="C144" s="1" t="s">
        <v>97</v>
      </c>
      <c r="D144" s="1"/>
      <c r="E144" s="1"/>
      <c r="F144" s="1"/>
      <c r="G144" s="1"/>
      <c r="H144" s="1"/>
      <c r="I144" s="1"/>
      <c r="J144" s="1"/>
      <c r="K144" s="1"/>
      <c r="L144" s="18"/>
      <c r="M144" s="18"/>
      <c r="N144" s="18"/>
      <c r="O144" s="18"/>
      <c r="P144" s="180"/>
      <c r="Q144" s="230"/>
      <c r="R144" s="182"/>
      <c r="S144" s="77"/>
    </row>
    <row r="145" spans="1:23" x14ac:dyDescent="0.35">
      <c r="A145" s="32">
        <v>45160</v>
      </c>
      <c r="B145" s="1"/>
      <c r="C145" s="1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180"/>
      <c r="Q145" s="230"/>
      <c r="R145" s="182"/>
      <c r="S145" s="1"/>
      <c r="U145" s="49"/>
      <c r="V145" s="49"/>
      <c r="W145" s="49"/>
    </row>
    <row r="146" spans="1:23" x14ac:dyDescent="0.35">
      <c r="A146" s="32">
        <v>45161</v>
      </c>
      <c r="B146" s="1"/>
      <c r="C146" s="1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180"/>
      <c r="Q146" s="230"/>
      <c r="R146" s="182"/>
      <c r="S146" s="1"/>
    </row>
    <row r="147" spans="1:23" x14ac:dyDescent="0.35">
      <c r="A147" s="32">
        <v>45162</v>
      </c>
      <c r="B147" s="1"/>
      <c r="C147" s="1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180"/>
      <c r="Q147" s="230"/>
      <c r="R147" s="182"/>
      <c r="S147" s="1"/>
    </row>
    <row r="148" spans="1:23" x14ac:dyDescent="0.35">
      <c r="A148" s="32">
        <v>45163</v>
      </c>
      <c r="B148" s="1"/>
      <c r="C148" s="1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180"/>
      <c r="Q148" s="230"/>
      <c r="R148" s="182"/>
      <c r="S148" s="1"/>
    </row>
    <row r="149" spans="1:23" x14ac:dyDescent="0.35">
      <c r="A149" s="32">
        <v>45164</v>
      </c>
      <c r="B149" s="1"/>
      <c r="C149" s="1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180"/>
      <c r="Q149" s="230"/>
      <c r="R149" s="182"/>
      <c r="S149" s="1"/>
    </row>
    <row r="150" spans="1:23" x14ac:dyDescent="0.35">
      <c r="A150" s="32">
        <v>45165</v>
      </c>
      <c r="B150" s="1"/>
      <c r="C150" s="1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180"/>
      <c r="Q150" s="230"/>
      <c r="R150" s="182"/>
      <c r="S150" s="1"/>
      <c r="U150" s="164" t="e">
        <f>AVERAGEIF(R279:R341,"&lt;&gt;0")</f>
        <v>#DIV/0!</v>
      </c>
    </row>
    <row r="151" spans="1:23" x14ac:dyDescent="0.35">
      <c r="A151" s="32">
        <v>45166</v>
      </c>
      <c r="B151" s="1"/>
      <c r="C151" s="1" t="s">
        <v>97</v>
      </c>
      <c r="D151" s="1"/>
      <c r="E151" s="1"/>
      <c r="F151" s="1"/>
      <c r="G151" s="1"/>
      <c r="H151" s="1"/>
      <c r="I151" s="1"/>
      <c r="J151" s="1"/>
      <c r="K151" s="1"/>
      <c r="L151" s="18"/>
      <c r="M151" s="18"/>
      <c r="N151" s="18"/>
      <c r="O151" s="18"/>
      <c r="P151" s="180"/>
      <c r="Q151" s="230"/>
      <c r="R151" s="182"/>
      <c r="S151" s="77"/>
    </row>
    <row r="152" spans="1:23" x14ac:dyDescent="0.35">
      <c r="A152" s="32">
        <v>45167</v>
      </c>
      <c r="B152" s="1"/>
      <c r="C152" s="1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180"/>
      <c r="Q152" s="230"/>
      <c r="R152" s="182"/>
      <c r="S152" s="1"/>
    </row>
    <row r="153" spans="1:23" x14ac:dyDescent="0.35">
      <c r="A153" s="32">
        <v>45168</v>
      </c>
      <c r="B153" s="1"/>
      <c r="C153" s="1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180"/>
      <c r="Q153" s="230"/>
      <c r="R153" s="182"/>
      <c r="S153" s="1"/>
    </row>
    <row r="154" spans="1:23" x14ac:dyDescent="0.35">
      <c r="A154" s="32">
        <v>45169</v>
      </c>
      <c r="B154" s="1"/>
      <c r="C154" s="1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180"/>
      <c r="Q154" s="230"/>
      <c r="R154" s="182"/>
      <c r="S154" s="1"/>
    </row>
    <row r="155" spans="1:23" x14ac:dyDescent="0.35">
      <c r="A155" s="32">
        <v>45170</v>
      </c>
      <c r="B155" s="1"/>
      <c r="C155" s="1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180"/>
      <c r="Q155" s="230"/>
      <c r="R155" s="182"/>
      <c r="S155" s="1"/>
    </row>
    <row r="156" spans="1:23" x14ac:dyDescent="0.35">
      <c r="A156" s="32">
        <v>45171</v>
      </c>
      <c r="B156" s="1"/>
      <c r="C156" s="1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180"/>
      <c r="Q156" s="230"/>
      <c r="R156" s="182"/>
      <c r="S156" s="1"/>
    </row>
    <row r="157" spans="1:23" x14ac:dyDescent="0.35">
      <c r="A157" s="32">
        <v>45172</v>
      </c>
      <c r="B157" s="1"/>
      <c r="C157" s="1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180"/>
      <c r="Q157" s="230"/>
      <c r="R157" s="182"/>
      <c r="S157" s="1"/>
    </row>
    <row r="158" spans="1:23" x14ac:dyDescent="0.35">
      <c r="A158" s="32">
        <v>45173</v>
      </c>
      <c r="B158" s="1"/>
      <c r="C158" s="1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180"/>
      <c r="Q158" s="230"/>
      <c r="R158" s="182"/>
      <c r="S158" s="17"/>
    </row>
    <row r="159" spans="1:23" x14ac:dyDescent="0.35">
      <c r="A159" s="32">
        <v>45174</v>
      </c>
      <c r="B159" s="1"/>
      <c r="C159" s="1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180"/>
      <c r="Q159" s="230"/>
      <c r="R159" s="182"/>
      <c r="S159" s="1"/>
    </row>
    <row r="160" spans="1:23" x14ac:dyDescent="0.35">
      <c r="A160" s="32">
        <v>45175</v>
      </c>
      <c r="B160" s="1"/>
      <c r="C160" s="1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180"/>
      <c r="Q160" s="230"/>
      <c r="R160" s="182"/>
      <c r="S160" s="1"/>
    </row>
    <row r="161" spans="1:23" x14ac:dyDescent="0.35">
      <c r="A161" s="32">
        <v>45176</v>
      </c>
      <c r="B161" s="1"/>
      <c r="C161" s="1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180"/>
      <c r="Q161" s="230"/>
      <c r="R161" s="182"/>
      <c r="S161" s="1"/>
    </row>
    <row r="162" spans="1:23" x14ac:dyDescent="0.35">
      <c r="A162" s="32">
        <v>45177</v>
      </c>
      <c r="B162" s="1"/>
      <c r="C162" s="1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180"/>
      <c r="Q162" s="230"/>
      <c r="R162" s="182"/>
      <c r="S162" s="1"/>
    </row>
    <row r="163" spans="1:23" x14ac:dyDescent="0.35">
      <c r="A163" s="32">
        <v>45178</v>
      </c>
      <c r="B163" s="1"/>
      <c r="C163" s="1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180"/>
      <c r="Q163" s="230"/>
      <c r="R163" s="182"/>
      <c r="S163" s="1"/>
    </row>
    <row r="164" spans="1:23" x14ac:dyDescent="0.35">
      <c r="A164" s="32">
        <v>45179</v>
      </c>
      <c r="B164" s="1"/>
      <c r="C164" s="1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180"/>
      <c r="Q164" s="230"/>
      <c r="R164" s="182"/>
      <c r="S164" s="1"/>
    </row>
    <row r="165" spans="1:23" x14ac:dyDescent="0.35">
      <c r="A165" s="32">
        <v>45180</v>
      </c>
      <c r="B165" s="1"/>
      <c r="C165" s="1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180"/>
      <c r="Q165" s="230"/>
      <c r="R165" s="182"/>
      <c r="S165" s="17"/>
    </row>
    <row r="166" spans="1:23" x14ac:dyDescent="0.35">
      <c r="A166" s="32">
        <v>45181</v>
      </c>
      <c r="B166" s="1"/>
      <c r="C166" s="1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180"/>
      <c r="Q166" s="230"/>
      <c r="R166" s="182"/>
      <c r="S166" s="1"/>
    </row>
    <row r="167" spans="1:23" x14ac:dyDescent="0.35">
      <c r="A167" s="32">
        <v>45182</v>
      </c>
      <c r="B167" s="1"/>
      <c r="C167" s="1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180"/>
      <c r="Q167" s="230"/>
      <c r="R167" s="182"/>
      <c r="S167" s="1"/>
    </row>
    <row r="168" spans="1:23" x14ac:dyDescent="0.35">
      <c r="A168" s="32">
        <v>45183</v>
      </c>
      <c r="B168" s="1"/>
      <c r="C168" s="1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180"/>
      <c r="Q168" s="230"/>
      <c r="R168" s="182"/>
      <c r="S168" s="1"/>
    </row>
    <row r="169" spans="1:23" x14ac:dyDescent="0.35">
      <c r="A169" s="32">
        <v>45184</v>
      </c>
      <c r="B169" s="1"/>
      <c r="C169" s="1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180"/>
      <c r="Q169" s="230"/>
      <c r="R169" s="182"/>
      <c r="S169" s="1"/>
    </row>
    <row r="170" spans="1:23" x14ac:dyDescent="0.35">
      <c r="A170" s="32">
        <v>45185</v>
      </c>
      <c r="B170" s="1"/>
      <c r="C170" s="1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180"/>
      <c r="Q170" s="230"/>
      <c r="R170" s="182"/>
      <c r="S170" s="1"/>
    </row>
    <row r="171" spans="1:23" s="49" customFormat="1" x14ac:dyDescent="0.35">
      <c r="A171" s="32">
        <v>45186</v>
      </c>
      <c r="B171" s="1"/>
      <c r="C171" s="1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180"/>
      <c r="Q171" s="230"/>
      <c r="R171" s="182"/>
      <c r="S171" s="1"/>
      <c r="U171"/>
      <c r="V171"/>
      <c r="W171"/>
    </row>
    <row r="172" spans="1:23" x14ac:dyDescent="0.35">
      <c r="A172" s="32">
        <v>45187</v>
      </c>
      <c r="B172" s="1"/>
      <c r="C172" s="1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180"/>
      <c r="Q172" s="230"/>
      <c r="R172" s="182"/>
      <c r="S172" s="1"/>
    </row>
    <row r="173" spans="1:23" x14ac:dyDescent="0.35">
      <c r="A173" s="32">
        <v>45188</v>
      </c>
      <c r="B173" s="1"/>
      <c r="C173" s="1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180"/>
      <c r="Q173" s="230"/>
      <c r="R173" s="182"/>
      <c r="S173" s="1"/>
    </row>
    <row r="174" spans="1:23" x14ac:dyDescent="0.35">
      <c r="A174" s="32">
        <v>45189</v>
      </c>
      <c r="B174" s="1"/>
      <c r="C174" s="1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180"/>
      <c r="Q174" s="230"/>
      <c r="R174" s="182"/>
      <c r="S174" s="1"/>
    </row>
    <row r="175" spans="1:23" x14ac:dyDescent="0.35">
      <c r="A175" s="32">
        <v>45190</v>
      </c>
      <c r="B175" s="1"/>
      <c r="C175" s="1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180"/>
      <c r="Q175" s="230"/>
      <c r="R175" s="182"/>
      <c r="S175" s="1"/>
    </row>
    <row r="176" spans="1:23" x14ac:dyDescent="0.35">
      <c r="A176" s="32">
        <v>45191</v>
      </c>
      <c r="B176" s="1"/>
      <c r="C176" s="1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180"/>
      <c r="Q176" s="230"/>
      <c r="R176" s="182"/>
      <c r="S176" s="1"/>
    </row>
    <row r="177" spans="1:23" x14ac:dyDescent="0.35">
      <c r="A177" s="32">
        <v>45192</v>
      </c>
      <c r="B177" s="1"/>
      <c r="C177" s="1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180"/>
      <c r="Q177" s="230"/>
      <c r="R177" s="182"/>
      <c r="S177" s="1"/>
    </row>
    <row r="178" spans="1:23" x14ac:dyDescent="0.35">
      <c r="A178" s="32">
        <v>45193</v>
      </c>
      <c r="B178" s="1"/>
      <c r="C178" s="1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180"/>
      <c r="Q178" s="230"/>
      <c r="R178" s="182"/>
      <c r="S178" s="1"/>
    </row>
    <row r="179" spans="1:23" x14ac:dyDescent="0.35">
      <c r="A179" s="32">
        <v>45194</v>
      </c>
      <c r="B179" s="1"/>
      <c r="C179" s="1" t="s">
        <v>97</v>
      </c>
      <c r="D179" s="1"/>
      <c r="E179" s="1"/>
      <c r="F179" s="1"/>
      <c r="G179" s="1"/>
      <c r="H179" s="1"/>
      <c r="I179" s="1"/>
      <c r="J179" s="1"/>
      <c r="K179" s="1"/>
      <c r="L179" s="18"/>
      <c r="M179" s="18"/>
      <c r="N179" s="18"/>
      <c r="O179" s="18"/>
      <c r="P179" s="180"/>
      <c r="Q179" s="230"/>
      <c r="R179" s="182"/>
      <c r="S179" s="1"/>
    </row>
    <row r="180" spans="1:23" x14ac:dyDescent="0.35">
      <c r="A180" s="32">
        <v>45195</v>
      </c>
      <c r="B180" s="1"/>
      <c r="C180" s="1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180"/>
      <c r="Q180" s="230"/>
      <c r="R180" s="181"/>
      <c r="S180" s="1"/>
    </row>
    <row r="181" spans="1:23" x14ac:dyDescent="0.35">
      <c r="A181" s="32">
        <v>45196</v>
      </c>
      <c r="B181" s="1"/>
      <c r="C181" s="1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180"/>
      <c r="Q181" s="230"/>
      <c r="R181" s="181"/>
      <c r="S181" s="1"/>
    </row>
    <row r="182" spans="1:23" x14ac:dyDescent="0.35">
      <c r="A182" s="32">
        <v>45197</v>
      </c>
      <c r="B182" s="1"/>
      <c r="C182" s="1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180"/>
      <c r="Q182" s="230"/>
      <c r="R182" s="181"/>
      <c r="S182" s="1"/>
    </row>
    <row r="183" spans="1:23" x14ac:dyDescent="0.35">
      <c r="A183" s="32">
        <v>45198</v>
      </c>
      <c r="B183" s="1"/>
      <c r="C183" s="1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180"/>
      <c r="Q183" s="230"/>
      <c r="R183" s="181"/>
      <c r="S183" s="1"/>
    </row>
    <row r="184" spans="1:23" s="50" customFormat="1" x14ac:dyDescent="0.35">
      <c r="A184" s="32">
        <v>45199</v>
      </c>
      <c r="B184" s="52"/>
      <c r="C184" s="1" t="s">
        <v>97</v>
      </c>
      <c r="D184" s="52"/>
      <c r="E184" s="52"/>
      <c r="F184" s="80"/>
      <c r="G184" s="80"/>
      <c r="H184" s="52"/>
      <c r="I184" s="52"/>
      <c r="J184" s="52"/>
      <c r="K184" s="52"/>
      <c r="L184" s="53"/>
      <c r="M184" s="53"/>
      <c r="N184" s="53"/>
      <c r="O184" s="53"/>
      <c r="P184" s="180"/>
      <c r="Q184" s="230"/>
      <c r="R184" s="187"/>
      <c r="S184" s="52"/>
      <c r="U184"/>
      <c r="V184"/>
      <c r="W184"/>
    </row>
    <row r="185" spans="1:23" x14ac:dyDescent="0.35">
      <c r="A185" s="32">
        <v>45200</v>
      </c>
      <c r="B185" s="1"/>
      <c r="C185" s="1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180"/>
      <c r="Q185" s="230"/>
      <c r="R185" s="181"/>
      <c r="S185" s="1"/>
    </row>
    <row r="186" spans="1:23" x14ac:dyDescent="0.35">
      <c r="A186" s="32">
        <v>45201</v>
      </c>
      <c r="B186" s="1"/>
      <c r="C186" s="1" t="s">
        <v>97</v>
      </c>
      <c r="D186" s="1"/>
      <c r="E186" s="1"/>
      <c r="F186" s="1"/>
      <c r="G186" s="1"/>
      <c r="H186" s="1"/>
      <c r="I186" s="1"/>
      <c r="J186" s="1"/>
      <c r="K186" s="1"/>
      <c r="L186" s="18"/>
      <c r="M186" s="18"/>
      <c r="N186" s="18"/>
      <c r="O186" s="18"/>
      <c r="P186" s="180"/>
      <c r="Q186" s="230"/>
      <c r="R186" s="182"/>
      <c r="S186" s="1"/>
    </row>
    <row r="187" spans="1:23" x14ac:dyDescent="0.35">
      <c r="A187" s="32">
        <v>45202</v>
      </c>
      <c r="B187" s="1"/>
      <c r="C187" s="1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180"/>
      <c r="Q187" s="230"/>
      <c r="R187" s="181"/>
      <c r="S187" s="1"/>
    </row>
    <row r="188" spans="1:23" x14ac:dyDescent="0.35">
      <c r="A188" s="32">
        <v>45203</v>
      </c>
      <c r="B188" s="1"/>
      <c r="C188" s="1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180"/>
      <c r="Q188" s="230"/>
      <c r="R188" s="181"/>
      <c r="S188" s="1"/>
    </row>
    <row r="189" spans="1:23" x14ac:dyDescent="0.35">
      <c r="A189" s="32">
        <v>45204</v>
      </c>
      <c r="B189" s="1"/>
      <c r="C189" s="1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180"/>
      <c r="Q189" s="230"/>
      <c r="R189" s="181"/>
      <c r="S189" s="1"/>
    </row>
    <row r="190" spans="1:23" x14ac:dyDescent="0.35">
      <c r="A190" s="32">
        <v>45205</v>
      </c>
      <c r="B190" s="1"/>
      <c r="C190" s="1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180"/>
      <c r="Q190" s="230"/>
      <c r="R190" s="181"/>
      <c r="S190" s="1"/>
    </row>
    <row r="191" spans="1:23" x14ac:dyDescent="0.35">
      <c r="A191" s="32">
        <v>45206</v>
      </c>
      <c r="B191" s="1"/>
      <c r="C191" s="1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180"/>
      <c r="Q191" s="230"/>
      <c r="R191" s="181"/>
      <c r="S191" s="1"/>
    </row>
    <row r="192" spans="1:23" x14ac:dyDescent="0.35">
      <c r="A192" s="32">
        <v>45207</v>
      </c>
      <c r="B192" s="1"/>
      <c r="C192" s="1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180"/>
      <c r="Q192" s="230"/>
      <c r="R192" s="181"/>
      <c r="S192" s="1"/>
    </row>
    <row r="193" spans="1:23" x14ac:dyDescent="0.35">
      <c r="A193" s="32">
        <v>45208</v>
      </c>
      <c r="B193" s="1"/>
      <c r="C193" s="1" t="s">
        <v>97</v>
      </c>
      <c r="D193" s="1"/>
      <c r="E193" s="1"/>
      <c r="F193" s="1"/>
      <c r="G193" s="1"/>
      <c r="H193" s="1"/>
      <c r="I193" s="1"/>
      <c r="J193" s="1"/>
      <c r="K193" s="1"/>
      <c r="L193" s="18"/>
      <c r="M193" s="18"/>
      <c r="N193" s="18"/>
      <c r="O193" s="18"/>
      <c r="P193" s="180"/>
      <c r="Q193" s="230"/>
      <c r="R193" s="182"/>
      <c r="S193" s="1"/>
    </row>
    <row r="194" spans="1:23" x14ac:dyDescent="0.35">
      <c r="A194" s="32">
        <v>45209</v>
      </c>
      <c r="B194" s="1"/>
      <c r="C194" s="1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180"/>
      <c r="Q194" s="230"/>
      <c r="R194" s="182"/>
      <c r="S194" s="1"/>
    </row>
    <row r="195" spans="1:23" x14ac:dyDescent="0.35">
      <c r="A195" s="32">
        <v>45210</v>
      </c>
      <c r="B195" s="1"/>
      <c r="C195" s="1" t="s">
        <v>97</v>
      </c>
      <c r="D195" s="1"/>
      <c r="E195" s="1"/>
      <c r="F195" s="66"/>
      <c r="G195" s="66"/>
      <c r="H195" s="1"/>
      <c r="I195" s="1"/>
      <c r="J195" s="1"/>
      <c r="K195" s="1"/>
      <c r="L195" s="131"/>
      <c r="M195" s="131"/>
      <c r="N195" s="131"/>
      <c r="O195" s="68"/>
      <c r="P195" s="180"/>
      <c r="Q195" s="230"/>
      <c r="R195" s="182"/>
      <c r="S195" s="1"/>
    </row>
    <row r="196" spans="1:23" x14ac:dyDescent="0.35">
      <c r="A196" s="32">
        <v>45211</v>
      </c>
      <c r="B196" s="1"/>
      <c r="C196" s="1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180"/>
      <c r="Q196" s="230"/>
      <c r="R196" s="182"/>
      <c r="S196" s="1"/>
    </row>
    <row r="197" spans="1:23" x14ac:dyDescent="0.35">
      <c r="A197" s="32">
        <v>45212</v>
      </c>
      <c r="B197" s="1"/>
      <c r="C197" s="1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180"/>
      <c r="Q197" s="230"/>
      <c r="R197" s="182"/>
      <c r="S197" s="1"/>
    </row>
    <row r="198" spans="1:23" x14ac:dyDescent="0.35">
      <c r="A198" s="32">
        <v>45213</v>
      </c>
      <c r="B198" s="1"/>
      <c r="C198" s="1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180"/>
      <c r="Q198" s="230"/>
      <c r="R198" s="182"/>
      <c r="S198" s="1"/>
    </row>
    <row r="199" spans="1:23" x14ac:dyDescent="0.35">
      <c r="A199" s="32">
        <v>45214</v>
      </c>
      <c r="B199" s="1"/>
      <c r="C199" s="1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180"/>
      <c r="Q199" s="230"/>
      <c r="R199" s="182"/>
      <c r="S199" s="1"/>
    </row>
    <row r="200" spans="1:23" x14ac:dyDescent="0.35">
      <c r="A200" s="32">
        <v>45215</v>
      </c>
      <c r="B200" s="1"/>
      <c r="C200" s="1" t="s">
        <v>97</v>
      </c>
      <c r="D200" s="1"/>
      <c r="E200" s="1"/>
      <c r="F200" s="1"/>
      <c r="G200" s="1"/>
      <c r="H200" s="1"/>
      <c r="I200" s="1"/>
      <c r="J200" s="1"/>
      <c r="K200" s="1"/>
      <c r="L200" s="18"/>
      <c r="M200" s="18"/>
      <c r="N200" s="18"/>
      <c r="O200" s="18"/>
      <c r="P200" s="180"/>
      <c r="Q200" s="230"/>
      <c r="R200" s="182"/>
      <c r="S200" s="1"/>
    </row>
    <row r="201" spans="1:23" s="49" customFormat="1" x14ac:dyDescent="0.35">
      <c r="A201" s="32">
        <v>45216</v>
      </c>
      <c r="B201" s="1"/>
      <c r="C201" s="1" t="s">
        <v>97</v>
      </c>
      <c r="D201" s="1"/>
      <c r="E201" s="1"/>
      <c r="F201" s="1"/>
      <c r="G201" s="1"/>
      <c r="H201" s="1"/>
      <c r="I201" s="1"/>
      <c r="J201" s="1"/>
      <c r="K201" s="1"/>
      <c r="L201" s="18"/>
      <c r="M201" s="18"/>
      <c r="N201" s="18"/>
      <c r="O201" s="18"/>
      <c r="P201" s="180"/>
      <c r="Q201" s="230"/>
      <c r="R201" s="182"/>
      <c r="S201" s="1"/>
      <c r="U201"/>
      <c r="V201"/>
      <c r="W201"/>
    </row>
    <row r="202" spans="1:23" x14ac:dyDescent="0.35">
      <c r="A202" s="32">
        <v>45217</v>
      </c>
      <c r="B202" s="1"/>
      <c r="C202" s="1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180"/>
      <c r="Q202" s="230"/>
      <c r="R202" s="182"/>
      <c r="S202" s="1"/>
    </row>
    <row r="203" spans="1:23" x14ac:dyDescent="0.35">
      <c r="A203" s="32">
        <v>45218</v>
      </c>
      <c r="B203" s="1"/>
      <c r="C203" s="1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180"/>
      <c r="Q203" s="230"/>
      <c r="R203" s="182"/>
      <c r="S203" s="1"/>
    </row>
    <row r="204" spans="1:23" x14ac:dyDescent="0.35">
      <c r="A204" s="32">
        <v>45219</v>
      </c>
      <c r="B204" s="1"/>
      <c r="C204" s="1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180"/>
      <c r="Q204" s="230"/>
      <c r="R204" s="182"/>
      <c r="S204" s="1"/>
    </row>
    <row r="205" spans="1:23" x14ac:dyDescent="0.35">
      <c r="A205" s="32">
        <v>45220</v>
      </c>
      <c r="B205" s="1"/>
      <c r="C205" s="1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180"/>
      <c r="Q205" s="230"/>
      <c r="R205" s="182"/>
      <c r="S205" s="1"/>
    </row>
    <row r="206" spans="1:23" x14ac:dyDescent="0.35">
      <c r="A206" s="32">
        <v>45221</v>
      </c>
      <c r="B206" s="1"/>
      <c r="C206" s="1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180"/>
      <c r="Q206" s="230"/>
      <c r="R206" s="182"/>
      <c r="S206" s="1"/>
      <c r="U206" s="49"/>
      <c r="V206" s="49"/>
      <c r="W206" s="49"/>
    </row>
    <row r="207" spans="1:23" x14ac:dyDescent="0.35">
      <c r="A207" s="32">
        <v>45222</v>
      </c>
      <c r="B207" s="1"/>
      <c r="C207" s="1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180"/>
      <c r="Q207" s="230"/>
      <c r="R207" s="182"/>
      <c r="S207" s="1"/>
    </row>
    <row r="208" spans="1:23" x14ac:dyDescent="0.35">
      <c r="A208" s="32">
        <v>45223</v>
      </c>
      <c r="B208" s="1"/>
      <c r="C208" s="1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180"/>
      <c r="Q208" s="230"/>
      <c r="R208" s="181"/>
      <c r="S208" s="1"/>
    </row>
    <row r="209" spans="1:23" x14ac:dyDescent="0.35">
      <c r="A209" s="32">
        <v>45224</v>
      </c>
      <c r="B209" s="1"/>
      <c r="C209" s="1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180"/>
      <c r="Q209" s="230"/>
      <c r="R209" s="181"/>
      <c r="S209" s="1"/>
    </row>
    <row r="210" spans="1:23" x14ac:dyDescent="0.35">
      <c r="A210" s="32">
        <v>45225</v>
      </c>
      <c r="B210" s="1"/>
      <c r="C210" s="1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180"/>
      <c r="Q210" s="230"/>
      <c r="R210" s="181"/>
      <c r="S210" s="1"/>
    </row>
    <row r="211" spans="1:23" x14ac:dyDescent="0.35">
      <c r="A211" s="32">
        <v>45226</v>
      </c>
      <c r="B211" s="1"/>
      <c r="C211" s="1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180"/>
      <c r="Q211" s="230"/>
      <c r="R211" s="181"/>
      <c r="S211" s="1"/>
    </row>
    <row r="212" spans="1:23" x14ac:dyDescent="0.35">
      <c r="A212" s="32">
        <v>45227</v>
      </c>
      <c r="B212" s="1"/>
      <c r="C212" s="1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180"/>
      <c r="Q212" s="230"/>
      <c r="R212" s="181"/>
      <c r="S212" s="1"/>
      <c r="U212" s="50"/>
      <c r="V212" s="50"/>
      <c r="W212" s="50"/>
    </row>
    <row r="213" spans="1:23" x14ac:dyDescent="0.35">
      <c r="A213" s="32">
        <v>45228</v>
      </c>
      <c r="B213" s="1"/>
      <c r="C213" s="1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180"/>
      <c r="Q213" s="230"/>
      <c r="R213" s="181"/>
      <c r="S213" s="1"/>
    </row>
    <row r="214" spans="1:23" x14ac:dyDescent="0.35">
      <c r="A214" s="32">
        <v>45229</v>
      </c>
      <c r="B214" s="1"/>
      <c r="C214" s="1" t="s">
        <v>97</v>
      </c>
      <c r="D214" s="1"/>
      <c r="E214" s="1"/>
      <c r="F214" s="1"/>
      <c r="G214" s="1"/>
      <c r="H214" s="1"/>
      <c r="I214" s="1"/>
      <c r="J214" s="1"/>
      <c r="K214" s="1"/>
      <c r="L214" s="18"/>
      <c r="M214" s="18"/>
      <c r="N214" s="18"/>
      <c r="O214" s="18"/>
      <c r="P214" s="180"/>
      <c r="Q214" s="230"/>
      <c r="R214" s="181"/>
      <c r="S214" s="1"/>
    </row>
    <row r="215" spans="1:23" s="50" customFormat="1" x14ac:dyDescent="0.35">
      <c r="A215" s="32">
        <v>45230</v>
      </c>
      <c r="B215" s="52"/>
      <c r="C215" s="1" t="s">
        <v>97</v>
      </c>
      <c r="D215" s="52"/>
      <c r="E215" s="52"/>
      <c r="F215" s="80"/>
      <c r="G215" s="80"/>
      <c r="H215" s="52"/>
      <c r="I215" s="52"/>
      <c r="J215" s="52"/>
      <c r="K215" s="52"/>
      <c r="L215" s="53"/>
      <c r="M215" s="53"/>
      <c r="N215" s="53"/>
      <c r="O215" s="53"/>
      <c r="P215" s="180"/>
      <c r="Q215" s="230"/>
      <c r="R215" s="187"/>
      <c r="S215" s="52"/>
      <c r="U215"/>
      <c r="V215"/>
      <c r="W215"/>
    </row>
    <row r="216" spans="1:23" x14ac:dyDescent="0.35">
      <c r="A216" s="32">
        <v>45231</v>
      </c>
      <c r="B216" s="1"/>
      <c r="C216" s="1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180"/>
      <c r="Q216" s="230"/>
      <c r="R216" s="181"/>
      <c r="S216" s="1"/>
    </row>
    <row r="217" spans="1:23" x14ac:dyDescent="0.35">
      <c r="A217" s="32">
        <v>45232</v>
      </c>
      <c r="B217" s="1"/>
      <c r="C217" s="1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180"/>
      <c r="Q217" s="230"/>
      <c r="R217" s="181"/>
      <c r="S217" s="1"/>
    </row>
    <row r="218" spans="1:23" x14ac:dyDescent="0.35">
      <c r="A218" s="32">
        <v>45233</v>
      </c>
      <c r="B218" s="1"/>
      <c r="C218" s="1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180"/>
      <c r="Q218" s="230"/>
      <c r="R218" s="181"/>
      <c r="S218" s="1"/>
    </row>
    <row r="219" spans="1:23" x14ac:dyDescent="0.35">
      <c r="A219" s="32">
        <v>45234</v>
      </c>
      <c r="B219" s="1"/>
      <c r="C219" s="1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180"/>
      <c r="Q219" s="230"/>
      <c r="R219" s="181"/>
      <c r="S219" s="1"/>
    </row>
    <row r="220" spans="1:23" x14ac:dyDescent="0.35">
      <c r="A220" s="32">
        <v>45235</v>
      </c>
      <c r="B220" s="1"/>
      <c r="C220" s="1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180"/>
      <c r="Q220" s="230"/>
      <c r="R220" s="181"/>
      <c r="S220" s="1"/>
    </row>
    <row r="221" spans="1:23" x14ac:dyDescent="0.35">
      <c r="A221" s="32">
        <v>45236</v>
      </c>
      <c r="B221" s="1"/>
      <c r="C221" s="1" t="s">
        <v>97</v>
      </c>
      <c r="D221" s="1"/>
      <c r="E221" s="1"/>
      <c r="F221" s="1"/>
      <c r="G221" s="1"/>
      <c r="H221" s="1"/>
      <c r="I221" s="1"/>
      <c r="J221" s="1"/>
      <c r="K221" s="1"/>
      <c r="L221" s="18"/>
      <c r="M221" s="18"/>
      <c r="N221" s="18"/>
      <c r="O221" s="18"/>
      <c r="P221" s="180"/>
      <c r="Q221" s="230"/>
      <c r="R221" s="181"/>
      <c r="S221" s="1"/>
    </row>
    <row r="222" spans="1:23" x14ac:dyDescent="0.35">
      <c r="A222" s="32">
        <v>45237</v>
      </c>
      <c r="B222" s="1"/>
      <c r="C222" s="1" t="s">
        <v>97</v>
      </c>
      <c r="D222" s="1"/>
      <c r="E222" s="1"/>
      <c r="F222" s="84"/>
      <c r="G222" s="84"/>
      <c r="H222" s="1"/>
      <c r="I222" s="1"/>
      <c r="J222" s="1"/>
      <c r="K222" s="1"/>
      <c r="L222" s="18"/>
      <c r="M222" s="18"/>
      <c r="N222" s="18"/>
      <c r="O222" s="18"/>
      <c r="P222" s="180"/>
      <c r="Q222" s="230"/>
      <c r="R222" s="181"/>
      <c r="S222" s="1"/>
    </row>
    <row r="223" spans="1:23" x14ac:dyDescent="0.35">
      <c r="A223" s="32">
        <v>45238</v>
      </c>
      <c r="B223" s="1"/>
      <c r="C223" s="1" t="s">
        <v>97</v>
      </c>
      <c r="D223" s="1"/>
      <c r="E223" s="1"/>
      <c r="F223" s="84"/>
      <c r="G223" s="84"/>
      <c r="H223" s="1"/>
      <c r="I223" s="1"/>
      <c r="J223" s="1"/>
      <c r="K223" s="1"/>
      <c r="L223" s="18"/>
      <c r="M223" s="18"/>
      <c r="N223" s="18"/>
      <c r="O223" s="18"/>
      <c r="P223" s="180"/>
      <c r="Q223" s="230"/>
      <c r="R223" s="181"/>
      <c r="S223" s="1"/>
    </row>
    <row r="224" spans="1:23" x14ac:dyDescent="0.35">
      <c r="A224" s="32">
        <v>45239</v>
      </c>
      <c r="B224" s="1"/>
      <c r="C224" s="1" t="s">
        <v>97</v>
      </c>
      <c r="D224" s="1"/>
      <c r="E224" s="1"/>
      <c r="F224" s="84"/>
      <c r="G224" s="84"/>
      <c r="H224" s="1"/>
      <c r="I224" s="1"/>
      <c r="J224" s="1"/>
      <c r="K224" s="1"/>
      <c r="L224" s="18"/>
      <c r="M224" s="18"/>
      <c r="N224" s="18"/>
      <c r="O224" s="18"/>
      <c r="P224" s="180"/>
      <c r="Q224" s="230"/>
      <c r="R224" s="181"/>
      <c r="S224" s="1"/>
    </row>
    <row r="225" spans="1:23" x14ac:dyDescent="0.35">
      <c r="A225" s="32">
        <v>45240</v>
      </c>
      <c r="B225" s="1"/>
      <c r="C225" s="1" t="s">
        <v>97</v>
      </c>
      <c r="D225" s="1"/>
      <c r="E225" s="1"/>
      <c r="F225" s="84"/>
      <c r="G225" s="84"/>
      <c r="H225" s="1"/>
      <c r="I225" s="1"/>
      <c r="J225" s="1"/>
      <c r="K225" s="1"/>
      <c r="L225" s="18"/>
      <c r="M225" s="18"/>
      <c r="N225" s="18"/>
      <c r="O225" s="18"/>
      <c r="P225" s="180"/>
      <c r="Q225" s="230"/>
      <c r="R225" s="181"/>
      <c r="S225" s="1"/>
    </row>
    <row r="226" spans="1:23" x14ac:dyDescent="0.35">
      <c r="A226" s="32">
        <v>45241</v>
      </c>
      <c r="B226" s="1"/>
      <c r="C226" s="1" t="s">
        <v>97</v>
      </c>
      <c r="D226" s="1"/>
      <c r="E226" s="1"/>
      <c r="F226" s="84"/>
      <c r="G226" s="84"/>
      <c r="H226" s="1"/>
      <c r="I226" s="1"/>
      <c r="J226" s="1"/>
      <c r="K226" s="1"/>
      <c r="L226" s="18"/>
      <c r="M226" s="18"/>
      <c r="N226" s="18"/>
      <c r="O226" s="18"/>
      <c r="P226" s="180"/>
      <c r="Q226" s="230"/>
      <c r="R226" s="181"/>
      <c r="S226" s="1"/>
    </row>
    <row r="227" spans="1:23" x14ac:dyDescent="0.35">
      <c r="A227" s="32">
        <v>45242</v>
      </c>
      <c r="B227" s="1"/>
      <c r="C227" s="1" t="s">
        <v>97</v>
      </c>
      <c r="D227" s="1"/>
      <c r="E227" s="1"/>
      <c r="F227" s="84"/>
      <c r="G227" s="84"/>
      <c r="H227" s="1"/>
      <c r="I227" s="1"/>
      <c r="J227" s="1"/>
      <c r="K227" s="1"/>
      <c r="L227" s="18"/>
      <c r="M227" s="18"/>
      <c r="N227" s="18"/>
      <c r="O227" s="18"/>
      <c r="P227" s="180"/>
      <c r="Q227" s="230"/>
      <c r="R227" s="181"/>
      <c r="S227" s="1"/>
    </row>
    <row r="228" spans="1:23" x14ac:dyDescent="0.35">
      <c r="A228" s="32">
        <v>45243</v>
      </c>
      <c r="B228" s="1"/>
      <c r="C228" s="1" t="s">
        <v>97</v>
      </c>
      <c r="D228" s="1"/>
      <c r="E228" s="1"/>
      <c r="F228" s="84"/>
      <c r="G228" s="84"/>
      <c r="H228" s="1"/>
      <c r="I228" s="1"/>
      <c r="J228" s="1"/>
      <c r="K228" s="1"/>
      <c r="L228" s="18"/>
      <c r="M228" s="18"/>
      <c r="N228" s="18"/>
      <c r="O228" s="18"/>
      <c r="P228" s="180"/>
      <c r="Q228" s="230"/>
      <c r="R228" s="181"/>
      <c r="S228" s="1"/>
    </row>
    <row r="229" spans="1:23" x14ac:dyDescent="0.35">
      <c r="A229" s="32">
        <v>45244</v>
      </c>
      <c r="B229" s="1"/>
      <c r="C229" s="1" t="s">
        <v>97</v>
      </c>
      <c r="D229" s="1"/>
      <c r="E229" s="1"/>
      <c r="F229" s="84"/>
      <c r="G229" s="84"/>
      <c r="H229" s="1"/>
      <c r="I229" s="1"/>
      <c r="J229" s="1"/>
      <c r="K229" s="1"/>
      <c r="L229" s="18"/>
      <c r="M229" s="18"/>
      <c r="N229" s="18"/>
      <c r="O229" s="18"/>
      <c r="P229" s="180"/>
      <c r="Q229" s="230"/>
      <c r="R229" s="181"/>
      <c r="S229" s="1"/>
    </row>
    <row r="230" spans="1:23" x14ac:dyDescent="0.35">
      <c r="A230" s="32">
        <v>45245</v>
      </c>
      <c r="B230" s="1"/>
      <c r="C230" s="1" t="s">
        <v>97</v>
      </c>
      <c r="D230" s="1"/>
      <c r="E230" s="1"/>
      <c r="F230" s="84"/>
      <c r="G230" s="84"/>
      <c r="H230" s="1"/>
      <c r="I230" s="1"/>
      <c r="J230" s="1"/>
      <c r="K230" s="1"/>
      <c r="L230" s="18"/>
      <c r="M230" s="18"/>
      <c r="N230" s="18"/>
      <c r="O230" s="18"/>
      <c r="P230" s="180"/>
      <c r="Q230" s="230"/>
      <c r="R230" s="181"/>
      <c r="S230" s="1"/>
    </row>
    <row r="231" spans="1:23" x14ac:dyDescent="0.35">
      <c r="A231" s="32">
        <v>45246</v>
      </c>
      <c r="B231" s="1"/>
      <c r="C231" s="1" t="s">
        <v>97</v>
      </c>
      <c r="D231" s="1"/>
      <c r="E231" s="1"/>
      <c r="F231" s="84"/>
      <c r="G231" s="84"/>
      <c r="H231" s="1"/>
      <c r="I231" s="1"/>
      <c r="J231" s="1"/>
      <c r="K231" s="1"/>
      <c r="L231" s="18"/>
      <c r="M231" s="18"/>
      <c r="N231" s="18"/>
      <c r="O231" s="18"/>
      <c r="P231" s="180"/>
      <c r="Q231" s="230"/>
      <c r="R231" s="181"/>
      <c r="S231" s="1"/>
    </row>
    <row r="232" spans="1:23" x14ac:dyDescent="0.35">
      <c r="A232" s="32">
        <v>45247</v>
      </c>
      <c r="B232" s="1"/>
      <c r="C232" s="1" t="s">
        <v>97</v>
      </c>
      <c r="D232" s="1"/>
      <c r="E232" s="1"/>
      <c r="F232" s="84"/>
      <c r="G232" s="84"/>
      <c r="H232" s="1"/>
      <c r="I232" s="1"/>
      <c r="J232" s="1"/>
      <c r="K232" s="1"/>
      <c r="L232" s="18"/>
      <c r="M232" s="18"/>
      <c r="N232" s="18"/>
      <c r="O232" s="18"/>
      <c r="P232" s="180"/>
      <c r="Q232" s="230"/>
      <c r="R232" s="181"/>
      <c r="S232" s="1"/>
    </row>
    <row r="233" spans="1:23" x14ac:dyDescent="0.35">
      <c r="A233" s="32">
        <v>45248</v>
      </c>
      <c r="B233" s="1"/>
      <c r="C233" s="1" t="s">
        <v>97</v>
      </c>
      <c r="D233" s="1"/>
      <c r="E233" s="1"/>
      <c r="F233" s="84"/>
      <c r="G233" s="84"/>
      <c r="H233" s="1"/>
      <c r="I233" s="1"/>
      <c r="J233" s="1"/>
      <c r="K233" s="1"/>
      <c r="L233" s="18"/>
      <c r="M233" s="18"/>
      <c r="N233" s="18"/>
      <c r="O233" s="18"/>
      <c r="P233" s="180"/>
      <c r="Q233" s="230"/>
      <c r="R233" s="181"/>
      <c r="S233" s="1"/>
    </row>
    <row r="234" spans="1:23" x14ac:dyDescent="0.35">
      <c r="A234" s="32">
        <v>45249</v>
      </c>
      <c r="B234" s="1"/>
      <c r="C234" s="1" t="s">
        <v>97</v>
      </c>
      <c r="D234" s="1"/>
      <c r="E234" s="1"/>
      <c r="F234" s="84"/>
      <c r="G234" s="84"/>
      <c r="H234" s="1"/>
      <c r="I234" s="1"/>
      <c r="J234" s="1"/>
      <c r="K234" s="1"/>
      <c r="L234" s="18"/>
      <c r="M234" s="18"/>
      <c r="N234" s="18"/>
      <c r="O234" s="18"/>
      <c r="P234" s="180"/>
      <c r="Q234" s="230"/>
      <c r="R234" s="181"/>
      <c r="S234" s="1"/>
    </row>
    <row r="235" spans="1:23" x14ac:dyDescent="0.35">
      <c r="A235" s="32">
        <v>45250</v>
      </c>
      <c r="B235" s="1"/>
      <c r="C235" s="1" t="s">
        <v>97</v>
      </c>
      <c r="D235" s="1"/>
      <c r="E235" s="1"/>
      <c r="F235" s="1"/>
      <c r="G235" s="1"/>
      <c r="H235" s="1"/>
      <c r="I235" s="1"/>
      <c r="J235" s="1"/>
      <c r="K235" s="1"/>
      <c r="L235" s="18"/>
      <c r="M235" s="18"/>
      <c r="N235" s="18"/>
      <c r="O235" s="18"/>
      <c r="P235" s="180"/>
      <c r="Q235" s="230"/>
      <c r="R235" s="181"/>
      <c r="S235" s="1"/>
    </row>
    <row r="236" spans="1:23" x14ac:dyDescent="0.35">
      <c r="A236" s="32">
        <v>45251</v>
      </c>
      <c r="B236" s="1"/>
      <c r="C236" s="1" t="s">
        <v>97</v>
      </c>
      <c r="D236" s="1"/>
      <c r="E236" s="1"/>
      <c r="F236" s="84"/>
      <c r="G236" s="84"/>
      <c r="H236" s="1"/>
      <c r="I236" s="1"/>
      <c r="J236" s="1"/>
      <c r="K236" s="1"/>
      <c r="L236" s="18"/>
      <c r="M236" s="18"/>
      <c r="N236" s="18"/>
      <c r="O236" s="18"/>
      <c r="P236" s="180"/>
      <c r="Q236" s="230"/>
      <c r="R236" s="181"/>
      <c r="S236" s="1"/>
      <c r="U236" s="50"/>
      <c r="V236" s="50"/>
      <c r="W236" s="50"/>
    </row>
    <row r="237" spans="1:23" x14ac:dyDescent="0.35">
      <c r="A237" s="32">
        <v>45252</v>
      </c>
      <c r="B237" s="1"/>
      <c r="C237" s="1" t="s">
        <v>97</v>
      </c>
      <c r="D237" s="1"/>
      <c r="E237" s="1"/>
      <c r="F237" s="84"/>
      <c r="G237" s="84"/>
      <c r="H237" s="1"/>
      <c r="I237" s="1"/>
      <c r="J237" s="1"/>
      <c r="K237" s="1"/>
      <c r="L237" s="18"/>
      <c r="M237" s="18"/>
      <c r="N237" s="18"/>
      <c r="O237" s="18"/>
      <c r="P237" s="180"/>
      <c r="Q237" s="230"/>
      <c r="R237" s="181"/>
      <c r="S237" s="1"/>
    </row>
    <row r="238" spans="1:23" x14ac:dyDescent="0.35">
      <c r="A238" s="32">
        <v>45253</v>
      </c>
      <c r="B238" s="1"/>
      <c r="C238" s="1" t="s">
        <v>97</v>
      </c>
      <c r="D238" s="1"/>
      <c r="E238" s="1"/>
      <c r="F238" s="84"/>
      <c r="G238" s="84"/>
      <c r="H238" s="1"/>
      <c r="I238" s="1"/>
      <c r="J238" s="1"/>
      <c r="K238" s="1"/>
      <c r="L238" s="18"/>
      <c r="M238" s="18"/>
      <c r="N238" s="18"/>
      <c r="O238" s="18"/>
      <c r="P238" s="180"/>
      <c r="Q238" s="230"/>
      <c r="R238" s="181"/>
      <c r="S238" s="1"/>
    </row>
    <row r="239" spans="1:23" x14ac:dyDescent="0.35">
      <c r="A239" s="32">
        <v>45254</v>
      </c>
      <c r="B239" s="1"/>
      <c r="C239" s="1" t="s">
        <v>97</v>
      </c>
      <c r="D239" s="1"/>
      <c r="E239" s="1"/>
      <c r="F239" s="84"/>
      <c r="G239" s="84"/>
      <c r="H239" s="1"/>
      <c r="I239" s="1"/>
      <c r="J239" s="1"/>
      <c r="K239" s="1"/>
      <c r="L239" s="18"/>
      <c r="M239" s="18"/>
      <c r="N239" s="18"/>
      <c r="O239" s="18"/>
      <c r="P239" s="180"/>
      <c r="Q239" s="230"/>
      <c r="R239" s="181"/>
      <c r="S239" s="1"/>
    </row>
    <row r="240" spans="1:23" x14ac:dyDescent="0.35">
      <c r="A240" s="32">
        <v>45255</v>
      </c>
      <c r="B240" s="1"/>
      <c r="C240" s="1" t="s">
        <v>97</v>
      </c>
      <c r="D240" s="1"/>
      <c r="E240" s="1"/>
      <c r="F240" s="84"/>
      <c r="G240" s="84"/>
      <c r="H240" s="1"/>
      <c r="I240" s="1"/>
      <c r="J240" s="1"/>
      <c r="K240" s="1"/>
      <c r="L240" s="18"/>
      <c r="M240" s="18"/>
      <c r="N240" s="18"/>
      <c r="O240" s="18"/>
      <c r="P240" s="180"/>
      <c r="Q240" s="230"/>
      <c r="R240" s="181"/>
      <c r="S240" s="1"/>
    </row>
    <row r="241" spans="1:23" x14ac:dyDescent="0.35">
      <c r="A241" s="32">
        <v>45256</v>
      </c>
      <c r="B241" s="1"/>
      <c r="C241" s="1" t="s">
        <v>97</v>
      </c>
      <c r="D241" s="1"/>
      <c r="E241" s="1"/>
      <c r="F241" s="84"/>
      <c r="G241" s="84"/>
      <c r="H241" s="1"/>
      <c r="I241" s="1"/>
      <c r="J241" s="1"/>
      <c r="K241" s="1"/>
      <c r="L241" s="18"/>
      <c r="M241" s="18"/>
      <c r="N241" s="18"/>
      <c r="O241" s="18"/>
      <c r="P241" s="180"/>
      <c r="Q241" s="230"/>
      <c r="R241" s="181"/>
      <c r="S241" s="1"/>
    </row>
    <row r="242" spans="1:23" x14ac:dyDescent="0.35">
      <c r="A242" s="32">
        <v>45257</v>
      </c>
      <c r="B242" s="1"/>
      <c r="C242" s="1" t="s">
        <v>97</v>
      </c>
      <c r="D242" s="1"/>
      <c r="E242" s="1"/>
      <c r="F242" s="84"/>
      <c r="G242" s="84"/>
      <c r="H242" s="1"/>
      <c r="I242" s="1"/>
      <c r="J242" s="1"/>
      <c r="K242" s="1"/>
      <c r="L242" s="18"/>
      <c r="M242" s="18"/>
      <c r="N242" s="18"/>
      <c r="O242" s="18"/>
      <c r="P242" s="180"/>
      <c r="Q242" s="230"/>
      <c r="R242" s="181"/>
      <c r="S242" s="1"/>
    </row>
    <row r="243" spans="1:23" x14ac:dyDescent="0.35">
      <c r="A243" s="32">
        <v>45258</v>
      </c>
      <c r="B243" s="1"/>
      <c r="C243" s="1" t="s">
        <v>97</v>
      </c>
      <c r="D243" s="1"/>
      <c r="E243" s="1"/>
      <c r="F243" s="84"/>
      <c r="G243" s="84"/>
      <c r="H243" s="1"/>
      <c r="I243" s="1"/>
      <c r="J243" s="1"/>
      <c r="K243" s="1"/>
      <c r="L243" s="18"/>
      <c r="M243" s="18"/>
      <c r="N243" s="18"/>
      <c r="O243" s="18"/>
      <c r="P243" s="180"/>
      <c r="Q243" s="230"/>
      <c r="R243" s="181"/>
      <c r="S243" s="1"/>
      <c r="U243" t="e">
        <f>AVERAGEIF(L349:L355,"&lt;&gt;0")</f>
        <v>#DIV/0!</v>
      </c>
    </row>
    <row r="244" spans="1:23" x14ac:dyDescent="0.35">
      <c r="A244" s="32">
        <v>45259</v>
      </c>
      <c r="B244" s="1"/>
      <c r="C244" s="1" t="s">
        <v>97</v>
      </c>
      <c r="D244" s="1"/>
      <c r="E244" s="1"/>
      <c r="F244" s="84"/>
      <c r="G244" s="84"/>
      <c r="H244" s="1"/>
      <c r="I244" s="1"/>
      <c r="J244" s="1"/>
      <c r="K244" s="1"/>
      <c r="L244" s="18"/>
      <c r="M244" s="18"/>
      <c r="N244" s="18"/>
      <c r="O244" s="18"/>
      <c r="P244" s="180"/>
      <c r="Q244" s="230"/>
      <c r="R244" s="181"/>
      <c r="S244" s="1"/>
    </row>
    <row r="245" spans="1:23" x14ac:dyDescent="0.35">
      <c r="A245" s="32">
        <v>45260</v>
      </c>
      <c r="B245" s="1"/>
      <c r="C245" s="1" t="s">
        <v>97</v>
      </c>
      <c r="D245" s="1"/>
      <c r="E245" s="1"/>
      <c r="F245" s="84"/>
      <c r="G245" s="84"/>
      <c r="H245" s="1"/>
      <c r="I245" s="1"/>
      <c r="J245" s="1"/>
      <c r="K245" s="1"/>
      <c r="L245" s="18"/>
      <c r="M245" s="18"/>
      <c r="N245" s="18"/>
      <c r="O245" s="18"/>
      <c r="P245" s="180"/>
      <c r="Q245" s="230"/>
      <c r="R245" s="181"/>
      <c r="S245" s="1"/>
    </row>
    <row r="246" spans="1:23" s="50" customFormat="1" x14ac:dyDescent="0.35">
      <c r="A246" s="32">
        <v>45261</v>
      </c>
      <c r="B246" s="52"/>
      <c r="C246" s="1" t="s">
        <v>97</v>
      </c>
      <c r="D246" s="52"/>
      <c r="E246" s="52"/>
      <c r="F246" s="145"/>
      <c r="G246" s="145"/>
      <c r="H246" s="52"/>
      <c r="I246" s="52"/>
      <c r="J246" s="52"/>
      <c r="K246" s="52"/>
      <c r="L246" s="53"/>
      <c r="M246" s="53"/>
      <c r="N246" s="53"/>
      <c r="O246" s="53"/>
      <c r="P246" s="180"/>
      <c r="Q246" s="230"/>
      <c r="R246" s="187"/>
      <c r="S246" s="52"/>
      <c r="U246"/>
      <c r="V246"/>
      <c r="W246"/>
    </row>
    <row r="247" spans="1:23" x14ac:dyDescent="0.35">
      <c r="A247" s="32">
        <v>45262</v>
      </c>
      <c r="B247" s="1"/>
      <c r="C247" s="1" t="s">
        <v>97</v>
      </c>
      <c r="D247" s="1"/>
      <c r="E247" s="1"/>
      <c r="F247" s="84"/>
      <c r="G247" s="84"/>
      <c r="H247" s="1"/>
      <c r="I247" s="1"/>
      <c r="J247" s="1"/>
      <c r="K247" s="1"/>
      <c r="L247" s="18"/>
      <c r="M247" s="18"/>
      <c r="N247" s="18"/>
      <c r="O247" s="18"/>
      <c r="P247" s="180"/>
      <c r="Q247" s="230"/>
      <c r="R247" s="181"/>
      <c r="S247" s="1"/>
    </row>
    <row r="248" spans="1:23" x14ac:dyDescent="0.35">
      <c r="A248" s="32">
        <v>45263</v>
      </c>
      <c r="B248" s="1"/>
      <c r="C248" s="1" t="s">
        <v>97</v>
      </c>
      <c r="D248" s="1"/>
      <c r="E248" s="1"/>
      <c r="F248" s="84"/>
      <c r="G248" s="84"/>
      <c r="H248" s="1"/>
      <c r="I248" s="1"/>
      <c r="J248" s="1"/>
      <c r="K248" s="1"/>
      <c r="L248" s="18"/>
      <c r="M248" s="18"/>
      <c r="N248" s="18"/>
      <c r="O248" s="18"/>
      <c r="P248" s="180"/>
      <c r="Q248" s="230"/>
      <c r="R248" s="181"/>
      <c r="S248" s="1"/>
    </row>
    <row r="249" spans="1:23" x14ac:dyDescent="0.35">
      <c r="A249" s="32">
        <v>45264</v>
      </c>
      <c r="B249" s="1"/>
      <c r="C249" s="1" t="s">
        <v>97</v>
      </c>
      <c r="D249" s="1"/>
      <c r="E249" s="1"/>
      <c r="F249" s="84"/>
      <c r="G249" s="84"/>
      <c r="H249" s="1"/>
      <c r="I249" s="1"/>
      <c r="J249" s="1"/>
      <c r="K249" s="1"/>
      <c r="L249" s="18"/>
      <c r="M249" s="18"/>
      <c r="N249" s="18"/>
      <c r="O249" s="18"/>
      <c r="P249" s="180"/>
      <c r="Q249" s="230"/>
      <c r="R249" s="181"/>
      <c r="S249" s="1"/>
    </row>
    <row r="250" spans="1:23" x14ac:dyDescent="0.35">
      <c r="A250" s="32">
        <v>45265</v>
      </c>
      <c r="B250" s="1"/>
      <c r="C250" s="1" t="s">
        <v>97</v>
      </c>
      <c r="D250" s="1"/>
      <c r="E250" s="1"/>
      <c r="F250" s="84"/>
      <c r="G250" s="84"/>
      <c r="H250" s="1"/>
      <c r="I250" s="1"/>
      <c r="J250" s="1"/>
      <c r="K250" s="1"/>
      <c r="L250" s="18"/>
      <c r="M250" s="18"/>
      <c r="N250" s="18"/>
      <c r="O250" s="18"/>
      <c r="P250" s="180"/>
      <c r="Q250" s="230"/>
      <c r="R250" s="181"/>
      <c r="S250" s="1"/>
    </row>
    <row r="251" spans="1:23" x14ac:dyDescent="0.35">
      <c r="A251" s="32">
        <v>45266</v>
      </c>
      <c r="B251" s="1"/>
      <c r="C251" s="1" t="s">
        <v>97</v>
      </c>
      <c r="D251" s="1"/>
      <c r="E251" s="1"/>
      <c r="F251" s="84"/>
      <c r="G251" s="84"/>
      <c r="H251" s="1"/>
      <c r="I251" s="1"/>
      <c r="J251" s="1"/>
      <c r="K251" s="1"/>
      <c r="L251" s="18"/>
      <c r="M251" s="18"/>
      <c r="N251" s="18"/>
      <c r="O251" s="18"/>
      <c r="P251" s="180"/>
      <c r="Q251" s="230"/>
      <c r="R251" s="181"/>
      <c r="S251" s="1"/>
    </row>
    <row r="252" spans="1:23" x14ac:dyDescent="0.35">
      <c r="A252" s="32">
        <v>45267</v>
      </c>
      <c r="B252" s="1"/>
      <c r="C252" s="1" t="s">
        <v>97</v>
      </c>
      <c r="D252" s="1"/>
      <c r="E252" s="1"/>
      <c r="F252" s="84"/>
      <c r="G252" s="84"/>
      <c r="H252" s="1"/>
      <c r="I252" s="1"/>
      <c r="J252" s="1"/>
      <c r="K252" s="1"/>
      <c r="L252" s="18"/>
      <c r="M252" s="18"/>
      <c r="N252" s="18"/>
      <c r="O252" s="18"/>
      <c r="P252" s="180"/>
      <c r="Q252" s="230"/>
      <c r="R252" s="182"/>
      <c r="S252" s="1"/>
    </row>
    <row r="253" spans="1:23" x14ac:dyDescent="0.35">
      <c r="A253" s="32">
        <v>45268</v>
      </c>
      <c r="B253" s="1"/>
      <c r="C253" s="1" t="s">
        <v>97</v>
      </c>
      <c r="D253" s="1"/>
      <c r="E253" s="1"/>
      <c r="F253" s="84"/>
      <c r="G253" s="84"/>
      <c r="H253" s="1"/>
      <c r="I253" s="1"/>
      <c r="J253" s="1"/>
      <c r="K253" s="1"/>
      <c r="L253" s="18"/>
      <c r="M253" s="18"/>
      <c r="N253" s="18"/>
      <c r="O253" s="18"/>
      <c r="P253" s="180"/>
      <c r="Q253" s="230"/>
      <c r="R253" s="182"/>
      <c r="S253" s="1"/>
    </row>
    <row r="254" spans="1:23" x14ac:dyDescent="0.35">
      <c r="A254" s="32">
        <v>45269</v>
      </c>
      <c r="B254" s="1"/>
      <c r="C254" s="1" t="s">
        <v>97</v>
      </c>
      <c r="D254" s="1"/>
      <c r="E254" s="1"/>
      <c r="F254" s="84"/>
      <c r="G254" s="84"/>
      <c r="H254" s="1"/>
      <c r="I254" s="1"/>
      <c r="J254" s="1"/>
      <c r="K254" s="1"/>
      <c r="L254" s="18"/>
      <c r="M254" s="18"/>
      <c r="N254" s="18"/>
      <c r="O254" s="18"/>
      <c r="P254" s="180"/>
      <c r="Q254" s="230"/>
      <c r="R254" s="182"/>
      <c r="S254" s="1"/>
    </row>
    <row r="255" spans="1:23" x14ac:dyDescent="0.35">
      <c r="A255" s="32">
        <v>45270</v>
      </c>
      <c r="B255" s="1"/>
      <c r="C255" s="1" t="s">
        <v>97</v>
      </c>
      <c r="D255" s="1"/>
      <c r="E255" s="1"/>
      <c r="F255" s="84"/>
      <c r="G255" s="84"/>
      <c r="H255" s="1"/>
      <c r="I255" s="1"/>
      <c r="J255" s="1"/>
      <c r="K255" s="1"/>
      <c r="L255" s="18"/>
      <c r="M255" s="18"/>
      <c r="N255" s="18"/>
      <c r="O255" s="18"/>
      <c r="P255" s="180"/>
      <c r="Q255" s="230"/>
      <c r="R255" s="182"/>
      <c r="S255" s="1"/>
      <c r="U255" s="164" t="e">
        <f>AVERAGEIF(Q279:Q341,"&lt;&gt;0")</f>
        <v>#DIV/0!</v>
      </c>
    </row>
    <row r="256" spans="1:23" x14ac:dyDescent="0.35">
      <c r="A256" s="32">
        <v>45271</v>
      </c>
      <c r="B256" s="1"/>
      <c r="C256" s="1" t="s">
        <v>97</v>
      </c>
      <c r="D256" s="1"/>
      <c r="E256" s="1"/>
      <c r="F256" s="84"/>
      <c r="G256" s="84"/>
      <c r="H256" s="1"/>
      <c r="I256" s="1"/>
      <c r="J256" s="1"/>
      <c r="K256" s="1"/>
      <c r="L256" s="18"/>
      <c r="M256" s="18"/>
      <c r="N256" s="18"/>
      <c r="O256" s="18"/>
      <c r="P256" s="180"/>
      <c r="Q256" s="230"/>
      <c r="R256" s="182"/>
      <c r="S256" s="1"/>
    </row>
    <row r="257" spans="1:23" x14ac:dyDescent="0.35">
      <c r="A257" s="32">
        <v>45272</v>
      </c>
      <c r="B257" s="1"/>
      <c r="C257" s="1" t="s">
        <v>97</v>
      </c>
      <c r="D257" s="1"/>
      <c r="E257" s="1"/>
      <c r="F257" s="84"/>
      <c r="G257" s="84"/>
      <c r="H257" s="1"/>
      <c r="I257" s="1"/>
      <c r="J257" s="1"/>
      <c r="K257" s="1"/>
      <c r="L257" s="18"/>
      <c r="M257" s="18"/>
      <c r="N257" s="18"/>
      <c r="O257" s="18"/>
      <c r="P257" s="180"/>
      <c r="Q257" s="230"/>
      <c r="R257" s="182"/>
      <c r="S257" s="1"/>
    </row>
    <row r="258" spans="1:23" x14ac:dyDescent="0.35">
      <c r="A258" s="32">
        <v>45273</v>
      </c>
      <c r="B258" s="1"/>
      <c r="C258" s="1" t="s">
        <v>97</v>
      </c>
      <c r="D258" s="1"/>
      <c r="E258" s="1"/>
      <c r="F258" s="84"/>
      <c r="G258" s="84"/>
      <c r="H258" s="1"/>
      <c r="I258" s="1"/>
      <c r="J258" s="1"/>
      <c r="K258" s="1"/>
      <c r="L258" s="18"/>
      <c r="M258" s="18"/>
      <c r="N258" s="18"/>
      <c r="O258" s="18"/>
      <c r="P258" s="180"/>
      <c r="Q258" s="230"/>
      <c r="R258" s="182"/>
      <c r="S258" s="1"/>
    </row>
    <row r="259" spans="1:23" x14ac:dyDescent="0.35">
      <c r="A259" s="32">
        <v>45274</v>
      </c>
      <c r="B259" s="1"/>
      <c r="C259" s="1" t="s">
        <v>97</v>
      </c>
      <c r="D259" s="1"/>
      <c r="E259" s="1"/>
      <c r="F259" s="84"/>
      <c r="G259" s="84"/>
      <c r="H259" s="1"/>
      <c r="I259" s="1"/>
      <c r="J259" s="1"/>
      <c r="K259" s="1"/>
      <c r="L259" s="18"/>
      <c r="M259" s="18"/>
      <c r="N259" s="18"/>
      <c r="O259" s="18"/>
      <c r="P259" s="180"/>
      <c r="Q259" s="230"/>
      <c r="R259" s="182"/>
      <c r="S259" s="1"/>
    </row>
    <row r="260" spans="1:23" x14ac:dyDescent="0.35">
      <c r="A260" s="32">
        <v>45275</v>
      </c>
      <c r="B260" s="1"/>
      <c r="C260" s="1" t="s">
        <v>97</v>
      </c>
      <c r="D260" s="1"/>
      <c r="E260" s="1"/>
      <c r="F260" s="84"/>
      <c r="G260" s="84"/>
      <c r="H260" s="1"/>
      <c r="I260" s="1"/>
      <c r="J260" s="1"/>
      <c r="K260" s="1"/>
      <c r="L260" s="18"/>
      <c r="M260" s="18"/>
      <c r="N260" s="18"/>
      <c r="O260" s="18"/>
      <c r="P260" s="180"/>
      <c r="Q260" s="230"/>
      <c r="R260" s="182"/>
      <c r="S260" s="1"/>
    </row>
    <row r="261" spans="1:23" x14ac:dyDescent="0.35">
      <c r="A261" s="32">
        <v>45276</v>
      </c>
      <c r="B261" s="1"/>
      <c r="C261" s="1" t="s">
        <v>97</v>
      </c>
      <c r="D261" s="1"/>
      <c r="E261" s="1"/>
      <c r="F261" s="84"/>
      <c r="G261" s="84"/>
      <c r="H261" s="1"/>
      <c r="I261" s="1"/>
      <c r="J261" s="1"/>
      <c r="K261" s="1"/>
      <c r="L261" s="18"/>
      <c r="M261" s="18"/>
      <c r="N261" s="18"/>
      <c r="O261" s="18"/>
      <c r="P261" s="180"/>
      <c r="Q261" s="230"/>
      <c r="R261" s="182"/>
      <c r="S261" s="1"/>
    </row>
    <row r="262" spans="1:23" x14ac:dyDescent="0.35">
      <c r="A262" s="32">
        <v>45277</v>
      </c>
      <c r="B262" s="1"/>
      <c r="C262" s="1" t="s">
        <v>97</v>
      </c>
      <c r="D262" s="1"/>
      <c r="E262" s="1"/>
      <c r="F262" s="84"/>
      <c r="G262" s="84"/>
      <c r="H262" s="1"/>
      <c r="I262" s="1"/>
      <c r="J262" s="1"/>
      <c r="K262" s="1"/>
      <c r="L262" s="18"/>
      <c r="M262" s="18"/>
      <c r="N262" s="18"/>
      <c r="O262" s="18"/>
      <c r="P262" s="180"/>
      <c r="Q262" s="230"/>
      <c r="R262" s="182"/>
      <c r="S262" s="1"/>
    </row>
    <row r="263" spans="1:23" x14ac:dyDescent="0.35">
      <c r="A263" s="32">
        <v>45278</v>
      </c>
      <c r="B263" s="1"/>
      <c r="C263" s="1" t="s">
        <v>97</v>
      </c>
      <c r="D263" s="1"/>
      <c r="E263" s="1"/>
      <c r="F263" s="84"/>
      <c r="G263" s="84"/>
      <c r="H263" s="1"/>
      <c r="I263" s="1"/>
      <c r="J263" s="1"/>
      <c r="K263" s="1"/>
      <c r="L263" s="18"/>
      <c r="M263" s="18"/>
      <c r="N263" s="18"/>
      <c r="O263" s="18"/>
      <c r="P263" s="180"/>
      <c r="Q263" s="230"/>
      <c r="R263" s="182"/>
      <c r="S263" s="1"/>
      <c r="U263" s="50"/>
      <c r="V263" s="50"/>
      <c r="W263" s="50"/>
    </row>
    <row r="264" spans="1:23" x14ac:dyDescent="0.35">
      <c r="A264" s="32">
        <v>45279</v>
      </c>
      <c r="B264" s="1"/>
      <c r="C264" s="1" t="s">
        <v>97</v>
      </c>
      <c r="D264" s="1"/>
      <c r="E264" s="1"/>
      <c r="F264" s="84"/>
      <c r="G264" s="84"/>
      <c r="H264" s="1"/>
      <c r="I264" s="1"/>
      <c r="J264" s="1"/>
      <c r="K264" s="1"/>
      <c r="L264" s="18"/>
      <c r="M264" s="18"/>
      <c r="N264" s="18"/>
      <c r="O264" s="18"/>
      <c r="P264" s="180"/>
      <c r="Q264" s="230"/>
      <c r="R264" s="182"/>
      <c r="S264" s="1"/>
    </row>
    <row r="265" spans="1:23" x14ac:dyDescent="0.35">
      <c r="A265" s="32">
        <v>45280</v>
      </c>
      <c r="B265" s="1"/>
      <c r="C265" s="1" t="s">
        <v>97</v>
      </c>
      <c r="D265" s="1"/>
      <c r="E265" s="1"/>
      <c r="F265" s="84"/>
      <c r="G265" s="84"/>
      <c r="H265" s="1"/>
      <c r="I265" s="1"/>
      <c r="J265" s="1"/>
      <c r="K265" s="1"/>
      <c r="L265" s="18"/>
      <c r="M265" s="18"/>
      <c r="N265" s="18"/>
      <c r="O265" s="18"/>
      <c r="P265" s="180"/>
      <c r="Q265" s="230"/>
      <c r="R265" s="182"/>
      <c r="S265" s="1"/>
    </row>
    <row r="266" spans="1:23" x14ac:dyDescent="0.35">
      <c r="A266" s="32">
        <v>45281</v>
      </c>
      <c r="B266" s="1"/>
      <c r="C266" s="1" t="s">
        <v>97</v>
      </c>
      <c r="D266" s="1"/>
      <c r="E266" s="1"/>
      <c r="F266" s="84"/>
      <c r="G266" s="84"/>
      <c r="H266" s="1"/>
      <c r="I266" s="1"/>
      <c r="J266" s="1"/>
      <c r="K266" s="1"/>
      <c r="L266" s="18"/>
      <c r="M266" s="18"/>
      <c r="N266" s="18"/>
      <c r="O266" s="18"/>
      <c r="P266" s="180"/>
      <c r="Q266" s="230"/>
      <c r="R266" s="182"/>
      <c r="S266" s="1"/>
    </row>
    <row r="267" spans="1:23" x14ac:dyDescent="0.35">
      <c r="A267" s="32">
        <v>45282</v>
      </c>
      <c r="B267" s="1"/>
      <c r="C267" s="1" t="s">
        <v>97</v>
      </c>
      <c r="D267" s="1"/>
      <c r="E267" s="1"/>
      <c r="F267" s="84"/>
      <c r="G267" s="84"/>
      <c r="H267" s="1"/>
      <c r="I267" s="1"/>
      <c r="J267" s="1"/>
      <c r="K267" s="1"/>
      <c r="L267" s="18"/>
      <c r="M267" s="18"/>
      <c r="N267" s="18"/>
      <c r="O267" s="18"/>
      <c r="P267" s="180"/>
      <c r="Q267" s="230"/>
      <c r="R267" s="182"/>
      <c r="S267" s="1"/>
    </row>
    <row r="268" spans="1:23" x14ac:dyDescent="0.35">
      <c r="A268" s="32">
        <v>45283</v>
      </c>
      <c r="B268" s="1"/>
      <c r="C268" s="1" t="s">
        <v>97</v>
      </c>
      <c r="D268" s="1"/>
      <c r="E268" s="1"/>
      <c r="F268" s="84"/>
      <c r="G268" s="84"/>
      <c r="H268" s="1"/>
      <c r="I268" s="1"/>
      <c r="J268" s="1"/>
      <c r="K268" s="1"/>
      <c r="L268" s="18"/>
      <c r="M268" s="18"/>
      <c r="N268" s="18"/>
      <c r="O268" s="18"/>
      <c r="P268" s="180"/>
      <c r="Q268" s="230"/>
      <c r="R268" s="182"/>
      <c r="S268" s="1"/>
    </row>
    <row r="269" spans="1:23" x14ac:dyDescent="0.35">
      <c r="A269" s="32">
        <v>45284</v>
      </c>
      <c r="B269" s="1"/>
      <c r="C269" s="1" t="s">
        <v>97</v>
      </c>
      <c r="D269" s="1"/>
      <c r="E269" s="1"/>
      <c r="F269" s="84"/>
      <c r="G269" s="84"/>
      <c r="H269" s="1"/>
      <c r="I269" s="1"/>
      <c r="J269" s="1"/>
      <c r="K269" s="1"/>
      <c r="L269" s="18"/>
      <c r="M269" s="18"/>
      <c r="N269" s="18"/>
      <c r="O269" s="18"/>
      <c r="P269" s="180"/>
      <c r="Q269" s="230"/>
      <c r="R269" s="182"/>
      <c r="S269" s="1"/>
    </row>
    <row r="270" spans="1:23" x14ac:dyDescent="0.35">
      <c r="A270" s="32">
        <v>45285</v>
      </c>
      <c r="B270" s="1"/>
      <c r="C270" s="1" t="s">
        <v>97</v>
      </c>
      <c r="D270" s="1"/>
      <c r="E270" s="1"/>
      <c r="F270" s="1"/>
      <c r="G270" s="1"/>
      <c r="H270" s="1"/>
      <c r="I270" s="1"/>
      <c r="J270" s="1"/>
      <c r="K270" s="1"/>
      <c r="L270" s="18"/>
      <c r="M270" s="18"/>
      <c r="N270" s="18"/>
      <c r="O270" s="18"/>
      <c r="P270" s="180"/>
      <c r="Q270" s="230"/>
      <c r="R270" s="182"/>
      <c r="S270" s="1"/>
    </row>
    <row r="271" spans="1:23" x14ac:dyDescent="0.35">
      <c r="A271" s="32">
        <v>45286</v>
      </c>
      <c r="B271" s="1"/>
      <c r="C271" s="1" t="s">
        <v>97</v>
      </c>
      <c r="D271" s="1"/>
      <c r="E271" s="1"/>
      <c r="F271" s="1"/>
      <c r="G271" s="1"/>
      <c r="H271" s="1"/>
      <c r="I271" s="1"/>
      <c r="J271" s="1"/>
      <c r="K271" s="1"/>
      <c r="L271" s="18"/>
      <c r="M271" s="18"/>
      <c r="N271" s="18"/>
      <c r="O271" s="18"/>
      <c r="P271" s="180"/>
      <c r="Q271" s="230"/>
      <c r="R271" s="182"/>
      <c r="S271" s="1"/>
    </row>
    <row r="272" spans="1:23" x14ac:dyDescent="0.35">
      <c r="A272" s="32">
        <v>45287</v>
      </c>
      <c r="B272" s="1"/>
      <c r="C272" s="1" t="s">
        <v>97</v>
      </c>
      <c r="D272" s="1"/>
      <c r="E272" s="1"/>
      <c r="F272" s="1"/>
      <c r="G272" s="1"/>
      <c r="H272" s="1"/>
      <c r="I272" s="1"/>
      <c r="J272" s="1"/>
      <c r="K272" s="1"/>
      <c r="L272" s="18"/>
      <c r="M272" s="18"/>
      <c r="N272" s="18"/>
      <c r="O272" s="18"/>
      <c r="P272" s="180"/>
      <c r="Q272" s="230"/>
      <c r="R272" s="182"/>
      <c r="S272" s="1"/>
    </row>
    <row r="273" spans="1:23" x14ac:dyDescent="0.35">
      <c r="A273" s="32">
        <v>45288</v>
      </c>
      <c r="B273" s="1"/>
      <c r="C273" s="1" t="s">
        <v>97</v>
      </c>
      <c r="D273" s="1"/>
      <c r="E273" s="1"/>
      <c r="F273" s="84"/>
      <c r="G273" s="84"/>
      <c r="H273" s="1"/>
      <c r="I273" s="1"/>
      <c r="J273" s="1"/>
      <c r="K273" s="1"/>
      <c r="L273" s="18"/>
      <c r="M273" s="18"/>
      <c r="N273" s="18"/>
      <c r="O273" s="18"/>
      <c r="P273" s="180"/>
      <c r="Q273" s="230"/>
      <c r="R273" s="182"/>
      <c r="S273" s="1"/>
    </row>
    <row r="274" spans="1:23" x14ac:dyDescent="0.35">
      <c r="A274" s="32">
        <v>45289</v>
      </c>
      <c r="B274" s="1"/>
      <c r="C274" s="1" t="s">
        <v>97</v>
      </c>
      <c r="D274" s="1"/>
      <c r="E274" s="1"/>
      <c r="F274" s="84"/>
      <c r="G274" s="84"/>
      <c r="H274" s="1"/>
      <c r="I274" s="1"/>
      <c r="J274" s="1"/>
      <c r="K274" s="1"/>
      <c r="L274" s="18"/>
      <c r="M274" s="18"/>
      <c r="N274" s="18"/>
      <c r="O274" s="18"/>
      <c r="P274" s="180"/>
      <c r="Q274" s="230"/>
      <c r="R274" s="182"/>
      <c r="S274" s="1"/>
    </row>
    <row r="275" spans="1:23" x14ac:dyDescent="0.35">
      <c r="A275" s="32">
        <v>45290</v>
      </c>
      <c r="B275" s="1"/>
      <c r="C275" s="1" t="s">
        <v>97</v>
      </c>
      <c r="D275" s="1"/>
      <c r="E275" s="1"/>
      <c r="F275" s="84"/>
      <c r="G275" s="84"/>
      <c r="H275" s="1"/>
      <c r="I275" s="1"/>
      <c r="J275" s="1"/>
      <c r="K275" s="1"/>
      <c r="L275" s="18"/>
      <c r="M275" s="18"/>
      <c r="N275" s="18"/>
      <c r="O275" s="18"/>
      <c r="P275" s="180"/>
      <c r="Q275" s="230"/>
      <c r="R275" s="182"/>
      <c r="S275" s="1"/>
      <c r="U275">
        <f>AVERAGEIF(D2:D341,"&lt;&gt;0")</f>
        <v>895.67777777777781</v>
      </c>
    </row>
    <row r="276" spans="1:23" x14ac:dyDescent="0.35">
      <c r="A276" s="32">
        <v>45291</v>
      </c>
      <c r="B276" s="1"/>
      <c r="C276" s="1" t="s">
        <v>97</v>
      </c>
      <c r="D276" s="1"/>
      <c r="E276" s="1"/>
      <c r="F276" s="84"/>
      <c r="G276" s="84"/>
      <c r="H276" s="1"/>
      <c r="I276" s="1"/>
      <c r="J276" s="1"/>
      <c r="K276" s="1"/>
      <c r="L276" s="18"/>
      <c r="M276" s="18"/>
      <c r="N276" s="18"/>
      <c r="O276" s="18"/>
      <c r="P276" s="180"/>
      <c r="Q276" s="230"/>
      <c r="R276" s="182"/>
      <c r="S276" s="1"/>
    </row>
    <row r="277" spans="1:23" s="49" customFormat="1" x14ac:dyDescent="0.35">
      <c r="A277" s="32">
        <v>45292</v>
      </c>
      <c r="B277" s="67"/>
      <c r="C277" s="1" t="s">
        <v>97</v>
      </c>
      <c r="D277" s="67"/>
      <c r="E277" s="67"/>
      <c r="F277" s="67"/>
      <c r="G277" s="67"/>
      <c r="H277" s="67"/>
      <c r="I277" s="67"/>
      <c r="J277" s="67"/>
      <c r="K277" s="67"/>
      <c r="L277" s="2"/>
      <c r="M277" s="2"/>
      <c r="N277" s="2"/>
      <c r="O277" s="2"/>
      <c r="P277" s="180"/>
      <c r="Q277" s="230"/>
      <c r="R277" s="184"/>
      <c r="S277" s="85"/>
      <c r="U277"/>
      <c r="V277"/>
      <c r="W277"/>
    </row>
    <row r="278" spans="1:23" x14ac:dyDescent="0.35">
      <c r="A278" s="32">
        <v>45293</v>
      </c>
      <c r="B278" s="1"/>
      <c r="C278" s="1" t="s">
        <v>97</v>
      </c>
      <c r="D278" s="1"/>
      <c r="E278" s="1"/>
      <c r="F278" s="1"/>
      <c r="G278" s="1"/>
      <c r="H278" s="1"/>
      <c r="I278" s="1"/>
      <c r="J278" s="1"/>
      <c r="K278" s="1"/>
      <c r="L278" s="18"/>
      <c r="M278" s="18"/>
      <c r="N278" s="18"/>
      <c r="O278" s="18"/>
      <c r="P278" s="180"/>
      <c r="Q278" s="230"/>
      <c r="R278" s="182"/>
      <c r="S278" s="77"/>
    </row>
    <row r="279" spans="1:23" x14ac:dyDescent="0.35">
      <c r="A279" s="32">
        <v>45294</v>
      </c>
      <c r="B279" s="1"/>
      <c r="C279" s="1" t="s">
        <v>97</v>
      </c>
      <c r="D279" s="1"/>
      <c r="E279" s="1"/>
      <c r="F279" s="84"/>
      <c r="G279" s="84"/>
      <c r="H279" s="1"/>
      <c r="I279" s="1"/>
      <c r="J279" s="1"/>
      <c r="K279" s="1"/>
      <c r="L279" s="18"/>
      <c r="M279" s="18"/>
      <c r="N279" s="18"/>
      <c r="O279" s="18"/>
      <c r="P279" s="180"/>
      <c r="Q279" s="230"/>
      <c r="R279" s="181"/>
      <c r="S279" s="1"/>
    </row>
    <row r="280" spans="1:23" x14ac:dyDescent="0.35">
      <c r="A280" s="32">
        <v>45295</v>
      </c>
      <c r="B280" s="1"/>
      <c r="C280" s="1" t="s">
        <v>97</v>
      </c>
      <c r="D280" s="1"/>
      <c r="E280" s="1"/>
      <c r="F280" s="84"/>
      <c r="G280" s="84"/>
      <c r="H280" s="1"/>
      <c r="I280" s="1"/>
      <c r="J280" s="1"/>
      <c r="K280" s="1"/>
      <c r="L280" s="18"/>
      <c r="M280" s="18"/>
      <c r="N280" s="18"/>
      <c r="O280" s="18"/>
      <c r="P280" s="180"/>
      <c r="Q280" s="230"/>
      <c r="R280" s="181"/>
      <c r="S280" s="1"/>
    </row>
    <row r="281" spans="1:23" x14ac:dyDescent="0.35">
      <c r="A281" s="32">
        <v>45296</v>
      </c>
      <c r="B281" s="1"/>
      <c r="C281" s="1" t="s">
        <v>97</v>
      </c>
      <c r="D281" s="1"/>
      <c r="E281" s="1"/>
      <c r="F281" s="84"/>
      <c r="G281" s="84"/>
      <c r="H281" s="1"/>
      <c r="I281" s="1"/>
      <c r="J281" s="1"/>
      <c r="K281" s="1"/>
      <c r="L281" s="18"/>
      <c r="M281" s="18"/>
      <c r="N281" s="18"/>
      <c r="O281" s="18"/>
      <c r="P281" s="180"/>
      <c r="Q281" s="230"/>
      <c r="R281" s="181"/>
      <c r="S281" s="1"/>
    </row>
    <row r="282" spans="1:23" x14ac:dyDescent="0.35">
      <c r="A282" s="32">
        <v>45297</v>
      </c>
      <c r="B282" s="1"/>
      <c r="C282" s="1" t="s">
        <v>97</v>
      </c>
      <c r="D282" s="1"/>
      <c r="E282" s="1"/>
      <c r="F282" s="84"/>
      <c r="G282" s="84"/>
      <c r="H282" s="1"/>
      <c r="I282" s="1"/>
      <c r="J282" s="1"/>
      <c r="K282" s="1"/>
      <c r="L282" s="18"/>
      <c r="M282" s="18"/>
      <c r="N282" s="18"/>
      <c r="O282" s="18"/>
      <c r="P282" s="180"/>
      <c r="Q282" s="230"/>
      <c r="R282" s="181"/>
      <c r="S282" s="1"/>
    </row>
    <row r="283" spans="1:23" x14ac:dyDescent="0.35">
      <c r="A283" s="32">
        <v>45298</v>
      </c>
      <c r="B283" s="1"/>
      <c r="C283" s="1" t="s">
        <v>97</v>
      </c>
      <c r="D283" s="1"/>
      <c r="E283" s="1"/>
      <c r="F283" s="84"/>
      <c r="G283" s="84"/>
      <c r="H283" s="1"/>
      <c r="I283" s="1"/>
      <c r="J283" s="1"/>
      <c r="K283" s="1"/>
      <c r="L283" s="18"/>
      <c r="M283" s="18"/>
      <c r="N283" s="18"/>
      <c r="O283" s="18"/>
      <c r="P283" s="180"/>
      <c r="Q283" s="230"/>
      <c r="R283" s="181"/>
      <c r="S283" s="1"/>
      <c r="U283">
        <f>AVERAGEIF(O1:O367,"&lt;&gt;0")</f>
        <v>0.76566666666666661</v>
      </c>
    </row>
    <row r="284" spans="1:23" x14ac:dyDescent="0.35">
      <c r="A284" s="32">
        <v>45299</v>
      </c>
      <c r="B284" s="1"/>
      <c r="C284" s="1" t="s">
        <v>97</v>
      </c>
      <c r="D284" s="1"/>
      <c r="E284" s="1"/>
      <c r="F284" s="1"/>
      <c r="G284" s="1"/>
      <c r="H284" s="1"/>
      <c r="I284" s="1"/>
      <c r="J284" s="1"/>
      <c r="K284" s="1"/>
      <c r="L284" s="18"/>
      <c r="M284" s="18"/>
      <c r="N284" s="18"/>
      <c r="O284" s="18"/>
      <c r="P284" s="180"/>
      <c r="Q284" s="230"/>
      <c r="R284" s="181"/>
      <c r="S284" s="1"/>
    </row>
    <row r="285" spans="1:23" x14ac:dyDescent="0.35">
      <c r="A285" s="32">
        <v>45300</v>
      </c>
      <c r="B285" s="1"/>
      <c r="C285" s="1" t="s">
        <v>97</v>
      </c>
      <c r="D285" s="1"/>
      <c r="E285" s="1"/>
      <c r="F285" s="1"/>
      <c r="G285" s="1"/>
      <c r="H285" s="1"/>
      <c r="I285" s="1"/>
      <c r="J285" s="1"/>
      <c r="K285" s="1"/>
      <c r="L285" s="18"/>
      <c r="M285" s="18"/>
      <c r="N285" s="18"/>
      <c r="O285" s="18"/>
      <c r="P285" s="180"/>
      <c r="Q285" s="230"/>
      <c r="R285" s="181"/>
      <c r="S285" s="1"/>
    </row>
    <row r="286" spans="1:23" x14ac:dyDescent="0.35">
      <c r="A286" s="32">
        <v>45301</v>
      </c>
      <c r="B286" s="1"/>
      <c r="C286" s="1" t="s">
        <v>97</v>
      </c>
      <c r="D286" s="1"/>
      <c r="E286" s="1"/>
      <c r="F286" s="84"/>
      <c r="G286" s="84"/>
      <c r="H286" s="1"/>
      <c r="I286" s="1"/>
      <c r="J286" s="1"/>
      <c r="K286" s="1"/>
      <c r="L286" s="18"/>
      <c r="M286" s="18"/>
      <c r="N286" s="18"/>
      <c r="O286" s="18"/>
      <c r="P286" s="180"/>
      <c r="Q286" s="230"/>
      <c r="R286" s="181"/>
      <c r="S286" s="1"/>
    </row>
    <row r="287" spans="1:23" x14ac:dyDescent="0.35">
      <c r="A287" s="32">
        <v>45302</v>
      </c>
      <c r="B287" s="1"/>
      <c r="C287" s="1" t="s">
        <v>97</v>
      </c>
      <c r="D287" s="1"/>
      <c r="E287" s="1"/>
      <c r="F287" s="84"/>
      <c r="G287" s="84"/>
      <c r="H287" s="1"/>
      <c r="I287" s="1"/>
      <c r="J287" s="1"/>
      <c r="K287" s="1"/>
      <c r="L287" s="18"/>
      <c r="M287" s="18"/>
      <c r="N287" s="18"/>
      <c r="O287" s="18"/>
      <c r="P287" s="180"/>
      <c r="Q287" s="230"/>
      <c r="R287" s="181"/>
      <c r="S287" s="1"/>
    </row>
    <row r="288" spans="1:23" x14ac:dyDescent="0.35">
      <c r="A288" s="32">
        <v>45303</v>
      </c>
      <c r="B288" s="1"/>
      <c r="C288" s="1" t="s">
        <v>97</v>
      </c>
      <c r="D288" s="1"/>
      <c r="E288" s="1"/>
      <c r="F288" s="84"/>
      <c r="G288" s="84"/>
      <c r="H288" s="1"/>
      <c r="I288" s="1"/>
      <c r="J288" s="1"/>
      <c r="K288" s="1"/>
      <c r="L288" s="18"/>
      <c r="M288" s="18"/>
      <c r="N288" s="18"/>
      <c r="O288" s="18"/>
      <c r="P288" s="180"/>
      <c r="Q288" s="230"/>
      <c r="R288" s="181"/>
      <c r="S288" s="1"/>
    </row>
    <row r="289" spans="1:23" x14ac:dyDescent="0.35">
      <c r="A289" s="32">
        <v>45304</v>
      </c>
      <c r="B289" s="1"/>
      <c r="C289" s="1" t="s">
        <v>97</v>
      </c>
      <c r="D289" s="1"/>
      <c r="E289" s="1"/>
      <c r="F289" s="84"/>
      <c r="G289" s="84"/>
      <c r="H289" s="1"/>
      <c r="I289" s="1"/>
      <c r="J289" s="1"/>
      <c r="K289" s="1"/>
      <c r="L289" s="18"/>
      <c r="M289" s="18"/>
      <c r="N289" s="18"/>
      <c r="O289" s="18"/>
      <c r="P289" s="180"/>
      <c r="Q289" s="230"/>
      <c r="R289" s="181"/>
      <c r="S289" s="1"/>
    </row>
    <row r="290" spans="1:23" x14ac:dyDescent="0.35">
      <c r="A290" s="32">
        <v>45305</v>
      </c>
      <c r="B290" s="1"/>
      <c r="C290" s="1" t="s">
        <v>97</v>
      </c>
      <c r="D290" s="1"/>
      <c r="E290" s="1"/>
      <c r="F290" s="84"/>
      <c r="G290" s="84"/>
      <c r="H290" s="1"/>
      <c r="I290" s="1"/>
      <c r="J290" s="1"/>
      <c r="K290" s="1"/>
      <c r="L290" s="18"/>
      <c r="M290" s="18"/>
      <c r="N290" s="18"/>
      <c r="O290" s="18"/>
      <c r="P290" s="180"/>
      <c r="Q290" s="230"/>
      <c r="R290" s="181"/>
      <c r="S290" s="1"/>
    </row>
    <row r="291" spans="1:23" x14ac:dyDescent="0.35">
      <c r="A291" s="32">
        <v>45306</v>
      </c>
      <c r="B291" s="1"/>
      <c r="C291" s="1" t="s">
        <v>97</v>
      </c>
      <c r="D291" s="1"/>
      <c r="E291" s="1"/>
      <c r="F291" s="1"/>
      <c r="G291" s="1"/>
      <c r="H291" s="1"/>
      <c r="I291" s="1"/>
      <c r="J291" s="1"/>
      <c r="K291" s="1"/>
      <c r="L291" s="18"/>
      <c r="M291" s="18"/>
      <c r="N291" s="18"/>
      <c r="O291" s="18"/>
      <c r="P291" s="180"/>
      <c r="Q291" s="230"/>
      <c r="R291" s="181"/>
      <c r="S291" s="1"/>
    </row>
    <row r="292" spans="1:23" x14ac:dyDescent="0.35">
      <c r="A292" s="32">
        <v>45307</v>
      </c>
      <c r="B292" s="1"/>
      <c r="C292" s="1" t="s">
        <v>97</v>
      </c>
      <c r="D292" s="1"/>
      <c r="E292" s="1"/>
      <c r="F292" s="84"/>
      <c r="G292" s="84"/>
      <c r="H292" s="1"/>
      <c r="I292" s="1"/>
      <c r="J292" s="1"/>
      <c r="K292" s="1"/>
      <c r="L292" s="18"/>
      <c r="M292" s="18"/>
      <c r="N292" s="18"/>
      <c r="O292" s="18"/>
      <c r="P292" s="180"/>
      <c r="Q292" s="230"/>
      <c r="R292" s="181"/>
      <c r="S292" s="1"/>
      <c r="U292" s="49"/>
      <c r="V292" s="49"/>
      <c r="W292" s="49"/>
    </row>
    <row r="293" spans="1:23" x14ac:dyDescent="0.35">
      <c r="A293" s="32">
        <v>45308</v>
      </c>
      <c r="B293" s="1"/>
      <c r="C293" s="1" t="s">
        <v>97</v>
      </c>
      <c r="D293" s="1"/>
      <c r="E293" s="1"/>
      <c r="F293" s="84"/>
      <c r="G293" s="84"/>
      <c r="H293" s="1"/>
      <c r="I293" s="1"/>
      <c r="J293" s="1"/>
      <c r="K293" s="1"/>
      <c r="L293" s="18"/>
      <c r="M293" s="18"/>
      <c r="N293" s="18"/>
      <c r="O293" s="18"/>
      <c r="P293" s="180"/>
      <c r="Q293" s="230"/>
      <c r="R293" s="181"/>
      <c r="S293" s="1"/>
    </row>
    <row r="294" spans="1:23" x14ac:dyDescent="0.35">
      <c r="A294" s="32">
        <v>45309</v>
      </c>
      <c r="B294" s="1"/>
      <c r="C294" s="1" t="s">
        <v>97</v>
      </c>
      <c r="D294" s="1"/>
      <c r="E294" s="1"/>
      <c r="F294" s="84"/>
      <c r="G294" s="84"/>
      <c r="H294" s="1"/>
      <c r="I294" s="1"/>
      <c r="J294" s="1"/>
      <c r="K294" s="1"/>
      <c r="L294" s="18"/>
      <c r="M294" s="18"/>
      <c r="N294" s="18"/>
      <c r="O294" s="18"/>
      <c r="P294" s="180"/>
      <c r="Q294" s="230"/>
      <c r="R294" s="181"/>
      <c r="S294" s="1"/>
    </row>
    <row r="295" spans="1:23" x14ac:dyDescent="0.35">
      <c r="A295" s="32">
        <v>45310</v>
      </c>
      <c r="B295" s="1"/>
      <c r="C295" s="1" t="s">
        <v>97</v>
      </c>
      <c r="D295" s="1"/>
      <c r="E295" s="1"/>
      <c r="F295" s="84"/>
      <c r="G295" s="84"/>
      <c r="H295" s="1"/>
      <c r="I295" s="1"/>
      <c r="J295" s="1"/>
      <c r="K295" s="1"/>
      <c r="L295" s="18"/>
      <c r="M295" s="18"/>
      <c r="N295" s="18"/>
      <c r="O295" s="18"/>
      <c r="P295" s="180"/>
      <c r="Q295" s="230"/>
      <c r="R295" s="181"/>
      <c r="S295" s="1"/>
    </row>
    <row r="296" spans="1:23" x14ac:dyDescent="0.35">
      <c r="A296" s="32">
        <v>45311</v>
      </c>
      <c r="B296" s="1"/>
      <c r="C296" s="1" t="s">
        <v>97</v>
      </c>
      <c r="D296" s="1"/>
      <c r="E296" s="1"/>
      <c r="F296" s="84"/>
      <c r="G296" s="84"/>
      <c r="H296" s="1"/>
      <c r="I296" s="1"/>
      <c r="J296" s="1"/>
      <c r="K296" s="1"/>
      <c r="L296" s="18"/>
      <c r="M296" s="18"/>
      <c r="N296" s="18"/>
      <c r="O296" s="18"/>
      <c r="P296" s="180"/>
      <c r="Q296" s="230"/>
      <c r="R296" s="181"/>
      <c r="S296" s="1"/>
    </row>
    <row r="297" spans="1:23" x14ac:dyDescent="0.35">
      <c r="A297" s="32">
        <v>45312</v>
      </c>
      <c r="B297" s="1"/>
      <c r="C297" s="1" t="s">
        <v>97</v>
      </c>
      <c r="D297" s="1"/>
      <c r="E297" s="1"/>
      <c r="F297" s="84"/>
      <c r="G297" s="84"/>
      <c r="H297" s="1"/>
      <c r="I297" s="1"/>
      <c r="J297" s="1"/>
      <c r="K297" s="1"/>
      <c r="L297" s="18"/>
      <c r="M297" s="18"/>
      <c r="N297" s="18"/>
      <c r="O297" s="18"/>
      <c r="P297" s="180"/>
      <c r="Q297" s="230"/>
      <c r="R297" s="181"/>
      <c r="S297" s="1"/>
    </row>
    <row r="298" spans="1:23" x14ac:dyDescent="0.35">
      <c r="A298" s="32">
        <v>45313</v>
      </c>
      <c r="B298" s="1"/>
      <c r="C298" s="1" t="s">
        <v>97</v>
      </c>
      <c r="D298" s="1"/>
      <c r="E298" s="1"/>
      <c r="F298" s="1"/>
      <c r="G298" s="1"/>
      <c r="H298" s="1"/>
      <c r="I298" s="1"/>
      <c r="J298" s="1"/>
      <c r="K298" s="1"/>
      <c r="L298" s="18"/>
      <c r="M298" s="18"/>
      <c r="N298" s="18"/>
      <c r="O298" s="18"/>
      <c r="P298" s="180"/>
      <c r="Q298" s="230"/>
      <c r="R298" s="181"/>
      <c r="S298" s="1"/>
    </row>
    <row r="299" spans="1:23" x14ac:dyDescent="0.35">
      <c r="A299" s="32">
        <v>45314</v>
      </c>
      <c r="B299" s="1"/>
      <c r="C299" s="1" t="s">
        <v>97</v>
      </c>
      <c r="D299" s="1"/>
      <c r="E299" s="1"/>
      <c r="F299" s="84"/>
      <c r="G299" s="84"/>
      <c r="H299" s="1"/>
      <c r="I299" s="1"/>
      <c r="J299" s="1"/>
      <c r="K299" s="1"/>
      <c r="L299" s="18"/>
      <c r="M299" s="18"/>
      <c r="N299" s="18"/>
      <c r="O299" s="18"/>
      <c r="P299" s="180"/>
      <c r="Q299" s="230"/>
      <c r="R299" s="181"/>
      <c r="S299" s="1"/>
    </row>
    <row r="300" spans="1:23" x14ac:dyDescent="0.35">
      <c r="A300" s="32">
        <v>45315</v>
      </c>
      <c r="B300" s="1"/>
      <c r="C300" s="1" t="s">
        <v>97</v>
      </c>
      <c r="D300" s="1"/>
      <c r="E300" s="1"/>
      <c r="F300" s="84"/>
      <c r="G300" s="84"/>
      <c r="H300" s="1"/>
      <c r="I300" s="1"/>
      <c r="J300" s="1"/>
      <c r="K300" s="1"/>
      <c r="L300" s="18"/>
      <c r="M300" s="18"/>
      <c r="N300" s="18"/>
      <c r="O300" s="18"/>
      <c r="P300" s="180"/>
      <c r="Q300" s="230"/>
      <c r="R300" s="181"/>
      <c r="S300" s="1"/>
    </row>
    <row r="301" spans="1:23" x14ac:dyDescent="0.35">
      <c r="A301" s="32">
        <v>45316</v>
      </c>
      <c r="B301" s="1"/>
      <c r="C301" s="1" t="s">
        <v>97</v>
      </c>
      <c r="D301" s="1"/>
      <c r="E301" s="1"/>
      <c r="F301" s="84"/>
      <c r="G301" s="84"/>
      <c r="H301" s="1"/>
      <c r="I301" s="1"/>
      <c r="J301" s="1"/>
      <c r="K301" s="1"/>
      <c r="L301" s="18"/>
      <c r="M301" s="18"/>
      <c r="N301" s="18"/>
      <c r="O301" s="18"/>
      <c r="P301" s="180"/>
      <c r="Q301" s="230"/>
      <c r="R301" s="181"/>
      <c r="S301" s="1"/>
    </row>
    <row r="302" spans="1:23" x14ac:dyDescent="0.35">
      <c r="A302" s="32">
        <v>45317</v>
      </c>
      <c r="B302" s="1"/>
      <c r="C302" s="1" t="s">
        <v>97</v>
      </c>
      <c r="D302" s="1"/>
      <c r="E302" s="1"/>
      <c r="F302" s="84"/>
      <c r="G302" s="84"/>
      <c r="H302" s="1"/>
      <c r="I302" s="1"/>
      <c r="J302" s="1"/>
      <c r="K302" s="1"/>
      <c r="L302" s="18"/>
      <c r="M302" s="18"/>
      <c r="N302" s="18"/>
      <c r="O302" s="18"/>
      <c r="P302" s="180"/>
      <c r="Q302" s="230"/>
      <c r="R302" s="181"/>
      <c r="S302" s="1"/>
    </row>
    <row r="303" spans="1:23" x14ac:dyDescent="0.35">
      <c r="A303" s="32">
        <v>45318</v>
      </c>
      <c r="B303" s="1"/>
      <c r="C303" s="1" t="s">
        <v>97</v>
      </c>
      <c r="D303" s="1"/>
      <c r="E303" s="1"/>
      <c r="F303" s="84"/>
      <c r="G303" s="84"/>
      <c r="H303" s="1"/>
      <c r="I303" s="1"/>
      <c r="J303" s="1"/>
      <c r="K303" s="1"/>
      <c r="L303" s="18"/>
      <c r="M303" s="18"/>
      <c r="N303" s="18"/>
      <c r="O303" s="18"/>
      <c r="P303" s="180"/>
      <c r="Q303" s="230"/>
      <c r="R303" s="181"/>
      <c r="S303" s="1"/>
    </row>
    <row r="304" spans="1:23" x14ac:dyDescent="0.35">
      <c r="A304" s="32">
        <v>45319</v>
      </c>
      <c r="B304" s="1"/>
      <c r="C304" s="1" t="s">
        <v>97</v>
      </c>
      <c r="D304" s="1"/>
      <c r="E304" s="1"/>
      <c r="F304" s="84"/>
      <c r="G304" s="84"/>
      <c r="H304" s="1"/>
      <c r="I304" s="1"/>
      <c r="J304" s="1"/>
      <c r="K304" s="1"/>
      <c r="L304" s="18"/>
      <c r="M304" s="18"/>
      <c r="N304" s="18"/>
      <c r="O304" s="18"/>
      <c r="P304" s="180"/>
      <c r="Q304" s="230"/>
      <c r="R304" s="181"/>
      <c r="S304" s="1"/>
    </row>
    <row r="305" spans="1:23" x14ac:dyDescent="0.35">
      <c r="A305" s="32">
        <v>45320</v>
      </c>
      <c r="B305" s="1"/>
      <c r="C305" s="1" t="s">
        <v>97</v>
      </c>
      <c r="D305" s="1"/>
      <c r="E305" s="1"/>
      <c r="F305" s="1"/>
      <c r="G305" s="1"/>
      <c r="H305" s="1"/>
      <c r="I305" s="1"/>
      <c r="J305" s="1"/>
      <c r="K305" s="1"/>
      <c r="L305" s="18"/>
      <c r="M305" s="18"/>
      <c r="N305" s="18"/>
      <c r="O305" s="18"/>
      <c r="P305" s="180"/>
      <c r="Q305" s="230"/>
      <c r="R305" s="181"/>
      <c r="S305" s="1"/>
    </row>
    <row r="306" spans="1:23" x14ac:dyDescent="0.35">
      <c r="A306" s="32">
        <v>45321</v>
      </c>
      <c r="B306" s="1"/>
      <c r="C306" s="1" t="s">
        <v>97</v>
      </c>
      <c r="D306" s="1"/>
      <c r="E306" s="1"/>
      <c r="F306" s="84"/>
      <c r="G306" s="84"/>
      <c r="H306" s="1"/>
      <c r="I306" s="1"/>
      <c r="J306" s="1"/>
      <c r="K306" s="1"/>
      <c r="L306" s="18"/>
      <c r="M306" s="18"/>
      <c r="N306" s="18"/>
      <c r="O306" s="18"/>
      <c r="P306" s="180"/>
      <c r="Q306" s="230"/>
      <c r="R306" s="181"/>
      <c r="S306" s="1"/>
    </row>
    <row r="307" spans="1:23" x14ac:dyDescent="0.35">
      <c r="A307" s="32">
        <v>45322</v>
      </c>
      <c r="B307" s="1"/>
      <c r="C307" s="1" t="s">
        <v>97</v>
      </c>
      <c r="D307" s="1"/>
      <c r="E307" s="1"/>
      <c r="F307" s="84"/>
      <c r="G307" s="84"/>
      <c r="H307" s="1"/>
      <c r="I307" s="1"/>
      <c r="J307" s="1"/>
      <c r="K307" s="1"/>
      <c r="L307" s="18"/>
      <c r="M307" s="18"/>
      <c r="N307" s="18"/>
      <c r="O307" s="18"/>
      <c r="P307" s="180"/>
      <c r="Q307" s="230"/>
      <c r="R307" s="181"/>
      <c r="S307" s="1"/>
    </row>
    <row r="308" spans="1:23" x14ac:dyDescent="0.35">
      <c r="A308" s="32">
        <v>45323</v>
      </c>
      <c r="B308" s="1"/>
      <c r="C308" s="1" t="s">
        <v>97</v>
      </c>
      <c r="D308" s="1"/>
      <c r="E308" s="1"/>
      <c r="F308" s="84"/>
      <c r="G308" s="84"/>
      <c r="H308" s="1"/>
      <c r="I308" s="1"/>
      <c r="J308" s="1"/>
      <c r="K308" s="1"/>
      <c r="L308" s="18"/>
      <c r="M308" s="18"/>
      <c r="N308" s="18"/>
      <c r="O308" s="18"/>
      <c r="P308" s="180"/>
      <c r="Q308" s="230"/>
      <c r="R308" s="181"/>
      <c r="S308" s="1"/>
    </row>
    <row r="309" spans="1:23" x14ac:dyDescent="0.35">
      <c r="A309" s="32">
        <v>45324</v>
      </c>
      <c r="B309" s="1"/>
      <c r="C309" s="1" t="s">
        <v>97</v>
      </c>
      <c r="D309" s="1"/>
      <c r="E309" s="1"/>
      <c r="F309" s="84"/>
      <c r="G309" s="84"/>
      <c r="H309" s="1"/>
      <c r="I309" s="1"/>
      <c r="J309" s="1"/>
      <c r="K309" s="1"/>
      <c r="L309" s="18"/>
      <c r="M309" s="18"/>
      <c r="N309" s="18"/>
      <c r="O309" s="18"/>
      <c r="P309" s="180"/>
      <c r="Q309" s="230"/>
      <c r="R309" s="181"/>
      <c r="S309" s="1"/>
    </row>
    <row r="310" spans="1:23" x14ac:dyDescent="0.35">
      <c r="A310" s="32">
        <v>45325</v>
      </c>
      <c r="B310" s="1"/>
      <c r="C310" s="1" t="s">
        <v>97</v>
      </c>
      <c r="D310" s="1"/>
      <c r="E310" s="1"/>
      <c r="F310" s="84"/>
      <c r="G310" s="84"/>
      <c r="H310" s="1"/>
      <c r="I310" s="1"/>
      <c r="J310" s="1"/>
      <c r="K310" s="1"/>
      <c r="L310" s="18"/>
      <c r="M310" s="18"/>
      <c r="N310" s="18"/>
      <c r="O310" s="18"/>
      <c r="P310" s="180"/>
      <c r="Q310" s="230"/>
      <c r="R310" s="181"/>
      <c r="S310" s="1"/>
    </row>
    <row r="311" spans="1:23" x14ac:dyDescent="0.35">
      <c r="A311" s="32">
        <v>45326</v>
      </c>
      <c r="B311" s="1"/>
      <c r="C311" s="1" t="s">
        <v>97</v>
      </c>
      <c r="D311" s="1"/>
      <c r="E311" s="1"/>
      <c r="F311" s="84"/>
      <c r="G311" s="84"/>
      <c r="H311" s="1"/>
      <c r="I311" s="1"/>
      <c r="J311" s="1"/>
      <c r="K311" s="1"/>
      <c r="L311" s="18"/>
      <c r="M311" s="18"/>
      <c r="N311" s="18"/>
      <c r="O311" s="18"/>
      <c r="P311" s="180"/>
      <c r="Q311" s="230"/>
      <c r="R311" s="181"/>
      <c r="S311" s="1"/>
    </row>
    <row r="312" spans="1:23" x14ac:dyDescent="0.35">
      <c r="A312" s="32">
        <v>45327</v>
      </c>
      <c r="B312" s="1"/>
      <c r="C312" s="1" t="s">
        <v>97</v>
      </c>
      <c r="D312" s="1"/>
      <c r="E312" s="1"/>
      <c r="F312" s="1"/>
      <c r="G312" s="1"/>
      <c r="H312" s="1"/>
      <c r="I312" s="1"/>
      <c r="J312" s="1"/>
      <c r="K312" s="1"/>
      <c r="L312" s="18"/>
      <c r="M312" s="18"/>
      <c r="N312" s="18"/>
      <c r="O312" s="18"/>
      <c r="P312" s="180"/>
      <c r="Q312" s="230"/>
      <c r="R312" s="181"/>
      <c r="S312" s="1"/>
    </row>
    <row r="313" spans="1:23" x14ac:dyDescent="0.35">
      <c r="A313" s="32">
        <v>45328</v>
      </c>
      <c r="B313" s="1"/>
      <c r="C313" s="1" t="s">
        <v>97</v>
      </c>
      <c r="D313" s="1"/>
      <c r="E313" s="1"/>
      <c r="F313" s="84"/>
      <c r="G313" s="84"/>
      <c r="H313" s="1"/>
      <c r="I313" s="1"/>
      <c r="J313" s="1"/>
      <c r="K313" s="1"/>
      <c r="L313" s="18"/>
      <c r="M313" s="18"/>
      <c r="N313" s="18"/>
      <c r="O313" s="18"/>
      <c r="P313" s="180"/>
      <c r="Q313" s="230"/>
      <c r="R313" s="181"/>
      <c r="S313" s="1"/>
    </row>
    <row r="314" spans="1:23" x14ac:dyDescent="0.35">
      <c r="A314" s="32">
        <v>45329</v>
      </c>
      <c r="B314" s="1"/>
      <c r="C314" s="1" t="s">
        <v>97</v>
      </c>
      <c r="D314" s="1"/>
      <c r="E314" s="1"/>
      <c r="F314" s="84"/>
      <c r="G314" s="84"/>
      <c r="H314" s="1"/>
      <c r="I314" s="1"/>
      <c r="J314" s="1"/>
      <c r="K314" s="1"/>
      <c r="L314" s="18"/>
      <c r="M314" s="18"/>
      <c r="N314" s="18"/>
      <c r="O314" s="18"/>
      <c r="P314" s="180"/>
      <c r="Q314" s="230"/>
      <c r="R314" s="181"/>
      <c r="S314" s="1"/>
      <c r="V314" s="279" t="s">
        <v>86</v>
      </c>
      <c r="W314" s="279"/>
    </row>
    <row r="315" spans="1:23" x14ac:dyDescent="0.35">
      <c r="A315" s="32">
        <v>45330</v>
      </c>
      <c r="B315" s="1"/>
      <c r="C315" s="1" t="s">
        <v>97</v>
      </c>
      <c r="D315" s="1"/>
      <c r="E315" s="1"/>
      <c r="F315" s="84"/>
      <c r="G315" s="84"/>
      <c r="H315" s="1"/>
      <c r="I315" s="1"/>
      <c r="J315" s="1"/>
      <c r="K315" s="1"/>
      <c r="L315" s="18"/>
      <c r="M315" s="18"/>
      <c r="N315" s="18"/>
      <c r="O315" s="18"/>
      <c r="P315" s="180"/>
      <c r="Q315" s="230"/>
      <c r="R315" s="181"/>
      <c r="S315" s="1"/>
      <c r="V315" t="s">
        <v>87</v>
      </c>
      <c r="W315" t="s">
        <v>88</v>
      </c>
    </row>
    <row r="316" spans="1:23" x14ac:dyDescent="0.35">
      <c r="A316" s="32">
        <v>45331</v>
      </c>
      <c r="B316" s="1"/>
      <c r="C316" s="1" t="s">
        <v>97</v>
      </c>
      <c r="D316" s="1"/>
      <c r="E316" s="1"/>
      <c r="F316" s="84"/>
      <c r="G316" s="84"/>
      <c r="H316" s="1"/>
      <c r="I316" s="1"/>
      <c r="J316" s="1"/>
      <c r="K316" s="1"/>
      <c r="L316" s="18"/>
      <c r="M316" s="18"/>
      <c r="N316" s="18"/>
      <c r="O316" s="18"/>
      <c r="P316" s="180"/>
      <c r="Q316" s="230"/>
      <c r="R316" s="181"/>
      <c r="S316" s="1"/>
      <c r="V316" t="s">
        <v>89</v>
      </c>
      <c r="W316" s="164">
        <v>0</v>
      </c>
    </row>
    <row r="317" spans="1:23" x14ac:dyDescent="0.35">
      <c r="A317" s="32">
        <v>45332</v>
      </c>
      <c r="B317" s="1"/>
      <c r="C317" s="1" t="s">
        <v>97</v>
      </c>
      <c r="D317" s="1"/>
      <c r="E317" s="1"/>
      <c r="F317" s="84"/>
      <c r="G317" s="84"/>
      <c r="H317" s="1"/>
      <c r="I317" s="1"/>
      <c r="J317" s="1"/>
      <c r="K317" s="1"/>
      <c r="L317" s="18"/>
      <c r="M317" s="18"/>
      <c r="N317" s="18"/>
      <c r="O317" s="18"/>
      <c r="P317" s="180"/>
      <c r="Q317" s="230"/>
      <c r="R317" s="181"/>
      <c r="S317" s="1"/>
      <c r="V317" t="s">
        <v>90</v>
      </c>
      <c r="W317" s="164">
        <v>0.10416666666666667</v>
      </c>
    </row>
    <row r="318" spans="1:23" x14ac:dyDescent="0.35">
      <c r="A318" s="32">
        <v>45333</v>
      </c>
      <c r="B318" s="1"/>
      <c r="C318" s="1" t="s">
        <v>97</v>
      </c>
      <c r="D318" s="1"/>
      <c r="E318" s="1"/>
      <c r="F318" s="84"/>
      <c r="G318" s="84"/>
      <c r="H318" s="1"/>
      <c r="I318" s="1"/>
      <c r="J318" s="1"/>
      <c r="K318" s="1"/>
      <c r="L318" s="18"/>
      <c r="M318" s="18"/>
      <c r="N318" s="18"/>
      <c r="O318" s="18"/>
      <c r="P318" s="180"/>
      <c r="Q318" s="230"/>
      <c r="R318" s="181"/>
      <c r="S318" s="1"/>
      <c r="V318" t="s">
        <v>91</v>
      </c>
      <c r="W318" s="164">
        <v>0.10416666666666667</v>
      </c>
    </row>
    <row r="319" spans="1:23" x14ac:dyDescent="0.35">
      <c r="A319" s="32">
        <v>45334</v>
      </c>
      <c r="B319" s="1"/>
      <c r="C319" s="1" t="s">
        <v>97</v>
      </c>
      <c r="D319" s="1"/>
      <c r="E319" s="1"/>
      <c r="F319" s="1"/>
      <c r="G319" s="1"/>
      <c r="H319" s="1"/>
      <c r="I319" s="1"/>
      <c r="J319" s="1"/>
      <c r="K319" s="1"/>
      <c r="L319" s="18"/>
      <c r="M319" s="18"/>
      <c r="N319" s="18"/>
      <c r="O319" s="18"/>
      <c r="P319" s="180"/>
      <c r="Q319" s="230"/>
      <c r="R319" s="181"/>
      <c r="S319" s="1"/>
      <c r="V319" t="s">
        <v>92</v>
      </c>
      <c r="W319" s="164">
        <v>0.20833333333333334</v>
      </c>
    </row>
    <row r="320" spans="1:23" x14ac:dyDescent="0.35">
      <c r="A320" s="32">
        <v>45335</v>
      </c>
      <c r="B320" s="1"/>
      <c r="C320" s="1" t="s">
        <v>97</v>
      </c>
      <c r="D320" s="1"/>
      <c r="E320" s="1"/>
      <c r="F320" s="84"/>
      <c r="G320" s="84"/>
      <c r="H320" s="1"/>
      <c r="I320" s="1"/>
      <c r="J320" s="1"/>
      <c r="K320" s="1"/>
      <c r="L320" s="18"/>
      <c r="M320" s="18"/>
      <c r="N320" s="18"/>
      <c r="O320" s="18"/>
      <c r="P320" s="180"/>
      <c r="Q320" s="230"/>
      <c r="R320" s="181"/>
      <c r="S320" s="1"/>
      <c r="V320" t="s">
        <v>88</v>
      </c>
      <c r="W320" s="164" t="e" cm="1">
        <f t="array" ref="W320">AVERAGEIF(chart_ATT_JAM, "&lt;&gt;0")</f>
        <v>#N/A</v>
      </c>
    </row>
    <row r="321" spans="1:19" x14ac:dyDescent="0.35">
      <c r="A321" s="32">
        <v>45336</v>
      </c>
      <c r="B321" s="1"/>
      <c r="C321" s="1" t="s">
        <v>97</v>
      </c>
      <c r="D321" s="1"/>
      <c r="E321" s="1"/>
      <c r="F321" s="84"/>
      <c r="G321" s="84"/>
      <c r="H321" s="1"/>
      <c r="I321" s="1"/>
      <c r="J321" s="1"/>
      <c r="K321" s="1"/>
      <c r="L321" s="18"/>
      <c r="M321" s="18"/>
      <c r="N321" s="18"/>
      <c r="O321" s="18"/>
      <c r="P321" s="180"/>
      <c r="Q321" s="230"/>
      <c r="R321" s="181"/>
      <c r="S321" s="1"/>
    </row>
    <row r="322" spans="1:19" x14ac:dyDescent="0.35">
      <c r="A322" s="32">
        <v>45337</v>
      </c>
      <c r="B322" s="1"/>
      <c r="C322" s="1" t="s">
        <v>97</v>
      </c>
      <c r="D322" s="1"/>
      <c r="E322" s="1"/>
      <c r="F322" s="84"/>
      <c r="G322" s="84"/>
      <c r="H322" s="1"/>
      <c r="I322" s="1"/>
      <c r="J322" s="1"/>
      <c r="K322" s="1"/>
      <c r="L322" s="18"/>
      <c r="M322" s="18"/>
      <c r="N322" s="18"/>
      <c r="O322" s="18"/>
      <c r="P322" s="180"/>
      <c r="Q322" s="230"/>
      <c r="R322" s="181"/>
      <c r="S322" s="1"/>
    </row>
    <row r="323" spans="1:19" x14ac:dyDescent="0.35">
      <c r="A323" s="32">
        <v>45338</v>
      </c>
      <c r="B323" s="1"/>
      <c r="C323" s="1" t="s">
        <v>97</v>
      </c>
      <c r="D323" s="1"/>
      <c r="E323" s="1"/>
      <c r="F323" s="84"/>
      <c r="G323" s="84"/>
      <c r="H323" s="1"/>
      <c r="I323" s="1"/>
      <c r="J323" s="1"/>
      <c r="K323" s="1"/>
      <c r="L323" s="18"/>
      <c r="M323" s="18"/>
      <c r="N323" s="18"/>
      <c r="O323" s="18"/>
      <c r="P323" s="180"/>
      <c r="Q323" s="230"/>
      <c r="R323" s="181"/>
      <c r="S323" s="1"/>
    </row>
    <row r="324" spans="1:19" x14ac:dyDescent="0.35">
      <c r="A324" s="32">
        <v>45339</v>
      </c>
      <c r="B324" s="1"/>
      <c r="C324" s="1" t="s">
        <v>97</v>
      </c>
      <c r="D324" s="1"/>
      <c r="E324" s="1"/>
      <c r="F324" s="84"/>
      <c r="G324" s="84"/>
      <c r="H324" s="1"/>
      <c r="I324" s="1"/>
      <c r="J324" s="1"/>
      <c r="K324" s="1"/>
      <c r="L324" s="18"/>
      <c r="M324" s="18"/>
      <c r="N324" s="18"/>
      <c r="O324" s="18"/>
      <c r="P324" s="180"/>
      <c r="Q324" s="230"/>
      <c r="R324" s="181"/>
      <c r="S324" s="1"/>
    </row>
    <row r="325" spans="1:19" x14ac:dyDescent="0.35">
      <c r="A325" s="32">
        <v>45340</v>
      </c>
      <c r="B325" s="1"/>
      <c r="C325" s="1" t="s">
        <v>97</v>
      </c>
      <c r="D325" s="1"/>
      <c r="E325" s="1"/>
      <c r="F325" s="84"/>
      <c r="G325" s="84"/>
      <c r="H325" s="1"/>
      <c r="I325" s="1"/>
      <c r="J325" s="1"/>
      <c r="K325" s="1"/>
      <c r="L325" s="18"/>
      <c r="M325" s="18"/>
      <c r="N325" s="18"/>
      <c r="O325" s="18"/>
      <c r="P325" s="180"/>
      <c r="Q325" s="230"/>
      <c r="R325" s="181"/>
      <c r="S325" s="1"/>
    </row>
    <row r="326" spans="1:19" x14ac:dyDescent="0.35">
      <c r="A326" s="32">
        <v>45341</v>
      </c>
      <c r="B326" s="1"/>
      <c r="C326" s="1" t="s">
        <v>97</v>
      </c>
      <c r="D326" s="1"/>
      <c r="E326" s="1"/>
      <c r="F326" s="84"/>
      <c r="G326" s="84"/>
      <c r="H326" s="1"/>
      <c r="I326" s="1"/>
      <c r="J326" s="1"/>
      <c r="K326" s="1"/>
      <c r="L326" s="18"/>
      <c r="M326" s="18"/>
      <c r="N326" s="18"/>
      <c r="O326" s="18"/>
      <c r="P326" s="180"/>
      <c r="Q326" s="230"/>
      <c r="R326" s="181"/>
      <c r="S326" s="1"/>
    </row>
    <row r="327" spans="1:19" x14ac:dyDescent="0.35">
      <c r="A327" s="32">
        <v>45342</v>
      </c>
      <c r="B327" s="1"/>
      <c r="C327" s="1" t="s">
        <v>97</v>
      </c>
      <c r="D327" s="1"/>
      <c r="E327" s="1"/>
      <c r="F327" s="84"/>
      <c r="G327" s="84"/>
      <c r="H327" s="1"/>
      <c r="I327" s="1"/>
      <c r="J327" s="1"/>
      <c r="K327" s="1"/>
      <c r="L327" s="18"/>
      <c r="M327" s="18"/>
      <c r="N327" s="18"/>
      <c r="O327" s="18"/>
      <c r="P327" s="180"/>
      <c r="Q327" s="230"/>
      <c r="R327" s="181"/>
      <c r="S327" s="1"/>
    </row>
    <row r="328" spans="1:19" x14ac:dyDescent="0.35">
      <c r="A328" s="32">
        <v>45343</v>
      </c>
      <c r="B328" s="1"/>
      <c r="C328" s="1" t="s">
        <v>97</v>
      </c>
      <c r="D328" s="1"/>
      <c r="E328" s="1"/>
      <c r="F328" s="84"/>
      <c r="G328" s="84"/>
      <c r="H328" s="1"/>
      <c r="I328" s="1"/>
      <c r="J328" s="1"/>
      <c r="K328" s="1"/>
      <c r="L328" s="18"/>
      <c r="M328" s="18"/>
      <c r="N328" s="18"/>
      <c r="O328" s="18"/>
      <c r="P328" s="180"/>
      <c r="Q328" s="230"/>
      <c r="R328" s="181"/>
      <c r="S328" s="1"/>
    </row>
    <row r="329" spans="1:19" x14ac:dyDescent="0.35">
      <c r="A329" s="32">
        <v>45344</v>
      </c>
      <c r="B329" s="1"/>
      <c r="C329" s="1" t="s">
        <v>97</v>
      </c>
      <c r="D329" s="1"/>
      <c r="E329" s="1"/>
      <c r="F329" s="84"/>
      <c r="G329" s="84"/>
      <c r="H329" s="1"/>
      <c r="I329" s="1"/>
      <c r="J329" s="1"/>
      <c r="K329" s="1"/>
      <c r="L329" s="18"/>
      <c r="M329" s="18"/>
      <c r="N329" s="18"/>
      <c r="O329" s="18"/>
      <c r="P329" s="180"/>
      <c r="Q329" s="230"/>
      <c r="R329" s="181"/>
      <c r="S329" s="1"/>
    </row>
    <row r="330" spans="1:19" x14ac:dyDescent="0.35">
      <c r="A330" s="32">
        <v>45345</v>
      </c>
      <c r="B330" s="1"/>
      <c r="C330" s="1" t="s">
        <v>97</v>
      </c>
      <c r="D330" s="1"/>
      <c r="E330" s="1"/>
      <c r="F330" s="84"/>
      <c r="G330" s="84"/>
      <c r="H330" s="1"/>
      <c r="I330" s="1"/>
      <c r="J330" s="1"/>
      <c r="K330" s="1"/>
      <c r="L330" s="18"/>
      <c r="M330" s="18"/>
      <c r="N330" s="18"/>
      <c r="O330" s="18"/>
      <c r="P330" s="180"/>
      <c r="Q330" s="230"/>
      <c r="R330" s="181"/>
      <c r="S330" s="1"/>
    </row>
    <row r="331" spans="1:19" x14ac:dyDescent="0.35">
      <c r="A331" s="32">
        <v>45346</v>
      </c>
      <c r="B331" s="1"/>
      <c r="C331" s="1" t="s">
        <v>97</v>
      </c>
      <c r="D331" s="1"/>
      <c r="E331" s="1"/>
      <c r="F331" s="84"/>
      <c r="G331" s="84"/>
      <c r="H331" s="1"/>
      <c r="I331" s="1"/>
      <c r="J331" s="1"/>
      <c r="K331" s="1"/>
      <c r="L331" s="18"/>
      <c r="M331" s="18"/>
      <c r="N331" s="18"/>
      <c r="O331" s="18"/>
      <c r="P331" s="180"/>
      <c r="Q331" s="230"/>
      <c r="R331" s="181"/>
      <c r="S331" s="1"/>
    </row>
    <row r="332" spans="1:19" x14ac:dyDescent="0.35">
      <c r="A332" s="32">
        <v>45347</v>
      </c>
      <c r="B332" s="1"/>
      <c r="C332" s="1" t="s">
        <v>97</v>
      </c>
      <c r="D332" s="1"/>
      <c r="E332" s="1"/>
      <c r="F332" s="84"/>
      <c r="G332" s="84"/>
      <c r="H332" s="1"/>
      <c r="I332" s="1"/>
      <c r="J332" s="1"/>
      <c r="K332" s="1"/>
      <c r="L332" s="18"/>
      <c r="M332" s="18"/>
      <c r="N332" s="18"/>
      <c r="O332" s="18"/>
      <c r="P332" s="180"/>
      <c r="Q332" s="230"/>
      <c r="R332" s="181"/>
      <c r="S332" s="1"/>
    </row>
    <row r="333" spans="1:19" x14ac:dyDescent="0.35">
      <c r="A333" s="32">
        <v>45348</v>
      </c>
      <c r="B333" s="1"/>
      <c r="C333" s="1" t="s">
        <v>97</v>
      </c>
      <c r="D333" s="1"/>
      <c r="E333" s="1"/>
      <c r="F333" s="84"/>
      <c r="G333" s="84"/>
      <c r="H333" s="1"/>
      <c r="I333" s="1"/>
      <c r="J333" s="1"/>
      <c r="K333" s="1"/>
      <c r="L333" s="18"/>
      <c r="M333" s="18"/>
      <c r="N333" s="18"/>
      <c r="O333" s="18"/>
      <c r="P333" s="180"/>
      <c r="Q333" s="230"/>
      <c r="R333" s="181"/>
      <c r="S333" s="1"/>
    </row>
    <row r="334" spans="1:19" x14ac:dyDescent="0.35">
      <c r="A334" s="32">
        <v>45349</v>
      </c>
      <c r="B334" s="1"/>
      <c r="C334" s="1" t="s">
        <v>97</v>
      </c>
      <c r="D334" s="1"/>
      <c r="E334" s="1"/>
      <c r="F334" s="84"/>
      <c r="G334" s="84"/>
      <c r="H334" s="1"/>
      <c r="I334" s="1"/>
      <c r="J334" s="1"/>
      <c r="K334" s="1"/>
      <c r="L334" s="18"/>
      <c r="M334" s="18"/>
      <c r="N334" s="18"/>
      <c r="O334" s="18"/>
      <c r="P334" s="180"/>
      <c r="Q334" s="230"/>
      <c r="R334" s="181"/>
      <c r="S334" s="1"/>
    </row>
    <row r="335" spans="1:19" x14ac:dyDescent="0.35">
      <c r="A335" s="32">
        <v>45350</v>
      </c>
      <c r="B335" s="1"/>
      <c r="C335" s="1" t="s">
        <v>97</v>
      </c>
      <c r="D335" s="1"/>
      <c r="E335" s="1"/>
      <c r="F335" s="84"/>
      <c r="G335" s="84"/>
      <c r="H335" s="1"/>
      <c r="I335" s="1"/>
      <c r="J335" s="1"/>
      <c r="K335" s="1"/>
      <c r="L335" s="18"/>
      <c r="M335" s="18"/>
      <c r="N335" s="18"/>
      <c r="O335" s="18"/>
      <c r="P335" s="180"/>
      <c r="Q335" s="230"/>
      <c r="R335" s="181"/>
      <c r="S335" s="1"/>
    </row>
    <row r="336" spans="1:19" x14ac:dyDescent="0.35">
      <c r="A336" s="32">
        <v>45351</v>
      </c>
      <c r="B336" s="1"/>
      <c r="C336" s="1" t="s">
        <v>97</v>
      </c>
      <c r="D336" s="1"/>
      <c r="E336" s="1"/>
      <c r="F336" s="84"/>
      <c r="G336" s="84"/>
      <c r="H336" s="1"/>
      <c r="I336" s="1"/>
      <c r="J336" s="1"/>
      <c r="K336" s="1"/>
      <c r="L336" s="18"/>
      <c r="M336" s="18"/>
      <c r="N336" s="18"/>
      <c r="O336" s="18"/>
      <c r="P336" s="180"/>
      <c r="Q336" s="230"/>
      <c r="R336" s="181"/>
      <c r="S336" s="1"/>
    </row>
    <row r="337" spans="1:23" x14ac:dyDescent="0.35">
      <c r="A337" s="32">
        <v>45352</v>
      </c>
      <c r="B337" s="1"/>
      <c r="C337" s="1" t="s">
        <v>97</v>
      </c>
      <c r="D337" s="1"/>
      <c r="E337" s="1"/>
      <c r="F337" s="84"/>
      <c r="G337" s="84"/>
      <c r="H337" s="1"/>
      <c r="I337" s="1"/>
      <c r="J337" s="1"/>
      <c r="K337" s="1"/>
      <c r="L337" s="18"/>
      <c r="M337" s="18"/>
      <c r="N337" s="18"/>
      <c r="O337" s="18"/>
      <c r="P337" s="180"/>
      <c r="Q337" s="230"/>
      <c r="R337" s="181"/>
      <c r="S337" s="1"/>
    </row>
    <row r="338" spans="1:23" x14ac:dyDescent="0.35">
      <c r="A338" s="32">
        <v>45353</v>
      </c>
      <c r="B338" s="1"/>
      <c r="C338" s="1" t="s">
        <v>97</v>
      </c>
      <c r="D338" s="1"/>
      <c r="E338" s="1"/>
      <c r="F338" s="84"/>
      <c r="G338" s="84"/>
      <c r="H338" s="1"/>
      <c r="I338" s="1"/>
      <c r="J338" s="1"/>
      <c r="K338" s="1"/>
      <c r="L338" s="18"/>
      <c r="M338" s="18"/>
      <c r="N338" s="18"/>
      <c r="O338" s="18"/>
      <c r="P338" s="180"/>
      <c r="Q338" s="230"/>
      <c r="R338" s="181"/>
      <c r="S338" s="1"/>
    </row>
    <row r="339" spans="1:23" x14ac:dyDescent="0.35">
      <c r="A339" s="32">
        <v>45354</v>
      </c>
      <c r="B339" s="1"/>
      <c r="C339" s="1" t="s">
        <v>97</v>
      </c>
      <c r="D339" s="1"/>
      <c r="E339" s="1"/>
      <c r="F339" s="84"/>
      <c r="G339" s="84"/>
      <c r="H339" s="1"/>
      <c r="I339" s="1"/>
      <c r="J339" s="1"/>
      <c r="K339" s="1"/>
      <c r="L339" s="18"/>
      <c r="M339" s="18"/>
      <c r="N339" s="18"/>
      <c r="O339" s="18"/>
      <c r="P339" s="180"/>
      <c r="Q339" s="230"/>
      <c r="R339" s="181"/>
      <c r="S339" s="1"/>
    </row>
    <row r="340" spans="1:23" x14ac:dyDescent="0.35">
      <c r="A340" s="32">
        <v>45355</v>
      </c>
      <c r="B340" s="1"/>
      <c r="C340" s="1" t="s">
        <v>97</v>
      </c>
      <c r="D340" s="1"/>
      <c r="E340" s="1"/>
      <c r="F340" s="84"/>
      <c r="G340" s="84"/>
      <c r="H340" s="1"/>
      <c r="I340" s="1"/>
      <c r="J340" s="1"/>
      <c r="K340" s="1"/>
      <c r="L340" s="18"/>
      <c r="M340" s="18"/>
      <c r="N340" s="18"/>
      <c r="O340" s="18"/>
      <c r="P340" s="180"/>
      <c r="Q340" s="230"/>
      <c r="R340" s="181"/>
      <c r="S340" s="1"/>
      <c r="W340" s="171">
        <v>0.86736111111111114</v>
      </c>
    </row>
    <row r="341" spans="1:23" x14ac:dyDescent="0.35">
      <c r="A341" s="32">
        <v>45356</v>
      </c>
      <c r="B341" s="1"/>
      <c r="C341" s="1" t="s">
        <v>97</v>
      </c>
      <c r="D341" s="1"/>
      <c r="E341" s="1"/>
      <c r="F341" s="84"/>
      <c r="G341" s="84"/>
      <c r="H341" s="1"/>
      <c r="I341" s="1"/>
      <c r="J341" s="1"/>
      <c r="K341" s="1"/>
      <c r="L341" s="18"/>
      <c r="M341" s="18"/>
      <c r="N341" s="18"/>
      <c r="O341" s="18"/>
      <c r="P341" s="180"/>
      <c r="Q341" s="230"/>
      <c r="R341" s="181"/>
      <c r="S341" s="1"/>
    </row>
    <row r="342" spans="1:23" x14ac:dyDescent="0.35">
      <c r="A342" s="32">
        <v>45357</v>
      </c>
      <c r="B342" s="39"/>
      <c r="C342" s="1" t="s">
        <v>97</v>
      </c>
      <c r="D342" s="39"/>
      <c r="E342" s="39"/>
      <c r="F342" s="84"/>
      <c r="G342" s="84"/>
      <c r="H342" s="1"/>
      <c r="I342" s="1"/>
      <c r="J342" s="1"/>
      <c r="K342" s="1"/>
      <c r="L342" s="48"/>
      <c r="M342" s="48"/>
      <c r="N342" s="48"/>
      <c r="O342" s="48"/>
      <c r="P342" s="180"/>
      <c r="Q342" s="230"/>
      <c r="R342" s="181"/>
      <c r="S342" s="39"/>
    </row>
    <row r="343" spans="1:23" x14ac:dyDescent="0.35">
      <c r="A343" s="32">
        <v>45358</v>
      </c>
      <c r="B343" s="1"/>
      <c r="C343" s="1" t="s">
        <v>97</v>
      </c>
      <c r="D343" s="1"/>
      <c r="E343" s="1"/>
      <c r="F343" s="84"/>
      <c r="G343" s="84"/>
      <c r="H343" s="1"/>
      <c r="I343" s="1"/>
      <c r="J343" s="1"/>
      <c r="K343" s="1"/>
      <c r="L343" s="18"/>
      <c r="M343" s="18"/>
      <c r="N343" s="18"/>
      <c r="O343" s="18"/>
      <c r="P343" s="180"/>
      <c r="Q343" s="230"/>
      <c r="R343" s="181"/>
      <c r="S343" s="1"/>
    </row>
    <row r="344" spans="1:23" x14ac:dyDescent="0.35">
      <c r="A344" s="32">
        <v>45359</v>
      </c>
      <c r="B344" s="1"/>
      <c r="C344" s="1" t="s">
        <v>97</v>
      </c>
      <c r="D344" s="1"/>
      <c r="E344" s="1"/>
      <c r="F344" s="84"/>
      <c r="G344" s="84"/>
      <c r="H344" s="1"/>
      <c r="I344" s="1"/>
      <c r="J344" s="1"/>
      <c r="K344" s="1"/>
      <c r="L344" s="18"/>
      <c r="M344" s="18"/>
      <c r="N344" s="18"/>
      <c r="O344" s="18"/>
      <c r="P344" s="180"/>
      <c r="Q344" s="230"/>
      <c r="R344" s="181"/>
      <c r="S344" s="1"/>
      <c r="V344" t="e" cm="1">
        <f t="array" ref="V344">_xlfn.STDEV.P(IF(Q279:Q341 &lt;&gt; 0,Q279:Q341))</f>
        <v>#DIV/0!</v>
      </c>
    </row>
    <row r="345" spans="1:23" x14ac:dyDescent="0.35">
      <c r="A345" s="32">
        <v>45360</v>
      </c>
      <c r="B345" s="1"/>
      <c r="C345" s="1" t="s">
        <v>97</v>
      </c>
      <c r="D345" s="1"/>
      <c r="E345" s="1"/>
      <c r="F345" s="84"/>
      <c r="G345" s="84"/>
      <c r="H345" s="1"/>
      <c r="I345" s="1"/>
      <c r="J345" s="1"/>
      <c r="K345" s="1"/>
      <c r="L345" s="18"/>
      <c r="M345" s="18"/>
      <c r="N345" s="18"/>
      <c r="O345" s="18"/>
      <c r="P345" s="180"/>
      <c r="Q345" s="230"/>
      <c r="R345" s="181"/>
      <c r="S345" s="1"/>
    </row>
    <row r="346" spans="1:23" x14ac:dyDescent="0.35">
      <c r="A346" s="32">
        <v>45361</v>
      </c>
      <c r="B346" s="1"/>
      <c r="C346" s="1" t="s">
        <v>97</v>
      </c>
      <c r="D346" s="1"/>
      <c r="E346" s="1"/>
      <c r="F346" s="84"/>
      <c r="G346" s="84"/>
      <c r="H346" s="1"/>
      <c r="I346" s="1"/>
      <c r="J346" s="1"/>
      <c r="K346" s="1"/>
      <c r="L346" s="18"/>
      <c r="M346" s="18"/>
      <c r="N346" s="18"/>
      <c r="O346" s="18"/>
      <c r="P346" s="180"/>
      <c r="Q346" s="230"/>
      <c r="R346" s="181"/>
      <c r="S346" s="1"/>
    </row>
    <row r="347" spans="1:23" x14ac:dyDescent="0.35">
      <c r="A347" s="32">
        <v>45362</v>
      </c>
      <c r="B347" s="1"/>
      <c r="C347" s="1" t="s">
        <v>97</v>
      </c>
      <c r="D347" s="1"/>
      <c r="E347" s="1"/>
      <c r="F347" s="84"/>
      <c r="G347" s="84"/>
      <c r="H347" s="1"/>
      <c r="I347" s="1"/>
      <c r="J347" s="1"/>
      <c r="K347" s="1"/>
      <c r="L347" s="18"/>
      <c r="M347" s="18"/>
      <c r="N347" s="18"/>
      <c r="O347" s="18"/>
      <c r="P347" s="180"/>
      <c r="Q347" s="230"/>
      <c r="R347" s="181"/>
      <c r="S347" s="1"/>
    </row>
    <row r="348" spans="1:23" x14ac:dyDescent="0.35">
      <c r="A348" s="32">
        <v>45363</v>
      </c>
      <c r="B348" s="1"/>
      <c r="C348" s="1" t="s">
        <v>97</v>
      </c>
      <c r="D348" s="1"/>
      <c r="E348" s="1"/>
      <c r="F348" s="84"/>
      <c r="G348" s="84"/>
      <c r="H348" s="1"/>
      <c r="I348" s="1"/>
      <c r="J348" s="1"/>
      <c r="K348" s="1"/>
      <c r="L348" s="18"/>
      <c r="M348" s="18"/>
      <c r="N348" s="18"/>
      <c r="O348" s="18"/>
      <c r="P348" s="180"/>
      <c r="Q348" s="230"/>
      <c r="R348" s="181"/>
      <c r="S348" s="1"/>
    </row>
    <row r="349" spans="1:23" x14ac:dyDescent="0.35">
      <c r="A349" s="32">
        <v>45364</v>
      </c>
      <c r="B349" s="1"/>
      <c r="C349" s="1" t="s">
        <v>97</v>
      </c>
      <c r="D349" s="1"/>
      <c r="E349" s="1"/>
      <c r="F349" s="84"/>
      <c r="G349" s="84"/>
      <c r="H349" s="1"/>
      <c r="I349" s="1"/>
      <c r="J349" s="1"/>
      <c r="K349" s="1"/>
      <c r="L349" s="18"/>
      <c r="M349" s="18"/>
      <c r="N349" s="18"/>
      <c r="O349" s="18"/>
      <c r="P349" s="180"/>
      <c r="Q349" s="230"/>
      <c r="R349" s="181"/>
      <c r="S349" s="1"/>
    </row>
    <row r="350" spans="1:23" x14ac:dyDescent="0.35">
      <c r="A350" s="32">
        <v>45365</v>
      </c>
      <c r="B350" s="1"/>
      <c r="C350" s="1" t="s">
        <v>97</v>
      </c>
      <c r="D350" s="1"/>
      <c r="E350" s="1"/>
      <c r="F350" s="84"/>
      <c r="G350" s="84"/>
      <c r="H350" s="1"/>
      <c r="I350" s="1"/>
      <c r="J350" s="1"/>
      <c r="K350" s="1"/>
      <c r="L350" s="18"/>
      <c r="M350" s="18"/>
      <c r="N350" s="18"/>
      <c r="O350" s="18"/>
      <c r="P350" s="180"/>
      <c r="Q350" s="230"/>
      <c r="R350" s="181"/>
      <c r="S350" s="1"/>
    </row>
    <row r="351" spans="1:23" x14ac:dyDescent="0.35">
      <c r="A351" s="32">
        <v>45366</v>
      </c>
      <c r="B351" s="1"/>
      <c r="C351" s="1" t="s">
        <v>97</v>
      </c>
      <c r="D351" s="1"/>
      <c r="E351" s="1"/>
      <c r="F351" s="84"/>
      <c r="G351" s="84"/>
      <c r="H351" s="1"/>
      <c r="I351" s="1"/>
      <c r="J351" s="1"/>
      <c r="K351" s="1"/>
      <c r="L351" s="18"/>
      <c r="M351" s="18"/>
      <c r="N351" s="18"/>
      <c r="O351" s="18"/>
      <c r="P351" s="180"/>
      <c r="Q351" s="230"/>
      <c r="R351" s="181"/>
      <c r="S351" s="1"/>
    </row>
    <row r="352" spans="1:23" x14ac:dyDescent="0.35">
      <c r="A352" s="32">
        <v>45367</v>
      </c>
      <c r="B352" s="1"/>
      <c r="C352" s="1" t="s">
        <v>97</v>
      </c>
      <c r="D352" s="1"/>
      <c r="E352" s="1"/>
      <c r="F352" s="84"/>
      <c r="G352" s="84"/>
      <c r="H352" s="1"/>
      <c r="I352" s="1"/>
      <c r="J352" s="1"/>
      <c r="K352" s="1"/>
      <c r="L352" s="18"/>
      <c r="M352" s="18"/>
      <c r="N352" s="18"/>
      <c r="O352" s="18"/>
      <c r="P352" s="180"/>
      <c r="Q352" s="230"/>
      <c r="R352" s="181"/>
      <c r="S352" s="1"/>
    </row>
    <row r="353" spans="1:19" x14ac:dyDescent="0.35">
      <c r="A353" s="32">
        <v>45368</v>
      </c>
      <c r="B353" s="1"/>
      <c r="C353" s="1" t="s">
        <v>97</v>
      </c>
      <c r="D353" s="1"/>
      <c r="E353" s="1"/>
      <c r="F353" s="84"/>
      <c r="G353" s="84"/>
      <c r="H353" s="1"/>
      <c r="I353" s="1"/>
      <c r="J353" s="1"/>
      <c r="K353" s="1"/>
      <c r="L353" s="18"/>
      <c r="M353" s="18"/>
      <c r="N353" s="18"/>
      <c r="O353" s="18"/>
      <c r="P353" s="180"/>
      <c r="Q353" s="230"/>
      <c r="R353" s="181"/>
      <c r="S353" s="1"/>
    </row>
    <row r="354" spans="1:19" x14ac:dyDescent="0.35">
      <c r="A354" s="32">
        <v>45369</v>
      </c>
      <c r="B354" s="1"/>
      <c r="C354" s="1" t="s">
        <v>97</v>
      </c>
      <c r="D354" s="1"/>
      <c r="E354" s="1"/>
      <c r="F354" s="84"/>
      <c r="G354" s="84"/>
      <c r="H354" s="1"/>
      <c r="I354" s="1"/>
      <c r="J354" s="1"/>
      <c r="K354" s="1"/>
      <c r="L354" s="18"/>
      <c r="M354" s="18"/>
      <c r="N354" s="18"/>
      <c r="O354" s="18"/>
      <c r="P354" s="180"/>
      <c r="Q354" s="230"/>
      <c r="R354" s="181"/>
      <c r="S354" s="1"/>
    </row>
    <row r="355" spans="1:19" x14ac:dyDescent="0.35">
      <c r="A355" s="32">
        <v>45370</v>
      </c>
      <c r="B355" s="1"/>
      <c r="C355" s="1" t="s">
        <v>97</v>
      </c>
      <c r="D355" s="1"/>
      <c r="E355" s="1"/>
      <c r="F355" s="84"/>
      <c r="G355" s="84"/>
      <c r="H355" s="1"/>
      <c r="I355" s="1"/>
      <c r="J355" s="1"/>
      <c r="K355" s="1"/>
      <c r="L355" s="18"/>
      <c r="M355" s="18"/>
      <c r="N355" s="18"/>
      <c r="O355" s="18"/>
      <c r="P355" s="180"/>
      <c r="Q355" s="230"/>
      <c r="R355" s="181"/>
      <c r="S355" s="1"/>
    </row>
    <row r="356" spans="1:19" x14ac:dyDescent="0.35">
      <c r="A356" s="32">
        <v>45371</v>
      </c>
      <c r="B356" s="1"/>
      <c r="C356" s="1" t="s">
        <v>97</v>
      </c>
      <c r="D356" s="1"/>
      <c r="E356" s="1"/>
      <c r="F356" s="84"/>
      <c r="G356" s="84"/>
      <c r="H356" s="1"/>
      <c r="I356" s="1"/>
      <c r="J356" s="1"/>
      <c r="K356" s="1"/>
      <c r="L356" s="18"/>
      <c r="M356" s="18"/>
      <c r="N356" s="18"/>
      <c r="O356" s="18"/>
      <c r="P356" s="180"/>
      <c r="Q356" s="230"/>
      <c r="R356" s="181"/>
      <c r="S356" s="1"/>
    </row>
    <row r="357" spans="1:19" x14ac:dyDescent="0.35">
      <c r="A357" s="32">
        <v>45372</v>
      </c>
      <c r="B357" s="1"/>
      <c r="C357" s="1" t="s">
        <v>97</v>
      </c>
      <c r="D357" s="1"/>
      <c r="E357" s="1"/>
      <c r="F357" s="84"/>
      <c r="G357" s="84"/>
      <c r="H357" s="1"/>
      <c r="I357" s="1"/>
      <c r="J357" s="1"/>
      <c r="K357" s="1"/>
      <c r="L357" s="18"/>
      <c r="M357" s="18"/>
      <c r="N357" s="18"/>
      <c r="O357" s="18"/>
      <c r="P357" s="180"/>
      <c r="Q357" s="230"/>
      <c r="R357" s="181"/>
      <c r="S357" s="1"/>
    </row>
    <row r="358" spans="1:19" x14ac:dyDescent="0.35">
      <c r="A358" s="32">
        <v>45373</v>
      </c>
      <c r="B358" s="1"/>
      <c r="C358" s="1" t="s">
        <v>97</v>
      </c>
      <c r="D358" s="1"/>
      <c r="E358" s="1"/>
      <c r="F358" s="84"/>
      <c r="G358" s="84"/>
      <c r="H358" s="1"/>
      <c r="I358" s="1"/>
      <c r="J358" s="1"/>
      <c r="K358" s="1"/>
      <c r="L358" s="18"/>
      <c r="M358" s="18"/>
      <c r="N358" s="18"/>
      <c r="O358" s="18"/>
      <c r="P358" s="180"/>
      <c r="Q358" s="230"/>
      <c r="R358" s="181"/>
      <c r="S358" s="1"/>
    </row>
    <row r="359" spans="1:19" x14ac:dyDescent="0.35">
      <c r="A359" s="32">
        <v>45374</v>
      </c>
      <c r="B359" s="1"/>
      <c r="C359" s="1" t="s">
        <v>97</v>
      </c>
      <c r="D359" s="1"/>
      <c r="E359" s="1"/>
      <c r="F359" s="84"/>
      <c r="G359" s="84"/>
      <c r="H359" s="1"/>
      <c r="I359" s="1"/>
      <c r="J359" s="1"/>
      <c r="K359" s="1"/>
      <c r="L359" s="18"/>
      <c r="M359" s="18"/>
      <c r="N359" s="18"/>
      <c r="O359" s="18"/>
      <c r="P359" s="180"/>
      <c r="Q359" s="230"/>
      <c r="R359" s="181"/>
      <c r="S359" s="1"/>
    </row>
    <row r="360" spans="1:19" x14ac:dyDescent="0.35">
      <c r="A360" s="32">
        <v>45375</v>
      </c>
      <c r="B360" s="1"/>
      <c r="C360" s="1" t="s">
        <v>97</v>
      </c>
      <c r="D360" s="1"/>
      <c r="E360" s="1"/>
      <c r="F360" s="84"/>
      <c r="G360" s="84"/>
      <c r="H360" s="1"/>
      <c r="I360" s="1"/>
      <c r="J360" s="1"/>
      <c r="K360" s="1"/>
      <c r="L360" s="18"/>
      <c r="M360" s="18"/>
      <c r="N360" s="18"/>
      <c r="O360" s="18"/>
      <c r="P360" s="180"/>
      <c r="Q360" s="230"/>
      <c r="R360" s="181"/>
      <c r="S360" s="1"/>
    </row>
    <row r="361" spans="1:19" x14ac:dyDescent="0.35">
      <c r="A361" s="32">
        <v>45376</v>
      </c>
      <c r="B361" s="1"/>
      <c r="C361" s="1" t="s">
        <v>97</v>
      </c>
      <c r="D361" s="1"/>
      <c r="E361" s="1"/>
      <c r="F361" s="84"/>
      <c r="G361" s="84"/>
      <c r="H361" s="1"/>
      <c r="I361" s="1"/>
      <c r="J361" s="1"/>
      <c r="K361" s="1"/>
      <c r="L361" s="18"/>
      <c r="M361" s="18"/>
      <c r="N361" s="18"/>
      <c r="O361" s="18"/>
      <c r="P361" s="180"/>
      <c r="Q361" s="230"/>
      <c r="R361" s="181"/>
      <c r="S361" s="1"/>
    </row>
    <row r="362" spans="1:19" x14ac:dyDescent="0.35">
      <c r="A362" s="32">
        <v>45377</v>
      </c>
      <c r="B362" s="1"/>
      <c r="C362" s="1" t="s">
        <v>97</v>
      </c>
      <c r="D362" s="1"/>
      <c r="E362" s="1"/>
      <c r="F362" s="84"/>
      <c r="G362" s="84"/>
      <c r="H362" s="1"/>
      <c r="I362" s="1"/>
      <c r="J362" s="1"/>
      <c r="K362" s="1"/>
      <c r="L362" s="18"/>
      <c r="M362" s="18"/>
      <c r="N362" s="18"/>
      <c r="O362" s="18"/>
      <c r="P362" s="180"/>
      <c r="Q362" s="230"/>
      <c r="R362" s="181"/>
      <c r="S362" s="1"/>
    </row>
    <row r="363" spans="1:19" x14ac:dyDescent="0.35">
      <c r="A363" s="32">
        <v>45378</v>
      </c>
      <c r="B363" s="1"/>
      <c r="C363" s="1" t="s">
        <v>97</v>
      </c>
      <c r="D363" s="1"/>
      <c r="E363" s="1"/>
      <c r="F363" s="84"/>
      <c r="G363" s="84"/>
      <c r="H363" s="1"/>
      <c r="I363" s="1"/>
      <c r="J363" s="1"/>
      <c r="K363" s="1"/>
      <c r="L363" s="18"/>
      <c r="M363" s="18"/>
      <c r="N363" s="18"/>
      <c r="O363" s="18"/>
      <c r="P363" s="180"/>
      <c r="Q363" s="230"/>
      <c r="R363" s="181"/>
      <c r="S363" s="1"/>
    </row>
    <row r="364" spans="1:19" x14ac:dyDescent="0.35">
      <c r="A364" s="32">
        <v>45379</v>
      </c>
      <c r="B364" s="1"/>
      <c r="C364" s="1" t="s">
        <v>97</v>
      </c>
      <c r="D364" s="1"/>
      <c r="E364" s="1"/>
      <c r="F364" s="84"/>
      <c r="G364" s="84"/>
      <c r="H364" s="1"/>
      <c r="I364" s="1"/>
      <c r="J364" s="1"/>
      <c r="K364" s="1"/>
      <c r="L364" s="18"/>
      <c r="M364" s="18"/>
      <c r="N364" s="18"/>
      <c r="O364" s="18"/>
      <c r="P364" s="180"/>
      <c r="Q364" s="230"/>
      <c r="R364" s="181"/>
      <c r="S364" s="1"/>
    </row>
    <row r="365" spans="1:19" x14ac:dyDescent="0.35">
      <c r="A365" s="32">
        <v>45380</v>
      </c>
      <c r="B365" s="1"/>
      <c r="C365" s="1" t="s">
        <v>97</v>
      </c>
      <c r="D365" s="1"/>
      <c r="E365" s="1"/>
      <c r="F365" s="84"/>
      <c r="G365" s="84"/>
      <c r="H365" s="1"/>
      <c r="I365" s="1"/>
      <c r="J365" s="1"/>
      <c r="K365" s="1"/>
      <c r="L365" s="18"/>
      <c r="M365" s="18"/>
      <c r="N365" s="18"/>
      <c r="O365" s="18"/>
      <c r="P365" s="180"/>
      <c r="Q365" s="230"/>
      <c r="R365" s="181"/>
      <c r="S365" s="1"/>
    </row>
    <row r="366" spans="1:19" x14ac:dyDescent="0.35">
      <c r="A366" s="32">
        <v>45381</v>
      </c>
      <c r="B366" s="1"/>
      <c r="C366" s="1" t="s">
        <v>97</v>
      </c>
      <c r="D366" s="1"/>
      <c r="E366" s="1"/>
      <c r="F366" s="84"/>
      <c r="G366" s="84"/>
      <c r="H366" s="1"/>
      <c r="I366" s="1"/>
      <c r="J366" s="1"/>
      <c r="K366" s="1"/>
      <c r="L366" s="18"/>
      <c r="M366" s="18"/>
      <c r="N366" s="18"/>
      <c r="O366" s="18"/>
      <c r="P366" s="180"/>
      <c r="Q366" s="230"/>
      <c r="R366" s="181"/>
      <c r="S366" s="1"/>
    </row>
    <row r="367" spans="1:19" x14ac:dyDescent="0.35">
      <c r="A367" s="32">
        <v>45382</v>
      </c>
      <c r="B367" s="1"/>
      <c r="C367" s="1" t="s">
        <v>97</v>
      </c>
      <c r="D367" s="1"/>
      <c r="E367" s="1"/>
      <c r="F367" s="1"/>
      <c r="G367" s="1"/>
      <c r="H367" s="1"/>
      <c r="I367" s="1"/>
      <c r="J367" s="1"/>
      <c r="K367" s="1"/>
      <c r="L367" s="18"/>
      <c r="M367" s="18"/>
      <c r="N367" s="18"/>
      <c r="O367" s="18"/>
      <c r="P367" s="180"/>
      <c r="Q367" s="230"/>
      <c r="R367" s="155"/>
      <c r="S367" s="1"/>
    </row>
  </sheetData>
  <mergeCells count="1">
    <mergeCell ref="V314:W314"/>
  </mergeCells>
  <phoneticPr fontId="8" type="noConversion"/>
  <dataValidations disablePrompts="1" count="2">
    <dataValidation type="list" allowBlank="1" showInputMessage="1" showErrorMessage="1" sqref="V107:V108" xr:uid="{FBA57D66-F6AC-40AC-964A-9278872D5B4B}">
      <formula1>period_JAM</formula1>
    </dataValidation>
    <dataValidation type="list" allowBlank="1" showInputMessage="1" showErrorMessage="1" sqref="AA5:AA6" xr:uid="{6CC75CCD-1067-4C29-A1E8-6BF8008E2F40}">
      <formula1>WoW_dates_JAM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Z369"/>
  <sheetViews>
    <sheetView zoomScale="70" zoomScaleNormal="7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L110" sqref="L110"/>
    </sheetView>
  </sheetViews>
  <sheetFormatPr defaultRowHeight="14.5" x14ac:dyDescent="0.35"/>
  <cols>
    <col min="2" max="2" width="19" bestFit="1" customWidth="1"/>
    <col min="3" max="3" width="16.453125" bestFit="1" customWidth="1"/>
    <col min="4" max="4" width="10" customWidth="1"/>
    <col min="5" max="5" width="10.36328125" customWidth="1"/>
    <col min="6" max="6" width="27.54296875" bestFit="1" customWidth="1"/>
    <col min="7" max="7" width="24.17968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8.90625" customWidth="1"/>
    <col min="22" max="22" width="9.81640625" customWidth="1"/>
    <col min="23" max="23" width="21.81640625" bestFit="1" customWidth="1"/>
    <col min="24" max="24" width="23.1796875" bestFit="1" customWidth="1"/>
    <col min="25" max="25" width="11.26953125" bestFit="1" customWidth="1"/>
    <col min="29" max="29" width="9.6328125" bestFit="1" customWidth="1"/>
  </cols>
  <sheetData>
    <row r="1" spans="1:26" x14ac:dyDescent="0.35">
      <c r="A1" s="26" t="s">
        <v>36</v>
      </c>
      <c r="B1" s="29" t="s">
        <v>55</v>
      </c>
      <c r="C1" s="29" t="s">
        <v>60</v>
      </c>
      <c r="D1" s="29" t="s">
        <v>59</v>
      </c>
      <c r="E1" s="29" t="s">
        <v>34</v>
      </c>
      <c r="F1" s="29" t="s">
        <v>62</v>
      </c>
      <c r="G1" s="29" t="s">
        <v>61</v>
      </c>
      <c r="H1" s="29" t="s">
        <v>56</v>
      </c>
      <c r="I1" s="29" t="s">
        <v>57</v>
      </c>
      <c r="J1" s="29" t="s">
        <v>103</v>
      </c>
      <c r="K1" s="29" t="s">
        <v>58</v>
      </c>
      <c r="L1" s="29" t="s">
        <v>32</v>
      </c>
      <c r="M1" s="29" t="s">
        <v>5</v>
      </c>
      <c r="N1" s="29" t="s">
        <v>4</v>
      </c>
      <c r="O1" s="29" t="s">
        <v>33</v>
      </c>
      <c r="P1" s="30" t="s">
        <v>7</v>
      </c>
      <c r="Q1" s="26" t="s">
        <v>82</v>
      </c>
      <c r="R1" s="26" t="s">
        <v>83</v>
      </c>
      <c r="S1" s="26" t="s">
        <v>80</v>
      </c>
    </row>
    <row r="2" spans="1:26" s="50" customFormat="1" x14ac:dyDescent="0.35">
      <c r="A2" s="22">
        <v>45017</v>
      </c>
      <c r="B2" s="51" t="s">
        <v>54</v>
      </c>
      <c r="C2" s="51" t="s">
        <v>97</v>
      </c>
      <c r="D2" s="52">
        <v>384</v>
      </c>
      <c r="E2" s="52">
        <v>350</v>
      </c>
      <c r="F2" s="80">
        <v>0.12609970674486803</v>
      </c>
      <c r="G2" s="80">
        <v>7.6923076923076927E-2</v>
      </c>
      <c r="H2" s="52">
        <f>Table7[[#This Row],[Calls Off]]</f>
        <v>384</v>
      </c>
      <c r="I2" s="52">
        <f>Table7[[#This Row],[Calls Ans]]</f>
        <v>350</v>
      </c>
      <c r="J2" s="52">
        <f>Table7[[#This Row],[Calls Off]]</f>
        <v>384</v>
      </c>
      <c r="K2" s="52">
        <f>Table7[[#This Row],[Calls Ans]]</f>
        <v>350</v>
      </c>
      <c r="L2" s="53">
        <v>0.82</v>
      </c>
      <c r="M2" s="53">
        <v>0.09</v>
      </c>
      <c r="N2" s="53">
        <v>0.91</v>
      </c>
      <c r="O2" s="53">
        <v>0.46</v>
      </c>
      <c r="P2" s="53">
        <v>0.88</v>
      </c>
      <c r="Q2" s="233">
        <v>2.0023148148148148E-3</v>
      </c>
      <c r="R2" s="188">
        <v>1.5972222222222224E-2</v>
      </c>
      <c r="S2" s="112">
        <v>9</v>
      </c>
    </row>
    <row r="3" spans="1:26" x14ac:dyDescent="0.35">
      <c r="A3" s="22">
        <v>45018</v>
      </c>
      <c r="B3" s="36" t="s">
        <v>48</v>
      </c>
      <c r="C3" s="36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224">
        <v>0</v>
      </c>
      <c r="R3" s="155">
        <v>0</v>
      </c>
      <c r="S3" s="1">
        <v>0</v>
      </c>
    </row>
    <row r="4" spans="1:26" x14ac:dyDescent="0.35">
      <c r="A4" s="22">
        <v>45019</v>
      </c>
      <c r="B4" s="36" t="s">
        <v>49</v>
      </c>
      <c r="C4" s="36" t="s">
        <v>97</v>
      </c>
      <c r="D4" s="1">
        <v>862</v>
      </c>
      <c r="E4" s="1">
        <v>775</v>
      </c>
      <c r="F4" s="66">
        <v>0.20223152022315202</v>
      </c>
      <c r="G4" s="66">
        <v>0.23407643312101911</v>
      </c>
      <c r="H4" s="1">
        <f>Table7[[#This Row],[Calls Off]]+H2</f>
        <v>1246</v>
      </c>
      <c r="I4" s="1">
        <f>Table7[[#This Row],[Calls Ans]]+I2</f>
        <v>1125</v>
      </c>
      <c r="J4" s="1">
        <f>J2+Table7[[#This Row],[Calls Off]]</f>
        <v>1246</v>
      </c>
      <c r="K4" s="1">
        <f>K2+Table7[[#This Row],[Calls Ans]]</f>
        <v>1125</v>
      </c>
      <c r="L4" s="18">
        <v>0.67</v>
      </c>
      <c r="M4" s="18">
        <v>0.1</v>
      </c>
      <c r="N4" s="18">
        <v>0.9</v>
      </c>
      <c r="O4" s="18">
        <v>0.68</v>
      </c>
      <c r="P4" s="18">
        <v>0.78</v>
      </c>
      <c r="Q4" s="224">
        <v>2.3379629629629631E-3</v>
      </c>
      <c r="R4" s="155">
        <v>2.4999999999999998E-2</v>
      </c>
      <c r="S4" s="1">
        <v>9</v>
      </c>
    </row>
    <row r="5" spans="1:26" x14ac:dyDescent="0.35">
      <c r="A5" s="22">
        <v>45020</v>
      </c>
      <c r="B5" s="36" t="s">
        <v>50</v>
      </c>
      <c r="C5" s="36" t="s">
        <v>97</v>
      </c>
      <c r="D5" s="39">
        <v>734</v>
      </c>
      <c r="E5" s="39">
        <v>681</v>
      </c>
      <c r="F5" s="83">
        <v>8.9020771513353122E-2</v>
      </c>
      <c r="G5" s="83">
        <v>3.6529680365296802E-2</v>
      </c>
      <c r="H5" s="1">
        <f>Table7[[#This Row],[Calls Off]]+H4</f>
        <v>1980</v>
      </c>
      <c r="I5" s="1">
        <f>Table7[[#This Row],[Calls Ans]]+I4</f>
        <v>1806</v>
      </c>
      <c r="J5" s="1">
        <f>J4+Table7[[#This Row],[Calls Off]]</f>
        <v>1980</v>
      </c>
      <c r="K5" s="1">
        <f>K4+Table7[[#This Row],[Calls Ans]]</f>
        <v>1806</v>
      </c>
      <c r="L5" s="48">
        <v>0.68</v>
      </c>
      <c r="M5" s="48">
        <v>7.0000000000000007E-2</v>
      </c>
      <c r="N5" s="48">
        <v>0.93</v>
      </c>
      <c r="O5" s="48">
        <v>0.66</v>
      </c>
      <c r="P5" s="48">
        <v>0.79</v>
      </c>
      <c r="Q5" s="234">
        <v>2.3842592592592591E-3</v>
      </c>
      <c r="R5" s="189">
        <v>2.5694444444444447E-2</v>
      </c>
      <c r="S5" s="1">
        <v>9</v>
      </c>
    </row>
    <row r="6" spans="1:26" x14ac:dyDescent="0.35">
      <c r="A6" s="22">
        <v>45021</v>
      </c>
      <c r="B6" s="36" t="s">
        <v>51</v>
      </c>
      <c r="C6" s="36" t="s">
        <v>97</v>
      </c>
      <c r="D6" s="39">
        <v>671</v>
      </c>
      <c r="E6" s="39">
        <v>628</v>
      </c>
      <c r="F6" s="83">
        <v>-6.6759388038942977E-2</v>
      </c>
      <c r="G6" s="83">
        <v>-7.511045655375552E-2</v>
      </c>
      <c r="H6" s="1">
        <f>Table7[[#This Row],[Calls Off]]+H5</f>
        <v>2651</v>
      </c>
      <c r="I6" s="1">
        <f>Table7[[#This Row],[Calls Ans]]+I5</f>
        <v>2434</v>
      </c>
      <c r="J6" s="1">
        <f>J5+Table7[[#This Row],[Calls Off]]</f>
        <v>2651</v>
      </c>
      <c r="K6" s="1">
        <f>K5+Table7[[#This Row],[Calls Ans]]</f>
        <v>2434</v>
      </c>
      <c r="L6" s="48">
        <v>0.75</v>
      </c>
      <c r="M6" s="48">
        <v>0.06</v>
      </c>
      <c r="N6" s="48">
        <v>0.94</v>
      </c>
      <c r="O6" s="48">
        <v>0.56999999999999995</v>
      </c>
      <c r="P6" s="48">
        <v>0.81</v>
      </c>
      <c r="Q6" s="234">
        <v>2.3726851851851851E-3</v>
      </c>
      <c r="R6" s="189">
        <v>2.013888888888889E-2</v>
      </c>
      <c r="S6" s="1">
        <v>10</v>
      </c>
      <c r="Y6" t="s">
        <v>69</v>
      </c>
      <c r="Z6" s="16">
        <v>44654</v>
      </c>
    </row>
    <row r="7" spans="1:26" x14ac:dyDescent="0.35">
      <c r="A7" s="22">
        <v>45022</v>
      </c>
      <c r="B7" s="36" t="s">
        <v>52</v>
      </c>
      <c r="C7" s="36" t="s">
        <v>97</v>
      </c>
      <c r="D7" s="39">
        <v>709</v>
      </c>
      <c r="E7" s="39">
        <v>638</v>
      </c>
      <c r="F7" s="83">
        <v>0</v>
      </c>
      <c r="G7" s="83">
        <v>0</v>
      </c>
      <c r="H7" s="1">
        <f>Table7[[#This Row],[Calls Off]]+H6</f>
        <v>3360</v>
      </c>
      <c r="I7" s="1">
        <f>Table7[[#This Row],[Calls Ans]]+I6</f>
        <v>3072</v>
      </c>
      <c r="J7" s="1">
        <f>J6+Table7[[#This Row],[Calls Off]]</f>
        <v>3360</v>
      </c>
      <c r="K7" s="1">
        <f>K6+Table7[[#This Row],[Calls Ans]]</f>
        <v>3072</v>
      </c>
      <c r="L7" s="48">
        <v>0.68</v>
      </c>
      <c r="M7" s="48">
        <v>0.1</v>
      </c>
      <c r="N7" s="48">
        <v>0.9</v>
      </c>
      <c r="O7" s="48">
        <v>0.54</v>
      </c>
      <c r="P7" s="48">
        <v>0.8</v>
      </c>
      <c r="Q7" s="234">
        <v>2.0138888888888888E-3</v>
      </c>
      <c r="R7" s="189">
        <v>2.9861111111111113E-2</v>
      </c>
      <c r="S7" s="1">
        <v>9</v>
      </c>
      <c r="Y7" t="s">
        <v>70</v>
      </c>
      <c r="Z7" s="16">
        <v>44675</v>
      </c>
    </row>
    <row r="8" spans="1:26" x14ac:dyDescent="0.35">
      <c r="A8" s="22">
        <v>45023</v>
      </c>
      <c r="B8" s="36" t="s">
        <v>53</v>
      </c>
      <c r="C8" s="36" t="s">
        <v>97</v>
      </c>
      <c r="D8" s="39">
        <v>0</v>
      </c>
      <c r="E8" s="39">
        <v>0</v>
      </c>
      <c r="F8" s="83">
        <v>0</v>
      </c>
      <c r="G8" s="83">
        <v>0</v>
      </c>
      <c r="H8" s="39">
        <v>0</v>
      </c>
      <c r="I8" s="39">
        <v>0</v>
      </c>
      <c r="J8" s="39">
        <v>0</v>
      </c>
      <c r="K8" s="39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234">
        <v>0</v>
      </c>
      <c r="R8" s="189">
        <v>0</v>
      </c>
      <c r="S8" s="1">
        <v>0</v>
      </c>
      <c r="U8">
        <f>AVERAGEIF(L2:L92,"&lt;&gt;0")</f>
        <v>0.68507246376811604</v>
      </c>
    </row>
    <row r="9" spans="1:26" x14ac:dyDescent="0.35">
      <c r="A9" s="22">
        <v>45024</v>
      </c>
      <c r="B9" s="36" t="s">
        <v>54</v>
      </c>
      <c r="C9" s="36" t="s">
        <v>97</v>
      </c>
      <c r="D9" s="39">
        <v>474</v>
      </c>
      <c r="E9" s="39">
        <v>430</v>
      </c>
      <c r="F9" s="83">
        <f>(Table7[[#This Row],[Calls Off]]-D2)/D2</f>
        <v>0.234375</v>
      </c>
      <c r="G9" s="83">
        <f>(Table7[[#This Row],[Calls Ans]]-E2)/E2</f>
        <v>0.22857142857142856</v>
      </c>
      <c r="H9" s="1">
        <f>Table7[[#This Row],[Calls Off]]+H7</f>
        <v>3834</v>
      </c>
      <c r="I9" s="1">
        <f>Table7[[#This Row],[Calls Ans]]+I7</f>
        <v>3502</v>
      </c>
      <c r="J9" s="1">
        <f>J7+Table7[[#This Row],[Calls Off]]</f>
        <v>3834</v>
      </c>
      <c r="K9" s="1">
        <f>K7+Table7[[#This Row],[Calls Ans]]</f>
        <v>3502</v>
      </c>
      <c r="L9" s="48">
        <v>0.74</v>
      </c>
      <c r="M9" s="48">
        <v>0.09</v>
      </c>
      <c r="N9" s="48">
        <v>0.91</v>
      </c>
      <c r="O9" s="48">
        <v>0.57999999999999996</v>
      </c>
      <c r="P9" s="48">
        <v>0.87</v>
      </c>
      <c r="Q9" s="234">
        <v>2.0486111111111113E-3</v>
      </c>
      <c r="R9" s="189">
        <v>2.7083333333333334E-2</v>
      </c>
      <c r="S9" s="1">
        <v>8</v>
      </c>
    </row>
    <row r="10" spans="1:26" x14ac:dyDescent="0.35">
      <c r="A10" s="22">
        <v>45025</v>
      </c>
      <c r="B10" s="36" t="s">
        <v>48</v>
      </c>
      <c r="C10" s="36" t="s">
        <v>97</v>
      </c>
      <c r="D10" s="39">
        <v>0</v>
      </c>
      <c r="E10" s="39">
        <v>0</v>
      </c>
      <c r="F10" s="83">
        <v>0</v>
      </c>
      <c r="G10" s="83">
        <v>0</v>
      </c>
      <c r="H10" s="39">
        <v>0</v>
      </c>
      <c r="I10" s="39">
        <v>0</v>
      </c>
      <c r="J10" s="39">
        <v>0</v>
      </c>
      <c r="K10" s="39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234">
        <v>0</v>
      </c>
      <c r="R10" s="189">
        <v>0</v>
      </c>
      <c r="S10" s="1">
        <v>0</v>
      </c>
    </row>
    <row r="11" spans="1:26" x14ac:dyDescent="0.35">
      <c r="A11" s="22">
        <v>45026</v>
      </c>
      <c r="B11" s="36" t="s">
        <v>49</v>
      </c>
      <c r="C11" s="36" t="s">
        <v>97</v>
      </c>
      <c r="D11" s="39">
        <v>0</v>
      </c>
      <c r="E11" s="39">
        <v>0</v>
      </c>
      <c r="F11" s="83">
        <v>0</v>
      </c>
      <c r="G11" s="83">
        <v>0</v>
      </c>
      <c r="H11" s="39">
        <v>0</v>
      </c>
      <c r="I11" s="39">
        <v>0</v>
      </c>
      <c r="J11" s="39">
        <v>0</v>
      </c>
      <c r="K11" s="39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234">
        <v>0</v>
      </c>
      <c r="R11" s="189">
        <v>0</v>
      </c>
      <c r="S11" s="1">
        <v>0</v>
      </c>
    </row>
    <row r="12" spans="1:26" x14ac:dyDescent="0.35">
      <c r="A12" s="22">
        <v>45027</v>
      </c>
      <c r="B12" s="36" t="s">
        <v>50</v>
      </c>
      <c r="C12" s="36" t="s">
        <v>97</v>
      </c>
      <c r="D12" s="1">
        <v>942</v>
      </c>
      <c r="E12" s="1">
        <v>723</v>
      </c>
      <c r="F12" s="66">
        <f>_xlfn.IFNA((Table7[[#This Row],[Calls Off]]-D5)/D5,0)</f>
        <v>0.28337874659400547</v>
      </c>
      <c r="G12" s="66">
        <f>_xlfn.IFNA((Table7[[#This Row],[Calls Ans]]-E5)/E5,0)</f>
        <v>6.1674008810572688E-2</v>
      </c>
      <c r="H12" s="1">
        <f>H9+Table7[[#This Row],[Calls Off]]</f>
        <v>4776</v>
      </c>
      <c r="I12" s="1">
        <f>I9+Table7[[#This Row],[Calls Ans]]</f>
        <v>4225</v>
      </c>
      <c r="J12" s="39">
        <f>J9+Table7[[#This Row],[Calls Off]]</f>
        <v>4776</v>
      </c>
      <c r="K12" s="39">
        <f>K9+Table7[[#This Row],[Calls Ans]]</f>
        <v>4225</v>
      </c>
      <c r="L12" s="18">
        <v>0.33</v>
      </c>
      <c r="M12" s="18">
        <v>0.22</v>
      </c>
      <c r="N12" s="18">
        <v>0.78</v>
      </c>
      <c r="O12" s="18">
        <v>0.76</v>
      </c>
      <c r="P12" s="18">
        <v>0.82</v>
      </c>
      <c r="Q12" s="224">
        <v>2.4189814814814816E-3</v>
      </c>
      <c r="R12" s="155">
        <v>8.6805555555555566E-2</v>
      </c>
      <c r="S12" s="1">
        <v>8</v>
      </c>
    </row>
    <row r="13" spans="1:26" x14ac:dyDescent="0.35">
      <c r="A13" s="22">
        <v>45028</v>
      </c>
      <c r="B13" s="36" t="s">
        <v>51</v>
      </c>
      <c r="C13" s="36" t="s">
        <v>97</v>
      </c>
      <c r="D13" s="1">
        <v>731</v>
      </c>
      <c r="E13" s="1">
        <v>662</v>
      </c>
      <c r="F13" s="66">
        <f>_xlfn.IFNA((Table7[[#This Row],[Calls Off]]-D6)/D6,0)</f>
        <v>8.9418777943368111E-2</v>
      </c>
      <c r="G13" s="66">
        <f>_xlfn.IFNA((Table7[[#This Row],[Calls Ans]]-E6)/E6,0)</f>
        <v>5.4140127388535034E-2</v>
      </c>
      <c r="H13" s="1">
        <f>H12+Table7[[#This Row],[Calls Off]]</f>
        <v>5507</v>
      </c>
      <c r="I13" s="1">
        <f>I12+Table7[[#This Row],[Calls Ans]]</f>
        <v>4887</v>
      </c>
      <c r="J13" s="39">
        <f>J12+Table7[[#This Row],[Calls Off]]</f>
        <v>5507</v>
      </c>
      <c r="K13" s="39">
        <f>K12+Table7[[#This Row],[Calls Ans]]</f>
        <v>4887</v>
      </c>
      <c r="L13" s="18">
        <v>0.64</v>
      </c>
      <c r="M13" s="18">
        <v>0.09</v>
      </c>
      <c r="N13" s="18">
        <v>0.91</v>
      </c>
      <c r="O13" s="18">
        <v>0.69</v>
      </c>
      <c r="P13" s="18">
        <v>0.8</v>
      </c>
      <c r="Q13" s="224">
        <v>2.3495370370370371E-3</v>
      </c>
      <c r="R13" s="155">
        <v>2.0833333333333332E-2</v>
      </c>
      <c r="S13" s="1">
        <v>8</v>
      </c>
      <c r="V13" t="s">
        <v>66</v>
      </c>
      <c r="W13" t="s">
        <v>67</v>
      </c>
      <c r="X13" t="s">
        <v>68</v>
      </c>
    </row>
    <row r="14" spans="1:26" x14ac:dyDescent="0.35">
      <c r="A14" s="22">
        <v>45029</v>
      </c>
      <c r="B14" s="36" t="s">
        <v>52</v>
      </c>
      <c r="C14" s="36" t="s">
        <v>97</v>
      </c>
      <c r="D14" s="1">
        <v>643</v>
      </c>
      <c r="E14" s="1">
        <v>595</v>
      </c>
      <c r="F14" s="66">
        <f>_xlfn.IFNA((Table7[[#This Row],[Calls Off]]-D7)/D7,0)</f>
        <v>-9.3088857545839204E-2</v>
      </c>
      <c r="G14" s="66">
        <f>_xlfn.IFNA((Table7[[#This Row],[Calls Ans]]-E7)/E7,0)</f>
        <v>-6.7398119122257058E-2</v>
      </c>
      <c r="H14" s="1">
        <f>H13+Table7[[#This Row],[Calls Off]]</f>
        <v>6150</v>
      </c>
      <c r="I14" s="1">
        <f>I13+Table7[[#This Row],[Calls Ans]]</f>
        <v>5482</v>
      </c>
      <c r="J14" s="39">
        <f>J13+Table7[[#This Row],[Calls Off]]</f>
        <v>6150</v>
      </c>
      <c r="K14" s="39">
        <f>K13+Table7[[#This Row],[Calls Ans]]</f>
        <v>5482</v>
      </c>
      <c r="L14" s="18">
        <v>0.73</v>
      </c>
      <c r="M14" s="18">
        <v>7.0000000000000007E-2</v>
      </c>
      <c r="N14" s="18">
        <v>0.93</v>
      </c>
      <c r="O14" s="18">
        <v>0.61</v>
      </c>
      <c r="P14" s="18">
        <v>0.77</v>
      </c>
      <c r="Q14" s="224">
        <v>1.9907407407407408E-3</v>
      </c>
      <c r="R14" s="155">
        <v>1.3194444444444444E-2</v>
      </c>
      <c r="S14" s="1">
        <v>8</v>
      </c>
      <c r="V14" s="22">
        <v>45020</v>
      </c>
      <c r="W14" s="1">
        <f>SUMIFS(Table7[Calls Off],Table7[Date],"&gt;="&amp;V14,Table7[Date],"&lt;"&amp;V15)</f>
        <v>2588</v>
      </c>
      <c r="X14" s="1">
        <f>SUMIFS(Table7[Calls Ans],Table7[Date],"&gt;="&amp;V14,Table7[Date],"&lt;"&amp;V15)</f>
        <v>2377</v>
      </c>
    </row>
    <row r="15" spans="1:26" x14ac:dyDescent="0.35">
      <c r="A15" s="22">
        <v>45030</v>
      </c>
      <c r="B15" s="36" t="s">
        <v>53</v>
      </c>
      <c r="C15" s="36" t="s">
        <v>97</v>
      </c>
      <c r="D15" s="1">
        <v>696</v>
      </c>
      <c r="E15" s="1">
        <v>639</v>
      </c>
      <c r="F15" s="66">
        <v>0</v>
      </c>
      <c r="G15" s="66">
        <v>0</v>
      </c>
      <c r="H15" s="1">
        <f>H14+Table7[[#This Row],[Calls Off]]</f>
        <v>6846</v>
      </c>
      <c r="I15" s="1">
        <f>I14+Table7[[#This Row],[Calls Ans]]</f>
        <v>6121</v>
      </c>
      <c r="J15" s="39">
        <f>J14+Table7[[#This Row],[Calls Off]]</f>
        <v>6846</v>
      </c>
      <c r="K15" s="39">
        <f>K14+Table7[[#This Row],[Calls Ans]]</f>
        <v>6121</v>
      </c>
      <c r="L15" s="18">
        <v>0.63</v>
      </c>
      <c r="M15" s="18">
        <v>0.08</v>
      </c>
      <c r="N15" s="18">
        <v>0.92</v>
      </c>
      <c r="O15" s="18">
        <v>0.51</v>
      </c>
      <c r="P15" s="18">
        <v>0.76</v>
      </c>
      <c r="Q15" s="224">
        <v>2.1527777777777778E-3</v>
      </c>
      <c r="R15" s="155">
        <v>2.4999999999999998E-2</v>
      </c>
      <c r="S15" s="1">
        <v>8</v>
      </c>
      <c r="V15" s="22">
        <f>V14+7</f>
        <v>45027</v>
      </c>
      <c r="W15" s="1">
        <f>SUMIFS(Table7[Calls Off],Table7[Date],"&gt;="&amp;V15,Table7[Date],"&lt;"&amp;V16)</f>
        <v>4323</v>
      </c>
      <c r="X15" s="1">
        <f>SUMIFS(Table7[Calls Ans],Table7[Date],"&gt;="&amp;V15,Table7[Date],"&lt;"&amp;V16)</f>
        <v>3887</v>
      </c>
    </row>
    <row r="16" spans="1:26" x14ac:dyDescent="0.35">
      <c r="A16" s="22">
        <v>45031</v>
      </c>
      <c r="B16" s="36" t="s">
        <v>54</v>
      </c>
      <c r="C16" s="36" t="s">
        <v>97</v>
      </c>
      <c r="D16" s="1">
        <v>471</v>
      </c>
      <c r="E16" s="1">
        <v>456</v>
      </c>
      <c r="F16" s="66">
        <f>_xlfn.IFNA((Table7[[#This Row],[Calls Off]]-D9)/D9,0)</f>
        <v>-6.3291139240506328E-3</v>
      </c>
      <c r="G16" s="66">
        <f>_xlfn.IFNA((Table7[[#This Row],[Calls Ans]]-E9)/E9,0)</f>
        <v>6.0465116279069767E-2</v>
      </c>
      <c r="H16" s="1">
        <f>H15+Table7[[#This Row],[Calls Off]]</f>
        <v>7317</v>
      </c>
      <c r="I16" s="1">
        <f>I15+Table7[[#This Row],[Calls Ans]]</f>
        <v>6577</v>
      </c>
      <c r="J16" s="39">
        <f>J15+Table7[[#This Row],[Calls Off]]</f>
        <v>7317</v>
      </c>
      <c r="K16" s="39">
        <f>K15+Table7[[#This Row],[Calls Ans]]</f>
        <v>6577</v>
      </c>
      <c r="L16" s="18">
        <v>0.93</v>
      </c>
      <c r="M16" s="18">
        <v>0.03</v>
      </c>
      <c r="N16" s="18">
        <v>0.97</v>
      </c>
      <c r="O16" s="18">
        <v>0.26</v>
      </c>
      <c r="P16" s="18">
        <v>0.85</v>
      </c>
      <c r="Q16" s="224">
        <v>9.7222222222222209E-4</v>
      </c>
      <c r="R16" s="155">
        <v>4.8611111111111112E-3</v>
      </c>
      <c r="S16" s="1">
        <v>7</v>
      </c>
      <c r="V16" s="22">
        <f t="shared" ref="V16:V65" si="0">V15+7</f>
        <v>45034</v>
      </c>
      <c r="W16" s="1">
        <f>SUMIFS(Table7[Calls Off],Table7[Date],"&gt;="&amp;V16,Table7[Date],"&lt;"&amp;V17)</f>
        <v>3572</v>
      </c>
      <c r="X16" s="1">
        <f>SUMIFS(Table7[Calls Ans],Table7[Date],"&gt;="&amp;V16,Table7[Date],"&lt;"&amp;V17)</f>
        <v>3251</v>
      </c>
    </row>
    <row r="17" spans="1:24" x14ac:dyDescent="0.35">
      <c r="A17" s="22">
        <v>45032</v>
      </c>
      <c r="B17" s="36" t="s">
        <v>48</v>
      </c>
      <c r="C17" s="36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39">
        <v>0</v>
      </c>
      <c r="K17" s="39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224">
        <v>0</v>
      </c>
      <c r="R17" s="155">
        <v>0</v>
      </c>
      <c r="S17" s="1">
        <v>0</v>
      </c>
      <c r="V17" s="22">
        <f t="shared" si="0"/>
        <v>45041</v>
      </c>
      <c r="W17" s="1">
        <f>SUMIFS(Table7[Calls Off],Table7[Date],"&gt;="&amp;V17,Table7[Date],"&lt;"&amp;V18)</f>
        <v>2701</v>
      </c>
      <c r="X17" s="1">
        <f>SUMIFS(Table7[Calls Ans],Table7[Date],"&gt;="&amp;V17,Table7[Date],"&lt;"&amp;V18)</f>
        <v>2560</v>
      </c>
    </row>
    <row r="18" spans="1:24" x14ac:dyDescent="0.35">
      <c r="A18" s="22">
        <v>45033</v>
      </c>
      <c r="B18" s="36" t="s">
        <v>49</v>
      </c>
      <c r="C18" s="36" t="s">
        <v>97</v>
      </c>
      <c r="D18" s="1">
        <v>840</v>
      </c>
      <c r="E18" s="1">
        <v>812</v>
      </c>
      <c r="F18" s="66">
        <v>0</v>
      </c>
      <c r="G18" s="66">
        <v>0</v>
      </c>
      <c r="H18" s="1">
        <f>H16+Table7[[#This Row],[Calls Off]]</f>
        <v>8157</v>
      </c>
      <c r="I18" s="1">
        <f>I16+Table7[[#This Row],[Calls Ans]]</f>
        <v>7389</v>
      </c>
      <c r="J18" s="39">
        <f>J16+Table7[[#This Row],[Calls Off]]</f>
        <v>8157</v>
      </c>
      <c r="K18" s="39">
        <f>K16+Table7[[#This Row],[Calls Ans]]</f>
        <v>7389</v>
      </c>
      <c r="L18" s="18">
        <v>0.85</v>
      </c>
      <c r="M18" s="18">
        <v>0.03</v>
      </c>
      <c r="N18" s="18">
        <v>0.97</v>
      </c>
      <c r="O18" s="18">
        <v>0.45</v>
      </c>
      <c r="P18" s="18">
        <v>0.79</v>
      </c>
      <c r="Q18" s="224">
        <v>1.7476851851851852E-3</v>
      </c>
      <c r="R18" s="155">
        <v>9.7222222222222224E-3</v>
      </c>
      <c r="S18" s="1">
        <v>11</v>
      </c>
      <c r="V18" s="22">
        <f t="shared" si="0"/>
        <v>45048</v>
      </c>
      <c r="W18" s="1">
        <f>SUMIFS(Table7[Calls Off],Table7[Date],"&gt;="&amp;V18,Table7[Date],"&lt;"&amp;V19)</f>
        <v>2886</v>
      </c>
      <c r="X18" s="1">
        <f>SUMIFS(Table7[Calls Ans],Table7[Date],"&gt;="&amp;V18,Table7[Date],"&lt;"&amp;V19)</f>
        <v>2746</v>
      </c>
    </row>
    <row r="19" spans="1:24" x14ac:dyDescent="0.35">
      <c r="A19" s="22">
        <v>45034</v>
      </c>
      <c r="B19" s="36" t="s">
        <v>50</v>
      </c>
      <c r="C19" s="36" t="s">
        <v>97</v>
      </c>
      <c r="D19" s="1">
        <v>728</v>
      </c>
      <c r="E19" s="1">
        <v>643</v>
      </c>
      <c r="F19" s="66">
        <f>_xlfn.IFNA((Table7[[#This Row],[Calls Off]]-D12)/D12,0)</f>
        <v>-0.22717622080679406</v>
      </c>
      <c r="G19" s="66">
        <f>_xlfn.IFNA((Table7[[#This Row],[Calls Ans]]-E12)/E12,0)</f>
        <v>-0.11065006915629322</v>
      </c>
      <c r="H19" s="1">
        <f>H18+Table7[[#This Row],[Calls Off]]</f>
        <v>8885</v>
      </c>
      <c r="I19" s="1">
        <f>I18+Table7[[#This Row],[Calls Ans]]</f>
        <v>8032</v>
      </c>
      <c r="J19" s="39">
        <f>J18+Table7[[#This Row],[Calls Off]]</f>
        <v>8885</v>
      </c>
      <c r="K19" s="39">
        <f>K18+Table7[[#This Row],[Calls Ans]]</f>
        <v>8032</v>
      </c>
      <c r="L19" s="18">
        <v>0.88</v>
      </c>
      <c r="M19" s="18">
        <v>0.12</v>
      </c>
      <c r="N19" s="18">
        <v>0.88</v>
      </c>
      <c r="O19" s="18">
        <v>0.46</v>
      </c>
      <c r="P19" s="18">
        <v>0.79</v>
      </c>
      <c r="Q19" s="224">
        <v>2.0023148148148148E-3</v>
      </c>
      <c r="R19" s="155">
        <v>2.2916666666666669E-2</v>
      </c>
      <c r="S19" s="1">
        <v>11</v>
      </c>
      <c r="V19" s="22">
        <f t="shared" si="0"/>
        <v>45055</v>
      </c>
      <c r="W19" s="1">
        <f>SUMIFS(Table7[Calls Off],Table7[Date],"&gt;="&amp;V19,Table7[Date],"&lt;"&amp;V20)</f>
        <v>3351</v>
      </c>
      <c r="X19" s="1">
        <f>SUMIFS(Table7[Calls Ans],Table7[Date],"&gt;="&amp;V19,Table7[Date],"&lt;"&amp;V20)</f>
        <v>3081</v>
      </c>
    </row>
    <row r="20" spans="1:24" x14ac:dyDescent="0.35">
      <c r="A20" s="22">
        <v>45035</v>
      </c>
      <c r="B20" s="36" t="s">
        <v>51</v>
      </c>
      <c r="C20" s="36" t="s">
        <v>97</v>
      </c>
      <c r="D20" s="1">
        <v>647</v>
      </c>
      <c r="E20" s="1">
        <v>621</v>
      </c>
      <c r="F20" s="66">
        <f>_xlfn.IFNA((Table7[[#This Row],[Calls Off]]-D13)/D13,0)</f>
        <v>-0.11491108071135431</v>
      </c>
      <c r="G20" s="66">
        <f>_xlfn.IFNA((Table7[[#This Row],[Calls Ans]]-E13)/E13,0)</f>
        <v>-6.1933534743202415E-2</v>
      </c>
      <c r="H20" s="1">
        <f>H19+Table7[[#This Row],[Calls Off]]</f>
        <v>9532</v>
      </c>
      <c r="I20" s="1">
        <f>I19+Table7[[#This Row],[Calls Ans]]</f>
        <v>8653</v>
      </c>
      <c r="J20" s="39">
        <f>J19+Table7[[#This Row],[Calls Off]]</f>
        <v>9532</v>
      </c>
      <c r="K20" s="39">
        <f>K19+Table7[[#This Row],[Calls Ans]]</f>
        <v>8653</v>
      </c>
      <c r="L20" s="18">
        <v>0.86</v>
      </c>
      <c r="M20" s="18">
        <v>0.04</v>
      </c>
      <c r="N20" s="18">
        <v>0.96</v>
      </c>
      <c r="O20" s="18">
        <v>0.5</v>
      </c>
      <c r="P20" s="18">
        <v>0.78</v>
      </c>
      <c r="Q20" s="224">
        <v>1.9907407407407408E-3</v>
      </c>
      <c r="R20" s="155">
        <v>6.2499999999999995E-3</v>
      </c>
      <c r="S20" s="1">
        <v>10</v>
      </c>
      <c r="V20" s="22">
        <f t="shared" si="0"/>
        <v>45062</v>
      </c>
      <c r="W20" s="1">
        <f>SUMIFS(Table7[Calls Off],Table7[Date],"&gt;="&amp;V20,Table7[Date],"&lt;"&amp;V21)</f>
        <v>3385</v>
      </c>
      <c r="X20" s="1">
        <f>SUMIFS(Table7[Calls Ans],Table7[Date],"&gt;="&amp;V20,Table7[Date],"&lt;"&amp;V21)</f>
        <v>3104</v>
      </c>
    </row>
    <row r="21" spans="1:24" x14ac:dyDescent="0.35">
      <c r="A21" s="22">
        <v>45036</v>
      </c>
      <c r="B21" s="36" t="s">
        <v>52</v>
      </c>
      <c r="C21" s="36" t="s">
        <v>97</v>
      </c>
      <c r="D21" s="1">
        <v>718</v>
      </c>
      <c r="E21" s="1">
        <v>688</v>
      </c>
      <c r="F21" s="66">
        <f>_xlfn.IFNA((Table7[[#This Row],[Calls Off]]-D14)/D14,0)</f>
        <v>0.1166407465007776</v>
      </c>
      <c r="G21" s="66">
        <f>_xlfn.IFNA((Table7[[#This Row],[Calls Ans]]-E14)/E14,0)</f>
        <v>0.15630252100840336</v>
      </c>
      <c r="H21" s="1">
        <f>H20+Table7[[#This Row],[Calls Off]]</f>
        <v>10250</v>
      </c>
      <c r="I21" s="1">
        <f>I20+Table7[[#This Row],[Calls Ans]]</f>
        <v>9341</v>
      </c>
      <c r="J21" s="39">
        <f>J20+Table7[[#This Row],[Calls Off]]</f>
        <v>10250</v>
      </c>
      <c r="K21" s="39">
        <f>K20+Table7[[#This Row],[Calls Ans]]</f>
        <v>9341</v>
      </c>
      <c r="L21" s="18">
        <v>0.9</v>
      </c>
      <c r="M21" s="18">
        <v>0.04</v>
      </c>
      <c r="N21" s="18">
        <v>0.96</v>
      </c>
      <c r="O21" s="18">
        <v>0.51</v>
      </c>
      <c r="P21" s="18">
        <v>0.78</v>
      </c>
      <c r="Q21" s="224">
        <v>1.9675925925925928E-3</v>
      </c>
      <c r="R21" s="155">
        <v>1.1111111111111112E-2</v>
      </c>
      <c r="S21" s="1">
        <v>11</v>
      </c>
      <c r="V21" s="22">
        <f t="shared" si="0"/>
        <v>45069</v>
      </c>
      <c r="W21" s="1">
        <f>SUMIFS(Table7[Calls Off],Table7[Date],"&gt;="&amp;V21,Table7[Date],"&lt;"&amp;V22)</f>
        <v>3624</v>
      </c>
      <c r="X21" s="1">
        <f>SUMIFS(Table7[Calls Ans],Table7[Date],"&gt;="&amp;V21,Table7[Date],"&lt;"&amp;V22)</f>
        <v>3308</v>
      </c>
    </row>
    <row r="22" spans="1:24" x14ac:dyDescent="0.35">
      <c r="A22" s="22">
        <v>45037</v>
      </c>
      <c r="B22" s="36" t="s">
        <v>53</v>
      </c>
      <c r="C22" s="36" t="s">
        <v>97</v>
      </c>
      <c r="D22" s="1">
        <v>680</v>
      </c>
      <c r="E22" s="1">
        <v>661</v>
      </c>
      <c r="F22" s="66">
        <f>_xlfn.IFNA((Table7[[#This Row],[Calls Off]]-D15)/D15,0)</f>
        <v>-2.2988505747126436E-2</v>
      </c>
      <c r="G22" s="66">
        <f>_xlfn.IFNA((Table7[[#This Row],[Calls Ans]]-E15)/E15,0)</f>
        <v>3.4428794992175271E-2</v>
      </c>
      <c r="H22" s="1">
        <f>H21+Table7[[#This Row],[Calls Off]]</f>
        <v>10930</v>
      </c>
      <c r="I22" s="1">
        <f>I21+Table7[[#This Row],[Calls Ans]]</f>
        <v>10002</v>
      </c>
      <c r="J22" s="39">
        <f>J21+Table7[[#This Row],[Calls Off]]</f>
        <v>10930</v>
      </c>
      <c r="K22" s="39">
        <f>K21+Table7[[#This Row],[Calls Ans]]</f>
        <v>10002</v>
      </c>
      <c r="L22" s="18">
        <v>0.96</v>
      </c>
      <c r="M22" s="18">
        <v>0.03</v>
      </c>
      <c r="N22" s="18">
        <v>0.97</v>
      </c>
      <c r="O22" s="18">
        <v>0.37</v>
      </c>
      <c r="P22" s="18">
        <v>0.78</v>
      </c>
      <c r="Q22" s="224">
        <v>1.5856481481481479E-3</v>
      </c>
      <c r="R22" s="155">
        <v>4.1666666666666666E-3</v>
      </c>
      <c r="S22" s="1">
        <v>12</v>
      </c>
      <c r="V22" s="22">
        <f t="shared" si="0"/>
        <v>45076</v>
      </c>
      <c r="W22" s="1">
        <f>SUMIFS(Table7[Calls Off],Table7[Date],"&gt;="&amp;V22,Table7[Date],"&lt;"&amp;V23)</f>
        <v>3375</v>
      </c>
      <c r="X22" s="1">
        <f>SUMIFS(Table7[Calls Ans],Table7[Date],"&gt;="&amp;V22,Table7[Date],"&lt;"&amp;V23)</f>
        <v>2827</v>
      </c>
    </row>
    <row r="23" spans="1:24" x14ac:dyDescent="0.35">
      <c r="A23" s="22">
        <v>45038</v>
      </c>
      <c r="B23" s="36" t="s">
        <v>54</v>
      </c>
      <c r="C23" s="36" t="s">
        <v>97</v>
      </c>
      <c r="D23" s="1">
        <v>0</v>
      </c>
      <c r="E23" s="1">
        <v>0</v>
      </c>
      <c r="F23" s="66">
        <v>0</v>
      </c>
      <c r="G23" s="66">
        <v>0</v>
      </c>
      <c r="H23" s="1">
        <v>0</v>
      </c>
      <c r="I23" s="1">
        <v>0</v>
      </c>
      <c r="J23" s="39">
        <v>0</v>
      </c>
      <c r="K23" s="39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224">
        <v>0</v>
      </c>
      <c r="R23" s="155">
        <v>0</v>
      </c>
      <c r="S23" s="1">
        <v>0</v>
      </c>
      <c r="V23" s="22">
        <f t="shared" si="0"/>
        <v>45083</v>
      </c>
      <c r="W23" s="1">
        <f>SUMIFS(Table7[Calls Off],Table7[Date],"&gt;="&amp;V23,Table7[Date],"&lt;"&amp;V24)</f>
        <v>3663</v>
      </c>
      <c r="X23" s="1">
        <f>SUMIFS(Table7[Calls Ans],Table7[Date],"&gt;="&amp;V23,Table7[Date],"&lt;"&amp;V24)</f>
        <v>2325</v>
      </c>
    </row>
    <row r="24" spans="1:24" x14ac:dyDescent="0.35">
      <c r="A24" s="22">
        <v>45039</v>
      </c>
      <c r="B24" s="36" t="s">
        <v>48</v>
      </c>
      <c r="C24" s="36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39">
        <v>0</v>
      </c>
      <c r="K24" s="39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224">
        <v>0</v>
      </c>
      <c r="R24" s="155">
        <v>0</v>
      </c>
      <c r="S24" s="1">
        <v>0</v>
      </c>
      <c r="V24" s="22">
        <f>V23+7</f>
        <v>45090</v>
      </c>
      <c r="W24" s="1">
        <f>SUMIFS(Table7[Calls Off],Table7[Date],"&gt;="&amp;V24,Table7[Date],"&lt;"&amp;V25)</f>
        <v>3305</v>
      </c>
      <c r="X24" s="1">
        <f>SUMIFS(Table7[Calls Ans],Table7[Date],"&gt;="&amp;V24,Table7[Date],"&lt;"&amp;V25)</f>
        <v>2456</v>
      </c>
    </row>
    <row r="25" spans="1:24" x14ac:dyDescent="0.35">
      <c r="A25" s="22">
        <v>45040</v>
      </c>
      <c r="B25" s="36" t="s">
        <v>49</v>
      </c>
      <c r="C25" s="36" t="s">
        <v>97</v>
      </c>
      <c r="D25" s="1">
        <v>799</v>
      </c>
      <c r="E25" s="1">
        <v>638</v>
      </c>
      <c r="F25" s="66">
        <f>_xlfn.IFNA((Table7[[#This Row],[Calls Off]]-D18)/D18,0)</f>
        <v>-4.880952380952381E-2</v>
      </c>
      <c r="G25" s="66">
        <f>_xlfn.IFNA((Table7[[#This Row],[Calls Ans]]-E18)/E18,0)</f>
        <v>-0.21428571428571427</v>
      </c>
      <c r="H25" s="1">
        <f>H22+Table7[[#This Row],[Calls Off]]</f>
        <v>11729</v>
      </c>
      <c r="I25" s="1">
        <f>I22+Table7[[#This Row],[Calls Ans]]</f>
        <v>10640</v>
      </c>
      <c r="J25" s="39">
        <f>J22+Table7[[#This Row],[Calls Off]]</f>
        <v>11729</v>
      </c>
      <c r="K25" s="39">
        <f>K22+Table7[[#This Row],[Calls Ans]]</f>
        <v>10640</v>
      </c>
      <c r="L25" s="18">
        <v>0.55000000000000004</v>
      </c>
      <c r="M25" s="18">
        <v>0.2</v>
      </c>
      <c r="N25" s="18">
        <v>0.8</v>
      </c>
      <c r="O25" s="18">
        <v>0.4</v>
      </c>
      <c r="P25" s="18">
        <v>0.81</v>
      </c>
      <c r="Q25" s="224">
        <v>2.2337962962962967E-3</v>
      </c>
      <c r="R25" s="155">
        <v>5.2777777777777778E-2</v>
      </c>
      <c r="S25" s="1">
        <v>12</v>
      </c>
      <c r="V25" s="22">
        <f t="shared" si="0"/>
        <v>45097</v>
      </c>
      <c r="W25" s="1">
        <f>SUMIFS(Table7[Calls Off],Table7[Date],"&gt;="&amp;V25,Table7[Date],"&lt;"&amp;V26)</f>
        <v>4161</v>
      </c>
      <c r="X25" s="1">
        <f>SUMIFS(Table7[Calls Ans],Table7[Date],"&gt;="&amp;V25,Table7[Date],"&lt;"&amp;V26)</f>
        <v>3371</v>
      </c>
    </row>
    <row r="26" spans="1:24" x14ac:dyDescent="0.35">
      <c r="A26" s="22">
        <v>45041</v>
      </c>
      <c r="B26" s="36" t="s">
        <v>50</v>
      </c>
      <c r="C26" s="36" t="s">
        <v>97</v>
      </c>
      <c r="D26" s="1">
        <v>688</v>
      </c>
      <c r="E26" s="1">
        <v>652</v>
      </c>
      <c r="F26" s="66">
        <f>_xlfn.IFNA((Table7[[#This Row],[Calls Off]]-D19)/D19,0)</f>
        <v>-5.4945054945054944E-2</v>
      </c>
      <c r="G26" s="66">
        <f>_xlfn.IFNA((Table7[[#This Row],[Calls Ans]]-E19)/E19,0)</f>
        <v>1.3996889580093312E-2</v>
      </c>
      <c r="H26" s="1">
        <f>H25+Table7[[#This Row],[Calls Off]]</f>
        <v>12417</v>
      </c>
      <c r="I26" s="1">
        <f>I25+Table7[[#This Row],[Calls Ans]]</f>
        <v>11292</v>
      </c>
      <c r="J26" s="39">
        <f>J25+Table7[[#This Row],[Calls Off]]</f>
        <v>12417</v>
      </c>
      <c r="K26" s="39">
        <f>K25+Table7[[#This Row],[Calls Ans]]</f>
        <v>11292</v>
      </c>
      <c r="L26" s="18">
        <v>0.78</v>
      </c>
      <c r="M26" s="18">
        <v>0.05</v>
      </c>
      <c r="N26" s="18">
        <v>0.95</v>
      </c>
      <c r="O26" s="18">
        <v>0.53</v>
      </c>
      <c r="P26" s="18">
        <v>0.78</v>
      </c>
      <c r="Q26" s="224">
        <v>2.1296296296296298E-3</v>
      </c>
      <c r="R26" s="155">
        <v>1.5972222222222224E-2</v>
      </c>
      <c r="S26" s="1">
        <v>10</v>
      </c>
      <c r="V26" s="22">
        <f t="shared" si="0"/>
        <v>45104</v>
      </c>
      <c r="W26" s="1">
        <f>SUMIFS(Table7[Calls Off],Table7[Date],"&gt;="&amp;V26,Table7[Date],"&lt;"&amp;V27)</f>
        <v>4122</v>
      </c>
      <c r="X26" s="1">
        <f>SUMIFS(Table7[Calls Ans],Table7[Date],"&gt;="&amp;V26,Table7[Date],"&lt;"&amp;V27)</f>
        <v>3445</v>
      </c>
    </row>
    <row r="27" spans="1:24" x14ac:dyDescent="0.35">
      <c r="A27" s="22">
        <v>45042</v>
      </c>
      <c r="B27" s="36" t="s">
        <v>51</v>
      </c>
      <c r="C27" s="36" t="s">
        <v>97</v>
      </c>
      <c r="D27" s="1">
        <v>616</v>
      </c>
      <c r="E27" s="1">
        <v>602</v>
      </c>
      <c r="F27" s="66">
        <f>_xlfn.IFNA((Table7[[#This Row],[Calls Off]]-D20)/D20,0)</f>
        <v>-4.7913446676970631E-2</v>
      </c>
      <c r="G27" s="66">
        <f>_xlfn.IFNA((Table7[[#This Row],[Calls Ans]]-E20)/E20,0)</f>
        <v>-3.0595813204508857E-2</v>
      </c>
      <c r="H27" s="1">
        <f>H26+Table7[[#This Row],[Calls Off]]</f>
        <v>13033</v>
      </c>
      <c r="I27" s="1">
        <f>I26+Table7[[#This Row],[Calls Ans]]</f>
        <v>11894</v>
      </c>
      <c r="J27" s="39">
        <f>J26+Table7[[#This Row],[Calls Off]]</f>
        <v>13033</v>
      </c>
      <c r="K27" s="39">
        <f>K26+Table7[[#This Row],[Calls Ans]]</f>
        <v>11894</v>
      </c>
      <c r="L27" s="18">
        <v>0.97</v>
      </c>
      <c r="M27" s="18">
        <v>0.02</v>
      </c>
      <c r="N27" s="18">
        <v>0.98</v>
      </c>
      <c r="O27" s="18">
        <v>0.32</v>
      </c>
      <c r="P27" s="18">
        <v>0.8</v>
      </c>
      <c r="Q27" s="224">
        <v>1.7476851851851852E-3</v>
      </c>
      <c r="R27" s="155">
        <v>3.472222222222222E-3</v>
      </c>
      <c r="S27" s="1">
        <v>12</v>
      </c>
      <c r="V27" s="22">
        <f>V26+7</f>
        <v>45111</v>
      </c>
      <c r="W27" s="1">
        <f>SUMIFS(Table7[Calls Off],Table7[Date],"&gt;="&amp;V27,Table7[Date],"&lt;"&amp;V28)</f>
        <v>3794</v>
      </c>
      <c r="X27" s="1">
        <f>SUMIFS(Table7[Calls Ans],Table7[Date],"&gt;="&amp;V27,Table7[Date],"&lt;"&amp;V28)</f>
        <v>3291</v>
      </c>
    </row>
    <row r="28" spans="1:24" x14ac:dyDescent="0.35">
      <c r="A28" s="22">
        <v>45043</v>
      </c>
      <c r="B28" s="36" t="s">
        <v>52</v>
      </c>
      <c r="C28" s="36" t="s">
        <v>97</v>
      </c>
      <c r="D28" s="1">
        <v>774</v>
      </c>
      <c r="E28" s="1">
        <v>707</v>
      </c>
      <c r="F28" s="66">
        <f>_xlfn.IFNA((Table7[[#This Row],[Calls Off]]-D21)/D21,0)</f>
        <v>7.7994428969359333E-2</v>
      </c>
      <c r="G28" s="66">
        <f>_xlfn.IFNA((Table7[[#This Row],[Calls Ans]]-E21)/E21,0)</f>
        <v>2.7616279069767442E-2</v>
      </c>
      <c r="H28" s="1">
        <f>H27+Table7[[#This Row],[Calls Off]]</f>
        <v>13807</v>
      </c>
      <c r="I28" s="1">
        <f>I27+Table7[[#This Row],[Calls Ans]]</f>
        <v>12601</v>
      </c>
      <c r="J28" s="39">
        <f>J27+Table7[[#This Row],[Calls Off]]</f>
        <v>13807</v>
      </c>
      <c r="K28" s="39">
        <f>K27+Table7[[#This Row],[Calls Ans]]</f>
        <v>12601</v>
      </c>
      <c r="L28" s="18">
        <v>0.8</v>
      </c>
      <c r="M28" s="18">
        <v>0.09</v>
      </c>
      <c r="N28" s="18">
        <v>0.91</v>
      </c>
      <c r="O28" s="18">
        <v>0.44</v>
      </c>
      <c r="P28" s="18">
        <v>0.81</v>
      </c>
      <c r="Q28" s="224">
        <v>1.9791666666666668E-3</v>
      </c>
      <c r="R28" s="155">
        <v>1.9444444444444445E-2</v>
      </c>
      <c r="S28" s="1">
        <v>13</v>
      </c>
      <c r="V28" s="22">
        <f t="shared" si="0"/>
        <v>45118</v>
      </c>
      <c r="W28" s="1">
        <f>SUMIFS(Table7[Calls Off],Table7[Date],"&gt;="&amp;V28,Table7[Date],"&lt;"&amp;V29)</f>
        <v>3768</v>
      </c>
      <c r="X28" s="1">
        <f>SUMIFS(Table7[Calls Ans],Table7[Date],"&gt;="&amp;V28,Table7[Date],"&lt;"&amp;V29)</f>
        <v>3207</v>
      </c>
    </row>
    <row r="29" spans="1:24" x14ac:dyDescent="0.35">
      <c r="A29" s="22">
        <v>45044</v>
      </c>
      <c r="B29" s="36" t="s">
        <v>53</v>
      </c>
      <c r="C29" s="36" t="s">
        <v>97</v>
      </c>
      <c r="D29" s="1">
        <v>623</v>
      </c>
      <c r="E29" s="1">
        <v>599</v>
      </c>
      <c r="F29" s="66">
        <f>_xlfn.IFNA((Table7[[#This Row],[Calls Off]]-D22)/D22,0)</f>
        <v>-8.38235294117647E-2</v>
      </c>
      <c r="G29" s="66">
        <f>_xlfn.IFNA((Table7[[#This Row],[Calls Ans]]-E22)/E22,0)</f>
        <v>-9.3797276853252648E-2</v>
      </c>
      <c r="H29" s="1">
        <f>H28+Table7[[#This Row],[Calls Off]]</f>
        <v>14430</v>
      </c>
      <c r="I29" s="1">
        <f>I28+Table7[[#This Row],[Calls Ans]]</f>
        <v>13200</v>
      </c>
      <c r="J29" s="39">
        <f>J28+Table7[[#This Row],[Calls Off]]</f>
        <v>14430</v>
      </c>
      <c r="K29" s="39">
        <f>K28+Table7[[#This Row],[Calls Ans]]</f>
        <v>13200</v>
      </c>
      <c r="L29" s="18">
        <v>0.88</v>
      </c>
      <c r="M29" s="18">
        <v>0.04</v>
      </c>
      <c r="N29" s="18">
        <v>0.96</v>
      </c>
      <c r="O29" s="18">
        <v>0.36</v>
      </c>
      <c r="P29" s="18">
        <v>0.81</v>
      </c>
      <c r="Q29" s="224">
        <v>2.0949074074074073E-3</v>
      </c>
      <c r="R29" s="155">
        <v>7.6388888888888886E-3</v>
      </c>
      <c r="S29" s="1">
        <v>12</v>
      </c>
      <c r="V29" s="22">
        <f t="shared" si="0"/>
        <v>45125</v>
      </c>
      <c r="W29" s="1">
        <f>SUMIFS(Table7[Calls Off],Table7[Date],"&gt;="&amp;V29,Table7[Date],"&lt;"&amp;V30)</f>
        <v>0</v>
      </c>
      <c r="X29" s="1">
        <f>SUMIFS(Table7[Calls Ans],Table7[Date],"&gt;="&amp;V29,Table7[Date],"&lt;"&amp;V30)</f>
        <v>0</v>
      </c>
    </row>
    <row r="30" spans="1:24" x14ac:dyDescent="0.35">
      <c r="A30" s="22">
        <v>45045</v>
      </c>
      <c r="B30" s="36" t="s">
        <v>54</v>
      </c>
      <c r="C30" s="36" t="s">
        <v>97</v>
      </c>
      <c r="D30" s="1">
        <v>0</v>
      </c>
      <c r="E30" s="1">
        <v>0</v>
      </c>
      <c r="F30" s="66">
        <v>0</v>
      </c>
      <c r="G30" s="66">
        <v>0</v>
      </c>
      <c r="H30" s="1">
        <v>0</v>
      </c>
      <c r="I30" s="1">
        <v>0</v>
      </c>
      <c r="J30" s="1">
        <v>0</v>
      </c>
      <c r="K30" s="1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224">
        <v>0</v>
      </c>
      <c r="R30" s="155">
        <v>0</v>
      </c>
      <c r="S30" s="1">
        <v>0</v>
      </c>
      <c r="V30" s="22">
        <f t="shared" si="0"/>
        <v>45132</v>
      </c>
      <c r="W30" s="1">
        <f>SUMIFS(Table7[Calls Off],Table7[Date],"&gt;="&amp;V30,Table7[Date],"&lt;"&amp;V31)</f>
        <v>0</v>
      </c>
      <c r="X30" s="1">
        <f>SUMIFS(Table7[Calls Ans],Table7[Date],"&gt;="&amp;V30,Table7[Date],"&lt;"&amp;V31)</f>
        <v>0</v>
      </c>
    </row>
    <row r="31" spans="1:24" x14ac:dyDescent="0.35">
      <c r="A31" s="22">
        <v>45046</v>
      </c>
      <c r="B31" s="36" t="s">
        <v>48</v>
      </c>
      <c r="C31" s="36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224">
        <v>0</v>
      </c>
      <c r="R31" s="155">
        <v>0</v>
      </c>
      <c r="S31" s="1">
        <v>0</v>
      </c>
      <c r="V31" s="22">
        <f t="shared" si="0"/>
        <v>45139</v>
      </c>
      <c r="W31" s="1">
        <f>SUMIFS(Table7[Calls Off],Table7[Date],"&gt;="&amp;V31,Table7[Date],"&lt;"&amp;V32)</f>
        <v>0</v>
      </c>
      <c r="X31" s="1">
        <f>SUMIFS(Table7[Calls Ans],Table7[Date],"&gt;="&amp;V31,Table7[Date],"&lt;"&amp;V32)</f>
        <v>0</v>
      </c>
    </row>
    <row r="32" spans="1:24" x14ac:dyDescent="0.35">
      <c r="A32" s="22">
        <v>45047</v>
      </c>
      <c r="B32" s="36" t="s">
        <v>49</v>
      </c>
      <c r="C32" s="36" t="s">
        <v>97</v>
      </c>
      <c r="D32" s="1">
        <v>0</v>
      </c>
      <c r="E32" s="1">
        <v>0</v>
      </c>
      <c r="F32" s="66">
        <v>0</v>
      </c>
      <c r="G32" s="66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224">
        <v>0</v>
      </c>
      <c r="R32" s="155">
        <v>0</v>
      </c>
      <c r="S32" s="1">
        <v>0</v>
      </c>
      <c r="V32" s="22">
        <f t="shared" si="0"/>
        <v>45146</v>
      </c>
      <c r="W32" s="1">
        <f>SUMIFS(Table7[Calls Off],Table7[Date],"&gt;="&amp;V32,Table7[Date],"&lt;"&amp;V33)</f>
        <v>0</v>
      </c>
      <c r="X32" s="1">
        <f>SUMIFS(Table7[Calls Ans],Table7[Date],"&gt;="&amp;V32,Table7[Date],"&lt;"&amp;V33)</f>
        <v>0</v>
      </c>
    </row>
    <row r="33" spans="1:24" x14ac:dyDescent="0.35">
      <c r="A33" s="22">
        <v>45048</v>
      </c>
      <c r="B33" s="36" t="s">
        <v>50</v>
      </c>
      <c r="C33" s="36" t="s">
        <v>97</v>
      </c>
      <c r="D33" s="1">
        <v>698</v>
      </c>
      <c r="E33" s="1">
        <v>668</v>
      </c>
      <c r="F33" s="66">
        <f>_xlfn.IFNA((Table7[[#This Row],[Calls Off]]-D26)/D26,0)</f>
        <v>1.4534883720930232E-2</v>
      </c>
      <c r="G33" s="66">
        <f>_xlfn.IFNA((Table7[[#This Row],[Calls Ans]]-E26)/E26,0)</f>
        <v>2.4539877300613498E-2</v>
      </c>
      <c r="H33" s="1">
        <f>H32+Table7[[#This Row],[Calls Off]]</f>
        <v>698</v>
      </c>
      <c r="I33" s="1">
        <f>I32+Table7[[#This Row],[Calls Ans]]</f>
        <v>668</v>
      </c>
      <c r="J33" s="39">
        <f>J29+Table7[[#This Row],[Calls Off]]</f>
        <v>15128</v>
      </c>
      <c r="K33" s="39">
        <f>K29+Table7[[#This Row],[Calls Ans]]</f>
        <v>13868</v>
      </c>
      <c r="L33" s="18">
        <v>0.83</v>
      </c>
      <c r="M33" s="18">
        <v>0.04</v>
      </c>
      <c r="N33" s="18">
        <v>0.96</v>
      </c>
      <c r="O33" s="18">
        <v>0.45</v>
      </c>
      <c r="P33" s="18">
        <v>0.78</v>
      </c>
      <c r="Q33" s="224">
        <v>2.0949074074074073E-3</v>
      </c>
      <c r="R33" s="155">
        <v>1.3194444444444444E-2</v>
      </c>
      <c r="S33" s="1">
        <v>12</v>
      </c>
      <c r="V33" s="22">
        <f t="shared" si="0"/>
        <v>45153</v>
      </c>
      <c r="W33" s="1">
        <f>SUMIFS(Table7[Calls Off],Table7[Date],"&gt;="&amp;V33,Table7[Date],"&lt;"&amp;V34)</f>
        <v>0</v>
      </c>
      <c r="X33" s="1">
        <f>SUMIFS(Table7[Calls Ans],Table7[Date],"&gt;="&amp;V33,Table7[Date],"&lt;"&amp;V34)</f>
        <v>0</v>
      </c>
    </row>
    <row r="34" spans="1:24" x14ac:dyDescent="0.35">
      <c r="A34" s="22">
        <v>45049</v>
      </c>
      <c r="B34" s="36" t="s">
        <v>51</v>
      </c>
      <c r="C34" s="36" t="s">
        <v>97</v>
      </c>
      <c r="D34" s="1">
        <v>687</v>
      </c>
      <c r="E34" s="1">
        <v>662</v>
      </c>
      <c r="F34" s="66">
        <f>_xlfn.IFNA((Table7[[#This Row],[Calls Off]]-D27)/D27,0)</f>
        <v>0.11525974025974026</v>
      </c>
      <c r="G34" s="66">
        <f>_xlfn.IFNA((Table7[[#This Row],[Calls Ans]]-E27)/E27,0)</f>
        <v>9.9667774086378738E-2</v>
      </c>
      <c r="H34" s="1">
        <f>H33+Table7[[#This Row],[Calls Off]]</f>
        <v>1385</v>
      </c>
      <c r="I34" s="1">
        <f>I33+Table7[[#This Row],[Calls Ans]]</f>
        <v>1330</v>
      </c>
      <c r="J34" s="39">
        <f>J33+Table7[[#This Row],[Calls Off]]</f>
        <v>15815</v>
      </c>
      <c r="K34" s="39">
        <f>K33+Table7[[#This Row],[Calls Ans]]</f>
        <v>14530</v>
      </c>
      <c r="L34" s="18">
        <v>0.95</v>
      </c>
      <c r="M34" s="18">
        <v>0.04</v>
      </c>
      <c r="N34" s="18">
        <v>0.96</v>
      </c>
      <c r="O34" s="18">
        <v>0.4</v>
      </c>
      <c r="P34" s="18">
        <v>0.78</v>
      </c>
      <c r="Q34" s="224">
        <v>1.9328703703703704E-3</v>
      </c>
      <c r="R34" s="155">
        <v>5.5555555555555558E-3</v>
      </c>
      <c r="S34" s="1">
        <v>13</v>
      </c>
      <c r="V34" s="22">
        <f t="shared" si="0"/>
        <v>45160</v>
      </c>
      <c r="W34" s="1">
        <f>SUMIFS(Table7[Calls Off],Table7[Date],"&gt;="&amp;V34,Table7[Date],"&lt;"&amp;V35)</f>
        <v>0</v>
      </c>
      <c r="X34" s="1">
        <f>SUMIFS(Table7[Calls Ans],Table7[Date],"&gt;="&amp;V34,Table7[Date],"&lt;"&amp;V35)</f>
        <v>0</v>
      </c>
    </row>
    <row r="35" spans="1:24" x14ac:dyDescent="0.35">
      <c r="A35" s="22">
        <v>45050</v>
      </c>
      <c r="B35" s="36" t="s">
        <v>52</v>
      </c>
      <c r="C35" s="36" t="s">
        <v>97</v>
      </c>
      <c r="D35" s="1">
        <v>604</v>
      </c>
      <c r="E35" s="1">
        <v>591</v>
      </c>
      <c r="F35" s="66">
        <f>_xlfn.IFNA((Table7[[#This Row],[Calls Off]]-D28)/D28,0)</f>
        <v>-0.21963824289405684</v>
      </c>
      <c r="G35" s="66">
        <f>_xlfn.IFNA((Table7[[#This Row],[Calls Ans]]-E28)/E28,0)</f>
        <v>-0.16407355021216408</v>
      </c>
      <c r="H35" s="1">
        <f>H34+Table7[[#This Row],[Calls Off]]</f>
        <v>1989</v>
      </c>
      <c r="I35" s="1">
        <f>I34+Table7[[#This Row],[Calls Ans]]</f>
        <v>1921</v>
      </c>
      <c r="J35" s="39">
        <f>J34+Table7[[#This Row],[Calls Off]]</f>
        <v>16419</v>
      </c>
      <c r="K35" s="39">
        <f>K34+Table7[[#This Row],[Calls Ans]]</f>
        <v>15121</v>
      </c>
      <c r="L35" s="18">
        <v>0.96</v>
      </c>
      <c r="M35" s="18">
        <v>0.02</v>
      </c>
      <c r="N35" s="18">
        <v>0.98</v>
      </c>
      <c r="O35" s="18">
        <v>0.28999999999999998</v>
      </c>
      <c r="P35" s="18">
        <v>0.8</v>
      </c>
      <c r="Q35" s="224">
        <v>1.8402777777777777E-3</v>
      </c>
      <c r="R35" s="155">
        <v>4.1666666666666666E-3</v>
      </c>
      <c r="S35" s="1">
        <v>12</v>
      </c>
      <c r="V35" s="22">
        <f t="shared" si="0"/>
        <v>45167</v>
      </c>
      <c r="W35" s="1">
        <f>SUMIFS(Table7[Calls Off],Table7[Date],"&gt;="&amp;V35,Table7[Date],"&lt;"&amp;V36)</f>
        <v>0</v>
      </c>
      <c r="X35" s="1">
        <f>SUMIFS(Table7[Calls Ans],Table7[Date],"&gt;="&amp;V35,Table7[Date],"&lt;"&amp;V36)</f>
        <v>0</v>
      </c>
    </row>
    <row r="36" spans="1:24" x14ac:dyDescent="0.35">
      <c r="A36" s="22">
        <v>45051</v>
      </c>
      <c r="B36" s="36" t="s">
        <v>53</v>
      </c>
      <c r="C36" s="36" t="s">
        <v>97</v>
      </c>
      <c r="D36" s="1">
        <v>592</v>
      </c>
      <c r="E36" s="1">
        <v>573</v>
      </c>
      <c r="F36" s="66">
        <f>_xlfn.IFNA((Table7[[#This Row],[Calls Off]]-D29)/D29,0)</f>
        <v>-4.9759229534510431E-2</v>
      </c>
      <c r="G36" s="66">
        <f>_xlfn.IFNA((Table7[[#This Row],[Calls Ans]]-E29)/E29,0)</f>
        <v>-4.340567612687813E-2</v>
      </c>
      <c r="H36" s="1">
        <f>H35+Table7[[#This Row],[Calls Off]]</f>
        <v>2581</v>
      </c>
      <c r="I36" s="1">
        <f>I35+Table7[[#This Row],[Calls Ans]]</f>
        <v>2494</v>
      </c>
      <c r="J36" s="39">
        <f>J35+Table7[[#This Row],[Calls Off]]</f>
        <v>17011</v>
      </c>
      <c r="K36" s="39">
        <f>K35+Table7[[#This Row],[Calls Ans]]</f>
        <v>15694</v>
      </c>
      <c r="L36" s="18">
        <v>0.9</v>
      </c>
      <c r="M36" s="18">
        <v>0.03</v>
      </c>
      <c r="N36" s="18">
        <v>0.97</v>
      </c>
      <c r="O36" s="18">
        <v>0.28999999999999998</v>
      </c>
      <c r="P36" s="18">
        <v>0.79</v>
      </c>
      <c r="Q36" s="224">
        <v>1.5277777777777779E-3</v>
      </c>
      <c r="R36" s="155">
        <v>5.5555555555555558E-3</v>
      </c>
      <c r="S36" s="1">
        <v>12</v>
      </c>
      <c r="V36" s="22">
        <f t="shared" si="0"/>
        <v>45174</v>
      </c>
      <c r="W36" s="1">
        <f>SUMIFS(Table7[Calls Off],Table7[Date],"&gt;="&amp;V36,Table7[Date],"&lt;"&amp;V37)</f>
        <v>0</v>
      </c>
      <c r="X36" s="1">
        <f>SUMIFS(Table7[Calls Ans],Table7[Date],"&gt;="&amp;V36,Table7[Date],"&lt;"&amp;V37)</f>
        <v>0</v>
      </c>
    </row>
    <row r="37" spans="1:24" x14ac:dyDescent="0.35">
      <c r="A37" s="22">
        <v>45052</v>
      </c>
      <c r="B37" s="36" t="s">
        <v>54</v>
      </c>
      <c r="C37" s="36" t="s">
        <v>97</v>
      </c>
      <c r="D37" s="1">
        <v>305</v>
      </c>
      <c r="E37" s="1">
        <v>252</v>
      </c>
      <c r="F37" s="66">
        <f>IFERROR((Table7[[#This Row],[Calls Off]]-D30)/D30,0)</f>
        <v>0</v>
      </c>
      <c r="G37" s="66">
        <f>IFERROR((Table7[[#This Row],[Calls Ans]]-E30)/E30,0)</f>
        <v>0</v>
      </c>
      <c r="H37" s="1">
        <f>H36+Table7[[#This Row],[Calls Off]]</f>
        <v>2886</v>
      </c>
      <c r="I37" s="1">
        <f>I36+Table7[[#This Row],[Calls Ans]]</f>
        <v>2746</v>
      </c>
      <c r="J37" s="39">
        <f>J36+Table7[[#This Row],[Calls Off]]</f>
        <v>17316</v>
      </c>
      <c r="K37" s="39">
        <f>K36+Table7[[#This Row],[Calls Ans]]</f>
        <v>15946</v>
      </c>
      <c r="L37" s="18">
        <v>0.46</v>
      </c>
      <c r="M37" s="18">
        <v>0.17</v>
      </c>
      <c r="N37" s="18">
        <v>0.83</v>
      </c>
      <c r="O37" s="18">
        <v>0.63</v>
      </c>
      <c r="P37" s="18">
        <v>0.85</v>
      </c>
      <c r="Q37" s="224">
        <v>2.1064814814814813E-3</v>
      </c>
      <c r="R37" s="155">
        <v>5.5555555555555552E-2</v>
      </c>
      <c r="S37" s="1">
        <v>6</v>
      </c>
      <c r="V37" s="22">
        <f t="shared" si="0"/>
        <v>45181</v>
      </c>
      <c r="W37" s="1">
        <f>SUMIFS(Table7[Calls Off],Table7[Date],"&gt;="&amp;V37,Table7[Date],"&lt;"&amp;V38)</f>
        <v>0</v>
      </c>
      <c r="X37" s="1">
        <f>SUMIFS(Table7[Calls Ans],Table7[Date],"&gt;="&amp;V37,Table7[Date],"&lt;"&amp;V38)</f>
        <v>0</v>
      </c>
    </row>
    <row r="38" spans="1:24" x14ac:dyDescent="0.35">
      <c r="A38" s="22">
        <v>45053</v>
      </c>
      <c r="B38" s="36" t="s">
        <v>48</v>
      </c>
      <c r="C38" s="36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224">
        <v>0</v>
      </c>
      <c r="R38" s="155">
        <v>0</v>
      </c>
      <c r="S38" s="1">
        <v>0</v>
      </c>
      <c r="V38" s="22">
        <f t="shared" si="0"/>
        <v>45188</v>
      </c>
      <c r="W38" s="1">
        <f>SUMIFS(Table7[Calls Off],Table7[Date],"&gt;="&amp;V38,Table7[Date],"&lt;"&amp;V39)</f>
        <v>0</v>
      </c>
      <c r="X38" s="1">
        <f>SUMIFS(Table7[Calls Ans],Table7[Date],"&gt;="&amp;V38,Table7[Date],"&lt;"&amp;V39)</f>
        <v>0</v>
      </c>
    </row>
    <row r="39" spans="1:24" x14ac:dyDescent="0.35">
      <c r="A39" s="22">
        <v>45054</v>
      </c>
      <c r="B39" s="36" t="s">
        <v>49</v>
      </c>
      <c r="C39" s="36" t="s">
        <v>97</v>
      </c>
      <c r="D39" s="1">
        <v>0</v>
      </c>
      <c r="E39" s="1">
        <v>0</v>
      </c>
      <c r="F39" s="66">
        <v>0</v>
      </c>
      <c r="G39" s="66">
        <v>0</v>
      </c>
      <c r="H39" s="1">
        <v>0</v>
      </c>
      <c r="I39" s="1">
        <v>0</v>
      </c>
      <c r="J39" s="1">
        <v>0</v>
      </c>
      <c r="K39" s="1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224">
        <v>0</v>
      </c>
      <c r="R39" s="155">
        <v>0</v>
      </c>
      <c r="S39" s="1">
        <v>0</v>
      </c>
      <c r="V39" s="22">
        <f t="shared" si="0"/>
        <v>45195</v>
      </c>
      <c r="W39" s="1">
        <f>SUMIFS(Table7[Calls Off],Table7[Date],"&gt;="&amp;V39,Table7[Date],"&lt;"&amp;V40)</f>
        <v>0</v>
      </c>
      <c r="X39" s="1">
        <f>SUMIFS(Table7[Calls Ans],Table7[Date],"&gt;="&amp;V39,Table7[Date],"&lt;"&amp;V40)</f>
        <v>0</v>
      </c>
    </row>
    <row r="40" spans="1:24" x14ac:dyDescent="0.35">
      <c r="A40" s="22">
        <v>45055</v>
      </c>
      <c r="B40" s="36" t="s">
        <v>50</v>
      </c>
      <c r="C40" s="36" t="s">
        <v>97</v>
      </c>
      <c r="D40" s="1">
        <v>720</v>
      </c>
      <c r="E40" s="1">
        <v>673</v>
      </c>
      <c r="F40" s="66">
        <f>IFERROR((Table7[[#This Row],[Calls Off]]-D33)/D33,0)</f>
        <v>3.151862464183381E-2</v>
      </c>
      <c r="G40" s="66">
        <f>IFERROR((Table7[[#This Row],[Calls Ans]]-E33)/E33,0)</f>
        <v>7.4850299401197605E-3</v>
      </c>
      <c r="H40" s="1">
        <f>H37+Table7[[#This Row],[Calls Off]]</f>
        <v>3606</v>
      </c>
      <c r="I40" s="1">
        <f>I37+Table7[[#This Row],[Calls Ans]]</f>
        <v>3419</v>
      </c>
      <c r="J40" s="39">
        <f>J37+Table7[[#This Row],[Calls Off]]</f>
        <v>18036</v>
      </c>
      <c r="K40" s="39">
        <f>K37+Table7[[#This Row],[Calls Ans]]</f>
        <v>16619</v>
      </c>
      <c r="L40" s="18">
        <v>0.82</v>
      </c>
      <c r="M40" s="18">
        <v>7.0000000000000007E-2</v>
      </c>
      <c r="N40" s="18">
        <v>0.93</v>
      </c>
      <c r="O40" s="18">
        <v>0.45</v>
      </c>
      <c r="P40" s="18">
        <v>0.82</v>
      </c>
      <c r="Q40" s="224">
        <v>2.1412037037037038E-3</v>
      </c>
      <c r="R40" s="155">
        <v>1.8749999999999999E-2</v>
      </c>
      <c r="S40" s="1">
        <v>11</v>
      </c>
      <c r="V40" s="22">
        <f>V39+7</f>
        <v>45202</v>
      </c>
      <c r="W40" s="1">
        <f>SUMIFS(Table7[Calls Off],Table7[Date],"&gt;="&amp;V40,Table7[Date],"&lt;"&amp;V41)</f>
        <v>0</v>
      </c>
      <c r="X40" s="1">
        <f>SUMIFS(Table7[Calls Ans],Table7[Date],"&gt;="&amp;V40,Table7[Date],"&lt;"&amp;V41)</f>
        <v>0</v>
      </c>
    </row>
    <row r="41" spans="1:24" x14ac:dyDescent="0.35">
      <c r="A41" s="22">
        <v>45056</v>
      </c>
      <c r="B41" s="36" t="s">
        <v>51</v>
      </c>
      <c r="C41" s="36" t="s">
        <v>97</v>
      </c>
      <c r="D41" s="1">
        <v>567</v>
      </c>
      <c r="E41" s="1">
        <v>527</v>
      </c>
      <c r="F41" s="66">
        <f>IFERROR((Table7[[#This Row],[Calls Off]]-D34)/D34,0)</f>
        <v>-0.17467248908296942</v>
      </c>
      <c r="G41" s="66">
        <f>IFERROR((Table7[[#This Row],[Calls Ans]]-E34)/E34,0)</f>
        <v>-0.2039274924471299</v>
      </c>
      <c r="H41" s="1">
        <f>H40+Table7[[#This Row],[Calls Off]]</f>
        <v>4173</v>
      </c>
      <c r="I41" s="1">
        <f>I40+Table7[[#This Row],[Calls Ans]]</f>
        <v>3946</v>
      </c>
      <c r="J41" s="39">
        <f>J40+Table7[[#This Row],[Calls Off]]</f>
        <v>18603</v>
      </c>
      <c r="K41" s="39">
        <f>K40+Table7[[#This Row],[Calls Ans]]</f>
        <v>17146</v>
      </c>
      <c r="L41" s="18">
        <v>0.85</v>
      </c>
      <c r="M41" s="18">
        <v>7.0000000000000007E-2</v>
      </c>
      <c r="N41" s="18">
        <v>0.93</v>
      </c>
      <c r="O41" s="18">
        <v>0.34</v>
      </c>
      <c r="P41" s="18">
        <v>0.82</v>
      </c>
      <c r="Q41" s="224">
        <v>2.2685185185185182E-3</v>
      </c>
      <c r="R41" s="155">
        <v>1.4583333333333332E-2</v>
      </c>
      <c r="S41" s="1">
        <v>11</v>
      </c>
      <c r="V41" s="22">
        <f t="shared" si="0"/>
        <v>45209</v>
      </c>
      <c r="W41" s="1">
        <f>SUMIFS(Table7[Calls Off],Table7[Date],"&gt;="&amp;V41,Table7[Date],"&lt;"&amp;V42)</f>
        <v>0</v>
      </c>
      <c r="X41" s="1">
        <f>SUMIFS(Table7[Calls Ans],Table7[Date],"&gt;="&amp;V41,Table7[Date],"&lt;"&amp;V42)</f>
        <v>0</v>
      </c>
    </row>
    <row r="42" spans="1:24" x14ac:dyDescent="0.35">
      <c r="A42" s="22">
        <v>45057</v>
      </c>
      <c r="B42" s="36" t="s">
        <v>52</v>
      </c>
      <c r="C42" s="36" t="s">
        <v>97</v>
      </c>
      <c r="D42" s="1">
        <v>577</v>
      </c>
      <c r="E42" s="1">
        <v>550</v>
      </c>
      <c r="F42" s="66">
        <f>IFERROR((Table7[[#This Row],[Calls Off]]-D35)/D35,0)</f>
        <v>-4.4701986754966887E-2</v>
      </c>
      <c r="G42" s="66">
        <f>IFERROR((Table7[[#This Row],[Calls Ans]]-E35)/E35,0)</f>
        <v>-6.9373942470389166E-2</v>
      </c>
      <c r="H42" s="1">
        <f>H41+Table7[[#This Row],[Calls Off]]</f>
        <v>4750</v>
      </c>
      <c r="I42" s="1">
        <f>I41+Table7[[#This Row],[Calls Ans]]</f>
        <v>4496</v>
      </c>
      <c r="J42" s="39">
        <f>J41+Table7[[#This Row],[Calls Off]]</f>
        <v>19180</v>
      </c>
      <c r="K42" s="39">
        <f>K41+Table7[[#This Row],[Calls Ans]]</f>
        <v>17696</v>
      </c>
      <c r="L42" s="18">
        <v>0.9</v>
      </c>
      <c r="M42" s="18">
        <v>0.05</v>
      </c>
      <c r="N42" s="18">
        <v>0.95</v>
      </c>
      <c r="O42" s="18">
        <v>0.44</v>
      </c>
      <c r="P42" s="18">
        <v>0.83</v>
      </c>
      <c r="Q42" s="224">
        <v>2.2800925925925927E-3</v>
      </c>
      <c r="R42" s="155">
        <v>6.2499999999999995E-3</v>
      </c>
      <c r="S42" s="1">
        <v>10</v>
      </c>
      <c r="V42" s="22">
        <f t="shared" si="0"/>
        <v>45216</v>
      </c>
      <c r="W42" s="1">
        <f>SUMIFS(Table7[Calls Off],Table7[Date],"&gt;="&amp;V42,Table7[Date],"&lt;"&amp;V43)</f>
        <v>0</v>
      </c>
      <c r="X42" s="1">
        <f>SUMIFS(Table7[Calls Ans],Table7[Date],"&gt;="&amp;V42,Table7[Date],"&lt;"&amp;V43)</f>
        <v>0</v>
      </c>
    </row>
    <row r="43" spans="1:24" x14ac:dyDescent="0.35">
      <c r="A43" s="22">
        <v>45058</v>
      </c>
      <c r="B43" s="36" t="s">
        <v>53</v>
      </c>
      <c r="C43" s="36" t="s">
        <v>97</v>
      </c>
      <c r="D43" s="1">
        <v>477</v>
      </c>
      <c r="E43" s="1">
        <v>422</v>
      </c>
      <c r="F43" s="66">
        <f>IFERROR((Table7[[#This Row],[Calls Off]]-D36)/D36,0)</f>
        <v>-0.19425675675675674</v>
      </c>
      <c r="G43" s="66">
        <f>IFERROR((Table7[[#This Row],[Calls Ans]]-E36)/E36,0)</f>
        <v>-0.26352530541012215</v>
      </c>
      <c r="H43" s="1">
        <f>H42+Table7[[#This Row],[Calls Off]]</f>
        <v>5227</v>
      </c>
      <c r="I43" s="1">
        <f>I42+Table7[[#This Row],[Calls Ans]]</f>
        <v>4918</v>
      </c>
      <c r="J43" s="39">
        <f>J42+Table7[[#This Row],[Calls Off]]</f>
        <v>19657</v>
      </c>
      <c r="K43" s="39">
        <f>K42+Table7[[#This Row],[Calls Ans]]</f>
        <v>18118</v>
      </c>
      <c r="L43" s="18">
        <v>0.63</v>
      </c>
      <c r="M43" s="18">
        <v>0.12</v>
      </c>
      <c r="N43" s="18">
        <v>0.88</v>
      </c>
      <c r="O43" s="18">
        <v>0.37</v>
      </c>
      <c r="P43" s="18">
        <v>0.75</v>
      </c>
      <c r="Q43" s="224">
        <v>2.2916666666666667E-3</v>
      </c>
      <c r="R43" s="155">
        <v>3.4722222222222224E-2</v>
      </c>
      <c r="S43" s="1">
        <v>10</v>
      </c>
      <c r="V43" s="22">
        <f t="shared" si="0"/>
        <v>45223</v>
      </c>
      <c r="W43" s="1">
        <f>SUMIFS(Table7[Calls Off],Table7[Date],"&gt;="&amp;V43,Table7[Date],"&lt;"&amp;V44)</f>
        <v>0</v>
      </c>
      <c r="X43" s="1">
        <f>SUMIFS(Table7[Calls Ans],Table7[Date],"&gt;="&amp;V43,Table7[Date],"&lt;"&amp;V44)</f>
        <v>0</v>
      </c>
    </row>
    <row r="44" spans="1:24" x14ac:dyDescent="0.35">
      <c r="A44" s="22">
        <v>45059</v>
      </c>
      <c r="B44" s="36" t="s">
        <v>54</v>
      </c>
      <c r="C44" s="36" t="s">
        <v>97</v>
      </c>
      <c r="D44" s="1">
        <v>355</v>
      </c>
      <c r="E44" s="1">
        <v>273</v>
      </c>
      <c r="F44" s="66">
        <f>IFERROR((Table7[[#This Row],[Calls Off]]-D37)/D37,0)</f>
        <v>0.16393442622950818</v>
      </c>
      <c r="G44" s="66">
        <f>IFERROR((Table7[[#This Row],[Calls Ans]]-E37)/E37,0)</f>
        <v>8.3333333333333329E-2</v>
      </c>
      <c r="H44" s="1">
        <f>H43+Table7[[#This Row],[Calls Off]]</f>
        <v>5582</v>
      </c>
      <c r="I44" s="1">
        <f>I43+Table7[[#This Row],[Calls Ans]]</f>
        <v>5191</v>
      </c>
      <c r="J44" s="39">
        <f>J43+Table7[[#This Row],[Calls Off]]</f>
        <v>20012</v>
      </c>
      <c r="K44" s="39">
        <f>K43+Table7[[#This Row],[Calls Ans]]</f>
        <v>18391</v>
      </c>
      <c r="L44" s="18">
        <v>0.49</v>
      </c>
      <c r="M44" s="18">
        <v>0.23</v>
      </c>
      <c r="N44" s="18">
        <v>0.77</v>
      </c>
      <c r="O44" s="18">
        <v>0.67</v>
      </c>
      <c r="P44" s="18">
        <v>0.85</v>
      </c>
      <c r="Q44" s="224">
        <v>2.8819444444444444E-3</v>
      </c>
      <c r="R44" s="155">
        <v>7.5694444444444439E-2</v>
      </c>
      <c r="S44" s="1">
        <v>5</v>
      </c>
      <c r="V44" s="22">
        <f t="shared" si="0"/>
        <v>45230</v>
      </c>
      <c r="W44" s="1">
        <f>SUMIFS(Table7[Calls Off],Table7[Date],"&gt;="&amp;V44,Table7[Date],"&lt;"&amp;V45)</f>
        <v>0</v>
      </c>
      <c r="X44" s="1">
        <f>SUMIFS(Table7[Calls Ans],Table7[Date],"&gt;="&amp;V44,Table7[Date],"&lt;"&amp;V45)</f>
        <v>0</v>
      </c>
    </row>
    <row r="45" spans="1:24" x14ac:dyDescent="0.35">
      <c r="A45" s="22">
        <v>45060</v>
      </c>
      <c r="B45" s="36" t="s">
        <v>48</v>
      </c>
      <c r="C45" s="36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224">
        <v>0</v>
      </c>
      <c r="R45" s="155">
        <v>0</v>
      </c>
      <c r="S45" s="1">
        <v>0</v>
      </c>
      <c r="V45" s="22">
        <f t="shared" si="0"/>
        <v>45237</v>
      </c>
      <c r="W45" s="1">
        <f>SUMIFS(Table7[Calls Off],Table7[Date],"&gt;="&amp;V45,Table7[Date],"&lt;"&amp;V46)</f>
        <v>0</v>
      </c>
      <c r="X45" s="1">
        <f>SUMIFS(Table7[Calls Ans],Table7[Date],"&gt;="&amp;V45,Table7[Date],"&lt;"&amp;V46)</f>
        <v>0</v>
      </c>
    </row>
    <row r="46" spans="1:24" x14ac:dyDescent="0.35">
      <c r="A46" s="22">
        <v>45061</v>
      </c>
      <c r="B46" s="36" t="s">
        <v>49</v>
      </c>
      <c r="C46" s="36" t="s">
        <v>97</v>
      </c>
      <c r="D46" s="1">
        <v>655</v>
      </c>
      <c r="E46" s="1">
        <v>636</v>
      </c>
      <c r="F46" s="66">
        <f>IFERROR((Table7[[#This Row],[Calls Off]]-D39)/D39,0)</f>
        <v>0</v>
      </c>
      <c r="G46" s="66">
        <f>IFERROR((Table7[[#This Row],[Calls Ans]]-E39)/E39,0)</f>
        <v>0</v>
      </c>
      <c r="H46" s="1">
        <f>H44+Table7[[#This Row],[Calls Off]]</f>
        <v>6237</v>
      </c>
      <c r="I46" s="1">
        <f>I44+Table7[[#This Row],[Calls Ans]]</f>
        <v>5827</v>
      </c>
      <c r="J46" s="39">
        <f>J44+Table7[[#This Row],[Calls Off]]</f>
        <v>20667</v>
      </c>
      <c r="K46" s="39">
        <f>K44+Table7[[#This Row],[Calls Ans]]</f>
        <v>19027</v>
      </c>
      <c r="L46" s="18">
        <v>0.95</v>
      </c>
      <c r="M46" s="18">
        <v>0.03</v>
      </c>
      <c r="N46" s="18">
        <v>0.97</v>
      </c>
      <c r="O46" s="18">
        <v>0.36</v>
      </c>
      <c r="P46" s="18">
        <v>0.81</v>
      </c>
      <c r="Q46" s="224">
        <v>2.1180555555555553E-3</v>
      </c>
      <c r="R46" s="155">
        <v>4.1666666666666666E-3</v>
      </c>
      <c r="S46" s="1">
        <v>10</v>
      </c>
      <c r="V46" s="22">
        <f t="shared" si="0"/>
        <v>45244</v>
      </c>
      <c r="W46" s="1">
        <f>SUMIFS(Table7[Calls Off],Table7[Date],"&gt;="&amp;V46,Table7[Date],"&lt;"&amp;V47)</f>
        <v>0</v>
      </c>
      <c r="X46" s="1">
        <f>SUMIFS(Table7[Calls Ans],Table7[Date],"&gt;="&amp;V46,Table7[Date],"&lt;"&amp;V47)</f>
        <v>0</v>
      </c>
    </row>
    <row r="47" spans="1:24" x14ac:dyDescent="0.35">
      <c r="A47" s="22">
        <v>45062</v>
      </c>
      <c r="B47" s="36" t="s">
        <v>50</v>
      </c>
      <c r="C47" s="36" t="s">
        <v>97</v>
      </c>
      <c r="D47" s="1">
        <v>692</v>
      </c>
      <c r="E47" s="1">
        <v>553</v>
      </c>
      <c r="F47" s="66">
        <f>IFERROR((Table7[[#This Row],[Calls Off]]-D40)/D40,0)</f>
        <v>-3.888888888888889E-2</v>
      </c>
      <c r="G47" s="66">
        <f>IFERROR((Table7[[#This Row],[Calls Ans]]-E40)/E40,0)</f>
        <v>-0.17830609212481427</v>
      </c>
      <c r="H47" s="1">
        <f>H46+Table7[[#This Row],[Calls Off]]</f>
        <v>6929</v>
      </c>
      <c r="I47" s="1">
        <f>I46+Table7[[#This Row],[Calls Ans]]</f>
        <v>6380</v>
      </c>
      <c r="J47" s="39">
        <f>J46+Table7[[#This Row],[Calls Off]]</f>
        <v>21359</v>
      </c>
      <c r="K47" s="39">
        <f>K46+Table7[[#This Row],[Calls Ans]]</f>
        <v>19580</v>
      </c>
      <c r="L47" s="18">
        <v>0.49</v>
      </c>
      <c r="M47" s="18">
        <v>0.2</v>
      </c>
      <c r="N47" s="18">
        <v>0.8</v>
      </c>
      <c r="O47" s="18">
        <v>0.47</v>
      </c>
      <c r="P47" s="18">
        <v>0.8</v>
      </c>
      <c r="Q47" s="224">
        <v>2.2569444444444447E-3</v>
      </c>
      <c r="R47" s="155">
        <v>4.5833333333333337E-2</v>
      </c>
      <c r="S47" s="1">
        <v>8</v>
      </c>
      <c r="V47" s="22">
        <f t="shared" si="0"/>
        <v>45251</v>
      </c>
      <c r="W47" s="1">
        <f>SUMIFS(Table7[Calls Off],Table7[Date],"&gt;="&amp;V47,Table7[Date],"&lt;"&amp;V48)</f>
        <v>0</v>
      </c>
      <c r="X47" s="1">
        <f>SUMIFS(Table7[Calls Ans],Table7[Date],"&gt;="&amp;V47,Table7[Date],"&lt;"&amp;V48)</f>
        <v>0</v>
      </c>
    </row>
    <row r="48" spans="1:24" x14ac:dyDescent="0.35">
      <c r="A48" s="22">
        <v>45063</v>
      </c>
      <c r="B48" s="36" t="s">
        <v>51</v>
      </c>
      <c r="C48" s="36" t="s">
        <v>97</v>
      </c>
      <c r="D48" s="1">
        <v>623</v>
      </c>
      <c r="E48" s="1">
        <v>583</v>
      </c>
      <c r="F48" s="66">
        <f>IFERROR((Table7[[#This Row],[Calls Off]]-D41)/D41,0)</f>
        <v>9.8765432098765427E-2</v>
      </c>
      <c r="G48" s="66">
        <f>IFERROR((Table7[[#This Row],[Calls Ans]]-E41)/E41,0)</f>
        <v>0.10626185958254269</v>
      </c>
      <c r="H48" s="1">
        <f>H47+Table7[[#This Row],[Calls Off]]</f>
        <v>7552</v>
      </c>
      <c r="I48" s="1">
        <f>I47+Table7[[#This Row],[Calls Ans]]</f>
        <v>6963</v>
      </c>
      <c r="J48" s="39">
        <f>J47+Table7[[#This Row],[Calls Off]]</f>
        <v>21982</v>
      </c>
      <c r="K48" s="39">
        <f>K47+Table7[[#This Row],[Calls Ans]]</f>
        <v>20163</v>
      </c>
      <c r="L48" s="18">
        <v>0.81</v>
      </c>
      <c r="M48" s="18">
        <v>0.06</v>
      </c>
      <c r="N48" s="18">
        <v>0.94</v>
      </c>
      <c r="O48" s="18">
        <v>0.38</v>
      </c>
      <c r="P48" s="18">
        <v>0.82</v>
      </c>
      <c r="Q48" s="224">
        <v>1.8055555555555557E-3</v>
      </c>
      <c r="R48" s="155">
        <v>1.4583333333333332E-2</v>
      </c>
      <c r="S48" s="1">
        <v>8</v>
      </c>
      <c r="V48" s="22">
        <f t="shared" si="0"/>
        <v>45258</v>
      </c>
      <c r="W48" s="1">
        <f>SUMIFS(Table7[Calls Off],Table7[Date],"&gt;="&amp;V48,Table7[Date],"&lt;"&amp;V49)</f>
        <v>0</v>
      </c>
      <c r="X48" s="1">
        <f>SUMIFS(Table7[Calls Ans],Table7[Date],"&gt;="&amp;V48,Table7[Date],"&lt;"&amp;V49)</f>
        <v>0</v>
      </c>
    </row>
    <row r="49" spans="1:24" x14ac:dyDescent="0.35">
      <c r="A49" s="22">
        <v>45064</v>
      </c>
      <c r="B49" s="36" t="s">
        <v>52</v>
      </c>
      <c r="C49" s="36" t="s">
        <v>97</v>
      </c>
      <c r="D49" s="1">
        <v>632</v>
      </c>
      <c r="E49" s="1">
        <v>617</v>
      </c>
      <c r="F49" s="66">
        <f>IFERROR((Table7[[#This Row],[Calls Off]]-D42)/D42,0)</f>
        <v>9.5320623916811092E-2</v>
      </c>
      <c r="G49" s="66">
        <f>IFERROR((Table7[[#This Row],[Calls Ans]]-E42)/E42,0)</f>
        <v>0.12181818181818181</v>
      </c>
      <c r="H49" s="1">
        <f>H48+Table7[[#This Row],[Calls Off]]</f>
        <v>8184</v>
      </c>
      <c r="I49" s="1">
        <f>I48+Table7[[#This Row],[Calls Ans]]</f>
        <v>7580</v>
      </c>
      <c r="J49" s="39">
        <f>J48+Table7[[#This Row],[Calls Off]]</f>
        <v>22614</v>
      </c>
      <c r="K49" s="39">
        <f>K48+Table7[[#This Row],[Calls Ans]]</f>
        <v>20780</v>
      </c>
      <c r="L49" s="18">
        <v>0.94</v>
      </c>
      <c r="M49" s="18">
        <v>0.02</v>
      </c>
      <c r="N49" s="18">
        <v>0.98</v>
      </c>
      <c r="O49" s="18">
        <v>0.42</v>
      </c>
      <c r="P49" s="18">
        <v>0.8</v>
      </c>
      <c r="Q49" s="224">
        <v>2.0138888888888888E-3</v>
      </c>
      <c r="R49" s="155">
        <v>4.8611111111111112E-3</v>
      </c>
      <c r="S49" s="1">
        <v>11</v>
      </c>
      <c r="V49" s="22">
        <f t="shared" si="0"/>
        <v>45265</v>
      </c>
      <c r="W49" s="1">
        <f>SUMIFS(Table7[Calls Off],Table7[Date],"&gt;="&amp;V49,Table7[Date],"&lt;"&amp;V50)</f>
        <v>0</v>
      </c>
      <c r="X49" s="1">
        <f>SUMIFS(Table7[Calls Ans],Table7[Date],"&gt;="&amp;V49,Table7[Date],"&lt;"&amp;V50)</f>
        <v>0</v>
      </c>
    </row>
    <row r="50" spans="1:24" x14ac:dyDescent="0.35">
      <c r="A50" s="22">
        <v>45065</v>
      </c>
      <c r="B50" s="36" t="s">
        <v>53</v>
      </c>
      <c r="C50" s="36" t="s">
        <v>97</v>
      </c>
      <c r="D50" s="1">
        <v>615</v>
      </c>
      <c r="E50" s="1">
        <v>602</v>
      </c>
      <c r="F50" s="66">
        <f>IFERROR((Table7[[#This Row],[Calls Off]]-D43)/D43,0)</f>
        <v>0.28930817610062892</v>
      </c>
      <c r="G50" s="66">
        <f>IFERROR((Table7[[#This Row],[Calls Ans]]-E43)/E43,0)</f>
        <v>0.42654028436018959</v>
      </c>
      <c r="H50" s="1">
        <f>H49+Table7[[#This Row],[Calls Off]]</f>
        <v>8799</v>
      </c>
      <c r="I50" s="1">
        <f>I49+Table7[[#This Row],[Calls Ans]]</f>
        <v>8182</v>
      </c>
      <c r="J50" s="39">
        <f>J49+Table7[[#This Row],[Calls Off]]</f>
        <v>23229</v>
      </c>
      <c r="K50" s="39">
        <f>K49+Table7[[#This Row],[Calls Ans]]</f>
        <v>21382</v>
      </c>
      <c r="L50" s="18">
        <v>0.89</v>
      </c>
      <c r="M50" s="18">
        <v>0.02</v>
      </c>
      <c r="N50" s="18">
        <v>0.98</v>
      </c>
      <c r="O50" s="18">
        <v>0.78</v>
      </c>
      <c r="P50" s="18">
        <v>0.41</v>
      </c>
      <c r="Q50" s="224">
        <v>1.736111111111111E-3</v>
      </c>
      <c r="R50" s="155">
        <v>5.5555555555555558E-3</v>
      </c>
      <c r="S50" s="1">
        <v>9</v>
      </c>
      <c r="V50" s="22">
        <f t="shared" si="0"/>
        <v>45272</v>
      </c>
      <c r="W50" s="1">
        <f>SUMIFS(Table7[Calls Off],Table7[Date],"&gt;="&amp;V50,Table7[Date],"&lt;"&amp;V51)</f>
        <v>0</v>
      </c>
      <c r="X50" s="1">
        <f>SUMIFS(Table7[Calls Ans],Table7[Date],"&gt;="&amp;V50,Table7[Date],"&lt;"&amp;V51)</f>
        <v>0</v>
      </c>
    </row>
    <row r="51" spans="1:24" x14ac:dyDescent="0.35">
      <c r="A51" s="22">
        <v>45066</v>
      </c>
      <c r="B51" s="36" t="s">
        <v>54</v>
      </c>
      <c r="C51" s="36" t="s">
        <v>97</v>
      </c>
      <c r="D51" s="1">
        <v>182</v>
      </c>
      <c r="E51" s="1">
        <v>144</v>
      </c>
      <c r="F51" s="66">
        <f>IFERROR((Table7[[#This Row],[Calls Off]]-D44)/D44,0)</f>
        <v>-0.48732394366197185</v>
      </c>
      <c r="G51" s="66">
        <f>IFERROR((Table7[[#This Row],[Calls Ans]]-E44)/E44,0)</f>
        <v>-0.47252747252747251</v>
      </c>
      <c r="H51" s="1">
        <f>H50+Table7[[#This Row],[Calls Off]]</f>
        <v>8981</v>
      </c>
      <c r="I51" s="1">
        <f>I50+Table7[[#This Row],[Calls Ans]]</f>
        <v>8326</v>
      </c>
      <c r="J51" s="39">
        <f>J50+Table7[[#This Row],[Calls Off]]</f>
        <v>23411</v>
      </c>
      <c r="K51" s="39">
        <f>K50+Table7[[#This Row],[Calls Ans]]</f>
        <v>21526</v>
      </c>
      <c r="L51" s="18">
        <v>0.36</v>
      </c>
      <c r="M51" s="18">
        <v>0.21</v>
      </c>
      <c r="N51" s="18">
        <v>0.79</v>
      </c>
      <c r="O51" s="18">
        <v>0.39</v>
      </c>
      <c r="P51" s="18">
        <v>0.81</v>
      </c>
      <c r="Q51" s="224">
        <v>1.9560185185185184E-3</v>
      </c>
      <c r="R51" s="155">
        <v>5.9722222222222225E-2</v>
      </c>
      <c r="S51" s="1">
        <v>5</v>
      </c>
      <c r="V51" s="22">
        <f t="shared" si="0"/>
        <v>45279</v>
      </c>
      <c r="W51" s="1">
        <f>SUMIFS(Table7[Calls Off],Table7[Date],"&gt;="&amp;V51,Table7[Date],"&lt;"&amp;V52)</f>
        <v>0</v>
      </c>
      <c r="X51" s="1">
        <f>SUMIFS(Table7[Calls Ans],Table7[Date],"&gt;="&amp;V51,Table7[Date],"&lt;"&amp;V52)</f>
        <v>0</v>
      </c>
    </row>
    <row r="52" spans="1:24" x14ac:dyDescent="0.35">
      <c r="A52" s="22">
        <v>45067</v>
      </c>
      <c r="B52" s="36" t="s">
        <v>48</v>
      </c>
      <c r="C52" s="36" t="s">
        <v>97</v>
      </c>
      <c r="D52" s="1">
        <v>0</v>
      </c>
      <c r="E52" s="1">
        <v>0</v>
      </c>
      <c r="F52" s="66">
        <v>0</v>
      </c>
      <c r="G52" s="66">
        <v>0</v>
      </c>
      <c r="H52" s="1">
        <v>0</v>
      </c>
      <c r="I52" s="1">
        <v>0</v>
      </c>
      <c r="J52" s="1">
        <v>0</v>
      </c>
      <c r="K52" s="1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224">
        <v>0</v>
      </c>
      <c r="R52" s="155">
        <v>0</v>
      </c>
      <c r="S52" s="1">
        <v>0</v>
      </c>
      <c r="V52" s="22">
        <f t="shared" si="0"/>
        <v>45286</v>
      </c>
      <c r="W52" s="1">
        <f>SUMIFS(Table7[Calls Off],Table7[Date],"&gt;="&amp;V52,Table7[Date],"&lt;"&amp;V53)</f>
        <v>0</v>
      </c>
      <c r="X52" s="1">
        <f>SUMIFS(Table7[Calls Ans],Table7[Date],"&gt;="&amp;V52,Table7[Date],"&lt;"&amp;V53)</f>
        <v>0</v>
      </c>
    </row>
    <row r="53" spans="1:24" x14ac:dyDescent="0.35">
      <c r="A53" s="22">
        <v>45068</v>
      </c>
      <c r="B53" s="36" t="s">
        <v>49</v>
      </c>
      <c r="C53" s="36" t="s">
        <v>97</v>
      </c>
      <c r="D53" s="1">
        <v>641</v>
      </c>
      <c r="E53" s="1">
        <v>605</v>
      </c>
      <c r="F53" s="66">
        <f>IFERROR((Table7[[#This Row],[Calls Off]]-D46)/D46,0)</f>
        <v>-2.1374045801526718E-2</v>
      </c>
      <c r="G53" s="66">
        <f>IFERROR((Table7[[#This Row],[Calls Ans]]-E46)/E46,0)</f>
        <v>-4.8742138364779877E-2</v>
      </c>
      <c r="H53" s="1">
        <f>H51+Table7[[#This Row],[Calls Off]]</f>
        <v>9622</v>
      </c>
      <c r="I53" s="1">
        <f>I51+Table7[[#This Row],[Calls Ans]]</f>
        <v>8931</v>
      </c>
      <c r="J53" s="39">
        <f>J51+Table7[[#This Row],[Calls Off]]</f>
        <v>24052</v>
      </c>
      <c r="K53" s="39">
        <f>K51+Table7[[#This Row],[Calls Ans]]</f>
        <v>22131</v>
      </c>
      <c r="L53" s="18">
        <v>0.85</v>
      </c>
      <c r="M53" s="18">
        <v>0.06</v>
      </c>
      <c r="N53" s="18">
        <v>0.94</v>
      </c>
      <c r="O53" s="18">
        <v>0.48</v>
      </c>
      <c r="P53" s="18">
        <v>0.76</v>
      </c>
      <c r="Q53" s="224">
        <v>2.1180555555555553E-3</v>
      </c>
      <c r="R53" s="155">
        <v>1.1805555555555555E-2</v>
      </c>
      <c r="S53" s="1">
        <v>9</v>
      </c>
      <c r="V53" s="22">
        <f t="shared" si="0"/>
        <v>45293</v>
      </c>
      <c r="W53" s="1">
        <f>SUMIFS(Table7[Calls Off],Table7[Date],"&gt;="&amp;V53,Table7[Date],"&lt;"&amp;V54)</f>
        <v>0</v>
      </c>
      <c r="X53" s="1">
        <f>SUMIFS(Table7[Calls Ans],Table7[Date],"&gt;="&amp;V53,Table7[Date],"&lt;"&amp;V54)</f>
        <v>0</v>
      </c>
    </row>
    <row r="54" spans="1:24" x14ac:dyDescent="0.35">
      <c r="A54" s="22">
        <v>45069</v>
      </c>
      <c r="B54" s="36" t="s">
        <v>50</v>
      </c>
      <c r="C54" s="36" t="s">
        <v>97</v>
      </c>
      <c r="D54" s="1">
        <v>595</v>
      </c>
      <c r="E54" s="1">
        <v>584</v>
      </c>
      <c r="F54" s="66">
        <f>IFERROR((Table7[[#This Row],[Calls Off]]-D47)/D47,0)</f>
        <v>-0.14017341040462428</v>
      </c>
      <c r="G54" s="66">
        <f>IFERROR((Table7[[#This Row],[Calls Ans]]-E47)/E47,0)</f>
        <v>5.6057866184448461E-2</v>
      </c>
      <c r="H54" s="1">
        <f>H53+Table7[[#This Row],[Calls Off]]</f>
        <v>10217</v>
      </c>
      <c r="I54" s="1">
        <f>I53+Table7[[#This Row],[Calls Ans]]</f>
        <v>9515</v>
      </c>
      <c r="J54" s="39">
        <f>J53+Table7[[#This Row],[Calls Off]]</f>
        <v>24647</v>
      </c>
      <c r="K54" s="39">
        <f>K53+Table7[[#This Row],[Calls Ans]]</f>
        <v>22715</v>
      </c>
      <c r="L54" s="18">
        <v>0.96</v>
      </c>
      <c r="M54" s="18">
        <v>0.02</v>
      </c>
      <c r="N54" s="18">
        <v>0.98</v>
      </c>
      <c r="O54" s="18">
        <v>0.34</v>
      </c>
      <c r="P54" s="18">
        <v>0.8</v>
      </c>
      <c r="Q54" s="224">
        <v>2.0138888888888888E-3</v>
      </c>
      <c r="R54" s="155">
        <v>4.1666666666666666E-3</v>
      </c>
      <c r="S54" s="1">
        <v>10</v>
      </c>
      <c r="V54" s="22">
        <f t="shared" si="0"/>
        <v>45300</v>
      </c>
      <c r="W54" s="1">
        <f>SUMIFS(Table7[Calls Off],Table7[Date],"&gt;="&amp;V54,Table7[Date],"&lt;"&amp;V55)</f>
        <v>0</v>
      </c>
      <c r="X54" s="1">
        <f>SUMIFS(Table7[Calls Ans],Table7[Date],"&gt;="&amp;V54,Table7[Date],"&lt;"&amp;V55)</f>
        <v>0</v>
      </c>
    </row>
    <row r="55" spans="1:24" x14ac:dyDescent="0.35">
      <c r="A55" s="22">
        <v>45070</v>
      </c>
      <c r="B55" s="36" t="s">
        <v>51</v>
      </c>
      <c r="C55" s="36" t="s">
        <v>97</v>
      </c>
      <c r="D55" s="1">
        <v>642</v>
      </c>
      <c r="E55" s="1">
        <v>599</v>
      </c>
      <c r="F55" s="66">
        <f>IFERROR((Table7[[#This Row],[Calls Off]]-D48)/D48,0)</f>
        <v>3.0497592295345103E-2</v>
      </c>
      <c r="G55" s="66">
        <f>IFERROR((Table7[[#This Row],[Calls Ans]]-E48)/E48,0)</f>
        <v>2.7444253859348199E-2</v>
      </c>
      <c r="H55" s="1">
        <f>H54+Table7[[#This Row],[Calls Off]]</f>
        <v>10859</v>
      </c>
      <c r="I55" s="1">
        <f>I54+Table7[[#This Row],[Calls Ans]]</f>
        <v>10114</v>
      </c>
      <c r="J55" s="39">
        <f>J54+Table7[[#This Row],[Calls Off]]</f>
        <v>25289</v>
      </c>
      <c r="K55" s="39">
        <f>K54+Table7[[#This Row],[Calls Ans]]</f>
        <v>23314</v>
      </c>
      <c r="L55" s="18">
        <v>0.88</v>
      </c>
      <c r="M55" s="18">
        <v>7.0000000000000007E-2</v>
      </c>
      <c r="N55" s="18">
        <v>0.93</v>
      </c>
      <c r="O55" s="18">
        <v>0.36</v>
      </c>
      <c r="P55" s="18">
        <v>0.82</v>
      </c>
      <c r="Q55" s="224">
        <v>1.9097222222222222E-3</v>
      </c>
      <c r="R55" s="155">
        <v>9.7222222222222224E-3</v>
      </c>
      <c r="S55" s="1">
        <v>10</v>
      </c>
      <c r="V55" s="22">
        <f t="shared" si="0"/>
        <v>45307</v>
      </c>
      <c r="W55" s="1">
        <f>SUMIFS(Table7[Calls Off],Table7[Date],"&gt;="&amp;V55,Table7[Date],"&lt;"&amp;V56)</f>
        <v>0</v>
      </c>
      <c r="X55" s="1">
        <f>SUMIFS(Table7[Calls Ans],Table7[Date],"&gt;="&amp;V55,Table7[Date],"&lt;"&amp;V56)</f>
        <v>0</v>
      </c>
    </row>
    <row r="56" spans="1:24" x14ac:dyDescent="0.35">
      <c r="A56" s="22">
        <v>45071</v>
      </c>
      <c r="B56" s="36" t="s">
        <v>52</v>
      </c>
      <c r="C56" s="36" t="s">
        <v>97</v>
      </c>
      <c r="D56" s="1">
        <v>648</v>
      </c>
      <c r="E56" s="1">
        <v>586</v>
      </c>
      <c r="F56" s="66">
        <f>IFERROR((Table7[[#This Row],[Calls Off]]-D49)/D49,0)</f>
        <v>2.5316455696202531E-2</v>
      </c>
      <c r="G56" s="66">
        <f>IFERROR((Table7[[#This Row],[Calls Ans]]-E49)/E49,0)</f>
        <v>-5.0243111831442464E-2</v>
      </c>
      <c r="H56" s="1">
        <f>H55+Table7[[#This Row],[Calls Off]]</f>
        <v>11507</v>
      </c>
      <c r="I56" s="1">
        <f>I55+Table7[[#This Row],[Calls Ans]]</f>
        <v>10700</v>
      </c>
      <c r="J56" s="39">
        <f>J55+Table7[[#This Row],[Calls Off]]</f>
        <v>25937</v>
      </c>
      <c r="K56" s="39">
        <f>K55+Table7[[#This Row],[Calls Ans]]</f>
        <v>23900</v>
      </c>
      <c r="L56" s="18">
        <v>0.79</v>
      </c>
      <c r="M56" s="18">
        <v>0.1</v>
      </c>
      <c r="N56" s="18">
        <v>0.9</v>
      </c>
      <c r="O56" s="18">
        <v>0.39</v>
      </c>
      <c r="P56" s="18">
        <v>0.79</v>
      </c>
      <c r="Q56" s="224">
        <v>1.9328703703703704E-3</v>
      </c>
      <c r="R56" s="155">
        <v>1.4583333333333332E-2</v>
      </c>
      <c r="S56" s="1">
        <v>9</v>
      </c>
      <c r="V56" s="22">
        <f t="shared" si="0"/>
        <v>45314</v>
      </c>
      <c r="W56" s="1">
        <f>SUMIFS(Table7[Calls Off],Table7[Date],"&gt;="&amp;V56,Table7[Date],"&lt;"&amp;V57)</f>
        <v>0</v>
      </c>
      <c r="X56" s="1">
        <f>SUMIFS(Table7[Calls Ans],Table7[Date],"&gt;="&amp;V56,Table7[Date],"&lt;"&amp;V57)</f>
        <v>0</v>
      </c>
    </row>
    <row r="57" spans="1:24" x14ac:dyDescent="0.35">
      <c r="A57" s="22">
        <v>45072</v>
      </c>
      <c r="B57" s="36" t="s">
        <v>53</v>
      </c>
      <c r="C57" s="36" t="s">
        <v>97</v>
      </c>
      <c r="D57" s="1">
        <v>652</v>
      </c>
      <c r="E57" s="1">
        <v>618</v>
      </c>
      <c r="F57" s="66">
        <f>IFERROR((Table7[[#This Row],[Calls Off]]-D50)/D50,0)</f>
        <v>6.0162601626016263E-2</v>
      </c>
      <c r="G57" s="66">
        <f>IFERROR((Table7[[#This Row],[Calls Ans]]-E50)/E50,0)</f>
        <v>2.6578073089700997E-2</v>
      </c>
      <c r="H57" s="1">
        <f>H56+Table7[[#This Row],[Calls Off]]</f>
        <v>12159</v>
      </c>
      <c r="I57" s="1">
        <f>I56+Table7[[#This Row],[Calls Ans]]</f>
        <v>11318</v>
      </c>
      <c r="J57" s="39">
        <f>J56+Table7[[#This Row],[Calls Off]]</f>
        <v>26589</v>
      </c>
      <c r="K57" s="39">
        <f>K56+Table7[[#This Row],[Calls Ans]]</f>
        <v>24518</v>
      </c>
      <c r="L57" s="18">
        <v>0.79</v>
      </c>
      <c r="M57" s="18">
        <v>0.05</v>
      </c>
      <c r="N57" s="18">
        <v>0.95</v>
      </c>
      <c r="O57" s="18">
        <v>0.45</v>
      </c>
      <c r="P57" s="18">
        <v>0.81</v>
      </c>
      <c r="Q57" s="224">
        <v>1.689814814814815E-3</v>
      </c>
      <c r="R57" s="155">
        <v>1.3194444444444444E-2</v>
      </c>
      <c r="S57" s="1">
        <v>8</v>
      </c>
      <c r="V57" s="22">
        <f t="shared" si="0"/>
        <v>45321</v>
      </c>
      <c r="W57" s="1">
        <f>SUMIFS(Table7[Calls Off],Table7[Date],"&gt;="&amp;V57,Table7[Date],"&lt;"&amp;V58)</f>
        <v>0</v>
      </c>
      <c r="X57" s="1">
        <f>SUMIFS(Table7[Calls Ans],Table7[Date],"&gt;="&amp;V57,Table7[Date],"&lt;"&amp;V58)</f>
        <v>0</v>
      </c>
    </row>
    <row r="58" spans="1:24" x14ac:dyDescent="0.35">
      <c r="A58" s="22">
        <v>45073</v>
      </c>
      <c r="B58" s="36" t="s">
        <v>54</v>
      </c>
      <c r="C58" s="36" t="s">
        <v>97</v>
      </c>
      <c r="D58" s="1">
        <v>344</v>
      </c>
      <c r="E58" s="1">
        <v>271</v>
      </c>
      <c r="F58" s="66">
        <f>IFERROR((Table7[[#This Row],[Calls Off]]-D51)/D51,0)</f>
        <v>0.89010989010989006</v>
      </c>
      <c r="G58" s="66">
        <f>IFERROR((Table7[[#This Row],[Calls Ans]]-E51)/E51,0)</f>
        <v>0.88194444444444442</v>
      </c>
      <c r="H58" s="1">
        <f>H57+Table7[[#This Row],[Calls Off]]</f>
        <v>12503</v>
      </c>
      <c r="I58" s="1">
        <f>I57+Table7[[#This Row],[Calls Ans]]</f>
        <v>11589</v>
      </c>
      <c r="J58" s="39">
        <f>J57+Table7[[#This Row],[Calls Off]]</f>
        <v>26933</v>
      </c>
      <c r="K58" s="39">
        <f>K57+Table7[[#This Row],[Calls Ans]]</f>
        <v>24789</v>
      </c>
      <c r="L58" s="18">
        <v>0.55000000000000004</v>
      </c>
      <c r="M58" s="18">
        <v>0.21</v>
      </c>
      <c r="N58" s="18">
        <v>0.79</v>
      </c>
      <c r="O58" s="18">
        <v>0.62</v>
      </c>
      <c r="P58" s="18">
        <v>0.87</v>
      </c>
      <c r="Q58" s="224">
        <v>2.0023148148148148E-3</v>
      </c>
      <c r="R58" s="155">
        <v>3.5416666666666666E-2</v>
      </c>
      <c r="S58" s="1">
        <v>5</v>
      </c>
      <c r="V58" s="22">
        <f t="shared" si="0"/>
        <v>45328</v>
      </c>
      <c r="W58" s="1">
        <f>SUMIFS(Table7[Calls Off],Table7[Date],"&gt;="&amp;V58,Table7[Date],"&lt;"&amp;V59)</f>
        <v>0</v>
      </c>
      <c r="X58" s="1">
        <f>SUMIFS(Table7[Calls Ans],Table7[Date],"&gt;="&amp;V58,Table7[Date],"&lt;"&amp;V59)</f>
        <v>0</v>
      </c>
    </row>
    <row r="59" spans="1:24" x14ac:dyDescent="0.35">
      <c r="A59" s="22">
        <v>45074</v>
      </c>
      <c r="B59" s="36" t="s">
        <v>48</v>
      </c>
      <c r="C59" s="36" t="s">
        <v>97</v>
      </c>
      <c r="D59" s="1">
        <v>0</v>
      </c>
      <c r="E59" s="1">
        <v>0</v>
      </c>
      <c r="F59" s="66">
        <f>IFERROR((Table7[[#This Row],[Calls Off]]-D52)/D52,0)</f>
        <v>0</v>
      </c>
      <c r="G59" s="66">
        <f>IFERROR((Table7[[#This Row],[Calls Ans]]-E52)/E52,0)</f>
        <v>0</v>
      </c>
      <c r="H59" s="1">
        <f>H58+Table7[[#This Row],[Calls Off]]</f>
        <v>12503</v>
      </c>
      <c r="I59" s="1">
        <f>I58+Table7[[#This Row],[Calls Ans]]</f>
        <v>11589</v>
      </c>
      <c r="J59" s="39">
        <f>J58+Table7[[#This Row],[Calls Off]]</f>
        <v>26933</v>
      </c>
      <c r="K59" s="39">
        <f>K58+Table7[[#This Row],[Calls Ans]]</f>
        <v>24789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224">
        <v>0</v>
      </c>
      <c r="R59" s="155">
        <v>0</v>
      </c>
      <c r="S59" s="1">
        <v>0</v>
      </c>
      <c r="V59" s="22">
        <f t="shared" si="0"/>
        <v>45335</v>
      </c>
      <c r="W59" s="1">
        <f>SUMIFS(Table7[Calls Off],Table7[Date],"&gt;="&amp;V59,Table7[Date],"&lt;"&amp;V60)</f>
        <v>0</v>
      </c>
      <c r="X59" s="1">
        <f>SUMIFS(Table7[Calls Ans],Table7[Date],"&gt;="&amp;V59,Table7[Date],"&lt;"&amp;V60)</f>
        <v>0</v>
      </c>
    </row>
    <row r="60" spans="1:24" x14ac:dyDescent="0.35">
      <c r="A60" s="22">
        <v>45075</v>
      </c>
      <c r="B60" s="36" t="s">
        <v>49</v>
      </c>
      <c r="C60" s="36" t="s">
        <v>97</v>
      </c>
      <c r="D60" s="1">
        <v>743</v>
      </c>
      <c r="E60" s="1">
        <v>650</v>
      </c>
      <c r="F60" s="66">
        <f>IFERROR((Table7[[#This Row],[Calls Off]]-D53)/D53,0)</f>
        <v>0.15912636505460218</v>
      </c>
      <c r="G60" s="66">
        <f>IFERROR((Table7[[#This Row],[Calls Ans]]-E53)/E53,0)</f>
        <v>7.43801652892562E-2</v>
      </c>
      <c r="H60" s="1">
        <f>H59+Table7[[#This Row],[Calls Off]]</f>
        <v>13246</v>
      </c>
      <c r="I60" s="1">
        <f>I59+Table7[[#This Row],[Calls Ans]]</f>
        <v>12239</v>
      </c>
      <c r="J60" s="39">
        <f>J59+Table7[[#This Row],[Calls Off]]</f>
        <v>27676</v>
      </c>
      <c r="K60" s="39">
        <f>K59+Table7[[#This Row],[Calls Ans]]</f>
        <v>25439</v>
      </c>
      <c r="L60" s="18">
        <v>0.66</v>
      </c>
      <c r="M60" s="18">
        <v>0.13</v>
      </c>
      <c r="N60" s="18">
        <v>0.87</v>
      </c>
      <c r="O60" s="18">
        <v>0.57999999999999996</v>
      </c>
      <c r="P60" s="18">
        <v>0.83</v>
      </c>
      <c r="Q60" s="224">
        <v>1.9560185185185184E-3</v>
      </c>
      <c r="R60" s="155">
        <v>2.2916666666666669E-2</v>
      </c>
      <c r="S60" s="1">
        <v>9</v>
      </c>
      <c r="V60" s="22">
        <f t="shared" si="0"/>
        <v>45342</v>
      </c>
      <c r="W60" s="1">
        <f>SUMIFS(Table7[Calls Off],Table7[Date],"&gt;="&amp;V60,Table7[Date],"&lt;"&amp;V61)</f>
        <v>0</v>
      </c>
      <c r="X60" s="1">
        <f>SUMIFS(Table7[Calls Ans],Table7[Date],"&gt;="&amp;V60,Table7[Date],"&lt;"&amp;V61)</f>
        <v>0</v>
      </c>
    </row>
    <row r="61" spans="1:24" x14ac:dyDescent="0.35">
      <c r="A61" s="22">
        <v>45076</v>
      </c>
      <c r="B61" s="36" t="s">
        <v>50</v>
      </c>
      <c r="C61" s="36" t="s">
        <v>97</v>
      </c>
      <c r="D61" s="1">
        <v>0</v>
      </c>
      <c r="E61" s="1">
        <v>0</v>
      </c>
      <c r="F61" s="66">
        <v>0</v>
      </c>
      <c r="G61" s="66">
        <v>0</v>
      </c>
      <c r="H61" s="1">
        <v>0</v>
      </c>
      <c r="I61" s="1">
        <v>0</v>
      </c>
      <c r="J61" s="39">
        <v>0</v>
      </c>
      <c r="K61" s="39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224">
        <v>0</v>
      </c>
      <c r="R61" s="155">
        <v>0</v>
      </c>
      <c r="S61" s="1">
        <v>0</v>
      </c>
      <c r="V61" s="22">
        <f t="shared" si="0"/>
        <v>45349</v>
      </c>
      <c r="W61" s="1">
        <f>SUMIFS(Table7[Calls Off],Table7[Date],"&gt;="&amp;V61,Table7[Date],"&lt;"&amp;V62)</f>
        <v>0</v>
      </c>
      <c r="X61" s="1">
        <f>SUMIFS(Table7[Calls Ans],Table7[Date],"&gt;="&amp;V61,Table7[Date],"&lt;"&amp;V62)</f>
        <v>0</v>
      </c>
    </row>
    <row r="62" spans="1:24" x14ac:dyDescent="0.35">
      <c r="A62" s="22">
        <v>45077</v>
      </c>
      <c r="B62" s="94" t="s">
        <v>51</v>
      </c>
      <c r="C62" s="36" t="s">
        <v>97</v>
      </c>
      <c r="D62" s="1">
        <v>846</v>
      </c>
      <c r="E62" s="1">
        <v>690</v>
      </c>
      <c r="F62" s="66">
        <f>IFERROR((Table7[[#This Row],[Calls Off]]-D55)/D55,0)</f>
        <v>0.31775700934579437</v>
      </c>
      <c r="G62" s="66">
        <f>IFERROR((Table7[[#This Row],[Calls Ans]]-E55)/E55,0)</f>
        <v>0.15191986644407346</v>
      </c>
      <c r="H62" s="1">
        <f>H60+Table7[[#This Row],[Calls Off]]</f>
        <v>14092</v>
      </c>
      <c r="I62" s="1">
        <f>I60+Table7[[#This Row],[Calls Ans]]</f>
        <v>12929</v>
      </c>
      <c r="J62" s="39">
        <f>J60+Table7[[#This Row],[Calls Off]]</f>
        <v>28522</v>
      </c>
      <c r="K62" s="39">
        <f>K60+Table7[[#This Row],[Calls Ans]]</f>
        <v>26129</v>
      </c>
      <c r="L62" s="18">
        <v>0.52</v>
      </c>
      <c r="M62" s="18">
        <v>0.18</v>
      </c>
      <c r="N62" s="18">
        <v>0.82</v>
      </c>
      <c r="O62" s="18">
        <v>0.65</v>
      </c>
      <c r="P62" s="18">
        <v>0.8</v>
      </c>
      <c r="Q62" s="224">
        <v>2.5462962962962961E-3</v>
      </c>
      <c r="R62" s="155">
        <v>0.10347222222222223</v>
      </c>
      <c r="S62" s="1">
        <v>8</v>
      </c>
      <c r="T62" s="49"/>
      <c r="U62" s="49"/>
      <c r="V62" s="22">
        <f t="shared" si="0"/>
        <v>45356</v>
      </c>
      <c r="W62" s="1">
        <f>SUMIFS(Table7[Calls Off],Table7[Date],"&gt;="&amp;V62,Table7[Date],"&lt;"&amp;V63)</f>
        <v>0</v>
      </c>
      <c r="X62" s="1">
        <f>SUMIFS(Table7[Calls Ans],Table7[Date],"&gt;="&amp;V62,Table7[Date],"&lt;"&amp;V63)</f>
        <v>0</v>
      </c>
    </row>
    <row r="63" spans="1:24" x14ac:dyDescent="0.35">
      <c r="A63" s="22">
        <v>45078</v>
      </c>
      <c r="B63" s="36" t="s">
        <v>52</v>
      </c>
      <c r="C63" s="36" t="s">
        <v>97</v>
      </c>
      <c r="D63" s="1">
        <v>650</v>
      </c>
      <c r="E63" s="1">
        <v>589</v>
      </c>
      <c r="F63" s="66">
        <f>IFERROR((Table7[[#This Row],[Calls Off]]-D56)/D56,0)</f>
        <v>3.0864197530864196E-3</v>
      </c>
      <c r="G63" s="66">
        <f>IFERROR((Table7[[#This Row],[Calls Ans]]-E56)/E56,0)</f>
        <v>5.1194539249146756E-3</v>
      </c>
      <c r="H63" s="1">
        <f>Table7[[#This Row],[Calls Off]]</f>
        <v>650</v>
      </c>
      <c r="I63" s="1">
        <f>Table7[[#This Row],[Calls Ans]]</f>
        <v>589</v>
      </c>
      <c r="J63" s="39">
        <f>J62+Table7[[#This Row],[Calls Off]]</f>
        <v>29172</v>
      </c>
      <c r="K63" s="39">
        <f>K62+Table7[[#This Row],[Calls Ans]]</f>
        <v>26718</v>
      </c>
      <c r="L63" s="18">
        <v>0.74</v>
      </c>
      <c r="M63" s="18">
        <v>0.09</v>
      </c>
      <c r="N63" s="18">
        <v>0.91</v>
      </c>
      <c r="O63" s="18">
        <v>0.41</v>
      </c>
      <c r="P63" s="18">
        <v>0.82</v>
      </c>
      <c r="Q63" s="224">
        <v>1.8865740740740742E-3</v>
      </c>
      <c r="R63" s="155">
        <v>1.6666666666666666E-2</v>
      </c>
      <c r="S63" s="1">
        <v>9</v>
      </c>
      <c r="V63" s="22">
        <f t="shared" si="0"/>
        <v>45363</v>
      </c>
      <c r="W63" s="1">
        <f>SUMIFS(Table7[Calls Off],Table7[Date],"&gt;="&amp;V63,Table7[Date],"&lt;"&amp;V64)</f>
        <v>0</v>
      </c>
      <c r="X63" s="1">
        <f>SUMIFS(Table7[Calls Ans],Table7[Date],"&gt;="&amp;V63,Table7[Date],"&lt;"&amp;V64)</f>
        <v>0</v>
      </c>
    </row>
    <row r="64" spans="1:24" x14ac:dyDescent="0.35">
      <c r="A64" s="22">
        <v>45079</v>
      </c>
      <c r="B64" s="36" t="s">
        <v>53</v>
      </c>
      <c r="C64" s="36" t="s">
        <v>97</v>
      </c>
      <c r="D64" s="1">
        <v>622</v>
      </c>
      <c r="E64" s="1">
        <v>583</v>
      </c>
      <c r="F64" s="66">
        <f>IFERROR((Table7[[#This Row],[Calls Off]]-D57)/D57,0)</f>
        <v>-4.6012269938650305E-2</v>
      </c>
      <c r="G64" s="66">
        <f>IFERROR((Table7[[#This Row],[Calls Ans]]-E57)/E57,0)</f>
        <v>-5.6634304207119741E-2</v>
      </c>
      <c r="H64" s="1">
        <f>Table7[[#This Row],[Calls Off]]+H63</f>
        <v>1272</v>
      </c>
      <c r="I64" s="1">
        <f>Table7[[#This Row],[Calls Ans]]+I63</f>
        <v>1172</v>
      </c>
      <c r="J64" s="39">
        <f>J63+Table7[[#This Row],[Calls Off]]</f>
        <v>29794</v>
      </c>
      <c r="K64" s="39">
        <f>K63+Table7[[#This Row],[Calls Ans]]</f>
        <v>27301</v>
      </c>
      <c r="L64" s="18">
        <v>0.79</v>
      </c>
      <c r="M64" s="18">
        <v>0.06</v>
      </c>
      <c r="N64" s="18">
        <v>0.94</v>
      </c>
      <c r="O64" s="18">
        <v>0.43</v>
      </c>
      <c r="P64" s="18">
        <v>0.82</v>
      </c>
      <c r="Q64" s="224">
        <v>1.7939814814814815E-3</v>
      </c>
      <c r="R64" s="155">
        <v>1.1805555555555555E-2</v>
      </c>
      <c r="S64" s="1">
        <v>10</v>
      </c>
      <c r="V64" s="22">
        <f t="shared" si="0"/>
        <v>45370</v>
      </c>
      <c r="W64" s="1">
        <f>SUMIFS(Table7[Calls Off],Table7[Date],"&gt;="&amp;V64,Table7[Date],"&lt;"&amp;V65)</f>
        <v>0</v>
      </c>
      <c r="X64" s="1">
        <f>SUMIFS(Table7[Calls Ans],Table7[Date],"&gt;="&amp;V64,Table7[Date],"&lt;"&amp;V65)</f>
        <v>0</v>
      </c>
    </row>
    <row r="65" spans="1:24" x14ac:dyDescent="0.35">
      <c r="A65" s="22">
        <v>45080</v>
      </c>
      <c r="B65" s="36" t="s">
        <v>54</v>
      </c>
      <c r="C65" s="36" t="s">
        <v>97</v>
      </c>
      <c r="D65" s="1">
        <v>421</v>
      </c>
      <c r="E65" s="1">
        <v>287</v>
      </c>
      <c r="F65" s="66">
        <f>IFERROR((Table7[[#This Row],[Calls Off]]-D58)/D58,0)</f>
        <v>0.22383720930232559</v>
      </c>
      <c r="G65" s="66">
        <f>IFERROR((Table7[[#This Row],[Calls Ans]]-E58)/E58,0)</f>
        <v>5.9040590405904057E-2</v>
      </c>
      <c r="H65" s="1">
        <f>Table7[[#This Row],[Calls Off]]+H64</f>
        <v>1693</v>
      </c>
      <c r="I65" s="1">
        <f>Table7[[#This Row],[Calls Ans]]+I64</f>
        <v>1459</v>
      </c>
      <c r="J65" s="39">
        <f>J64+Table7[[#This Row],[Calls Off]]</f>
        <v>30215</v>
      </c>
      <c r="K65" s="39">
        <f>K64+Table7[[#This Row],[Calls Ans]]</f>
        <v>27588</v>
      </c>
      <c r="L65" s="18">
        <v>0.3</v>
      </c>
      <c r="M65" s="18">
        <v>0.32</v>
      </c>
      <c r="N65" s="18">
        <v>0.68</v>
      </c>
      <c r="O65" s="18">
        <v>0.67</v>
      </c>
      <c r="P65" s="18">
        <v>0.85</v>
      </c>
      <c r="Q65" s="224">
        <v>1.9212962962962962E-3</v>
      </c>
      <c r="R65" s="155">
        <v>8.1250000000000003E-2</v>
      </c>
      <c r="S65" s="1">
        <v>5</v>
      </c>
      <c r="V65" s="22">
        <f t="shared" si="0"/>
        <v>45377</v>
      </c>
      <c r="W65" s="1">
        <f>SUMIFS(Table7[Calls Off],Table7[Date],"&gt;="&amp;V65,Table7[Date],"&lt;"&amp;V66)</f>
        <v>0</v>
      </c>
      <c r="X65" s="1">
        <f>SUMIFS(Table7[Calls Ans],Table7[Date],"&gt;="&amp;V65,Table7[Date],"&lt;"&amp;V66)</f>
        <v>0</v>
      </c>
    </row>
    <row r="66" spans="1:24" x14ac:dyDescent="0.35">
      <c r="A66" s="22">
        <v>45081</v>
      </c>
      <c r="B66" s="36" t="s">
        <v>48</v>
      </c>
      <c r="C66" s="36" t="s">
        <v>97</v>
      </c>
      <c r="D66" s="1">
        <v>0</v>
      </c>
      <c r="E66" s="1">
        <v>0</v>
      </c>
      <c r="F66" s="66">
        <v>0</v>
      </c>
      <c r="G66" s="66">
        <v>0</v>
      </c>
      <c r="H66" s="1">
        <v>0</v>
      </c>
      <c r="I66" s="1">
        <v>0</v>
      </c>
      <c r="J66" s="1">
        <v>0</v>
      </c>
      <c r="K66" s="1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224">
        <v>0</v>
      </c>
      <c r="R66" s="155">
        <v>0</v>
      </c>
      <c r="S66" s="1">
        <v>0</v>
      </c>
      <c r="V66" s="24">
        <v>45017</v>
      </c>
      <c r="W66" s="39">
        <f>SUMIFS(Table7[Calls Off],Table7[Date],"&gt;="&amp;V66,Table7[Date],"&lt;"&amp;V67)</f>
        <v>0</v>
      </c>
      <c r="X66" s="39">
        <f>SUMIFS(Table7[Calls Ans],Table7[Date],"&gt;="&amp;V66,Table7[Date],"&lt;"&amp;V67)</f>
        <v>0</v>
      </c>
    </row>
    <row r="67" spans="1:24" x14ac:dyDescent="0.35">
      <c r="A67" s="22">
        <v>45082</v>
      </c>
      <c r="B67" s="36" t="s">
        <v>49</v>
      </c>
      <c r="C67" s="36" t="s">
        <v>97</v>
      </c>
      <c r="D67" s="1">
        <v>836</v>
      </c>
      <c r="E67" s="1">
        <v>678</v>
      </c>
      <c r="F67" s="66">
        <f>IFERROR((Table7[[#This Row],[Calls Off]]-D60)/D60,0)</f>
        <v>0.12516823687752354</v>
      </c>
      <c r="G67" s="66">
        <f>IFERROR((Table7[[#This Row],[Calls Ans]]-E60)/E60,0)</f>
        <v>4.3076923076923075E-2</v>
      </c>
      <c r="H67" s="1">
        <f>H65+Table7[[#This Row],[Calls Off]]</f>
        <v>2529</v>
      </c>
      <c r="I67" s="1">
        <f>I65+Table7[[#This Row],[Calls Ans]]</f>
        <v>2137</v>
      </c>
      <c r="J67" s="39">
        <f>J65+Table7[[#This Row],[Calls Off]]</f>
        <v>31051</v>
      </c>
      <c r="K67" s="39">
        <f>K65+Table7[[#This Row],[Calls Ans]]</f>
        <v>28266</v>
      </c>
      <c r="L67" s="18">
        <v>0.43</v>
      </c>
      <c r="M67" s="18">
        <v>0.19</v>
      </c>
      <c r="N67" s="18">
        <v>0.81</v>
      </c>
      <c r="O67" s="18">
        <v>0.66</v>
      </c>
      <c r="P67" s="18">
        <v>0.8</v>
      </c>
      <c r="Q67" s="224">
        <v>2.0717592592592593E-3</v>
      </c>
      <c r="R67" s="155">
        <v>4.5138888888888888E-2</v>
      </c>
      <c r="S67" s="1">
        <v>9</v>
      </c>
    </row>
    <row r="68" spans="1:24" x14ac:dyDescent="0.35">
      <c r="A68" s="214">
        <v>45083</v>
      </c>
      <c r="B68" s="215" t="s">
        <v>50</v>
      </c>
      <c r="C68" s="215" t="s">
        <v>97</v>
      </c>
      <c r="D68" s="216">
        <v>764</v>
      </c>
      <c r="E68" s="216">
        <v>594</v>
      </c>
      <c r="F68" s="217">
        <f>IFERROR((Table7[[#This Row],[Calls Off]]-D61)/D61,0)</f>
        <v>0</v>
      </c>
      <c r="G68" s="217">
        <f>IFERROR((Table7[[#This Row],[Calls Ans]]-E61)/E61,0)</f>
        <v>0</v>
      </c>
      <c r="H68" s="216">
        <f>H67+Table7[[#This Row],[Calls Off]]</f>
        <v>3293</v>
      </c>
      <c r="I68" s="216">
        <f>I67+Table7[[#This Row],[Calls Ans]]</f>
        <v>2731</v>
      </c>
      <c r="J68" s="218">
        <f>J67+Table7[[#This Row],[Calls Off]]</f>
        <v>31815</v>
      </c>
      <c r="K68" s="218">
        <f>K67+Table7[[#This Row],[Calls Ans]]</f>
        <v>28860</v>
      </c>
      <c r="L68" s="219">
        <v>0.53</v>
      </c>
      <c r="M68" s="219">
        <v>0.22</v>
      </c>
      <c r="N68" s="219">
        <v>0.78</v>
      </c>
      <c r="O68" s="219">
        <v>0.5</v>
      </c>
      <c r="P68" s="219">
        <v>0.81</v>
      </c>
      <c r="Q68" s="235">
        <v>2.1643518518518518E-3</v>
      </c>
      <c r="R68" s="220">
        <v>4.9305555555555554E-2</v>
      </c>
      <c r="S68" s="216">
        <v>7</v>
      </c>
    </row>
    <row r="69" spans="1:24" x14ac:dyDescent="0.35">
      <c r="A69" s="22">
        <v>45084</v>
      </c>
      <c r="B69" s="36" t="s">
        <v>51</v>
      </c>
      <c r="C69" s="36" t="s">
        <v>97</v>
      </c>
      <c r="D69" s="1">
        <v>733</v>
      </c>
      <c r="E69" s="1">
        <v>615</v>
      </c>
      <c r="F69" s="66">
        <f>IFERROR((Table7[[#This Row],[Calls Off]]-D62)/D62,0)</f>
        <v>-0.13356973995271867</v>
      </c>
      <c r="G69" s="66">
        <f>IFERROR((Table7[[#This Row],[Calls Ans]]-E62)/E62,0)</f>
        <v>-0.10869565217391304</v>
      </c>
      <c r="H69" s="1">
        <f>H68+Table7[[#This Row],[Calls Off]]</f>
        <v>4026</v>
      </c>
      <c r="I69" s="1">
        <f>I68+Table7[[#This Row],[Calls Ans]]</f>
        <v>3346</v>
      </c>
      <c r="J69" s="39">
        <f>J68+Table7[[#This Row],[Calls Off]]</f>
        <v>32548</v>
      </c>
      <c r="K69" s="39">
        <f>K68+Table7[[#This Row],[Calls Ans]]</f>
        <v>29475</v>
      </c>
      <c r="L69" s="18">
        <v>0.67</v>
      </c>
      <c r="M69" s="18">
        <v>0.16</v>
      </c>
      <c r="N69" s="18">
        <v>0.84</v>
      </c>
      <c r="O69" s="18">
        <v>0.56000000000000005</v>
      </c>
      <c r="P69" s="18">
        <v>0.81</v>
      </c>
      <c r="Q69" s="224">
        <v>2.3495370370370371E-3</v>
      </c>
      <c r="R69" s="155">
        <v>3.6111111111111115E-2</v>
      </c>
      <c r="S69" s="1">
        <v>8</v>
      </c>
    </row>
    <row r="70" spans="1:24" x14ac:dyDescent="0.35">
      <c r="A70" s="22">
        <v>45085</v>
      </c>
      <c r="B70" s="36" t="s">
        <v>52</v>
      </c>
      <c r="C70" s="36" t="s">
        <v>97</v>
      </c>
      <c r="D70" s="1">
        <v>0</v>
      </c>
      <c r="E70" s="1">
        <v>0</v>
      </c>
      <c r="F70" s="66">
        <v>0</v>
      </c>
      <c r="G70" s="66">
        <v>0</v>
      </c>
      <c r="H70" s="1">
        <v>0</v>
      </c>
      <c r="I70" s="1">
        <v>0</v>
      </c>
      <c r="J70" s="1">
        <v>0</v>
      </c>
      <c r="K70" s="1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224">
        <v>0</v>
      </c>
      <c r="R70" s="155">
        <v>0</v>
      </c>
      <c r="S70" s="1">
        <v>0</v>
      </c>
    </row>
    <row r="71" spans="1:24" x14ac:dyDescent="0.35">
      <c r="A71" s="22">
        <v>45086</v>
      </c>
      <c r="B71" s="36" t="s">
        <v>53</v>
      </c>
      <c r="C71" s="36" t="s">
        <v>97</v>
      </c>
      <c r="D71" s="1">
        <v>855</v>
      </c>
      <c r="E71" s="1">
        <v>463</v>
      </c>
      <c r="F71" s="66">
        <f>IFERROR((Table7[[#This Row],[Calls Off]]-D64)/D64,0)</f>
        <v>0.37459807073954982</v>
      </c>
      <c r="G71" s="66">
        <f>IFERROR((Table7[[#This Row],[Calls Ans]]-E64)/E64,0)</f>
        <v>-0.2058319039451115</v>
      </c>
      <c r="H71" s="1">
        <f>H69+Table7[[#This Row],[Calls Off]]</f>
        <v>4881</v>
      </c>
      <c r="I71" s="1">
        <f>I69+Table7[[#This Row],[Calls Ans]]</f>
        <v>3809</v>
      </c>
      <c r="J71" s="39">
        <f>J69+Table7[[#This Row],[Calls Off]]</f>
        <v>33403</v>
      </c>
      <c r="K71" s="39">
        <f>K69+Table7[[#This Row],[Calls Ans]]</f>
        <v>29938</v>
      </c>
      <c r="L71" s="18">
        <v>0.2</v>
      </c>
      <c r="M71" s="18">
        <v>0.46</v>
      </c>
      <c r="N71" s="18">
        <v>0.54</v>
      </c>
      <c r="O71" s="18">
        <v>0.66</v>
      </c>
      <c r="P71" s="18">
        <v>0.82</v>
      </c>
      <c r="Q71" s="224">
        <v>2.8703703703703708E-3</v>
      </c>
      <c r="R71" s="155">
        <v>0.1277777777777778</v>
      </c>
      <c r="S71" s="1">
        <v>7</v>
      </c>
    </row>
    <row r="72" spans="1:24" x14ac:dyDescent="0.35">
      <c r="A72" s="22">
        <v>45087</v>
      </c>
      <c r="B72" s="36" t="s">
        <v>54</v>
      </c>
      <c r="C72" s="36" t="s">
        <v>97</v>
      </c>
      <c r="D72" s="1">
        <v>377</v>
      </c>
      <c r="E72" s="1">
        <v>306</v>
      </c>
      <c r="F72" s="66">
        <f>IFERROR((Table7[[#This Row],[Calls Off]]-D65)/D65,0)</f>
        <v>-0.10451306413301663</v>
      </c>
      <c r="G72" s="66">
        <f>IFERROR((Table7[[#This Row],[Calls Ans]]-E65)/E65,0)</f>
        <v>6.6202090592334492E-2</v>
      </c>
      <c r="H72" s="1">
        <f>H71+Table7[[#This Row],[Calls Off]]</f>
        <v>5258</v>
      </c>
      <c r="I72" s="1">
        <f>I71+Table7[[#This Row],[Calls Ans]]</f>
        <v>4115</v>
      </c>
      <c r="J72" s="39">
        <f>J69+Table7[[#This Row],[Calls Off]]</f>
        <v>32925</v>
      </c>
      <c r="K72" s="39">
        <f>K71+Table7[[#This Row],[Calls Ans]]</f>
        <v>30244</v>
      </c>
      <c r="L72" s="18">
        <v>0.41</v>
      </c>
      <c r="M72" s="18">
        <v>0.81</v>
      </c>
      <c r="N72" s="18">
        <v>0.19</v>
      </c>
      <c r="O72" s="18">
        <v>0.73</v>
      </c>
      <c r="P72" s="18">
        <v>0.87</v>
      </c>
      <c r="Q72" s="224">
        <v>2.0254629629629629E-3</v>
      </c>
      <c r="R72" s="155">
        <v>3.9583333333333331E-2</v>
      </c>
      <c r="S72" s="1">
        <v>5</v>
      </c>
    </row>
    <row r="73" spans="1:24" x14ac:dyDescent="0.35">
      <c r="A73" s="22">
        <v>45088</v>
      </c>
      <c r="B73" s="36" t="s">
        <v>48</v>
      </c>
      <c r="C73" s="36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224">
        <v>0</v>
      </c>
      <c r="R73" s="155">
        <v>0</v>
      </c>
      <c r="S73" s="1">
        <v>0</v>
      </c>
    </row>
    <row r="74" spans="1:24" x14ac:dyDescent="0.35">
      <c r="A74" s="22">
        <v>45089</v>
      </c>
      <c r="B74" s="36" t="s">
        <v>49</v>
      </c>
      <c r="C74" s="36" t="s">
        <v>97</v>
      </c>
      <c r="D74" s="1">
        <v>934</v>
      </c>
      <c r="E74" s="1">
        <v>347</v>
      </c>
      <c r="F74" s="66">
        <f>IFERROR((Table7[[#This Row],[Calls Off]]-D67)/D67,0)</f>
        <v>0.11722488038277512</v>
      </c>
      <c r="G74" s="66">
        <f>IFERROR((Table7[[#This Row],[Calls Ans]]-E67)/E67,0)</f>
        <v>-0.48820058997050148</v>
      </c>
      <c r="H74" s="1">
        <f>H72+Table7[[#This Row],[Calls Off]]</f>
        <v>6192</v>
      </c>
      <c r="I74" s="1">
        <f>I72+Table7[[#This Row],[Calls Ans]]</f>
        <v>4462</v>
      </c>
      <c r="J74" s="39">
        <f>J72+Table7[[#This Row],[Calls Off]]</f>
        <v>33859</v>
      </c>
      <c r="K74" s="39">
        <f>K72+Table7[[#This Row],[Calls Ans]]</f>
        <v>30591</v>
      </c>
      <c r="L74" s="18">
        <v>0.15</v>
      </c>
      <c r="M74" s="18">
        <v>0.63</v>
      </c>
      <c r="N74" s="18">
        <v>0.37</v>
      </c>
      <c r="O74" s="18">
        <v>0.68</v>
      </c>
      <c r="P74" s="18">
        <v>0.8</v>
      </c>
      <c r="Q74" s="224">
        <v>3.7152777777777774E-3</v>
      </c>
      <c r="R74" s="155">
        <v>0.52986111111111112</v>
      </c>
      <c r="S74" s="1">
        <v>6</v>
      </c>
      <c r="W74">
        <f>AVERAGEIF(P63:P92,"&lt;&gt;0")</f>
        <v>0.82708333333333328</v>
      </c>
    </row>
    <row r="75" spans="1:24" x14ac:dyDescent="0.35">
      <c r="A75" s="22">
        <v>45090</v>
      </c>
      <c r="B75" s="36" t="s">
        <v>50</v>
      </c>
      <c r="C75" s="36" t="s">
        <v>97</v>
      </c>
      <c r="D75" s="1">
        <v>880</v>
      </c>
      <c r="E75" s="1">
        <v>390</v>
      </c>
      <c r="F75" s="66">
        <f>IFERROR((Table7[[#This Row],[Calls Off]]-D68)/D68,0)</f>
        <v>0.15183246073298429</v>
      </c>
      <c r="G75" s="66">
        <f>IFERROR((Table7[[#This Row],[Calls Ans]]-E68)/E68,0)</f>
        <v>-0.34343434343434343</v>
      </c>
      <c r="H75" s="1">
        <f>H74+Table7[[#This Row],[Calls Off]]</f>
        <v>7072</v>
      </c>
      <c r="I75" s="1">
        <f>I74+Table7[[#This Row],[Calls Ans]]</f>
        <v>4852</v>
      </c>
      <c r="J75" s="39">
        <f>J74+Table7[[#This Row],[Calls Off]]</f>
        <v>34739</v>
      </c>
      <c r="K75" s="39">
        <f>K74+Table7[[#This Row],[Calls Ans]]</f>
        <v>30981</v>
      </c>
      <c r="L75" s="18">
        <v>0.24</v>
      </c>
      <c r="M75" s="18">
        <v>0.56000000000000005</v>
      </c>
      <c r="N75" s="18">
        <v>0.44</v>
      </c>
      <c r="O75" s="18">
        <v>0.56999999999999995</v>
      </c>
      <c r="P75" s="18">
        <v>0.77</v>
      </c>
      <c r="Q75" s="224">
        <v>3.0324074074074073E-3</v>
      </c>
      <c r="R75" s="155">
        <v>5.5555555555555558E-3</v>
      </c>
      <c r="S75" s="1">
        <v>7</v>
      </c>
    </row>
    <row r="76" spans="1:24" x14ac:dyDescent="0.35">
      <c r="A76" s="22">
        <v>45091</v>
      </c>
      <c r="B76" s="36" t="s">
        <v>51</v>
      </c>
      <c r="C76" s="36" t="s">
        <v>97</v>
      </c>
      <c r="D76" s="1">
        <v>668</v>
      </c>
      <c r="E76" s="1">
        <v>571</v>
      </c>
      <c r="F76" s="66">
        <f>IFERROR((Table7[[#This Row],[Calls Off]]-D69)/D69,0)</f>
        <v>-8.8676671214188263E-2</v>
      </c>
      <c r="G76" s="66">
        <f>IFERROR((Table7[[#This Row],[Calls Ans]]-E69)/E69,0)</f>
        <v>-7.1544715447154475E-2</v>
      </c>
      <c r="H76" s="1">
        <f>H75+Table7[[#This Row],[Calls Off]]</f>
        <v>7740</v>
      </c>
      <c r="I76" s="1">
        <f>I75+Table7[[#This Row],[Calls Ans]]</f>
        <v>5423</v>
      </c>
      <c r="J76" s="39">
        <f>J75+Table7[[#This Row],[Calls Off]]</f>
        <v>35407</v>
      </c>
      <c r="K76" s="39">
        <f>K75+Table7[[#This Row],[Calls Ans]]</f>
        <v>31552</v>
      </c>
      <c r="L76" s="18">
        <v>0.66</v>
      </c>
      <c r="M76" s="18">
        <v>0.15</v>
      </c>
      <c r="N76" s="18">
        <v>0.85</v>
      </c>
      <c r="O76" s="18">
        <v>0.5</v>
      </c>
      <c r="P76" s="18">
        <v>0.79</v>
      </c>
      <c r="Q76" s="224">
        <v>2.0370370370370373E-3</v>
      </c>
      <c r="R76" s="155">
        <v>3.125E-2</v>
      </c>
      <c r="S76" s="1">
        <v>9</v>
      </c>
      <c r="U76" s="164"/>
    </row>
    <row r="77" spans="1:24" x14ac:dyDescent="0.35">
      <c r="A77" s="22">
        <v>45092</v>
      </c>
      <c r="B77" s="36" t="s">
        <v>52</v>
      </c>
      <c r="C77" s="36" t="s">
        <v>97</v>
      </c>
      <c r="D77" s="1">
        <v>683</v>
      </c>
      <c r="E77" s="1">
        <v>602</v>
      </c>
      <c r="F77" s="66">
        <f>IFERROR((Table7[[#This Row],[Calls Off]]-D70)/D70,0)</f>
        <v>0</v>
      </c>
      <c r="G77" s="66">
        <f>IFERROR((Table7[[#This Row],[Calls Ans]]-E70)/E70,0)</f>
        <v>0</v>
      </c>
      <c r="H77" s="1">
        <f>H76+Table7[[#This Row],[Calls Off]]</f>
        <v>8423</v>
      </c>
      <c r="I77" s="1">
        <f>I76+Table7[[#This Row],[Calls Ans]]</f>
        <v>6025</v>
      </c>
      <c r="J77" s="39">
        <f>J76+Table7[[#This Row],[Calls Off]]</f>
        <v>36090</v>
      </c>
      <c r="K77" s="39">
        <f>K76+Table7[[#This Row],[Calls Ans]]</f>
        <v>32154</v>
      </c>
      <c r="L77" s="18">
        <v>0.63</v>
      </c>
      <c r="M77" s="18">
        <v>0.12</v>
      </c>
      <c r="N77" s="18">
        <v>0.88</v>
      </c>
      <c r="O77" s="18">
        <v>0.51</v>
      </c>
      <c r="P77" s="18">
        <v>0.81</v>
      </c>
      <c r="Q77" s="224">
        <v>2.2106481481481478E-3</v>
      </c>
      <c r="R77" s="155">
        <v>2.4999999999999998E-2</v>
      </c>
      <c r="S77" s="1">
        <v>9</v>
      </c>
      <c r="W77">
        <f>7202-6608</f>
        <v>594</v>
      </c>
    </row>
    <row r="78" spans="1:24" x14ac:dyDescent="0.35">
      <c r="A78" s="22">
        <v>45093</v>
      </c>
      <c r="B78" s="36" t="s">
        <v>53</v>
      </c>
      <c r="C78" s="36" t="s">
        <v>97</v>
      </c>
      <c r="D78" s="1">
        <v>679</v>
      </c>
      <c r="E78" s="1">
        <v>583</v>
      </c>
      <c r="F78" s="66">
        <f>IFERROR((Table7[[#This Row],[Calls Off]]-D71)/D71,0)</f>
        <v>-0.20584795321637428</v>
      </c>
      <c r="G78" s="66">
        <f>IFERROR((Table7[[#This Row],[Calls Ans]]-E71)/E71,0)</f>
        <v>0.25917926565874733</v>
      </c>
      <c r="H78" s="1">
        <f>H77+Table7[[#This Row],[Calls Off]]</f>
        <v>9102</v>
      </c>
      <c r="I78" s="1">
        <f>I77+Table7[[#This Row],[Calls Ans]]</f>
        <v>6608</v>
      </c>
      <c r="J78" s="39">
        <f>J77+Table7[[#This Row],[Calls Off]]</f>
        <v>36769</v>
      </c>
      <c r="K78" s="39">
        <f>K77+Table7[[#This Row],[Calls Ans]]</f>
        <v>32737</v>
      </c>
      <c r="L78" s="18">
        <v>0.59</v>
      </c>
      <c r="M78" s="18">
        <v>0.14000000000000001</v>
      </c>
      <c r="N78" s="18">
        <v>0.86</v>
      </c>
      <c r="O78" s="18">
        <v>0.54</v>
      </c>
      <c r="P78" s="18">
        <v>0.79</v>
      </c>
      <c r="Q78" s="224">
        <v>1.8518518518518517E-3</v>
      </c>
      <c r="R78" s="155">
        <v>3.4722222222222224E-2</v>
      </c>
      <c r="S78" s="1">
        <v>9</v>
      </c>
    </row>
    <row r="79" spans="1:24" x14ac:dyDescent="0.35">
      <c r="A79" s="22">
        <v>45094</v>
      </c>
      <c r="B79" s="36" t="s">
        <v>54</v>
      </c>
      <c r="C79" s="36" t="s">
        <v>97</v>
      </c>
      <c r="D79" s="1">
        <v>395</v>
      </c>
      <c r="E79" s="1">
        <v>310</v>
      </c>
      <c r="F79" s="66">
        <f>IFERROR((Table7[[#This Row],[Calls Off]]-D72)/D72,0)</f>
        <v>4.7745358090185673E-2</v>
      </c>
      <c r="G79" s="66">
        <f>IFERROR((Table7[[#This Row],[Calls Ans]]-E72)/E72,0)</f>
        <v>1.3071895424836602E-2</v>
      </c>
      <c r="H79" s="1">
        <f>H78+Table7[[#This Row],[Calls Off]]</f>
        <v>9497</v>
      </c>
      <c r="I79" s="1">
        <f>I78+Table7[[#This Row],[Calls Ans]]</f>
        <v>6918</v>
      </c>
      <c r="J79" s="39">
        <f>J78+Table7[[#This Row],[Calls Off]]</f>
        <v>37164</v>
      </c>
      <c r="K79" s="39">
        <f>K78+Table7[[#This Row],[Calls Ans]]</f>
        <v>33047</v>
      </c>
      <c r="L79" s="18">
        <v>0.36</v>
      </c>
      <c r="M79" s="18">
        <v>0.22</v>
      </c>
      <c r="N79" s="18">
        <v>0.78</v>
      </c>
      <c r="O79" s="18">
        <v>0.63</v>
      </c>
      <c r="P79" s="18">
        <v>0.92</v>
      </c>
      <c r="Q79" s="224">
        <v>1.9907407407407408E-3</v>
      </c>
      <c r="R79" s="155">
        <v>9.7222222222222224E-2</v>
      </c>
      <c r="S79" s="1">
        <v>5</v>
      </c>
    </row>
    <row r="80" spans="1:24" x14ac:dyDescent="0.35">
      <c r="A80" s="22">
        <v>45095</v>
      </c>
      <c r="B80" s="36" t="s">
        <v>48</v>
      </c>
      <c r="C80" s="36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224">
        <v>0</v>
      </c>
      <c r="R80" s="155">
        <v>0</v>
      </c>
      <c r="S80" s="1">
        <v>0</v>
      </c>
    </row>
    <row r="81" spans="1:24" x14ac:dyDescent="0.35">
      <c r="A81" s="22">
        <v>45096</v>
      </c>
      <c r="B81" s="36" t="s">
        <v>49</v>
      </c>
      <c r="C81" s="36" t="s">
        <v>97</v>
      </c>
      <c r="D81" s="1">
        <v>0</v>
      </c>
      <c r="E81" s="1">
        <v>0</v>
      </c>
      <c r="F81" s="66">
        <v>0</v>
      </c>
      <c r="G81" s="66">
        <v>0</v>
      </c>
      <c r="H81" s="1">
        <v>0</v>
      </c>
      <c r="I81" s="1">
        <v>0</v>
      </c>
      <c r="J81" s="1">
        <v>0</v>
      </c>
      <c r="K81" s="1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224">
        <v>0</v>
      </c>
      <c r="R81" s="155">
        <v>0</v>
      </c>
      <c r="S81" s="1">
        <v>0</v>
      </c>
    </row>
    <row r="82" spans="1:24" x14ac:dyDescent="0.35">
      <c r="A82" s="22">
        <v>45097</v>
      </c>
      <c r="B82" s="36" t="s">
        <v>50</v>
      </c>
      <c r="C82" s="36" t="s">
        <v>97</v>
      </c>
      <c r="D82" s="1">
        <v>787</v>
      </c>
      <c r="E82" s="1">
        <v>703</v>
      </c>
      <c r="F82" s="66">
        <f>IFERROR((Table7[[#This Row],[Calls Off]]-D75)/D75,0)</f>
        <v>-0.10568181818181818</v>
      </c>
      <c r="G82" s="66">
        <f>IFERROR((Table7[[#This Row],[Calls Ans]]-E75)/E75,0)</f>
        <v>0.8025641025641026</v>
      </c>
      <c r="H82" s="1">
        <f>H79+Table7[[#This Row],[Calls Off]]</f>
        <v>10284</v>
      </c>
      <c r="I82" s="1">
        <f>I79+Table7[[#This Row],[Calls Ans]]</f>
        <v>7621</v>
      </c>
      <c r="J82" s="39">
        <f>J79+Table7[[#This Row],[Calls Off]]</f>
        <v>37951</v>
      </c>
      <c r="K82" s="39">
        <f>K79+Table7[[#This Row],[Calls Ans]]</f>
        <v>33750</v>
      </c>
      <c r="L82" s="18">
        <v>0.67</v>
      </c>
      <c r="M82" s="18">
        <v>0.1</v>
      </c>
      <c r="N82" s="18">
        <v>0.9</v>
      </c>
      <c r="O82" s="18">
        <v>0.59</v>
      </c>
      <c r="P82" s="18">
        <v>0.79</v>
      </c>
      <c r="Q82" s="224">
        <v>3.1365740740740742E-3</v>
      </c>
      <c r="R82" s="155">
        <v>2.4305555555555556E-2</v>
      </c>
      <c r="S82" s="1">
        <v>9</v>
      </c>
    </row>
    <row r="83" spans="1:24" x14ac:dyDescent="0.35">
      <c r="A83" s="22">
        <v>45098</v>
      </c>
      <c r="B83" s="36" t="s">
        <v>51</v>
      </c>
      <c r="C83" s="36" t="s">
        <v>97</v>
      </c>
      <c r="D83" s="1">
        <v>662</v>
      </c>
      <c r="E83" s="1">
        <v>620</v>
      </c>
      <c r="F83" s="66">
        <f>IFERROR((Table7[[#This Row],[Calls Off]]-D76)/D76,0)</f>
        <v>-8.9820359281437123E-3</v>
      </c>
      <c r="G83" s="66">
        <f>IFERROR((Table7[[#This Row],[Calls Ans]]-E76)/E76,0)</f>
        <v>8.5814360770577927E-2</v>
      </c>
      <c r="H83" s="1">
        <f>H82+Table7[[#This Row],[Calls Off]]</f>
        <v>10946</v>
      </c>
      <c r="I83" s="1">
        <f>I82+Table7[[#This Row],[Calls Ans]]</f>
        <v>8241</v>
      </c>
      <c r="J83" s="39">
        <f>J82+Table7[[#This Row],[Calls Off]]</f>
        <v>38613</v>
      </c>
      <c r="K83" s="39">
        <f>K82+Table7[[#This Row],[Calls Ans]]</f>
        <v>34370</v>
      </c>
      <c r="L83" s="18">
        <v>0.85</v>
      </c>
      <c r="M83" s="18">
        <v>0.06</v>
      </c>
      <c r="N83" s="18">
        <v>0.94</v>
      </c>
      <c r="O83" s="18">
        <v>0.6</v>
      </c>
      <c r="P83" s="18">
        <v>0.85</v>
      </c>
      <c r="Q83" s="224">
        <v>2.1296296296296298E-3</v>
      </c>
      <c r="R83" s="155">
        <v>1.0416666666666666E-2</v>
      </c>
      <c r="S83" s="1">
        <v>10</v>
      </c>
    </row>
    <row r="84" spans="1:24" x14ac:dyDescent="0.35">
      <c r="A84" s="22">
        <v>45099</v>
      </c>
      <c r="B84" s="36" t="s">
        <v>52</v>
      </c>
      <c r="C84" s="36" t="s">
        <v>97</v>
      </c>
      <c r="D84" s="1">
        <v>712</v>
      </c>
      <c r="E84" s="1">
        <v>559</v>
      </c>
      <c r="F84" s="66">
        <f>IFERROR((Table7[[#This Row],[Calls Off]]-D77)/D77,0)</f>
        <v>4.24597364568082E-2</v>
      </c>
      <c r="G84" s="66">
        <f>IFERROR((Table7[[#This Row],[Calls Ans]]-E77)/E77,0)</f>
        <v>-7.1428571428571425E-2</v>
      </c>
      <c r="H84" s="1">
        <f>H83+Table7[[#This Row],[Calls Off]]</f>
        <v>11658</v>
      </c>
      <c r="I84" s="1">
        <f>I83+Table7[[#This Row],[Calls Ans]]</f>
        <v>8800</v>
      </c>
      <c r="J84" s="39">
        <f>J83+Table7[[#This Row],[Calls Off]]</f>
        <v>39325</v>
      </c>
      <c r="K84" s="39">
        <f>K83+Table7[[#This Row],[Calls Ans]]</f>
        <v>34929</v>
      </c>
      <c r="L84" s="18">
        <v>0.52</v>
      </c>
      <c r="M84" s="18">
        <v>0.11</v>
      </c>
      <c r="N84" s="18">
        <v>0.79</v>
      </c>
      <c r="O84" s="18">
        <v>0.51</v>
      </c>
      <c r="P84" s="18">
        <v>0.78</v>
      </c>
      <c r="Q84" s="224">
        <v>2.5462962962962961E-3</v>
      </c>
      <c r="R84" s="155">
        <v>4.2361111111111106E-2</v>
      </c>
      <c r="S84" s="1">
        <v>10</v>
      </c>
    </row>
    <row r="85" spans="1:24" x14ac:dyDescent="0.35">
      <c r="A85" s="22">
        <v>45100</v>
      </c>
      <c r="B85" s="36" t="s">
        <v>53</v>
      </c>
      <c r="C85" s="36" t="s">
        <v>97</v>
      </c>
      <c r="D85" s="1">
        <v>688</v>
      </c>
      <c r="E85" s="1">
        <v>579</v>
      </c>
      <c r="F85" s="66">
        <f>IFERROR((Table7[[#This Row],[Calls Off]]-D78)/D78,0)</f>
        <v>1.3254786450662739E-2</v>
      </c>
      <c r="G85" s="66">
        <f>IFERROR((Table7[[#This Row],[Calls Ans]]-E78)/E78,0)</f>
        <v>-6.8610634648370496E-3</v>
      </c>
      <c r="H85" s="1">
        <f>H84+Table7[[#This Row],[Calls Off]]</f>
        <v>12346</v>
      </c>
      <c r="I85" s="1">
        <f>I84+Table7[[#This Row],[Calls Ans]]</f>
        <v>9379</v>
      </c>
      <c r="J85" s="39">
        <f>J84+Table7[[#This Row],[Calls Off]]</f>
        <v>40013</v>
      </c>
      <c r="K85" s="39">
        <f>K84+Table7[[#This Row],[Calls Ans]]</f>
        <v>35508</v>
      </c>
      <c r="L85" s="18">
        <v>0.71</v>
      </c>
      <c r="M85" s="18">
        <v>0.16</v>
      </c>
      <c r="N85" s="18">
        <v>0.84</v>
      </c>
      <c r="O85" s="18">
        <v>0.46</v>
      </c>
      <c r="P85" s="18">
        <v>0.85</v>
      </c>
      <c r="Q85" s="224">
        <v>2.0370370370370373E-3</v>
      </c>
      <c r="R85" s="155">
        <v>2.9166666666666664E-2</v>
      </c>
      <c r="S85" s="1">
        <v>9</v>
      </c>
    </row>
    <row r="86" spans="1:24" x14ac:dyDescent="0.35">
      <c r="A86" s="22">
        <v>45101</v>
      </c>
      <c r="B86" s="36" t="s">
        <v>54</v>
      </c>
      <c r="C86" s="36" t="s">
        <v>97</v>
      </c>
      <c r="D86" s="1">
        <v>514</v>
      </c>
      <c r="E86" s="1">
        <v>217</v>
      </c>
      <c r="F86" s="66">
        <f>IFERROR((Table7[[#This Row],[Calls Off]]-D79)/D79,0)</f>
        <v>0.30126582278481012</v>
      </c>
      <c r="G86" s="66">
        <f>IFERROR((Table7[[#This Row],[Calls Ans]]-E79)/E79,0)</f>
        <v>-0.3</v>
      </c>
      <c r="H86" s="1">
        <f>H85+Table7[[#This Row],[Calls Off]]</f>
        <v>12860</v>
      </c>
      <c r="I86" s="1">
        <f>I85+Table7[[#This Row],[Calls Ans]]</f>
        <v>9596</v>
      </c>
      <c r="J86" s="39">
        <f>J85+Table7[[#This Row],[Calls Off]]</f>
        <v>40527</v>
      </c>
      <c r="K86" s="39">
        <f>K85+Table7[[#This Row],[Calls Ans]]</f>
        <v>35725</v>
      </c>
      <c r="L86" s="18">
        <v>0.13</v>
      </c>
      <c r="M86" s="18">
        <v>0.57999999999999996</v>
      </c>
      <c r="N86" s="18">
        <v>0.42</v>
      </c>
      <c r="O86" s="18">
        <v>0.84</v>
      </c>
      <c r="P86" s="18">
        <v>0.94</v>
      </c>
      <c r="Q86" s="224">
        <v>1.9907407407407408E-3</v>
      </c>
      <c r="R86" s="155">
        <v>0.30763888888888891</v>
      </c>
      <c r="S86" s="1">
        <v>3</v>
      </c>
    </row>
    <row r="87" spans="1:24" x14ac:dyDescent="0.35">
      <c r="A87" s="22">
        <v>45102</v>
      </c>
      <c r="B87" s="36" t="s">
        <v>48</v>
      </c>
      <c r="C87" s="36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224">
        <v>0</v>
      </c>
      <c r="R87" s="155">
        <v>0</v>
      </c>
      <c r="S87" s="1">
        <v>0</v>
      </c>
    </row>
    <row r="88" spans="1:24" x14ac:dyDescent="0.35">
      <c r="A88" s="22">
        <v>45103</v>
      </c>
      <c r="B88" s="36" t="s">
        <v>49</v>
      </c>
      <c r="C88" s="36" t="s">
        <v>97</v>
      </c>
      <c r="D88" s="1">
        <v>798</v>
      </c>
      <c r="E88" s="1">
        <v>693</v>
      </c>
      <c r="F88" s="66">
        <f>IFERROR((Table7[[#This Row],[Calls Off]]-D81)/D81,0)</f>
        <v>0</v>
      </c>
      <c r="G88" s="66">
        <f>IFERROR((Table7[[#This Row],[Calls Ans]]-E81)/E81,0)</f>
        <v>0</v>
      </c>
      <c r="H88" s="1">
        <f>H86+Table7[[#This Row],[Calls Off]]</f>
        <v>13658</v>
      </c>
      <c r="I88" s="1">
        <f>I86+Table7[[#This Row],[Calls Ans]]</f>
        <v>10289</v>
      </c>
      <c r="J88" s="39">
        <f>J86+Table7[[#This Row],[Calls Off]]</f>
        <v>41325</v>
      </c>
      <c r="K88" s="39">
        <f>K86+Table7[[#This Row],[Calls Ans]]</f>
        <v>36418</v>
      </c>
      <c r="L88" s="18">
        <v>0.61</v>
      </c>
      <c r="M88" s="18">
        <v>0.13</v>
      </c>
      <c r="N88" s="18">
        <v>0.87</v>
      </c>
      <c r="O88" s="18">
        <v>0.56999999999999995</v>
      </c>
      <c r="P88" s="18">
        <v>0.86</v>
      </c>
      <c r="Q88" s="224">
        <v>1.8981481481481482E-3</v>
      </c>
      <c r="R88" s="155">
        <v>2.9166666666666664E-2</v>
      </c>
      <c r="S88" s="1">
        <v>11</v>
      </c>
    </row>
    <row r="89" spans="1:24" x14ac:dyDescent="0.35">
      <c r="A89" s="22">
        <v>45104</v>
      </c>
      <c r="B89" s="36" t="s">
        <v>50</v>
      </c>
      <c r="C89" s="36" t="s">
        <v>97</v>
      </c>
      <c r="D89" s="1">
        <v>646</v>
      </c>
      <c r="E89" s="1">
        <v>612</v>
      </c>
      <c r="F89" s="66">
        <f>IFERROR((Table7[[#This Row],[Calls Off]]-D82)/D82,0)</f>
        <v>-0.17916137229987295</v>
      </c>
      <c r="G89" s="66">
        <f>IFERROR((Table7[[#This Row],[Calls Ans]]-E82)/E82,0)</f>
        <v>-0.12944523470839261</v>
      </c>
      <c r="H89" s="1">
        <f>H88+Table7[[#This Row],[Calls Off]]</f>
        <v>14304</v>
      </c>
      <c r="I89" s="1">
        <f>I88+Table7[[#This Row],[Calls Ans]]</f>
        <v>10901</v>
      </c>
      <c r="J89" s="39">
        <f>J88+Table7[[#This Row],[Calls Off]]</f>
        <v>41971</v>
      </c>
      <c r="K89" s="39">
        <f>K88+Table7[[#This Row],[Calls Ans]]</f>
        <v>37030</v>
      </c>
      <c r="L89" s="18">
        <v>0.8</v>
      </c>
      <c r="M89" s="18">
        <v>0.05</v>
      </c>
      <c r="N89" s="18">
        <v>0.95</v>
      </c>
      <c r="O89" s="18">
        <v>0.46</v>
      </c>
      <c r="P89" s="18">
        <v>0.83</v>
      </c>
      <c r="Q89" s="224">
        <v>2.1180555555555553E-3</v>
      </c>
      <c r="R89" s="155">
        <v>1.1805555555555555E-2</v>
      </c>
      <c r="S89" s="1">
        <v>11</v>
      </c>
    </row>
    <row r="90" spans="1:24" x14ac:dyDescent="0.35">
      <c r="A90" s="22">
        <v>45105</v>
      </c>
      <c r="B90" s="36" t="s">
        <v>51</v>
      </c>
      <c r="C90" s="36" t="s">
        <v>97</v>
      </c>
      <c r="D90" s="1">
        <v>698</v>
      </c>
      <c r="E90" s="1">
        <v>627</v>
      </c>
      <c r="F90" s="66">
        <f>IFERROR((Table7[[#This Row],[Calls Off]]-D83)/D83,0)</f>
        <v>5.4380664652567974E-2</v>
      </c>
      <c r="G90" s="66">
        <f>IFERROR((Table7[[#This Row],[Calls Ans]]-E83)/E83,0)</f>
        <v>1.1290322580645161E-2</v>
      </c>
      <c r="H90" s="1">
        <f>H89+Table7[[#This Row],[Calls Off]]</f>
        <v>15002</v>
      </c>
      <c r="I90" s="1">
        <f>I89+Table7[[#This Row],[Calls Ans]]</f>
        <v>11528</v>
      </c>
      <c r="J90" s="39">
        <f>J89+Table7[[#This Row],[Calls Off]]</f>
        <v>42669</v>
      </c>
      <c r="K90" s="39">
        <f>K89+Table7[[#This Row],[Calls Ans]]</f>
        <v>37657</v>
      </c>
      <c r="L90" s="18">
        <v>0.7</v>
      </c>
      <c r="M90" s="18">
        <v>0.1</v>
      </c>
      <c r="N90" s="18">
        <v>0.9</v>
      </c>
      <c r="O90" s="18">
        <v>0.46</v>
      </c>
      <c r="P90" s="18">
        <v>0.81</v>
      </c>
      <c r="Q90" s="224">
        <v>1.9212962962962962E-3</v>
      </c>
      <c r="R90" s="155">
        <v>2.2916666666666669E-2</v>
      </c>
      <c r="S90" s="1">
        <v>11</v>
      </c>
    </row>
    <row r="91" spans="1:24" x14ac:dyDescent="0.35">
      <c r="A91" s="22">
        <v>45106</v>
      </c>
      <c r="B91" s="36" t="s">
        <v>52</v>
      </c>
      <c r="C91" s="36" t="s">
        <v>97</v>
      </c>
      <c r="D91" s="1">
        <v>787</v>
      </c>
      <c r="E91" s="1">
        <v>666</v>
      </c>
      <c r="F91" s="66">
        <f>IFERROR((Table7[[#This Row],[Calls Off]]-D84)/D84,0)</f>
        <v>0.10533707865168539</v>
      </c>
      <c r="G91" s="66">
        <f>IFERROR((Table7[[#This Row],[Calls Ans]]-E84)/E84,0)</f>
        <v>0.19141323792486584</v>
      </c>
      <c r="H91" s="1">
        <f>H90+Table7[[#This Row],[Calls Off]]</f>
        <v>15789</v>
      </c>
      <c r="I91" s="1">
        <f>I90+Table7[[#This Row],[Calls Ans]]</f>
        <v>12194</v>
      </c>
      <c r="J91" s="39">
        <f>J90+Table7[[#This Row],[Calls Off]]</f>
        <v>43456</v>
      </c>
      <c r="K91" s="39">
        <f>K90+Table7[[#This Row],[Calls Ans]]</f>
        <v>38323</v>
      </c>
      <c r="L91" s="18">
        <v>0.67</v>
      </c>
      <c r="M91" s="18">
        <v>0.15</v>
      </c>
      <c r="N91" s="18">
        <v>0.85</v>
      </c>
      <c r="O91" s="18">
        <v>0.5</v>
      </c>
      <c r="P91" s="18">
        <v>0.85</v>
      </c>
      <c r="Q91" s="224">
        <v>2.0717592592592593E-3</v>
      </c>
      <c r="R91" s="155">
        <v>3.888888888888889E-2</v>
      </c>
      <c r="S91" s="1">
        <v>10</v>
      </c>
    </row>
    <row r="92" spans="1:24" s="50" customFormat="1" x14ac:dyDescent="0.35">
      <c r="A92" s="22">
        <v>45107</v>
      </c>
      <c r="B92" s="36" t="s">
        <v>53</v>
      </c>
      <c r="C92" s="36" t="s">
        <v>97</v>
      </c>
      <c r="D92" s="1">
        <v>733</v>
      </c>
      <c r="E92" s="1">
        <v>643</v>
      </c>
      <c r="F92" s="66">
        <f>IFERROR((Table7[[#This Row],[Calls Off]]-D85)/D85,0)</f>
        <v>6.5406976744186052E-2</v>
      </c>
      <c r="G92" s="66">
        <f>IFERROR((Table7[[#This Row],[Calls Ans]]-E85)/E85,0)</f>
        <v>0.11053540587219343</v>
      </c>
      <c r="H92" s="1">
        <f>H91+Table7[[#This Row],[Calls Off]]</f>
        <v>16522</v>
      </c>
      <c r="I92" s="1">
        <f>I91+Table7[[#This Row],[Calls Ans]]</f>
        <v>12837</v>
      </c>
      <c r="J92" s="39">
        <f>J91+Table7[[#This Row],[Calls Off]]</f>
        <v>44189</v>
      </c>
      <c r="K92" s="39">
        <f>K91+Table7[[#This Row],[Calls Ans]]</f>
        <v>38966</v>
      </c>
      <c r="L92" s="18">
        <v>0.65</v>
      </c>
      <c r="M92" s="18">
        <v>0.12</v>
      </c>
      <c r="N92" s="18">
        <v>0.88</v>
      </c>
      <c r="O92" s="18">
        <v>0.52</v>
      </c>
      <c r="P92" s="18">
        <v>0.81</v>
      </c>
      <c r="Q92" s="224">
        <v>2.1296296296296298E-3</v>
      </c>
      <c r="R92" s="155">
        <v>3.7499999999999999E-2</v>
      </c>
      <c r="S92" s="1">
        <v>10</v>
      </c>
      <c r="V92"/>
      <c r="W92"/>
      <c r="X92"/>
    </row>
    <row r="93" spans="1:24" x14ac:dyDescent="0.35">
      <c r="A93" s="22">
        <v>45108</v>
      </c>
      <c r="B93" s="36" t="s">
        <v>54</v>
      </c>
      <c r="C93" s="36" t="s">
        <v>97</v>
      </c>
      <c r="D93" s="1">
        <v>440</v>
      </c>
      <c r="E93" s="1">
        <v>217</v>
      </c>
      <c r="F93" s="66">
        <f>IFERROR((Table7[[#This Row],[Calls Off]]-D86)/D86,0)</f>
        <v>-0.14396887159533073</v>
      </c>
      <c r="G93" s="66">
        <f>IFERROR((Table7[[#This Row],[Calls Ans]]-E86)/E86,0)</f>
        <v>0</v>
      </c>
      <c r="H93" s="1">
        <f>Table7[[#This Row],[Calls Off]]</f>
        <v>440</v>
      </c>
      <c r="I93" s="1">
        <f>Table7[[#This Row],[Calls Ans]]</f>
        <v>217</v>
      </c>
      <c r="J93" s="39">
        <f>J92+Table7[[#This Row],[Calls Off]]</f>
        <v>44629</v>
      </c>
      <c r="K93" s="39">
        <f>K92+Table7[[#This Row],[Calls Ans]]</f>
        <v>39183</v>
      </c>
      <c r="L93" s="18">
        <v>0.13</v>
      </c>
      <c r="M93" s="18">
        <v>0.51</v>
      </c>
      <c r="N93" s="18">
        <v>0.49</v>
      </c>
      <c r="O93" s="18">
        <v>0.62</v>
      </c>
      <c r="P93" s="18">
        <v>0.89</v>
      </c>
      <c r="Q93" s="224">
        <v>2.4768518518518516E-3</v>
      </c>
      <c r="R93" s="155">
        <v>3.7384259259259263E-3</v>
      </c>
      <c r="S93" s="1">
        <v>4</v>
      </c>
    </row>
    <row r="94" spans="1:24" x14ac:dyDescent="0.35">
      <c r="A94" s="22">
        <v>45109</v>
      </c>
      <c r="B94" s="36" t="s">
        <v>48</v>
      </c>
      <c r="C94" s="36" t="s">
        <v>97</v>
      </c>
      <c r="D94" s="1">
        <v>0</v>
      </c>
      <c r="E94" s="1">
        <v>0</v>
      </c>
      <c r="F94" s="66">
        <v>0</v>
      </c>
      <c r="G94" s="66">
        <v>0</v>
      </c>
      <c r="H94" s="1">
        <v>0</v>
      </c>
      <c r="I94" s="1">
        <v>0</v>
      </c>
      <c r="J94" s="1">
        <v>0</v>
      </c>
      <c r="K94" s="1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224">
        <v>0</v>
      </c>
      <c r="R94" s="155">
        <v>0</v>
      </c>
      <c r="S94" s="1">
        <v>0</v>
      </c>
    </row>
    <row r="95" spans="1:24" x14ac:dyDescent="0.35">
      <c r="A95" s="22">
        <v>45110</v>
      </c>
      <c r="B95" s="36" t="s">
        <v>49</v>
      </c>
      <c r="C95" s="36" t="s">
        <v>97</v>
      </c>
      <c r="D95" s="1">
        <v>818</v>
      </c>
      <c r="E95" s="1">
        <v>680</v>
      </c>
      <c r="F95" s="66">
        <f>IFERROR((Table7[[#This Row],[Calls Off]]-D88)/D88,0)</f>
        <v>2.5062656641604009E-2</v>
      </c>
      <c r="G95" s="66">
        <f>IFERROR((Table7[[#This Row],[Calls Ans]]-E88)/E88,0)</f>
        <v>-1.875901875901876E-2</v>
      </c>
      <c r="H95" s="1">
        <f>H93+Table7[[#This Row],[Calls Off]]</f>
        <v>1258</v>
      </c>
      <c r="I95" s="1">
        <f>I93+Table7[[#This Row],[Calls Ans]]</f>
        <v>897</v>
      </c>
      <c r="J95" s="39">
        <f>J93+Table7[[#This Row],[Calls Off]]</f>
        <v>45447</v>
      </c>
      <c r="K95" s="39">
        <f>K93+Table7[[#This Row],[Calls Ans]]</f>
        <v>39863</v>
      </c>
      <c r="L95" s="18">
        <v>0.47</v>
      </c>
      <c r="M95" s="18">
        <v>0.17</v>
      </c>
      <c r="N95" s="18">
        <v>0.83</v>
      </c>
      <c r="O95" s="18">
        <v>0.64</v>
      </c>
      <c r="P95" s="18">
        <v>0.81</v>
      </c>
      <c r="Q95" s="224">
        <v>1.9791666666666668E-3</v>
      </c>
      <c r="R95" s="155">
        <v>5.1388888888888894E-2</v>
      </c>
      <c r="S95" s="1">
        <v>9</v>
      </c>
    </row>
    <row r="96" spans="1:24" x14ac:dyDescent="0.35">
      <c r="A96" s="22">
        <v>45111</v>
      </c>
      <c r="B96" s="36" t="s">
        <v>50</v>
      </c>
      <c r="C96" s="36" t="s">
        <v>97</v>
      </c>
      <c r="D96" s="1">
        <v>652</v>
      </c>
      <c r="E96" s="1">
        <v>591</v>
      </c>
      <c r="F96" s="66">
        <f>IFERROR((Table7[[#This Row],[Calls Off]]-D89)/D89,0)</f>
        <v>9.2879256965944269E-3</v>
      </c>
      <c r="G96" s="66">
        <f>IFERROR((Table7[[#This Row],[Calls Ans]]-E89)/E89,0)</f>
        <v>-3.4313725490196081E-2</v>
      </c>
      <c r="H96" s="1">
        <f>H93+Table7[[#This Row],[Calls Off]]</f>
        <v>1092</v>
      </c>
      <c r="I96" s="1">
        <f>I93+Table7[[#This Row],[Calls Ans]]</f>
        <v>808</v>
      </c>
      <c r="J96" s="39">
        <f>J93+Table7[[#This Row],[Calls Off]]</f>
        <v>45281</v>
      </c>
      <c r="K96" s="39">
        <f>K93+Table7[[#This Row],[Calls Ans]]</f>
        <v>39774</v>
      </c>
      <c r="L96" s="18">
        <v>0.74</v>
      </c>
      <c r="M96" s="18">
        <v>0.09</v>
      </c>
      <c r="N96" s="18">
        <v>0.91</v>
      </c>
      <c r="O96" s="18">
        <v>0.51</v>
      </c>
      <c r="P96" s="18">
        <v>0.83</v>
      </c>
      <c r="Q96" s="224">
        <v>2.0486111111111113E-3</v>
      </c>
      <c r="R96" s="155">
        <v>2.9166666666666664E-2</v>
      </c>
      <c r="S96" s="1">
        <v>9</v>
      </c>
    </row>
    <row r="97" spans="1:19" x14ac:dyDescent="0.35">
      <c r="A97" s="22">
        <v>45112</v>
      </c>
      <c r="B97" s="36" t="s">
        <v>51</v>
      </c>
      <c r="C97" s="36" t="s">
        <v>97</v>
      </c>
      <c r="D97" s="1">
        <v>626</v>
      </c>
      <c r="E97" s="1">
        <v>579</v>
      </c>
      <c r="F97" s="66">
        <f>IFERROR((Table7[[#This Row],[Calls Off]]-D90)/D90,0)</f>
        <v>-0.10315186246418338</v>
      </c>
      <c r="G97" s="66">
        <f>IFERROR((Table7[[#This Row],[Calls Ans]]-E90)/E90,0)</f>
        <v>-7.6555023923444973E-2</v>
      </c>
      <c r="H97" s="1">
        <f>H96+Table7[[#This Row],[Calls Off]]</f>
        <v>1718</v>
      </c>
      <c r="I97" s="1">
        <f>I96+Table7[[#This Row],[Calls Ans]]</f>
        <v>1387</v>
      </c>
      <c r="J97" s="39">
        <f>J96+Table7[[#This Row],[Calls Off]]</f>
        <v>45907</v>
      </c>
      <c r="K97" s="39">
        <f>K96+Table7[[#This Row],[Calls Ans]]</f>
        <v>40353</v>
      </c>
      <c r="L97" s="18">
        <v>0.84</v>
      </c>
      <c r="M97" s="18">
        <v>0.08</v>
      </c>
      <c r="N97" s="18">
        <v>0.92</v>
      </c>
      <c r="O97" s="18">
        <v>0.42</v>
      </c>
      <c r="P97" s="18">
        <v>0.84</v>
      </c>
      <c r="Q97" s="224">
        <v>2.1759259259259258E-3</v>
      </c>
      <c r="R97" s="155">
        <v>1.8055555555555557E-2</v>
      </c>
      <c r="S97" s="1">
        <v>11</v>
      </c>
    </row>
    <row r="98" spans="1:19" x14ac:dyDescent="0.35">
      <c r="A98" s="22">
        <v>45113</v>
      </c>
      <c r="B98" s="36" t="s">
        <v>52</v>
      </c>
      <c r="C98" s="36" t="s">
        <v>97</v>
      </c>
      <c r="D98" s="1">
        <v>671</v>
      </c>
      <c r="E98" s="1">
        <v>626</v>
      </c>
      <c r="F98" s="66">
        <f>IFERROR((Table7[[#This Row],[Calls Off]]-D91)/D91,0)</f>
        <v>-0.1473951715374841</v>
      </c>
      <c r="G98" s="66">
        <f>IFERROR((Table7[[#This Row],[Calls Ans]]-E91)/E91,0)</f>
        <v>-6.006006006006006E-2</v>
      </c>
      <c r="H98" s="1">
        <f>H97+Table7[[#This Row],[Calls Off]]</f>
        <v>2389</v>
      </c>
      <c r="I98" s="1">
        <f>I97+Table7[[#This Row],[Calls Ans]]</f>
        <v>2013</v>
      </c>
      <c r="J98" s="39">
        <f>J97+Table7[[#This Row],[Calls Off]]</f>
        <v>46578</v>
      </c>
      <c r="K98" s="39">
        <f>K97+Table7[[#This Row],[Calls Ans]]</f>
        <v>40979</v>
      </c>
      <c r="L98" s="18">
        <v>0.81</v>
      </c>
      <c r="M98" s="18">
        <v>7.0000000000000007E-2</v>
      </c>
      <c r="N98" s="18">
        <v>0.93</v>
      </c>
      <c r="O98" s="18">
        <v>0.45</v>
      </c>
      <c r="P98" s="18">
        <v>0.86</v>
      </c>
      <c r="Q98" s="224">
        <v>2.2106481481481478E-3</v>
      </c>
      <c r="R98" s="155">
        <v>1.8749999999999999E-2</v>
      </c>
      <c r="S98" s="1">
        <v>10</v>
      </c>
    </row>
    <row r="99" spans="1:19" x14ac:dyDescent="0.35">
      <c r="A99" s="22">
        <v>45114</v>
      </c>
      <c r="B99" s="36" t="s">
        <v>53</v>
      </c>
      <c r="C99" s="36" t="s">
        <v>97</v>
      </c>
      <c r="D99" s="1">
        <v>676</v>
      </c>
      <c r="E99" s="1">
        <v>574</v>
      </c>
      <c r="F99" s="66">
        <f>IFERROR((Table7[[#This Row],[Calls Off]]-D92)/D92,0)</f>
        <v>-7.7762619372442013E-2</v>
      </c>
      <c r="G99" s="66">
        <f>IFERROR((Table7[[#This Row],[Calls Ans]]-E92)/E92,0)</f>
        <v>-0.10730948678071539</v>
      </c>
      <c r="H99" s="1">
        <f>H98+Table7[[#This Row],[Calls Off]]</f>
        <v>3065</v>
      </c>
      <c r="I99" s="1">
        <f>I98+Table7[[#This Row],[Calls Ans]]</f>
        <v>2587</v>
      </c>
      <c r="J99" s="39">
        <f>J98+Table7[[#This Row],[Calls Off]]</f>
        <v>47254</v>
      </c>
      <c r="K99" s="39">
        <f>K98+Table7[[#This Row],[Calls Ans]]</f>
        <v>41553</v>
      </c>
      <c r="L99" s="18">
        <v>0.55000000000000004</v>
      </c>
      <c r="M99" s="18">
        <v>0.15</v>
      </c>
      <c r="N99" s="18">
        <v>0.85</v>
      </c>
      <c r="O99" s="18">
        <v>0.62</v>
      </c>
      <c r="P99" s="18">
        <v>0.86</v>
      </c>
      <c r="Q99" s="224">
        <v>1.9560185185185184E-3</v>
      </c>
      <c r="R99" s="155">
        <v>5.4166666666666669E-2</v>
      </c>
      <c r="S99" s="1">
        <v>8</v>
      </c>
    </row>
    <row r="100" spans="1:19" x14ac:dyDescent="0.35">
      <c r="A100" s="22">
        <v>45115</v>
      </c>
      <c r="B100" s="36" t="s">
        <v>54</v>
      </c>
      <c r="C100" s="36" t="s">
        <v>97</v>
      </c>
      <c r="D100" s="1">
        <v>338</v>
      </c>
      <c r="E100" s="1">
        <v>263</v>
      </c>
      <c r="F100" s="66">
        <f>IFERROR((Table7[[#This Row],[Calls Off]]-D93)/D93,0)</f>
        <v>-0.23181818181818181</v>
      </c>
      <c r="G100" s="66">
        <f>IFERROR((Table7[[#This Row],[Calls Ans]]-E93)/E93,0)</f>
        <v>0.2119815668202765</v>
      </c>
      <c r="H100" s="1">
        <f>H99+Table7[[#This Row],[Calls Off]]</f>
        <v>3403</v>
      </c>
      <c r="I100" s="1">
        <f>I99+Table7[[#This Row],[Calls Ans]]</f>
        <v>2850</v>
      </c>
      <c r="J100" s="39">
        <f>J99+Table7[[#This Row],[Calls Off]]</f>
        <v>47592</v>
      </c>
      <c r="K100" s="39">
        <f>K99+Table7[[#This Row],[Calls Ans]]</f>
        <v>41816</v>
      </c>
      <c r="L100" s="18">
        <v>0.32</v>
      </c>
      <c r="M100" s="18">
        <v>0.22</v>
      </c>
      <c r="N100" s="18">
        <v>0.78</v>
      </c>
      <c r="O100" s="18">
        <v>0.42</v>
      </c>
      <c r="P100" s="18">
        <v>0.88</v>
      </c>
      <c r="Q100" s="224">
        <v>1.5740740740740741E-3</v>
      </c>
      <c r="R100" s="155">
        <v>3.7499999999999999E-2</v>
      </c>
      <c r="S100" s="1">
        <v>4</v>
      </c>
    </row>
    <row r="101" spans="1:19" x14ac:dyDescent="0.35">
      <c r="A101" s="22">
        <v>45116</v>
      </c>
      <c r="B101" s="36" t="s">
        <v>48</v>
      </c>
      <c r="C101" s="36" t="s">
        <v>97</v>
      </c>
      <c r="D101" s="1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224">
        <v>0</v>
      </c>
      <c r="R101" s="155">
        <v>0</v>
      </c>
      <c r="S101" s="1">
        <v>0</v>
      </c>
    </row>
    <row r="102" spans="1:19" x14ac:dyDescent="0.35">
      <c r="A102" s="22">
        <v>45117</v>
      </c>
      <c r="B102" s="36" t="s">
        <v>49</v>
      </c>
      <c r="C102" s="36" t="s">
        <v>97</v>
      </c>
      <c r="D102" s="1">
        <v>831</v>
      </c>
      <c r="E102" s="1">
        <v>658</v>
      </c>
      <c r="F102" s="66">
        <f>IFERROR((Table7[[#This Row],[Calls Off]]-D95)/D95,0)</f>
        <v>1.5892420537897311E-2</v>
      </c>
      <c r="G102" s="66">
        <f>IFERROR((Table7[[#This Row],[Calls Ans]]-E95)/E95,0)</f>
        <v>-3.2352941176470591E-2</v>
      </c>
      <c r="H102" s="1">
        <f>H100+Table7[[#This Row],[Calls Off]]</f>
        <v>4234</v>
      </c>
      <c r="I102" s="1">
        <f>I100+Table7[[#This Row],[Calls Ans]]</f>
        <v>3508</v>
      </c>
      <c r="J102" s="39">
        <f>J100+Table7[[#This Row],[Calls Off]]</f>
        <v>48423</v>
      </c>
      <c r="K102" s="39">
        <f>K100+Table7[[#This Row],[Calls Ans]]</f>
        <v>42474</v>
      </c>
      <c r="L102" s="18">
        <v>0.38</v>
      </c>
      <c r="M102" s="18">
        <v>0.21</v>
      </c>
      <c r="N102" s="18">
        <v>0.79</v>
      </c>
      <c r="O102" s="18">
        <v>0.65</v>
      </c>
      <c r="P102" s="18">
        <v>0.84</v>
      </c>
      <c r="Q102" s="224">
        <v>2.1759259259259258E-3</v>
      </c>
      <c r="R102" s="155">
        <v>8.4027777777777771E-2</v>
      </c>
      <c r="S102" s="1">
        <v>8</v>
      </c>
    </row>
    <row r="103" spans="1:19" x14ac:dyDescent="0.35">
      <c r="A103" s="22">
        <v>45118</v>
      </c>
      <c r="B103" s="36" t="s">
        <v>50</v>
      </c>
      <c r="C103" s="36" t="s">
        <v>97</v>
      </c>
      <c r="D103" s="1">
        <v>709</v>
      </c>
      <c r="E103" s="1">
        <v>657</v>
      </c>
      <c r="F103" s="66">
        <f>IFERROR((Table7[[#This Row],[Calls Off]]-D96)/D96,0)</f>
        <v>8.7423312883435578E-2</v>
      </c>
      <c r="G103" s="66">
        <f>IFERROR((Table7[[#This Row],[Calls Ans]]-E96)/E96,0)</f>
        <v>0.1116751269035533</v>
      </c>
      <c r="H103" s="1">
        <f>H102+Table7[[#This Row],[Calls Off]]</f>
        <v>4943</v>
      </c>
      <c r="I103" s="1">
        <f>I102+Table7[[#This Row],[Calls Ans]]</f>
        <v>4165</v>
      </c>
      <c r="J103" s="39">
        <f>J102+Table7[[#This Row],[Calls Off]]</f>
        <v>49132</v>
      </c>
      <c r="K103" s="39">
        <f>K102+Table7[[#This Row],[Calls Ans]]</f>
        <v>43131</v>
      </c>
      <c r="L103" s="18">
        <v>0.75</v>
      </c>
      <c r="M103" s="18">
        <v>7.0000000000000007E-2</v>
      </c>
      <c r="N103" s="18">
        <v>0.93</v>
      </c>
      <c r="O103" s="18">
        <v>0.56999999999999995</v>
      </c>
      <c r="P103" s="18">
        <v>0.85</v>
      </c>
      <c r="Q103" s="224">
        <v>2.1643518518518518E-3</v>
      </c>
      <c r="R103" s="155">
        <v>1.4583333333333332E-2</v>
      </c>
      <c r="S103" s="1">
        <v>10</v>
      </c>
    </row>
    <row r="104" spans="1:19" x14ac:dyDescent="0.35">
      <c r="A104" s="22">
        <v>45119</v>
      </c>
      <c r="B104" s="36" t="s">
        <v>51</v>
      </c>
      <c r="C104" s="36" t="s">
        <v>97</v>
      </c>
      <c r="D104" s="1">
        <v>655</v>
      </c>
      <c r="E104" s="1">
        <v>618</v>
      </c>
      <c r="F104" s="66">
        <f>IFERROR((Table7[[#This Row],[Calls Off]]-D97)/D97,0)</f>
        <v>4.6325878594249199E-2</v>
      </c>
      <c r="G104" s="66">
        <f>IFERROR((Table7[[#This Row],[Calls Ans]]-E97)/E97,0)</f>
        <v>6.7357512953367879E-2</v>
      </c>
      <c r="H104" s="1">
        <f>H103+Table7[[#This Row],[Calls Off]]</f>
        <v>5598</v>
      </c>
      <c r="I104" s="1">
        <f>I103+Table7[[#This Row],[Calls Ans]]</f>
        <v>4783</v>
      </c>
      <c r="J104" s="39">
        <f>J103+Table7[[#This Row],[Calls Off]]</f>
        <v>49787</v>
      </c>
      <c r="K104" s="39">
        <f>K103+Table7[[#This Row],[Calls Ans]]</f>
        <v>43749</v>
      </c>
      <c r="L104" s="18">
        <v>0.87</v>
      </c>
      <c r="M104" s="18">
        <v>0.06</v>
      </c>
      <c r="N104" s="18">
        <v>0.94</v>
      </c>
      <c r="O104" s="18">
        <v>0.44</v>
      </c>
      <c r="P104" s="18">
        <v>0.85</v>
      </c>
      <c r="Q104" s="224">
        <v>1.5046296296296294E-3</v>
      </c>
      <c r="R104" s="155">
        <v>1.0416666666666666E-2</v>
      </c>
      <c r="S104" s="1">
        <v>10</v>
      </c>
    </row>
    <row r="105" spans="1:19" x14ac:dyDescent="0.35">
      <c r="A105" s="22">
        <v>45120</v>
      </c>
      <c r="B105" s="36" t="s">
        <v>52</v>
      </c>
      <c r="C105" s="36" t="s">
        <v>97</v>
      </c>
      <c r="D105" s="1">
        <v>541</v>
      </c>
      <c r="E105" s="1">
        <v>399</v>
      </c>
      <c r="F105" s="66">
        <f>IFERROR((Table7[[#This Row],[Calls Off]]-D98)/D98,0)</f>
        <v>-0.19374068554396423</v>
      </c>
      <c r="G105" s="66">
        <f>IFERROR((Table7[[#This Row],[Calls Ans]]-E98)/E98,0)</f>
        <v>-0.36261980830670926</v>
      </c>
      <c r="H105" s="1">
        <f>H104+Table7[[#This Row],[Calls Off]]</f>
        <v>6139</v>
      </c>
      <c r="I105" s="1">
        <f>I104+Table7[[#This Row],[Calls Ans]]</f>
        <v>5182</v>
      </c>
      <c r="J105" s="39">
        <f>J104+Table7[[#This Row],[Calls Off]]</f>
        <v>50328</v>
      </c>
      <c r="K105" s="39">
        <f>K104+Table7[[#This Row],[Calls Ans]]</f>
        <v>44148</v>
      </c>
      <c r="L105" s="18">
        <v>0.74</v>
      </c>
      <c r="M105" s="18">
        <v>0.26</v>
      </c>
      <c r="N105" s="18">
        <v>0.74</v>
      </c>
      <c r="O105" s="18">
        <v>0.44</v>
      </c>
      <c r="P105" s="18">
        <v>0.86</v>
      </c>
      <c r="Q105" s="224">
        <v>1.6435185185185183E-3</v>
      </c>
      <c r="R105" s="155">
        <v>1.3888888888888888E-2</v>
      </c>
      <c r="S105" s="1">
        <v>10</v>
      </c>
    </row>
    <row r="106" spans="1:19" x14ac:dyDescent="0.35">
      <c r="A106" s="22">
        <v>45121</v>
      </c>
      <c r="B106" s="36" t="s">
        <v>53</v>
      </c>
      <c r="C106" s="36" t="s">
        <v>97</v>
      </c>
      <c r="D106" s="1">
        <v>708</v>
      </c>
      <c r="E106" s="1">
        <v>662</v>
      </c>
      <c r="F106" s="66">
        <f>IFERROR((Table7[[#This Row],[Calls Off]]-D99)/D99,0)</f>
        <v>4.7337278106508875E-2</v>
      </c>
      <c r="G106" s="66">
        <f>IFERROR((Table7[[#This Row],[Calls Ans]]-E99)/E99,0)</f>
        <v>0.15331010452961671</v>
      </c>
      <c r="H106" s="1">
        <f>H105+Table7[[#This Row],[Calls Off]]</f>
        <v>6847</v>
      </c>
      <c r="I106" s="1">
        <f>I105+Table7[[#This Row],[Calls Ans]]</f>
        <v>5844</v>
      </c>
      <c r="J106" s="39">
        <f>J105+Table7[[#This Row],[Calls Off]]</f>
        <v>51036</v>
      </c>
      <c r="K106" s="39">
        <f>K105+Table7[[#This Row],[Calls Ans]]</f>
        <v>44810</v>
      </c>
      <c r="L106" s="18">
        <v>0.76</v>
      </c>
      <c r="M106" s="18">
        <v>0.06</v>
      </c>
      <c r="N106" s="18">
        <v>0.94</v>
      </c>
      <c r="O106" s="18">
        <v>0.47</v>
      </c>
      <c r="P106" s="18">
        <v>0.85</v>
      </c>
      <c r="Q106" s="224">
        <v>1.5740740740740741E-3</v>
      </c>
      <c r="R106" s="155">
        <v>0.11944444444444445</v>
      </c>
      <c r="S106" s="1">
        <v>8</v>
      </c>
    </row>
    <row r="107" spans="1:19" x14ac:dyDescent="0.35">
      <c r="A107" s="22">
        <v>45122</v>
      </c>
      <c r="B107" s="36" t="s">
        <v>54</v>
      </c>
      <c r="C107" s="36" t="s">
        <v>97</v>
      </c>
      <c r="D107" s="1">
        <v>394</v>
      </c>
      <c r="E107" s="1">
        <v>238</v>
      </c>
      <c r="F107" s="66">
        <f>IFERROR((Table7[[#This Row],[Calls Off]]-D100)/D100,0)</f>
        <v>0.16568047337278108</v>
      </c>
      <c r="G107" s="66">
        <f>IFERROR((Table7[[#This Row],[Calls Ans]]-E100)/E100,0)</f>
        <v>-9.5057034220532313E-2</v>
      </c>
      <c r="H107" s="1">
        <f>H106+Table7[[#This Row],[Calls Off]]</f>
        <v>7241</v>
      </c>
      <c r="I107" s="1">
        <f>I106+Table7[[#This Row],[Calls Ans]]</f>
        <v>6082</v>
      </c>
      <c r="J107" s="39">
        <f>J106+Table7[[#This Row],[Calls Off]]</f>
        <v>51430</v>
      </c>
      <c r="K107" s="39">
        <f>K106+Table7[[#This Row],[Calls Ans]]</f>
        <v>45048</v>
      </c>
      <c r="L107" s="18">
        <v>0.22</v>
      </c>
      <c r="M107" s="18">
        <v>0.4</v>
      </c>
      <c r="N107" s="18">
        <v>0.6</v>
      </c>
      <c r="O107" s="18">
        <v>0.56999999999999995</v>
      </c>
      <c r="P107" s="18">
        <v>0.88</v>
      </c>
      <c r="Q107" s="155">
        <v>1.8518518518518517E-3</v>
      </c>
      <c r="R107" s="155">
        <v>0.13472222222222222</v>
      </c>
      <c r="S107" s="1">
        <v>4</v>
      </c>
    </row>
    <row r="108" spans="1:19" x14ac:dyDescent="0.35">
      <c r="A108" s="22">
        <v>45123</v>
      </c>
      <c r="B108" s="36" t="s">
        <v>48</v>
      </c>
      <c r="C108" s="36" t="s">
        <v>97</v>
      </c>
      <c r="D108" s="1">
        <v>0</v>
      </c>
      <c r="E108" s="1">
        <v>0</v>
      </c>
      <c r="F108" s="66">
        <v>0</v>
      </c>
      <c r="G108" s="66">
        <v>0</v>
      </c>
      <c r="H108" s="1">
        <v>0</v>
      </c>
      <c r="I108" s="1">
        <v>0</v>
      </c>
      <c r="J108" s="1">
        <v>0</v>
      </c>
      <c r="K108" s="1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55">
        <v>0</v>
      </c>
      <c r="R108" s="155">
        <v>0</v>
      </c>
      <c r="S108" s="1">
        <v>0</v>
      </c>
    </row>
    <row r="109" spans="1:19" x14ac:dyDescent="0.35">
      <c r="A109" s="22">
        <v>45124</v>
      </c>
      <c r="B109" s="36" t="s">
        <v>49</v>
      </c>
      <c r="C109" s="36" t="s">
        <v>97</v>
      </c>
      <c r="D109" s="1">
        <v>761</v>
      </c>
      <c r="E109" s="1">
        <v>633</v>
      </c>
      <c r="F109" s="66">
        <f>IFERROR((Table7[[#This Row],[Calls Off]]-D102)/D102,0)</f>
        <v>-8.4235860409145602E-2</v>
      </c>
      <c r="G109" s="66">
        <f>IFERROR((Table7[[#This Row],[Calls Ans]]-E102)/E102,0)</f>
        <v>-3.7993920972644375E-2</v>
      </c>
      <c r="H109" s="1">
        <f>H107+Table7[[#This Row],[Calls Off]]</f>
        <v>8002</v>
      </c>
      <c r="I109" s="1">
        <f>I107+Table7[[#This Row],[Calls Ans]]</f>
        <v>6715</v>
      </c>
      <c r="J109" s="39">
        <f>J107+Table7[[#This Row],[Calls Off]]</f>
        <v>52191</v>
      </c>
      <c r="K109" s="39">
        <f>K107+Table7[[#This Row],[Calls Ans]]</f>
        <v>45681</v>
      </c>
      <c r="L109" s="18">
        <v>0.66</v>
      </c>
      <c r="M109" s="18">
        <v>0.17</v>
      </c>
      <c r="N109" s="18">
        <v>0.83</v>
      </c>
      <c r="O109" s="18">
        <v>0.45</v>
      </c>
      <c r="P109" s="18">
        <v>0.85</v>
      </c>
      <c r="Q109" s="155">
        <v>1.4930555555555556E-3</v>
      </c>
      <c r="R109" s="155">
        <v>4.0972222222222222E-2</v>
      </c>
      <c r="S109" s="1">
        <v>8</v>
      </c>
    </row>
    <row r="110" spans="1:19" x14ac:dyDescent="0.35">
      <c r="A110" s="22">
        <v>45125</v>
      </c>
      <c r="B110" s="36"/>
      <c r="C110" s="36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18"/>
      <c r="Q110" s="155"/>
      <c r="R110" s="155"/>
      <c r="S110" s="1"/>
    </row>
    <row r="111" spans="1:19" x14ac:dyDescent="0.35">
      <c r="A111" s="22">
        <v>45126</v>
      </c>
      <c r="B111" s="36"/>
      <c r="C111" s="36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18"/>
      <c r="Q111" s="155"/>
      <c r="R111" s="155"/>
      <c r="S111" s="1"/>
    </row>
    <row r="112" spans="1:19" x14ac:dyDescent="0.35">
      <c r="A112" s="22">
        <v>45127</v>
      </c>
      <c r="B112" s="36"/>
      <c r="C112" s="36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18"/>
      <c r="Q112" s="155"/>
      <c r="R112" s="155"/>
      <c r="S112" s="1"/>
    </row>
    <row r="113" spans="1:24" x14ac:dyDescent="0.35">
      <c r="A113" s="22">
        <v>45128</v>
      </c>
      <c r="B113" s="36"/>
      <c r="C113" s="36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18"/>
      <c r="Q113" s="155"/>
      <c r="R113" s="155"/>
      <c r="S113" s="1"/>
    </row>
    <row r="114" spans="1:24" x14ac:dyDescent="0.35">
      <c r="A114" s="22">
        <v>45129</v>
      </c>
      <c r="B114" s="36"/>
      <c r="C114" s="36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18"/>
      <c r="Q114" s="155"/>
      <c r="R114" s="155"/>
      <c r="S114" s="1"/>
    </row>
    <row r="115" spans="1:24" x14ac:dyDescent="0.35">
      <c r="A115" s="22">
        <v>45130</v>
      </c>
      <c r="B115" s="36"/>
      <c r="C115" s="36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18"/>
      <c r="Q115" s="155"/>
      <c r="R115" s="155"/>
      <c r="S115" s="1"/>
    </row>
    <row r="116" spans="1:24" x14ac:dyDescent="0.35">
      <c r="A116" s="22">
        <v>45131</v>
      </c>
      <c r="B116" s="36"/>
      <c r="C116" s="36" t="s">
        <v>97</v>
      </c>
      <c r="D116" s="1"/>
      <c r="E116" s="1"/>
      <c r="F116" s="66"/>
      <c r="G116" s="66"/>
      <c r="H116" s="1"/>
      <c r="I116" s="1"/>
      <c r="J116" s="1"/>
      <c r="K116" s="1"/>
      <c r="L116" s="18"/>
      <c r="M116" s="18"/>
      <c r="N116" s="18"/>
      <c r="O116" s="18"/>
      <c r="P116" s="18"/>
      <c r="Q116" s="155"/>
      <c r="R116" s="155"/>
      <c r="S116" s="1"/>
    </row>
    <row r="117" spans="1:24" x14ac:dyDescent="0.35">
      <c r="A117" s="22">
        <v>45132</v>
      </c>
      <c r="B117" s="36"/>
      <c r="C117" s="36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18"/>
      <c r="Q117" s="155"/>
      <c r="R117" s="155"/>
      <c r="S117" s="1"/>
    </row>
    <row r="118" spans="1:24" x14ac:dyDescent="0.35">
      <c r="A118" s="22">
        <v>45133</v>
      </c>
      <c r="B118" s="36"/>
      <c r="C118" s="36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18"/>
      <c r="Q118" s="155"/>
      <c r="R118" s="155"/>
      <c r="S118" s="1"/>
    </row>
    <row r="119" spans="1:24" x14ac:dyDescent="0.35">
      <c r="A119" s="22">
        <v>45134</v>
      </c>
      <c r="B119" s="36"/>
      <c r="C119" s="36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18"/>
      <c r="Q119" s="155"/>
      <c r="R119" s="155"/>
      <c r="S119" s="1"/>
    </row>
    <row r="120" spans="1:24" x14ac:dyDescent="0.35">
      <c r="A120" s="22">
        <v>45135</v>
      </c>
      <c r="B120" s="36"/>
      <c r="C120" s="36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18"/>
      <c r="Q120" s="155"/>
      <c r="R120" s="155"/>
      <c r="S120" s="1"/>
      <c r="V120" t="s">
        <v>63</v>
      </c>
      <c r="W120" s="16">
        <v>44682</v>
      </c>
    </row>
    <row r="121" spans="1:24" x14ac:dyDescent="0.35">
      <c r="A121" s="22">
        <v>45136</v>
      </c>
      <c r="B121" s="36"/>
      <c r="C121" s="36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18"/>
      <c r="Q121" s="155"/>
      <c r="R121" s="155"/>
      <c r="S121" s="1"/>
      <c r="V121" t="s">
        <v>64</v>
      </c>
      <c r="W121" s="16">
        <v>44704</v>
      </c>
    </row>
    <row r="122" spans="1:24" x14ac:dyDescent="0.35">
      <c r="A122" s="22">
        <v>45137</v>
      </c>
      <c r="B122" s="36"/>
      <c r="C122" s="36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18"/>
      <c r="Q122" s="155"/>
      <c r="R122" s="155"/>
      <c r="S122" s="1"/>
    </row>
    <row r="123" spans="1:24" x14ac:dyDescent="0.35">
      <c r="A123" s="22">
        <v>45138</v>
      </c>
      <c r="B123" s="36"/>
      <c r="C123" s="36" t="s">
        <v>97</v>
      </c>
      <c r="D123" s="1"/>
      <c r="E123" s="1"/>
      <c r="F123" s="66"/>
      <c r="G123" s="66"/>
      <c r="H123" s="1"/>
      <c r="I123" s="1"/>
      <c r="J123" s="1"/>
      <c r="K123" s="1"/>
      <c r="L123" s="18"/>
      <c r="M123" s="18"/>
      <c r="N123" s="18"/>
      <c r="O123" s="18"/>
      <c r="P123" s="18"/>
      <c r="Q123" s="155"/>
      <c r="R123" s="155"/>
      <c r="S123" s="1"/>
    </row>
    <row r="124" spans="1:24" x14ac:dyDescent="0.35">
      <c r="A124" s="22">
        <v>45139</v>
      </c>
      <c r="B124" s="36"/>
      <c r="C124" s="36" t="s">
        <v>97</v>
      </c>
      <c r="D124" s="1"/>
      <c r="E124" s="1"/>
      <c r="F124" s="66"/>
      <c r="G124" s="66"/>
      <c r="H124" s="1"/>
      <c r="I124" s="1"/>
      <c r="J124" s="1"/>
      <c r="K124" s="1"/>
      <c r="L124" s="18"/>
      <c r="M124" s="18"/>
      <c r="N124" s="18"/>
      <c r="O124" s="18"/>
      <c r="P124" s="18"/>
      <c r="Q124" s="155"/>
      <c r="R124" s="155"/>
      <c r="S124" s="1"/>
    </row>
    <row r="125" spans="1:24" x14ac:dyDescent="0.35">
      <c r="A125" s="22">
        <v>45140</v>
      </c>
      <c r="B125" s="36"/>
      <c r="C125" s="36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18"/>
      <c r="Q125" s="155"/>
      <c r="R125" s="155"/>
      <c r="S125" s="1"/>
    </row>
    <row r="126" spans="1:24" x14ac:dyDescent="0.35">
      <c r="A126" s="22">
        <v>45141</v>
      </c>
      <c r="B126" s="36"/>
      <c r="C126" s="36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18"/>
      <c r="Q126" s="155"/>
      <c r="R126" s="155"/>
      <c r="S126" s="1"/>
    </row>
    <row r="127" spans="1:24" x14ac:dyDescent="0.35">
      <c r="A127" s="22">
        <v>45142</v>
      </c>
      <c r="B127" s="36"/>
      <c r="C127" s="36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18"/>
      <c r="Q127" s="155"/>
      <c r="R127" s="155"/>
      <c r="S127" s="1"/>
    </row>
    <row r="128" spans="1:24" x14ac:dyDescent="0.35">
      <c r="A128" s="22">
        <v>45143</v>
      </c>
      <c r="B128" s="36"/>
      <c r="C128" s="36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18"/>
      <c r="Q128" s="155"/>
      <c r="R128" s="155"/>
      <c r="S128" s="1"/>
      <c r="V128" s="50"/>
      <c r="W128" s="50"/>
      <c r="X128" s="50"/>
    </row>
    <row r="129" spans="1:24" x14ac:dyDescent="0.35">
      <c r="A129" s="22">
        <v>45144</v>
      </c>
      <c r="B129" s="36"/>
      <c r="C129" s="36" t="s">
        <v>97</v>
      </c>
      <c r="D129" s="1"/>
      <c r="E129" s="1"/>
      <c r="F129" s="66"/>
      <c r="G129" s="66"/>
      <c r="H129" s="1"/>
      <c r="I129" s="1"/>
      <c r="J129" s="1"/>
      <c r="K129" s="1"/>
      <c r="L129" s="18"/>
      <c r="M129" s="18"/>
      <c r="N129" s="18"/>
      <c r="O129" s="18"/>
      <c r="P129" s="18"/>
      <c r="Q129" s="155"/>
      <c r="R129" s="155"/>
      <c r="S129" s="1"/>
    </row>
    <row r="130" spans="1:24" x14ac:dyDescent="0.35">
      <c r="A130" s="22">
        <v>45145</v>
      </c>
      <c r="B130" s="36"/>
      <c r="C130" s="36" t="s">
        <v>97</v>
      </c>
      <c r="D130" s="1"/>
      <c r="E130" s="1"/>
      <c r="F130" s="66"/>
      <c r="G130" s="66"/>
      <c r="H130" s="1"/>
      <c r="I130" s="1"/>
      <c r="J130" s="1"/>
      <c r="K130" s="1"/>
      <c r="L130" s="18"/>
      <c r="M130" s="18"/>
      <c r="N130" s="18"/>
      <c r="O130" s="18"/>
      <c r="P130" s="18"/>
      <c r="Q130" s="155"/>
      <c r="R130" s="155"/>
      <c r="S130" s="1"/>
    </row>
    <row r="131" spans="1:24" x14ac:dyDescent="0.35">
      <c r="A131" s="22">
        <v>45146</v>
      </c>
      <c r="B131" s="36"/>
      <c r="C131" s="36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18"/>
      <c r="Q131" s="155"/>
      <c r="R131" s="155"/>
      <c r="S131" s="1"/>
    </row>
    <row r="132" spans="1:24" x14ac:dyDescent="0.35">
      <c r="A132" s="22">
        <v>45147</v>
      </c>
      <c r="B132" s="36"/>
      <c r="C132" s="36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18"/>
      <c r="Q132" s="155"/>
      <c r="R132" s="155"/>
      <c r="S132" s="1"/>
    </row>
    <row r="133" spans="1:24" x14ac:dyDescent="0.35">
      <c r="A133" s="22">
        <v>45148</v>
      </c>
      <c r="B133" s="36"/>
      <c r="C133" s="36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18"/>
      <c r="Q133" s="155"/>
      <c r="R133" s="155"/>
      <c r="S133" s="1"/>
    </row>
    <row r="134" spans="1:24" x14ac:dyDescent="0.35">
      <c r="A134" s="22">
        <v>45149</v>
      </c>
      <c r="B134" s="36"/>
      <c r="C134" s="36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18"/>
      <c r="Q134" s="155"/>
      <c r="R134" s="155"/>
      <c r="S134" s="1"/>
    </row>
    <row r="135" spans="1:24" x14ac:dyDescent="0.35">
      <c r="A135" s="22">
        <v>45150</v>
      </c>
      <c r="B135" s="36"/>
      <c r="C135" s="36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18"/>
      <c r="Q135" s="155"/>
      <c r="R135" s="155"/>
      <c r="S135" s="1"/>
    </row>
    <row r="136" spans="1:24" x14ac:dyDescent="0.35">
      <c r="A136" s="22">
        <v>45151</v>
      </c>
      <c r="B136" s="36"/>
      <c r="C136" s="36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18"/>
      <c r="Q136" s="155"/>
      <c r="R136" s="155"/>
      <c r="S136" s="1"/>
    </row>
    <row r="137" spans="1:24" x14ac:dyDescent="0.35">
      <c r="A137" s="22">
        <v>45152</v>
      </c>
      <c r="B137" s="36"/>
      <c r="C137" s="36" t="s">
        <v>97</v>
      </c>
      <c r="D137" s="1"/>
      <c r="E137" s="1"/>
      <c r="F137" s="66"/>
      <c r="G137" s="66"/>
      <c r="H137" s="1"/>
      <c r="I137" s="1"/>
      <c r="J137" s="1"/>
      <c r="K137" s="1"/>
      <c r="L137" s="18"/>
      <c r="M137" s="18"/>
      <c r="N137" s="18"/>
      <c r="O137" s="18"/>
      <c r="P137" s="18"/>
      <c r="Q137" s="155"/>
      <c r="R137" s="155"/>
      <c r="S137" s="1"/>
    </row>
    <row r="138" spans="1:24" x14ac:dyDescent="0.35">
      <c r="A138" s="22">
        <v>45153</v>
      </c>
      <c r="B138" s="36"/>
      <c r="C138" s="36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18"/>
      <c r="Q138" s="155"/>
      <c r="R138" s="155"/>
      <c r="S138" s="1"/>
    </row>
    <row r="139" spans="1:24" x14ac:dyDescent="0.35">
      <c r="A139" s="22">
        <v>45154</v>
      </c>
      <c r="B139" s="36"/>
      <c r="C139" s="36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18"/>
      <c r="Q139" s="155"/>
      <c r="R139" s="155"/>
      <c r="S139" s="1"/>
    </row>
    <row r="140" spans="1:24" x14ac:dyDescent="0.35">
      <c r="A140" s="22">
        <v>45155</v>
      </c>
      <c r="B140" s="36"/>
      <c r="C140" s="36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18"/>
      <c r="Q140" s="155"/>
      <c r="R140" s="155"/>
      <c r="S140" s="1"/>
    </row>
    <row r="141" spans="1:24" x14ac:dyDescent="0.35">
      <c r="A141" s="22">
        <v>45156</v>
      </c>
      <c r="B141" s="36"/>
      <c r="C141" s="36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18"/>
      <c r="Q141" s="155"/>
      <c r="R141" s="155"/>
      <c r="S141" s="1"/>
      <c r="W141" s="279" t="s">
        <v>86</v>
      </c>
      <c r="X141" s="279"/>
    </row>
    <row r="142" spans="1:24" x14ac:dyDescent="0.35">
      <c r="A142" s="22">
        <v>45157</v>
      </c>
      <c r="B142" s="36"/>
      <c r="C142" s="36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18"/>
      <c r="Q142" s="155"/>
      <c r="R142" s="155"/>
      <c r="S142" s="1"/>
      <c r="W142" t="s">
        <v>87</v>
      </c>
      <c r="X142" t="s">
        <v>88</v>
      </c>
    </row>
    <row r="143" spans="1:24" x14ac:dyDescent="0.35">
      <c r="A143" s="22">
        <v>45158</v>
      </c>
      <c r="B143" s="36"/>
      <c r="C143" s="36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18"/>
      <c r="Q143" s="155"/>
      <c r="R143" s="155"/>
      <c r="S143" s="1"/>
      <c r="W143" t="s">
        <v>89</v>
      </c>
      <c r="X143" s="164">
        <v>0</v>
      </c>
    </row>
    <row r="144" spans="1:24" x14ac:dyDescent="0.35">
      <c r="A144" s="22">
        <v>45159</v>
      </c>
      <c r="B144" s="36"/>
      <c r="C144" s="36" t="s">
        <v>97</v>
      </c>
      <c r="D144" s="1"/>
      <c r="E144" s="1"/>
      <c r="F144" s="66"/>
      <c r="G144" s="66"/>
      <c r="H144" s="1"/>
      <c r="I144" s="1"/>
      <c r="J144" s="1"/>
      <c r="K144" s="1"/>
      <c r="L144" s="18"/>
      <c r="M144" s="18"/>
      <c r="N144" s="18"/>
      <c r="O144" s="18"/>
      <c r="P144" s="18"/>
      <c r="Q144" s="155"/>
      <c r="R144" s="155"/>
      <c r="S144" s="1"/>
      <c r="W144" t="s">
        <v>90</v>
      </c>
      <c r="X144" s="164">
        <v>0.10416666666666667</v>
      </c>
    </row>
    <row r="145" spans="1:24" x14ac:dyDescent="0.35">
      <c r="A145" s="22">
        <v>45160</v>
      </c>
      <c r="B145" s="36"/>
      <c r="C145" s="36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18"/>
      <c r="Q145" s="155"/>
      <c r="R145" s="155"/>
      <c r="S145" s="1"/>
      <c r="W145" t="s">
        <v>91</v>
      </c>
      <c r="X145" s="164">
        <v>0.10416666666666667</v>
      </c>
    </row>
    <row r="146" spans="1:24" x14ac:dyDescent="0.35">
      <c r="A146" s="22">
        <v>45161</v>
      </c>
      <c r="B146" s="36"/>
      <c r="C146" s="36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18"/>
      <c r="Q146" s="155"/>
      <c r="R146" s="155"/>
      <c r="S146" s="1"/>
      <c r="W146" t="s">
        <v>92</v>
      </c>
      <c r="X146" s="164">
        <v>0.20833333333333334</v>
      </c>
    </row>
    <row r="147" spans="1:24" x14ac:dyDescent="0.35">
      <c r="A147" s="22">
        <v>45162</v>
      </c>
      <c r="B147" s="36"/>
      <c r="C147" s="36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18"/>
      <c r="Q147" s="155"/>
      <c r="R147" s="155"/>
      <c r="S147" s="1"/>
      <c r="W147" t="s">
        <v>88</v>
      </c>
      <c r="X147" s="164" t="e" cm="1">
        <f t="array" ref="X147">AVERAGEIF(chart_ATT_TT, "&lt;&gt;0")</f>
        <v>#N/A</v>
      </c>
    </row>
    <row r="148" spans="1:24" x14ac:dyDescent="0.35">
      <c r="A148" s="22">
        <v>45163</v>
      </c>
      <c r="B148" s="36"/>
      <c r="C148" s="36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18"/>
      <c r="Q148" s="155"/>
      <c r="R148" s="155"/>
      <c r="S148" s="1"/>
    </row>
    <row r="149" spans="1:24" x14ac:dyDescent="0.35">
      <c r="A149" s="22">
        <v>45164</v>
      </c>
      <c r="B149" s="36"/>
      <c r="C149" s="36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18"/>
      <c r="Q149" s="155"/>
      <c r="R149" s="155"/>
      <c r="S149" s="1"/>
    </row>
    <row r="150" spans="1:24" x14ac:dyDescent="0.35">
      <c r="A150" s="22">
        <v>45165</v>
      </c>
      <c r="B150" s="36"/>
      <c r="C150" s="36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18"/>
      <c r="Q150" s="155"/>
      <c r="R150" s="155"/>
      <c r="S150" s="1"/>
      <c r="U150" t="e">
        <f>AVERAGEIF(S138:S341,"&lt;&gt;0")</f>
        <v>#DIV/0!</v>
      </c>
    </row>
    <row r="151" spans="1:24" x14ac:dyDescent="0.35">
      <c r="A151" s="22">
        <v>45166</v>
      </c>
      <c r="B151" s="36"/>
      <c r="C151" s="36" t="s">
        <v>97</v>
      </c>
      <c r="D151" s="1"/>
      <c r="E151" s="1"/>
      <c r="F151" s="66"/>
      <c r="G151" s="66"/>
      <c r="H151" s="1"/>
      <c r="I151" s="1"/>
      <c r="J151" s="1"/>
      <c r="K151" s="1"/>
      <c r="L151" s="18"/>
      <c r="M151" s="18"/>
      <c r="N151" s="18"/>
      <c r="O151" s="18"/>
      <c r="P151" s="18"/>
      <c r="Q151" s="155"/>
      <c r="R151" s="155"/>
      <c r="S151" s="1"/>
    </row>
    <row r="152" spans="1:24" x14ac:dyDescent="0.35">
      <c r="A152" s="22">
        <v>45167</v>
      </c>
      <c r="B152" s="36"/>
      <c r="C152" s="36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18"/>
      <c r="Q152" s="155"/>
      <c r="R152" s="155"/>
      <c r="S152" s="1"/>
    </row>
    <row r="153" spans="1:24" x14ac:dyDescent="0.35">
      <c r="A153" s="22">
        <v>45168</v>
      </c>
      <c r="B153" s="36"/>
      <c r="C153" s="36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18"/>
      <c r="Q153" s="155"/>
      <c r="R153" s="155"/>
      <c r="S153" s="1"/>
    </row>
    <row r="154" spans="1:24" x14ac:dyDescent="0.35">
      <c r="A154" s="22">
        <v>45169</v>
      </c>
      <c r="B154" s="36"/>
      <c r="C154" s="36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18"/>
      <c r="Q154" s="155"/>
      <c r="R154" s="155"/>
      <c r="S154" s="1"/>
      <c r="U154" t="s">
        <v>65</v>
      </c>
    </row>
    <row r="155" spans="1:24" x14ac:dyDescent="0.35">
      <c r="A155" s="22">
        <v>45170</v>
      </c>
      <c r="B155" s="36"/>
      <c r="C155" s="36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18"/>
      <c r="Q155" s="155"/>
      <c r="R155" s="155"/>
      <c r="S155" s="1"/>
    </row>
    <row r="156" spans="1:24" x14ac:dyDescent="0.35">
      <c r="A156" s="22">
        <v>45171</v>
      </c>
      <c r="B156" s="36"/>
      <c r="C156" s="36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18"/>
      <c r="Q156" s="155"/>
      <c r="R156" s="155"/>
      <c r="S156" s="1"/>
    </row>
    <row r="157" spans="1:24" x14ac:dyDescent="0.35">
      <c r="A157" s="22">
        <v>45172</v>
      </c>
      <c r="B157" s="36"/>
      <c r="C157" s="36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18"/>
      <c r="Q157" s="155"/>
      <c r="R157" s="155"/>
      <c r="S157" s="1"/>
    </row>
    <row r="158" spans="1:24" x14ac:dyDescent="0.35">
      <c r="A158" s="22">
        <v>45173</v>
      </c>
      <c r="B158" s="36"/>
      <c r="C158" s="36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18"/>
      <c r="Q158" s="155"/>
      <c r="R158" s="155"/>
      <c r="S158" s="1"/>
    </row>
    <row r="159" spans="1:24" x14ac:dyDescent="0.35">
      <c r="A159" s="22">
        <v>45174</v>
      </c>
      <c r="B159" s="36"/>
      <c r="C159" s="36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18"/>
      <c r="Q159" s="155"/>
      <c r="R159" s="155"/>
      <c r="S159" s="1"/>
    </row>
    <row r="160" spans="1:24" x14ac:dyDescent="0.35">
      <c r="A160" s="22">
        <v>45175</v>
      </c>
      <c r="B160" s="36"/>
      <c r="C160" s="36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18"/>
      <c r="Q160" s="155"/>
      <c r="R160" s="155"/>
      <c r="S160" s="1"/>
    </row>
    <row r="161" spans="1:22" x14ac:dyDescent="0.35">
      <c r="A161" s="22">
        <v>45176</v>
      </c>
      <c r="B161" s="36"/>
      <c r="C161" s="36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18"/>
      <c r="Q161" s="155"/>
      <c r="R161" s="155"/>
      <c r="S161" s="1"/>
      <c r="U161">
        <f>AVERAGEIF(Table7[Calls Off],"&lt;&gt;0")</f>
        <v>648.96385542168673</v>
      </c>
    </row>
    <row r="162" spans="1:22" x14ac:dyDescent="0.35">
      <c r="A162" s="22">
        <v>45177</v>
      </c>
      <c r="B162" s="36"/>
      <c r="C162" s="36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18"/>
      <c r="Q162" s="155"/>
      <c r="R162" s="155"/>
      <c r="S162" s="1"/>
    </row>
    <row r="163" spans="1:22" x14ac:dyDescent="0.35">
      <c r="A163" s="22">
        <v>45178</v>
      </c>
      <c r="B163" s="36"/>
      <c r="C163" s="36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18"/>
      <c r="Q163" s="155"/>
      <c r="R163" s="155"/>
      <c r="S163" s="1"/>
    </row>
    <row r="164" spans="1:22" x14ac:dyDescent="0.35">
      <c r="A164" s="22">
        <v>45179</v>
      </c>
      <c r="B164" s="36"/>
      <c r="C164" s="36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18"/>
      <c r="Q164" s="155"/>
      <c r="R164" s="155"/>
      <c r="S164" s="1"/>
    </row>
    <row r="165" spans="1:22" x14ac:dyDescent="0.35">
      <c r="A165" s="22">
        <v>45180</v>
      </c>
      <c r="B165" s="36"/>
      <c r="C165" s="36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18"/>
      <c r="Q165" s="155"/>
      <c r="R165" s="155"/>
      <c r="S165" s="1"/>
    </row>
    <row r="166" spans="1:22" x14ac:dyDescent="0.35">
      <c r="A166" s="22">
        <v>45181</v>
      </c>
      <c r="B166" s="36"/>
      <c r="C166" s="36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18"/>
      <c r="Q166" s="155"/>
      <c r="R166" s="155"/>
      <c r="S166" s="1"/>
    </row>
    <row r="167" spans="1:22" x14ac:dyDescent="0.35">
      <c r="A167" s="22">
        <v>45182</v>
      </c>
      <c r="B167" s="36"/>
      <c r="C167" s="36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18"/>
      <c r="Q167" s="155"/>
      <c r="R167" s="155"/>
      <c r="S167" s="1"/>
      <c r="V167">
        <f>AVERAGEIF(P48:P54,"&lt;&gt;0")</f>
        <v>0.73333333333333339</v>
      </c>
    </row>
    <row r="168" spans="1:22" x14ac:dyDescent="0.35">
      <c r="A168" s="22">
        <v>45183</v>
      </c>
      <c r="B168" s="36"/>
      <c r="C168" s="36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18"/>
      <c r="Q168" s="155"/>
      <c r="R168" s="155"/>
      <c r="S168" s="1"/>
    </row>
    <row r="169" spans="1:22" x14ac:dyDescent="0.35">
      <c r="A169" s="22">
        <v>45184</v>
      </c>
      <c r="B169" s="36"/>
      <c r="C169" s="36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18"/>
      <c r="Q169" s="155"/>
      <c r="R169" s="155"/>
      <c r="S169" s="1"/>
    </row>
    <row r="170" spans="1:22" x14ac:dyDescent="0.35">
      <c r="A170" s="22">
        <v>45185</v>
      </c>
      <c r="B170" s="36"/>
      <c r="C170" s="36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18"/>
      <c r="Q170" s="155"/>
      <c r="R170" s="155"/>
      <c r="S170" s="1"/>
    </row>
    <row r="171" spans="1:22" x14ac:dyDescent="0.35">
      <c r="A171" s="22">
        <v>45186</v>
      </c>
      <c r="B171" s="36"/>
      <c r="C171" s="36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18"/>
      <c r="Q171" s="155"/>
      <c r="R171" s="155"/>
      <c r="S171" s="1"/>
    </row>
    <row r="172" spans="1:22" x14ac:dyDescent="0.35">
      <c r="A172" s="22">
        <v>45187</v>
      </c>
      <c r="B172" s="36"/>
      <c r="C172" s="36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18"/>
      <c r="Q172" s="155"/>
      <c r="R172" s="155"/>
      <c r="S172" s="1"/>
    </row>
    <row r="173" spans="1:22" x14ac:dyDescent="0.35">
      <c r="A173" s="22">
        <v>45188</v>
      </c>
      <c r="B173" s="36"/>
      <c r="C173" s="36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18"/>
      <c r="Q173" s="155"/>
      <c r="R173" s="155"/>
      <c r="S173" s="1"/>
    </row>
    <row r="174" spans="1:22" x14ac:dyDescent="0.35">
      <c r="A174" s="22">
        <v>45189</v>
      </c>
      <c r="B174" s="36"/>
      <c r="C174" s="36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18"/>
      <c r="Q174" s="155"/>
      <c r="R174" s="155"/>
      <c r="S174" s="1"/>
    </row>
    <row r="175" spans="1:22" x14ac:dyDescent="0.35">
      <c r="A175" s="22">
        <v>45190</v>
      </c>
      <c r="B175" s="36"/>
      <c r="C175" s="36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18"/>
      <c r="Q175" s="155"/>
      <c r="R175" s="155"/>
      <c r="S175" s="1"/>
    </row>
    <row r="176" spans="1:22" x14ac:dyDescent="0.35">
      <c r="A176" s="22">
        <v>45191</v>
      </c>
      <c r="B176" s="36"/>
      <c r="C176" s="36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18"/>
      <c r="Q176" s="155"/>
      <c r="R176" s="155"/>
      <c r="S176" s="1"/>
    </row>
    <row r="177" spans="1:24" x14ac:dyDescent="0.35">
      <c r="A177" s="22">
        <v>45192</v>
      </c>
      <c r="B177" s="36"/>
      <c r="C177" s="36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18"/>
      <c r="Q177" s="155"/>
      <c r="R177" s="155"/>
      <c r="S177" s="1"/>
    </row>
    <row r="178" spans="1:24" x14ac:dyDescent="0.35">
      <c r="A178" s="22">
        <v>45193</v>
      </c>
      <c r="B178" s="36"/>
      <c r="C178" s="36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18"/>
      <c r="Q178" s="155"/>
      <c r="R178" s="155"/>
      <c r="S178" s="1"/>
      <c r="U178" t="s">
        <v>65</v>
      </c>
    </row>
    <row r="179" spans="1:24" x14ac:dyDescent="0.35">
      <c r="A179" s="22">
        <v>45194</v>
      </c>
      <c r="B179" s="36"/>
      <c r="C179" s="36" t="s">
        <v>97</v>
      </c>
      <c r="D179" s="1"/>
      <c r="E179" s="1"/>
      <c r="F179" s="66"/>
      <c r="G179" s="66"/>
      <c r="H179" s="1"/>
      <c r="I179" s="1"/>
      <c r="J179" s="1"/>
      <c r="K179" s="1"/>
      <c r="L179" s="18"/>
      <c r="M179" s="18"/>
      <c r="N179" s="18"/>
      <c r="O179" s="18"/>
      <c r="P179" s="18"/>
      <c r="Q179" s="155"/>
      <c r="R179" s="155"/>
      <c r="S179" s="1"/>
    </row>
    <row r="180" spans="1:24" x14ac:dyDescent="0.35">
      <c r="A180" s="22">
        <v>45195</v>
      </c>
      <c r="B180" s="36"/>
      <c r="C180" s="36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18"/>
      <c r="Q180" s="155"/>
      <c r="R180" s="155"/>
      <c r="S180" s="1"/>
    </row>
    <row r="181" spans="1:24" x14ac:dyDescent="0.35">
      <c r="A181" s="22">
        <v>45196</v>
      </c>
      <c r="B181" s="36"/>
      <c r="C181" s="36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18"/>
      <c r="Q181" s="155"/>
      <c r="R181" s="155"/>
      <c r="S181" s="1"/>
    </row>
    <row r="182" spans="1:24" x14ac:dyDescent="0.35">
      <c r="A182" s="22">
        <v>45197</v>
      </c>
      <c r="B182" s="36"/>
      <c r="C182" s="36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18"/>
      <c r="Q182" s="155"/>
      <c r="R182" s="155"/>
      <c r="S182" s="1"/>
    </row>
    <row r="183" spans="1:24" x14ac:dyDescent="0.35">
      <c r="A183" s="22">
        <v>45198</v>
      </c>
      <c r="B183" s="36"/>
      <c r="C183" s="36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18"/>
      <c r="Q183" s="155"/>
      <c r="R183" s="155"/>
      <c r="S183" s="1"/>
    </row>
    <row r="184" spans="1:24" s="50" customFormat="1" x14ac:dyDescent="0.35">
      <c r="A184" s="22">
        <v>45199</v>
      </c>
      <c r="B184" s="36"/>
      <c r="C184" s="36" t="s">
        <v>97</v>
      </c>
      <c r="D184" s="1"/>
      <c r="E184" s="1"/>
      <c r="F184" s="66"/>
      <c r="G184" s="66"/>
      <c r="H184" s="1"/>
      <c r="I184" s="1"/>
      <c r="J184" s="1"/>
      <c r="K184" s="1"/>
      <c r="L184" s="18"/>
      <c r="M184" s="18"/>
      <c r="N184" s="18"/>
      <c r="O184" s="18"/>
      <c r="P184" s="18"/>
      <c r="Q184" s="155"/>
      <c r="R184" s="155"/>
      <c r="S184" s="1"/>
      <c r="V184"/>
      <c r="W184"/>
      <c r="X184"/>
    </row>
    <row r="185" spans="1:24" x14ac:dyDescent="0.35">
      <c r="A185" s="22">
        <v>45200</v>
      </c>
      <c r="B185" s="36"/>
      <c r="C185" s="36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18"/>
      <c r="Q185" s="155"/>
      <c r="R185" s="155"/>
      <c r="S185" s="1"/>
    </row>
    <row r="186" spans="1:24" x14ac:dyDescent="0.35">
      <c r="A186" s="22">
        <v>45201</v>
      </c>
      <c r="B186" s="36"/>
      <c r="C186" s="36" t="s">
        <v>97</v>
      </c>
      <c r="D186" s="1"/>
      <c r="E186" s="1"/>
      <c r="F186" s="66"/>
      <c r="G186" s="66"/>
      <c r="H186" s="1"/>
      <c r="I186" s="1"/>
      <c r="J186" s="1"/>
      <c r="K186" s="1"/>
      <c r="L186" s="18"/>
      <c r="M186" s="18"/>
      <c r="N186" s="18"/>
      <c r="O186" s="18"/>
      <c r="P186" s="18"/>
      <c r="Q186" s="155"/>
      <c r="R186" s="155"/>
      <c r="S186" s="1"/>
    </row>
    <row r="187" spans="1:24" x14ac:dyDescent="0.35">
      <c r="A187" s="22">
        <v>45202</v>
      </c>
      <c r="B187" s="36"/>
      <c r="C187" s="36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18"/>
      <c r="Q187" s="155"/>
      <c r="R187" s="155"/>
      <c r="S187" s="1"/>
    </row>
    <row r="188" spans="1:24" x14ac:dyDescent="0.35">
      <c r="A188" s="22">
        <v>45203</v>
      </c>
      <c r="B188" s="36"/>
      <c r="C188" s="36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18"/>
      <c r="Q188" s="155"/>
      <c r="R188" s="155"/>
      <c r="S188" s="1"/>
    </row>
    <row r="189" spans="1:24" x14ac:dyDescent="0.35">
      <c r="A189" s="22">
        <v>45204</v>
      </c>
      <c r="B189" s="36"/>
      <c r="C189" s="36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18"/>
      <c r="Q189" s="155"/>
      <c r="R189" s="155"/>
      <c r="S189" s="1"/>
    </row>
    <row r="190" spans="1:24" x14ac:dyDescent="0.35">
      <c r="A190" s="22">
        <v>45205</v>
      </c>
      <c r="B190" s="36"/>
      <c r="C190" s="36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18"/>
      <c r="Q190" s="155"/>
      <c r="R190" s="155"/>
      <c r="S190" s="1"/>
    </row>
    <row r="191" spans="1:24" x14ac:dyDescent="0.35">
      <c r="A191" s="22">
        <v>45206</v>
      </c>
      <c r="B191" s="36"/>
      <c r="C191" s="36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18"/>
      <c r="Q191" s="155"/>
      <c r="R191" s="155"/>
      <c r="S191" s="1"/>
    </row>
    <row r="192" spans="1:24" x14ac:dyDescent="0.35">
      <c r="A192" s="22">
        <v>45207</v>
      </c>
      <c r="B192" s="36"/>
      <c r="C192" s="36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18"/>
      <c r="Q192" s="155"/>
      <c r="R192" s="155"/>
      <c r="S192" s="1"/>
    </row>
    <row r="193" spans="1:19" x14ac:dyDescent="0.35">
      <c r="A193" s="22">
        <v>45208</v>
      </c>
      <c r="B193" s="36"/>
      <c r="C193" s="36" t="s">
        <v>97</v>
      </c>
      <c r="D193" s="1"/>
      <c r="E193" s="1"/>
      <c r="F193" s="66"/>
      <c r="G193" s="66"/>
      <c r="H193" s="1"/>
      <c r="I193" s="1"/>
      <c r="J193" s="1"/>
      <c r="K193" s="1"/>
      <c r="L193" s="18"/>
      <c r="M193" s="18"/>
      <c r="N193" s="18"/>
      <c r="O193" s="18"/>
      <c r="P193" s="18"/>
      <c r="Q193" s="155"/>
      <c r="R193" s="155"/>
      <c r="S193" s="1"/>
    </row>
    <row r="194" spans="1:19" x14ac:dyDescent="0.35">
      <c r="A194" s="22">
        <v>45209</v>
      </c>
      <c r="B194" s="36"/>
      <c r="C194" s="36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18"/>
      <c r="Q194" s="155"/>
      <c r="R194" s="155"/>
      <c r="S194" s="1"/>
    </row>
    <row r="195" spans="1:19" x14ac:dyDescent="0.35">
      <c r="A195" s="22">
        <v>45210</v>
      </c>
      <c r="B195" s="36"/>
      <c r="C195" s="36" t="s">
        <v>97</v>
      </c>
      <c r="D195" s="1"/>
      <c r="E195" s="1"/>
      <c r="F195" s="66"/>
      <c r="G195" s="66"/>
      <c r="H195" s="1"/>
      <c r="I195" s="1"/>
      <c r="J195" s="1"/>
      <c r="K195" s="1"/>
      <c r="L195" s="18"/>
      <c r="M195" s="18"/>
      <c r="N195" s="18"/>
      <c r="O195" s="18"/>
      <c r="P195" s="18"/>
      <c r="Q195" s="155"/>
      <c r="R195" s="155"/>
      <c r="S195" s="1"/>
    </row>
    <row r="196" spans="1:19" x14ac:dyDescent="0.35">
      <c r="A196" s="22">
        <v>45211</v>
      </c>
      <c r="B196" s="36"/>
      <c r="C196" s="36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18"/>
      <c r="Q196" s="155"/>
      <c r="R196" s="155"/>
      <c r="S196" s="1"/>
    </row>
    <row r="197" spans="1:19" x14ac:dyDescent="0.35">
      <c r="A197" s="22">
        <v>45212</v>
      </c>
      <c r="B197" s="36"/>
      <c r="C197" s="36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18"/>
      <c r="Q197" s="155"/>
      <c r="R197" s="155"/>
      <c r="S197" s="1"/>
    </row>
    <row r="198" spans="1:19" x14ac:dyDescent="0.35">
      <c r="A198" s="22">
        <v>45213</v>
      </c>
      <c r="B198" s="36"/>
      <c r="C198" s="36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18"/>
      <c r="Q198" s="155"/>
      <c r="R198" s="155"/>
      <c r="S198" s="1"/>
    </row>
    <row r="199" spans="1:19" x14ac:dyDescent="0.35">
      <c r="A199" s="22">
        <v>45214</v>
      </c>
      <c r="B199" s="36"/>
      <c r="C199" s="36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18"/>
      <c r="Q199" s="155"/>
      <c r="R199" s="155"/>
      <c r="S199" s="1"/>
    </row>
    <row r="200" spans="1:19" x14ac:dyDescent="0.35">
      <c r="A200" s="22">
        <v>45215</v>
      </c>
      <c r="B200" s="36"/>
      <c r="C200" s="36" t="s">
        <v>97</v>
      </c>
      <c r="D200" s="1"/>
      <c r="E200" s="1"/>
      <c r="F200" s="66"/>
      <c r="G200" s="66"/>
      <c r="H200" s="1"/>
      <c r="I200" s="1"/>
      <c r="J200" s="1"/>
      <c r="K200" s="1"/>
      <c r="L200" s="18"/>
      <c r="M200" s="18"/>
      <c r="N200" s="18"/>
      <c r="O200" s="18"/>
      <c r="P200" s="18"/>
      <c r="Q200" s="155"/>
      <c r="R200" s="155"/>
      <c r="S200" s="1"/>
    </row>
    <row r="201" spans="1:19" x14ac:dyDescent="0.35">
      <c r="A201" s="22">
        <v>45216</v>
      </c>
      <c r="B201" s="36"/>
      <c r="C201" s="36" t="s">
        <v>97</v>
      </c>
      <c r="D201" s="1"/>
      <c r="E201" s="1"/>
      <c r="F201" s="66"/>
      <c r="G201" s="66"/>
      <c r="H201" s="1"/>
      <c r="I201" s="1"/>
      <c r="J201" s="1"/>
      <c r="K201" s="1"/>
      <c r="L201" s="18"/>
      <c r="M201" s="18"/>
      <c r="N201" s="18"/>
      <c r="O201" s="18"/>
      <c r="P201" s="18"/>
      <c r="Q201" s="155"/>
      <c r="R201" s="155"/>
      <c r="S201" s="1"/>
    </row>
    <row r="202" spans="1:19" x14ac:dyDescent="0.35">
      <c r="A202" s="22">
        <v>45217</v>
      </c>
      <c r="B202" s="36"/>
      <c r="C202" s="36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18"/>
      <c r="Q202" s="155"/>
      <c r="R202" s="155"/>
      <c r="S202" s="1"/>
    </row>
    <row r="203" spans="1:19" x14ac:dyDescent="0.35">
      <c r="A203" s="22">
        <v>45218</v>
      </c>
      <c r="B203" s="36"/>
      <c r="C203" s="36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18"/>
      <c r="Q203" s="155"/>
      <c r="R203" s="155"/>
      <c r="S203" s="1"/>
    </row>
    <row r="204" spans="1:19" x14ac:dyDescent="0.35">
      <c r="A204" s="22">
        <v>45219</v>
      </c>
      <c r="B204" s="36"/>
      <c r="C204" s="36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18"/>
      <c r="Q204" s="155"/>
      <c r="R204" s="155"/>
      <c r="S204" s="1"/>
    </row>
    <row r="205" spans="1:19" x14ac:dyDescent="0.35">
      <c r="A205" s="22">
        <v>45220</v>
      </c>
      <c r="B205" s="36"/>
      <c r="C205" s="36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18"/>
      <c r="Q205" s="155"/>
      <c r="R205" s="155"/>
      <c r="S205" s="1"/>
    </row>
    <row r="206" spans="1:19" x14ac:dyDescent="0.35">
      <c r="A206" s="22">
        <v>45221</v>
      </c>
      <c r="B206" s="36"/>
      <c r="C206" s="36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18"/>
      <c r="Q206" s="155"/>
      <c r="R206" s="155"/>
      <c r="S206" s="1"/>
    </row>
    <row r="207" spans="1:19" x14ac:dyDescent="0.35">
      <c r="A207" s="22">
        <v>45222</v>
      </c>
      <c r="B207" s="36"/>
      <c r="C207" s="36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18"/>
      <c r="Q207" s="155"/>
      <c r="R207" s="155"/>
      <c r="S207" s="1"/>
    </row>
    <row r="208" spans="1:19" x14ac:dyDescent="0.35">
      <c r="A208" s="22">
        <v>45223</v>
      </c>
      <c r="B208" s="36"/>
      <c r="C208" s="36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18"/>
      <c r="Q208" s="155"/>
      <c r="R208" s="155"/>
      <c r="S208" s="1"/>
    </row>
    <row r="209" spans="1:24" x14ac:dyDescent="0.35">
      <c r="A209" s="22">
        <v>45224</v>
      </c>
      <c r="B209" s="36"/>
      <c r="C209" s="36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18"/>
      <c r="Q209" s="155"/>
      <c r="R209" s="155"/>
      <c r="S209" s="1"/>
    </row>
    <row r="210" spans="1:24" x14ac:dyDescent="0.35">
      <c r="A210" s="22">
        <v>45225</v>
      </c>
      <c r="B210" s="36"/>
      <c r="C210" s="36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18"/>
      <c r="Q210" s="155"/>
      <c r="R210" s="155"/>
      <c r="S210" s="1"/>
    </row>
    <row r="211" spans="1:24" x14ac:dyDescent="0.35">
      <c r="A211" s="22">
        <v>45226</v>
      </c>
      <c r="B211" s="36"/>
      <c r="C211" s="36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18"/>
      <c r="Q211" s="155"/>
      <c r="R211" s="155"/>
      <c r="S211" s="1"/>
    </row>
    <row r="212" spans="1:24" x14ac:dyDescent="0.35">
      <c r="A212" s="22">
        <v>45227</v>
      </c>
      <c r="B212" s="36"/>
      <c r="C212" s="36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18"/>
      <c r="Q212" s="155"/>
      <c r="R212" s="155"/>
      <c r="S212" s="1"/>
      <c r="V212" s="50"/>
      <c r="W212" s="50"/>
      <c r="X212" s="50"/>
    </row>
    <row r="213" spans="1:24" x14ac:dyDescent="0.35">
      <c r="A213" s="22">
        <v>45228</v>
      </c>
      <c r="B213" s="36"/>
      <c r="C213" s="36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18"/>
      <c r="Q213" s="155"/>
      <c r="R213" s="155"/>
      <c r="S213" s="1"/>
    </row>
    <row r="214" spans="1:24" x14ac:dyDescent="0.35">
      <c r="A214" s="22">
        <v>45229</v>
      </c>
      <c r="B214" s="36"/>
      <c r="C214" s="36" t="s">
        <v>97</v>
      </c>
      <c r="D214" s="1"/>
      <c r="E214" s="1"/>
      <c r="F214" s="66"/>
      <c r="G214" s="66"/>
      <c r="H214" s="1"/>
      <c r="I214" s="1"/>
      <c r="J214" s="1"/>
      <c r="K214" s="1"/>
      <c r="L214" s="18"/>
      <c r="M214" s="18"/>
      <c r="N214" s="18"/>
      <c r="O214" s="18"/>
      <c r="P214" s="18"/>
      <c r="Q214" s="155"/>
      <c r="R214" s="155"/>
      <c r="S214" s="1"/>
    </row>
    <row r="215" spans="1:24" s="50" customFormat="1" x14ac:dyDescent="0.35">
      <c r="A215" s="22">
        <v>45230</v>
      </c>
      <c r="B215" s="36"/>
      <c r="C215" s="36" t="s">
        <v>97</v>
      </c>
      <c r="D215" s="1"/>
      <c r="E215" s="1"/>
      <c r="F215" s="66"/>
      <c r="G215" s="66"/>
      <c r="H215" s="1"/>
      <c r="I215" s="1"/>
      <c r="J215" s="1"/>
      <c r="K215" s="1"/>
      <c r="L215" s="18"/>
      <c r="M215" s="18"/>
      <c r="N215" s="18"/>
      <c r="O215" s="18"/>
      <c r="P215" s="18"/>
      <c r="Q215" s="155"/>
      <c r="R215" s="155"/>
      <c r="S215" s="1"/>
      <c r="V215"/>
      <c r="W215"/>
      <c r="X215"/>
    </row>
    <row r="216" spans="1:24" x14ac:dyDescent="0.35">
      <c r="A216" s="22">
        <v>45231</v>
      </c>
      <c r="B216" s="36"/>
      <c r="C216" s="36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18"/>
      <c r="Q216" s="155"/>
      <c r="R216" s="155"/>
      <c r="S216" s="1"/>
    </row>
    <row r="217" spans="1:24" x14ac:dyDescent="0.35">
      <c r="A217" s="22">
        <v>45232</v>
      </c>
      <c r="B217" s="36"/>
      <c r="C217" s="36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18"/>
      <c r="Q217" s="155"/>
      <c r="R217" s="155"/>
      <c r="S217" s="1"/>
    </row>
    <row r="218" spans="1:24" x14ac:dyDescent="0.35">
      <c r="A218" s="22">
        <v>45233</v>
      </c>
      <c r="B218" s="36"/>
      <c r="C218" s="36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18"/>
      <c r="Q218" s="155"/>
      <c r="R218" s="155"/>
      <c r="S218" s="1"/>
    </row>
    <row r="219" spans="1:24" x14ac:dyDescent="0.35">
      <c r="A219" s="22">
        <v>45234</v>
      </c>
      <c r="B219" s="36"/>
      <c r="C219" s="36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18"/>
      <c r="Q219" s="155"/>
      <c r="R219" s="155"/>
      <c r="S219" s="1"/>
    </row>
    <row r="220" spans="1:24" x14ac:dyDescent="0.35">
      <c r="A220" s="22">
        <v>45235</v>
      </c>
      <c r="B220" s="36"/>
      <c r="C220" s="36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18"/>
      <c r="Q220" s="155"/>
      <c r="R220" s="155"/>
      <c r="S220" s="1"/>
    </row>
    <row r="221" spans="1:24" x14ac:dyDescent="0.35">
      <c r="A221" s="22">
        <v>45236</v>
      </c>
      <c r="B221" s="36"/>
      <c r="C221" s="36" t="s">
        <v>97</v>
      </c>
      <c r="D221" s="1"/>
      <c r="E221" s="1"/>
      <c r="F221" s="66"/>
      <c r="G221" s="66"/>
      <c r="H221" s="1"/>
      <c r="I221" s="1"/>
      <c r="J221" s="1"/>
      <c r="K221" s="1"/>
      <c r="L221" s="18"/>
      <c r="M221" s="18"/>
      <c r="N221" s="18"/>
      <c r="O221" s="18"/>
      <c r="P221" s="18"/>
      <c r="Q221" s="155"/>
      <c r="R221" s="155"/>
      <c r="S221" s="1"/>
    </row>
    <row r="222" spans="1:24" x14ac:dyDescent="0.35">
      <c r="A222" s="22">
        <v>45237</v>
      </c>
      <c r="B222" s="36"/>
      <c r="C222" s="36" t="s">
        <v>97</v>
      </c>
      <c r="D222" s="1"/>
      <c r="E222" s="1"/>
      <c r="F222" s="66"/>
      <c r="G222" s="66"/>
      <c r="H222" s="1"/>
      <c r="I222" s="1"/>
      <c r="J222" s="1"/>
      <c r="K222" s="1"/>
      <c r="L222" s="18"/>
      <c r="M222" s="18"/>
      <c r="N222" s="18"/>
      <c r="O222" s="18"/>
      <c r="P222" s="18"/>
      <c r="Q222" s="155"/>
      <c r="R222" s="155"/>
      <c r="S222" s="1"/>
    </row>
    <row r="223" spans="1:24" x14ac:dyDescent="0.35">
      <c r="A223" s="22">
        <v>45238</v>
      </c>
      <c r="B223" s="36"/>
      <c r="C223" s="36" t="s">
        <v>97</v>
      </c>
      <c r="D223" s="1"/>
      <c r="E223" s="1"/>
      <c r="F223" s="66"/>
      <c r="G223" s="66"/>
      <c r="H223" s="1"/>
      <c r="I223" s="1"/>
      <c r="J223" s="1"/>
      <c r="K223" s="1"/>
      <c r="L223" s="18"/>
      <c r="M223" s="18"/>
      <c r="N223" s="18"/>
      <c r="O223" s="18"/>
      <c r="P223" s="18"/>
      <c r="Q223" s="155"/>
      <c r="R223" s="155"/>
      <c r="S223" s="1"/>
    </row>
    <row r="224" spans="1:24" x14ac:dyDescent="0.35">
      <c r="A224" s="22">
        <v>45239</v>
      </c>
      <c r="B224" s="36"/>
      <c r="C224" s="36" t="s">
        <v>97</v>
      </c>
      <c r="D224" s="1"/>
      <c r="E224" s="1"/>
      <c r="F224" s="66"/>
      <c r="G224" s="66"/>
      <c r="H224" s="1"/>
      <c r="I224" s="1"/>
      <c r="J224" s="1"/>
      <c r="K224" s="1"/>
      <c r="L224" s="18"/>
      <c r="M224" s="18"/>
      <c r="N224" s="18"/>
      <c r="O224" s="18"/>
      <c r="P224" s="18"/>
      <c r="Q224" s="155"/>
      <c r="R224" s="155"/>
      <c r="S224" s="1"/>
      <c r="T224" s="1"/>
    </row>
    <row r="225" spans="1:24" x14ac:dyDescent="0.35">
      <c r="A225" s="22">
        <v>45240</v>
      </c>
      <c r="B225" s="36"/>
      <c r="C225" s="36" t="s">
        <v>97</v>
      </c>
      <c r="D225" s="1"/>
      <c r="E225" s="1"/>
      <c r="F225" s="66"/>
      <c r="G225" s="66"/>
      <c r="H225" s="1"/>
      <c r="I225" s="1"/>
      <c r="J225" s="1"/>
      <c r="K225" s="1"/>
      <c r="L225" s="18"/>
      <c r="M225" s="18"/>
      <c r="N225" s="18"/>
      <c r="O225" s="18"/>
      <c r="P225" s="18"/>
      <c r="Q225" s="155"/>
      <c r="R225" s="155"/>
      <c r="S225" s="1"/>
    </row>
    <row r="226" spans="1:24" x14ac:dyDescent="0.35">
      <c r="A226" s="22">
        <v>45241</v>
      </c>
      <c r="B226" s="36"/>
      <c r="C226" s="36" t="s">
        <v>97</v>
      </c>
      <c r="D226" s="1"/>
      <c r="E226" s="1"/>
      <c r="F226" s="66"/>
      <c r="G226" s="66"/>
      <c r="H226" s="1"/>
      <c r="I226" s="1"/>
      <c r="J226" s="1"/>
      <c r="K226" s="1"/>
      <c r="L226" s="18"/>
      <c r="M226" s="18"/>
      <c r="N226" s="18"/>
      <c r="O226" s="18"/>
      <c r="P226" s="18"/>
      <c r="Q226" s="155"/>
      <c r="R226" s="155"/>
      <c r="S226" s="1"/>
    </row>
    <row r="227" spans="1:24" x14ac:dyDescent="0.35">
      <c r="A227" s="22">
        <v>45242</v>
      </c>
      <c r="B227" s="36"/>
      <c r="C227" s="36" t="s">
        <v>97</v>
      </c>
      <c r="D227" s="1"/>
      <c r="E227" s="1"/>
      <c r="F227" s="66"/>
      <c r="G227" s="66"/>
      <c r="H227" s="1"/>
      <c r="I227" s="1"/>
      <c r="J227" s="1"/>
      <c r="K227" s="1"/>
      <c r="L227" s="18"/>
      <c r="M227" s="18"/>
      <c r="N227" s="18"/>
      <c r="O227" s="18"/>
      <c r="P227" s="18"/>
      <c r="Q227" s="155"/>
      <c r="R227" s="155"/>
      <c r="S227" s="1"/>
    </row>
    <row r="228" spans="1:24" x14ac:dyDescent="0.35">
      <c r="A228" s="22">
        <v>45243</v>
      </c>
      <c r="B228" s="36"/>
      <c r="C228" s="36" t="s">
        <v>97</v>
      </c>
      <c r="D228" s="1"/>
      <c r="E228" s="1"/>
      <c r="F228" s="66"/>
      <c r="G228" s="66"/>
      <c r="H228" s="1"/>
      <c r="I228" s="1"/>
      <c r="J228" s="1"/>
      <c r="K228" s="1"/>
      <c r="L228" s="18"/>
      <c r="M228" s="18"/>
      <c r="N228" s="18"/>
      <c r="O228" s="18"/>
      <c r="P228" s="18"/>
      <c r="Q228" s="155"/>
      <c r="R228" s="155"/>
      <c r="S228" s="1"/>
    </row>
    <row r="229" spans="1:24" x14ac:dyDescent="0.35">
      <c r="A229" s="22">
        <v>45244</v>
      </c>
      <c r="B229" s="36"/>
      <c r="C229" s="36" t="s">
        <v>97</v>
      </c>
      <c r="D229" s="1"/>
      <c r="E229" s="1"/>
      <c r="F229" s="66"/>
      <c r="G229" s="66"/>
      <c r="H229" s="1"/>
      <c r="I229" s="1"/>
      <c r="J229" s="1"/>
      <c r="K229" s="1"/>
      <c r="L229" s="18"/>
      <c r="M229" s="18"/>
      <c r="N229" s="18"/>
      <c r="O229" s="18"/>
      <c r="P229" s="18"/>
      <c r="Q229" s="155"/>
      <c r="R229" s="155"/>
      <c r="S229" s="1"/>
    </row>
    <row r="230" spans="1:24" x14ac:dyDescent="0.35">
      <c r="A230" s="22">
        <v>45245</v>
      </c>
      <c r="B230" s="36"/>
      <c r="C230" s="36" t="s">
        <v>97</v>
      </c>
      <c r="D230" s="1"/>
      <c r="E230" s="1"/>
      <c r="F230" s="66"/>
      <c r="G230" s="66"/>
      <c r="H230" s="1"/>
      <c r="I230" s="1"/>
      <c r="J230" s="1"/>
      <c r="K230" s="1"/>
      <c r="L230" s="18"/>
      <c r="M230" s="18"/>
      <c r="N230" s="18"/>
      <c r="O230" s="18"/>
      <c r="P230" s="18"/>
      <c r="Q230" s="155"/>
      <c r="R230" s="155"/>
      <c r="S230" s="1"/>
    </row>
    <row r="231" spans="1:24" x14ac:dyDescent="0.35">
      <c r="A231" s="22">
        <v>45246</v>
      </c>
      <c r="B231" s="36"/>
      <c r="C231" s="36" t="s">
        <v>97</v>
      </c>
      <c r="D231" s="1"/>
      <c r="E231" s="1"/>
      <c r="F231" s="66"/>
      <c r="G231" s="66"/>
      <c r="H231" s="1"/>
      <c r="I231" s="1"/>
      <c r="J231" s="1"/>
      <c r="K231" s="1"/>
      <c r="L231" s="18"/>
      <c r="M231" s="18"/>
      <c r="N231" s="18"/>
      <c r="O231" s="18"/>
      <c r="P231" s="18"/>
      <c r="Q231" s="155"/>
      <c r="R231" s="155"/>
      <c r="S231" s="1"/>
    </row>
    <row r="232" spans="1:24" x14ac:dyDescent="0.35">
      <c r="A232" s="22">
        <v>45247</v>
      </c>
      <c r="B232" s="36"/>
      <c r="C232" s="36" t="s">
        <v>97</v>
      </c>
      <c r="D232" s="1"/>
      <c r="E232" s="1"/>
      <c r="F232" s="66"/>
      <c r="G232" s="66"/>
      <c r="H232" s="1"/>
      <c r="I232" s="1"/>
      <c r="J232" s="1"/>
      <c r="K232" s="1"/>
      <c r="L232" s="18"/>
      <c r="M232" s="18"/>
      <c r="N232" s="18"/>
      <c r="O232" s="18"/>
      <c r="P232" s="18"/>
      <c r="Q232" s="155"/>
      <c r="R232" s="155"/>
      <c r="S232" s="1"/>
    </row>
    <row r="233" spans="1:24" x14ac:dyDescent="0.35">
      <c r="A233" s="22">
        <v>45248</v>
      </c>
      <c r="B233" s="36"/>
      <c r="C233" s="36" t="s">
        <v>97</v>
      </c>
      <c r="D233" s="1"/>
      <c r="E233" s="1"/>
      <c r="F233" s="66"/>
      <c r="G233" s="66"/>
      <c r="H233" s="1"/>
      <c r="I233" s="1"/>
      <c r="J233" s="1"/>
      <c r="K233" s="1"/>
      <c r="L233" s="18"/>
      <c r="M233" s="18"/>
      <c r="N233" s="18"/>
      <c r="O233" s="18"/>
      <c r="P233" s="18"/>
      <c r="Q233" s="155"/>
      <c r="R233" s="155"/>
      <c r="S233" s="1"/>
    </row>
    <row r="234" spans="1:24" x14ac:dyDescent="0.35">
      <c r="A234" s="22">
        <v>45249</v>
      </c>
      <c r="B234" s="36"/>
      <c r="C234" s="36" t="s">
        <v>97</v>
      </c>
      <c r="D234" s="1"/>
      <c r="E234" s="1"/>
      <c r="F234" s="66"/>
      <c r="G234" s="66"/>
      <c r="H234" s="1"/>
      <c r="I234" s="1"/>
      <c r="J234" s="1"/>
      <c r="K234" s="1"/>
      <c r="L234" s="18"/>
      <c r="M234" s="18"/>
      <c r="N234" s="18"/>
      <c r="O234" s="18"/>
      <c r="P234" s="18"/>
      <c r="Q234" s="155"/>
      <c r="R234" s="155"/>
      <c r="S234" s="1"/>
    </row>
    <row r="235" spans="1:24" x14ac:dyDescent="0.35">
      <c r="A235" s="22">
        <v>45250</v>
      </c>
      <c r="B235" s="36"/>
      <c r="C235" s="36" t="s">
        <v>97</v>
      </c>
      <c r="D235" s="1"/>
      <c r="E235" s="1"/>
      <c r="F235" s="66"/>
      <c r="G235" s="66"/>
      <c r="H235" s="1"/>
      <c r="I235" s="1"/>
      <c r="J235" s="1"/>
      <c r="K235" s="1"/>
      <c r="L235" s="18"/>
      <c r="M235" s="18"/>
      <c r="N235" s="18"/>
      <c r="O235" s="18"/>
      <c r="P235" s="18"/>
      <c r="Q235" s="155"/>
      <c r="R235" s="155"/>
      <c r="S235" s="1"/>
    </row>
    <row r="236" spans="1:24" x14ac:dyDescent="0.35">
      <c r="A236" s="22">
        <v>45251</v>
      </c>
      <c r="B236" s="36"/>
      <c r="C236" s="36" t="s">
        <v>97</v>
      </c>
      <c r="D236" s="1"/>
      <c r="E236" s="1"/>
      <c r="F236" s="66"/>
      <c r="G236" s="66"/>
      <c r="H236" s="1"/>
      <c r="I236" s="1"/>
      <c r="J236" s="1"/>
      <c r="K236" s="1"/>
      <c r="L236" s="18"/>
      <c r="M236" s="18"/>
      <c r="N236" s="18"/>
      <c r="O236" s="18"/>
      <c r="P236" s="18"/>
      <c r="Q236" s="155"/>
      <c r="R236" s="155"/>
      <c r="S236" s="1"/>
      <c r="V236" s="50"/>
      <c r="W236" s="50"/>
      <c r="X236" s="50"/>
    </row>
    <row r="237" spans="1:24" x14ac:dyDescent="0.35">
      <c r="A237" s="22">
        <v>45252</v>
      </c>
      <c r="B237" s="36"/>
      <c r="C237" s="36" t="s">
        <v>97</v>
      </c>
      <c r="D237" s="1"/>
      <c r="E237" s="1"/>
      <c r="F237" s="66"/>
      <c r="G237" s="66"/>
      <c r="H237" s="1"/>
      <c r="I237" s="1"/>
      <c r="J237" s="1"/>
      <c r="K237" s="1"/>
      <c r="L237" s="18"/>
      <c r="M237" s="18"/>
      <c r="N237" s="18"/>
      <c r="O237" s="18"/>
      <c r="P237" s="18"/>
      <c r="Q237" s="155"/>
      <c r="R237" s="155"/>
      <c r="S237" s="1"/>
    </row>
    <row r="238" spans="1:24" x14ac:dyDescent="0.35">
      <c r="A238" s="22">
        <v>45253</v>
      </c>
      <c r="B238" s="36"/>
      <c r="C238" s="36" t="s">
        <v>97</v>
      </c>
      <c r="D238" s="1"/>
      <c r="E238" s="1"/>
      <c r="F238" s="66"/>
      <c r="G238" s="66"/>
      <c r="H238" s="1"/>
      <c r="I238" s="1"/>
      <c r="J238" s="1"/>
      <c r="K238" s="1"/>
      <c r="L238" s="18"/>
      <c r="M238" s="18"/>
      <c r="N238" s="18"/>
      <c r="O238" s="18"/>
      <c r="P238" s="18"/>
      <c r="Q238" s="155"/>
      <c r="R238" s="155"/>
      <c r="S238" s="1"/>
    </row>
    <row r="239" spans="1:24" x14ac:dyDescent="0.35">
      <c r="A239" s="22">
        <v>45254</v>
      </c>
      <c r="B239" s="36"/>
      <c r="C239" s="36" t="s">
        <v>97</v>
      </c>
      <c r="D239" s="1"/>
      <c r="E239" s="1"/>
      <c r="F239" s="66"/>
      <c r="G239" s="66"/>
      <c r="H239" s="1"/>
      <c r="I239" s="1"/>
      <c r="J239" s="1"/>
      <c r="K239" s="1"/>
      <c r="L239" s="18"/>
      <c r="M239" s="18"/>
      <c r="N239" s="18"/>
      <c r="O239" s="18"/>
      <c r="P239" s="18"/>
      <c r="Q239" s="155"/>
      <c r="R239" s="155"/>
      <c r="S239" s="1"/>
      <c r="U239">
        <f>AVERAGEIF(L1:L367,"&lt;&gt;0")</f>
        <v>0.66879518072289168</v>
      </c>
    </row>
    <row r="240" spans="1:24" x14ac:dyDescent="0.35">
      <c r="A240" s="22">
        <v>45255</v>
      </c>
      <c r="B240" s="36"/>
      <c r="C240" s="36" t="s">
        <v>97</v>
      </c>
      <c r="D240" s="1"/>
      <c r="E240" s="1"/>
      <c r="F240" s="66"/>
      <c r="G240" s="66"/>
      <c r="H240" s="1"/>
      <c r="I240" s="1"/>
      <c r="J240" s="1"/>
      <c r="K240" s="1"/>
      <c r="L240" s="18"/>
      <c r="M240" s="18"/>
      <c r="N240" s="18"/>
      <c r="O240" s="18"/>
      <c r="P240" s="18"/>
      <c r="Q240" s="155"/>
      <c r="R240" s="155"/>
      <c r="S240" s="1"/>
    </row>
    <row r="241" spans="1:24" x14ac:dyDescent="0.35">
      <c r="A241" s="22">
        <v>45256</v>
      </c>
      <c r="B241" s="36"/>
      <c r="C241" s="36" t="s">
        <v>97</v>
      </c>
      <c r="D241" s="1"/>
      <c r="E241" s="1"/>
      <c r="F241" s="66"/>
      <c r="G241" s="66"/>
      <c r="H241" s="1"/>
      <c r="I241" s="1"/>
      <c r="J241" s="1"/>
      <c r="K241" s="1"/>
      <c r="L241" s="18"/>
      <c r="M241" s="18"/>
      <c r="N241" s="18"/>
      <c r="O241" s="18"/>
      <c r="P241" s="18"/>
      <c r="Q241" s="155"/>
      <c r="R241" s="155"/>
      <c r="S241" s="1"/>
    </row>
    <row r="242" spans="1:24" x14ac:dyDescent="0.35">
      <c r="A242" s="22">
        <v>45257</v>
      </c>
      <c r="B242" s="36"/>
      <c r="C242" s="36" t="s">
        <v>97</v>
      </c>
      <c r="D242" s="1"/>
      <c r="E242" s="1"/>
      <c r="F242" s="66"/>
      <c r="G242" s="66"/>
      <c r="H242" s="1"/>
      <c r="I242" s="1"/>
      <c r="J242" s="1"/>
      <c r="K242" s="1"/>
      <c r="L242" s="18"/>
      <c r="M242" s="18"/>
      <c r="N242" s="18"/>
      <c r="O242" s="18"/>
      <c r="P242" s="18"/>
      <c r="Q242" s="155"/>
      <c r="R242" s="155"/>
      <c r="S242" s="1"/>
    </row>
    <row r="243" spans="1:24" x14ac:dyDescent="0.35">
      <c r="A243" s="22">
        <v>45258</v>
      </c>
      <c r="B243" s="36"/>
      <c r="C243" s="36" t="s">
        <v>97</v>
      </c>
      <c r="D243" s="1"/>
      <c r="E243" s="1"/>
      <c r="F243" s="66"/>
      <c r="G243" s="66"/>
      <c r="H243" s="1"/>
      <c r="I243" s="1"/>
      <c r="J243" s="1"/>
      <c r="K243" s="1"/>
      <c r="L243" s="18"/>
      <c r="M243" s="18"/>
      <c r="N243" s="18"/>
      <c r="O243" s="18"/>
      <c r="P243" s="18"/>
      <c r="Q243" s="155"/>
      <c r="R243" s="155"/>
      <c r="S243" s="1"/>
    </row>
    <row r="244" spans="1:24" x14ac:dyDescent="0.35">
      <c r="A244" s="22">
        <v>45259</v>
      </c>
      <c r="B244" s="36"/>
      <c r="C244" s="36" t="s">
        <v>97</v>
      </c>
      <c r="D244" s="1"/>
      <c r="E244" s="1"/>
      <c r="F244" s="66"/>
      <c r="G244" s="66"/>
      <c r="H244" s="1"/>
      <c r="I244" s="1"/>
      <c r="J244" s="1"/>
      <c r="K244" s="1"/>
      <c r="L244" s="18"/>
      <c r="M244" s="18"/>
      <c r="N244" s="18"/>
      <c r="O244" s="18"/>
      <c r="P244" s="18"/>
      <c r="Q244" s="155"/>
      <c r="R244" s="155"/>
      <c r="S244" s="1"/>
    </row>
    <row r="245" spans="1:24" x14ac:dyDescent="0.35">
      <c r="A245" s="22">
        <v>45260</v>
      </c>
      <c r="B245" s="36"/>
      <c r="C245" s="36" t="s">
        <v>97</v>
      </c>
      <c r="D245" s="1"/>
      <c r="E245" s="1"/>
      <c r="F245" s="66"/>
      <c r="G245" s="66"/>
      <c r="H245" s="1"/>
      <c r="I245" s="1"/>
      <c r="J245" s="1"/>
      <c r="K245" s="1"/>
      <c r="L245" s="18"/>
      <c r="M245" s="18"/>
      <c r="N245" s="18"/>
      <c r="O245" s="18"/>
      <c r="P245" s="18"/>
      <c r="Q245" s="155"/>
      <c r="R245" s="155"/>
      <c r="S245" s="1"/>
    </row>
    <row r="246" spans="1:24" s="50" customFormat="1" x14ac:dyDescent="0.35">
      <c r="A246" s="22">
        <v>45261</v>
      </c>
      <c r="B246" s="36"/>
      <c r="C246" s="36" t="s">
        <v>97</v>
      </c>
      <c r="D246" s="1"/>
      <c r="E246" s="1"/>
      <c r="F246" s="66"/>
      <c r="G246" s="66"/>
      <c r="H246" s="1"/>
      <c r="I246" s="1"/>
      <c r="J246" s="1"/>
      <c r="K246" s="1"/>
      <c r="L246" s="18"/>
      <c r="M246" s="18"/>
      <c r="N246" s="18"/>
      <c r="O246" s="18"/>
      <c r="P246" s="18"/>
      <c r="Q246" s="155"/>
      <c r="R246" s="155"/>
      <c r="S246" s="1"/>
      <c r="V246"/>
      <c r="W246"/>
      <c r="X246"/>
    </row>
    <row r="247" spans="1:24" x14ac:dyDescent="0.35">
      <c r="A247" s="22">
        <v>45262</v>
      </c>
      <c r="B247" s="36"/>
      <c r="C247" s="36" t="s">
        <v>97</v>
      </c>
      <c r="D247" s="1"/>
      <c r="E247" s="1"/>
      <c r="F247" s="66"/>
      <c r="G247" s="66"/>
      <c r="H247" s="1"/>
      <c r="I247" s="1"/>
      <c r="J247" s="1"/>
      <c r="K247" s="1"/>
      <c r="L247" s="18"/>
      <c r="M247" s="18"/>
      <c r="N247" s="18"/>
      <c r="O247" s="18"/>
      <c r="P247" s="18"/>
      <c r="Q247" s="155"/>
      <c r="R247" s="155"/>
      <c r="S247" s="1"/>
    </row>
    <row r="248" spans="1:24" x14ac:dyDescent="0.35">
      <c r="A248" s="22">
        <v>45263</v>
      </c>
      <c r="B248" s="36"/>
      <c r="C248" s="36" t="s">
        <v>97</v>
      </c>
      <c r="D248" s="1"/>
      <c r="E248" s="1"/>
      <c r="F248" s="66"/>
      <c r="G248" s="66"/>
      <c r="H248" s="1"/>
      <c r="I248" s="1"/>
      <c r="J248" s="1"/>
      <c r="K248" s="1"/>
      <c r="L248" s="18"/>
      <c r="M248" s="18"/>
      <c r="N248" s="18"/>
      <c r="O248" s="18"/>
      <c r="P248" s="18"/>
      <c r="Q248" s="155"/>
      <c r="R248" s="155"/>
      <c r="S248" s="1"/>
    </row>
    <row r="249" spans="1:24" x14ac:dyDescent="0.35">
      <c r="A249" s="22">
        <v>45264</v>
      </c>
      <c r="B249" s="36"/>
      <c r="C249" s="36" t="s">
        <v>97</v>
      </c>
      <c r="D249" s="1"/>
      <c r="E249" s="1"/>
      <c r="F249" s="66"/>
      <c r="G249" s="66"/>
      <c r="H249" s="1"/>
      <c r="I249" s="1"/>
      <c r="J249" s="1"/>
      <c r="K249" s="1"/>
      <c r="L249" s="18"/>
      <c r="M249" s="18"/>
      <c r="N249" s="18"/>
      <c r="O249" s="18"/>
      <c r="P249" s="18"/>
      <c r="Q249" s="155"/>
      <c r="R249" s="155"/>
      <c r="S249" s="1"/>
    </row>
    <row r="250" spans="1:24" x14ac:dyDescent="0.35">
      <c r="A250" s="22">
        <v>45265</v>
      </c>
      <c r="B250" s="36"/>
      <c r="C250" s="36" t="s">
        <v>97</v>
      </c>
      <c r="D250" s="1"/>
      <c r="E250" s="1"/>
      <c r="F250" s="66"/>
      <c r="G250" s="66"/>
      <c r="H250" s="1"/>
      <c r="I250" s="1"/>
      <c r="J250" s="1"/>
      <c r="K250" s="1"/>
      <c r="L250" s="18"/>
      <c r="M250" s="18"/>
      <c r="N250" s="18"/>
      <c r="O250" s="18"/>
      <c r="P250" s="18"/>
      <c r="Q250" s="155"/>
      <c r="R250" s="155"/>
      <c r="S250" s="1"/>
    </row>
    <row r="251" spans="1:24" x14ac:dyDescent="0.35">
      <c r="A251" s="22">
        <v>45266</v>
      </c>
      <c r="B251" s="36"/>
      <c r="C251" s="36" t="s">
        <v>97</v>
      </c>
      <c r="D251" s="1"/>
      <c r="E251" s="1"/>
      <c r="F251" s="66"/>
      <c r="G251" s="66"/>
      <c r="H251" s="1"/>
      <c r="I251" s="1"/>
      <c r="J251" s="1"/>
      <c r="K251" s="1"/>
      <c r="L251" s="18"/>
      <c r="M251" s="18"/>
      <c r="N251" s="18"/>
      <c r="O251" s="18"/>
      <c r="P251" s="18"/>
      <c r="Q251" s="155"/>
      <c r="R251" s="155"/>
      <c r="S251" s="1"/>
    </row>
    <row r="252" spans="1:24" x14ac:dyDescent="0.35">
      <c r="A252" s="22">
        <v>45267</v>
      </c>
      <c r="B252" s="36"/>
      <c r="C252" s="36" t="s">
        <v>97</v>
      </c>
      <c r="D252" s="1"/>
      <c r="E252" s="1"/>
      <c r="F252" s="66"/>
      <c r="G252" s="66"/>
      <c r="H252" s="1"/>
      <c r="I252" s="1"/>
      <c r="J252" s="1"/>
      <c r="K252" s="1"/>
      <c r="L252" s="18"/>
      <c r="M252" s="18"/>
      <c r="N252" s="18"/>
      <c r="O252" s="18"/>
      <c r="P252" s="18"/>
      <c r="Q252" s="155"/>
      <c r="R252" s="155"/>
      <c r="S252" s="1"/>
    </row>
    <row r="253" spans="1:24" x14ac:dyDescent="0.35">
      <c r="A253" s="22">
        <v>45268</v>
      </c>
      <c r="B253" s="36"/>
      <c r="C253" s="36" t="s">
        <v>97</v>
      </c>
      <c r="D253" s="1"/>
      <c r="E253" s="1"/>
      <c r="F253" s="66"/>
      <c r="G253" s="66"/>
      <c r="H253" s="1"/>
      <c r="I253" s="1"/>
      <c r="J253" s="1"/>
      <c r="K253" s="1"/>
      <c r="L253" s="18"/>
      <c r="M253" s="18"/>
      <c r="N253" s="18"/>
      <c r="O253" s="18"/>
      <c r="P253" s="18"/>
      <c r="Q253" s="155"/>
      <c r="R253" s="155"/>
      <c r="S253" s="1"/>
    </row>
    <row r="254" spans="1:24" x14ac:dyDescent="0.35">
      <c r="A254" s="22">
        <v>45269</v>
      </c>
      <c r="B254" s="36"/>
      <c r="C254" s="36" t="s">
        <v>97</v>
      </c>
      <c r="D254" s="1"/>
      <c r="E254" s="1"/>
      <c r="F254" s="66"/>
      <c r="G254" s="66"/>
      <c r="H254" s="1"/>
      <c r="I254" s="1"/>
      <c r="J254" s="1"/>
      <c r="K254" s="1"/>
      <c r="L254" s="18"/>
      <c r="M254" s="18"/>
      <c r="N254" s="18"/>
      <c r="O254" s="18"/>
      <c r="P254" s="18"/>
      <c r="Q254" s="155"/>
      <c r="R254" s="155"/>
      <c r="S254" s="1"/>
    </row>
    <row r="255" spans="1:24" x14ac:dyDescent="0.35">
      <c r="A255" s="22">
        <v>45270</v>
      </c>
      <c r="B255" s="36"/>
      <c r="C255" s="36" t="s">
        <v>97</v>
      </c>
      <c r="D255" s="1"/>
      <c r="E255" s="1"/>
      <c r="F255" s="66"/>
      <c r="G255" s="66"/>
      <c r="H255" s="1"/>
      <c r="I255" s="1"/>
      <c r="J255" s="1"/>
      <c r="K255" s="1"/>
      <c r="L255" s="18"/>
      <c r="M255" s="18"/>
      <c r="N255" s="18"/>
      <c r="O255" s="18"/>
      <c r="P255" s="18"/>
      <c r="Q255" s="155"/>
      <c r="R255" s="155"/>
      <c r="S255" s="1"/>
    </row>
    <row r="256" spans="1:24" x14ac:dyDescent="0.35">
      <c r="A256" s="22">
        <v>45271</v>
      </c>
      <c r="B256" s="36"/>
      <c r="C256" s="36" t="s">
        <v>97</v>
      </c>
      <c r="D256" s="1"/>
      <c r="E256" s="1"/>
      <c r="F256" s="66"/>
      <c r="G256" s="66"/>
      <c r="H256" s="1"/>
      <c r="I256" s="1"/>
      <c r="J256" s="1"/>
      <c r="K256" s="1"/>
      <c r="L256" s="18"/>
      <c r="M256" s="18"/>
      <c r="N256" s="18"/>
      <c r="O256" s="18"/>
      <c r="P256" s="18"/>
      <c r="Q256" s="155"/>
      <c r="R256" s="155"/>
      <c r="S256" s="1"/>
    </row>
    <row r="257" spans="1:24" x14ac:dyDescent="0.35">
      <c r="A257" s="22">
        <v>45272</v>
      </c>
      <c r="B257" s="36"/>
      <c r="C257" s="36" t="s">
        <v>97</v>
      </c>
      <c r="D257" s="1"/>
      <c r="E257" s="1"/>
      <c r="F257" s="66"/>
      <c r="G257" s="66"/>
      <c r="H257" s="1"/>
      <c r="I257" s="1"/>
      <c r="J257" s="1"/>
      <c r="K257" s="1"/>
      <c r="L257" s="18"/>
      <c r="M257" s="18"/>
      <c r="N257" s="18"/>
      <c r="O257" s="18"/>
      <c r="P257" s="18"/>
      <c r="Q257" s="155"/>
      <c r="R257" s="155"/>
      <c r="S257" s="1"/>
    </row>
    <row r="258" spans="1:24" x14ac:dyDescent="0.35">
      <c r="A258" s="22">
        <v>45273</v>
      </c>
      <c r="B258" s="36"/>
      <c r="C258" s="36" t="s">
        <v>97</v>
      </c>
      <c r="D258" s="1"/>
      <c r="E258" s="1"/>
      <c r="F258" s="66"/>
      <c r="G258" s="66"/>
      <c r="H258" s="1"/>
      <c r="I258" s="1"/>
      <c r="J258" s="1"/>
      <c r="K258" s="1"/>
      <c r="L258" s="18"/>
      <c r="M258" s="18"/>
      <c r="N258" s="18"/>
      <c r="O258" s="18"/>
      <c r="P258" s="18"/>
      <c r="Q258" s="155"/>
      <c r="R258" s="155"/>
      <c r="S258" s="1"/>
    </row>
    <row r="259" spans="1:24" x14ac:dyDescent="0.35">
      <c r="A259" s="22">
        <v>45274</v>
      </c>
      <c r="B259" s="36"/>
      <c r="C259" s="36" t="s">
        <v>97</v>
      </c>
      <c r="D259" s="1"/>
      <c r="E259" s="1"/>
      <c r="F259" s="66"/>
      <c r="G259" s="66"/>
      <c r="H259" s="1"/>
      <c r="I259" s="1"/>
      <c r="J259" s="1"/>
      <c r="K259" s="1"/>
      <c r="L259" s="18"/>
      <c r="M259" s="18"/>
      <c r="N259" s="18"/>
      <c r="O259" s="18"/>
      <c r="P259" s="18"/>
      <c r="Q259" s="155"/>
      <c r="R259" s="155"/>
      <c r="S259" s="1"/>
    </row>
    <row r="260" spans="1:24" x14ac:dyDescent="0.35">
      <c r="A260" s="22">
        <v>45275</v>
      </c>
      <c r="B260" s="36"/>
      <c r="C260" s="36" t="s">
        <v>97</v>
      </c>
      <c r="D260" s="1"/>
      <c r="E260" s="1"/>
      <c r="F260" s="66"/>
      <c r="G260" s="66"/>
      <c r="H260" s="1"/>
      <c r="I260" s="1"/>
      <c r="J260" s="1"/>
      <c r="K260" s="1"/>
      <c r="L260" s="18"/>
      <c r="M260" s="18"/>
      <c r="N260" s="18"/>
      <c r="O260" s="18"/>
      <c r="P260" s="18"/>
      <c r="Q260" s="155"/>
      <c r="R260" s="155"/>
      <c r="S260" s="1"/>
    </row>
    <row r="261" spans="1:24" x14ac:dyDescent="0.35">
      <c r="A261" s="22">
        <v>45276</v>
      </c>
      <c r="B261" s="36"/>
      <c r="C261" s="36" t="s">
        <v>97</v>
      </c>
      <c r="D261" s="1"/>
      <c r="E261" s="1"/>
      <c r="F261" s="66"/>
      <c r="G261" s="66"/>
      <c r="H261" s="1"/>
      <c r="I261" s="1"/>
      <c r="J261" s="1"/>
      <c r="K261" s="1"/>
      <c r="L261" s="18"/>
      <c r="M261" s="18"/>
      <c r="N261" s="18"/>
      <c r="O261" s="18"/>
      <c r="P261" s="18"/>
      <c r="Q261" s="155"/>
      <c r="R261" s="155"/>
      <c r="S261" s="1"/>
    </row>
    <row r="262" spans="1:24" x14ac:dyDescent="0.35">
      <c r="A262" s="22">
        <v>45277</v>
      </c>
      <c r="B262" s="36"/>
      <c r="C262" s="36" t="s">
        <v>97</v>
      </c>
      <c r="D262" s="1"/>
      <c r="E262" s="1"/>
      <c r="F262" s="66"/>
      <c r="G262" s="66"/>
      <c r="H262" s="1"/>
      <c r="I262" s="1"/>
      <c r="J262" s="1"/>
      <c r="K262" s="1"/>
      <c r="L262" s="18"/>
      <c r="M262" s="18"/>
      <c r="N262" s="18"/>
      <c r="O262" s="18"/>
      <c r="P262" s="18"/>
      <c r="Q262" s="155"/>
      <c r="R262" s="155"/>
      <c r="S262" s="1"/>
    </row>
    <row r="263" spans="1:24" x14ac:dyDescent="0.35">
      <c r="A263" s="22">
        <v>45278</v>
      </c>
      <c r="B263" s="36"/>
      <c r="C263" s="36" t="s">
        <v>97</v>
      </c>
      <c r="D263" s="1"/>
      <c r="E263" s="1"/>
      <c r="F263" s="66"/>
      <c r="G263" s="66"/>
      <c r="H263" s="1"/>
      <c r="I263" s="1"/>
      <c r="J263" s="1"/>
      <c r="K263" s="1"/>
      <c r="L263" s="18"/>
      <c r="M263" s="18"/>
      <c r="N263" s="18"/>
      <c r="O263" s="18"/>
      <c r="P263" s="18"/>
      <c r="Q263" s="155"/>
      <c r="R263" s="155"/>
      <c r="S263" s="1"/>
      <c r="V263" s="50"/>
      <c r="W263" s="50"/>
      <c r="X263" s="50"/>
    </row>
    <row r="264" spans="1:24" x14ac:dyDescent="0.35">
      <c r="A264" s="22">
        <v>45279</v>
      </c>
      <c r="B264" s="36"/>
      <c r="C264" s="36" t="s">
        <v>97</v>
      </c>
      <c r="D264" s="1"/>
      <c r="E264" s="1"/>
      <c r="F264" s="66"/>
      <c r="G264" s="66"/>
      <c r="H264" s="1"/>
      <c r="I264" s="1"/>
      <c r="J264" s="1"/>
      <c r="K264" s="1"/>
      <c r="L264" s="18"/>
      <c r="M264" s="18"/>
      <c r="N264" s="18"/>
      <c r="O264" s="18"/>
      <c r="P264" s="18"/>
      <c r="Q264" s="155"/>
      <c r="R264" s="155"/>
      <c r="S264" s="1"/>
    </row>
    <row r="265" spans="1:24" x14ac:dyDescent="0.35">
      <c r="A265" s="22">
        <v>45280</v>
      </c>
      <c r="B265" s="36"/>
      <c r="C265" s="36" t="s">
        <v>97</v>
      </c>
      <c r="D265" s="1"/>
      <c r="E265" s="1"/>
      <c r="F265" s="66"/>
      <c r="G265" s="66"/>
      <c r="H265" s="1"/>
      <c r="I265" s="1"/>
      <c r="J265" s="1"/>
      <c r="K265" s="1"/>
      <c r="L265" s="18"/>
      <c r="M265" s="18"/>
      <c r="N265" s="18"/>
      <c r="O265" s="18"/>
      <c r="P265" s="18"/>
      <c r="Q265" s="155"/>
      <c r="R265" s="155"/>
      <c r="S265" s="1"/>
    </row>
    <row r="266" spans="1:24" x14ac:dyDescent="0.35">
      <c r="A266" s="22">
        <v>45281</v>
      </c>
      <c r="B266" s="36"/>
      <c r="C266" s="36" t="s">
        <v>97</v>
      </c>
      <c r="D266" s="1"/>
      <c r="E266" s="1"/>
      <c r="F266" s="66"/>
      <c r="G266" s="66"/>
      <c r="H266" s="1"/>
      <c r="I266" s="1"/>
      <c r="J266" s="1"/>
      <c r="K266" s="1"/>
      <c r="L266" s="18"/>
      <c r="M266" s="18"/>
      <c r="N266" s="18"/>
      <c r="O266" s="18"/>
      <c r="P266" s="18"/>
      <c r="Q266" s="155"/>
      <c r="R266" s="155"/>
      <c r="S266" s="1"/>
    </row>
    <row r="267" spans="1:24" x14ac:dyDescent="0.35">
      <c r="A267" s="22">
        <v>45282</v>
      </c>
      <c r="B267" s="36"/>
      <c r="C267" s="36" t="s">
        <v>97</v>
      </c>
      <c r="D267" s="1"/>
      <c r="E267" s="1"/>
      <c r="F267" s="66"/>
      <c r="G267" s="66"/>
      <c r="H267" s="1"/>
      <c r="I267" s="1"/>
      <c r="J267" s="1"/>
      <c r="K267" s="1"/>
      <c r="L267" s="18"/>
      <c r="M267" s="18"/>
      <c r="N267" s="18"/>
      <c r="O267" s="18"/>
      <c r="P267" s="18"/>
      <c r="Q267" s="155"/>
      <c r="R267" s="155"/>
      <c r="S267" s="1"/>
    </row>
    <row r="268" spans="1:24" x14ac:dyDescent="0.35">
      <c r="A268" s="22">
        <v>45283</v>
      </c>
      <c r="B268" s="36"/>
      <c r="C268" s="36" t="s">
        <v>97</v>
      </c>
      <c r="D268" s="1"/>
      <c r="E268" s="1"/>
      <c r="F268" s="66"/>
      <c r="G268" s="66"/>
      <c r="H268" s="1"/>
      <c r="I268" s="1"/>
      <c r="J268" s="1"/>
      <c r="K268" s="1"/>
      <c r="L268" s="18"/>
      <c r="M268" s="18"/>
      <c r="N268" s="18"/>
      <c r="O268" s="18"/>
      <c r="P268" s="18"/>
      <c r="Q268" s="155"/>
      <c r="R268" s="155"/>
      <c r="S268" s="1"/>
    </row>
    <row r="269" spans="1:24" x14ac:dyDescent="0.35">
      <c r="A269" s="22">
        <v>45284</v>
      </c>
      <c r="B269" s="36"/>
      <c r="C269" s="36" t="s">
        <v>97</v>
      </c>
      <c r="D269" s="1"/>
      <c r="E269" s="1"/>
      <c r="F269" s="66"/>
      <c r="G269" s="66"/>
      <c r="H269" s="1"/>
      <c r="I269" s="1"/>
      <c r="J269" s="1"/>
      <c r="K269" s="1"/>
      <c r="L269" s="18"/>
      <c r="M269" s="18"/>
      <c r="N269" s="18"/>
      <c r="O269" s="18"/>
      <c r="P269" s="18"/>
      <c r="Q269" s="155"/>
      <c r="R269" s="155"/>
      <c r="S269" s="1"/>
    </row>
    <row r="270" spans="1:24" x14ac:dyDescent="0.35">
      <c r="A270" s="22">
        <v>45285</v>
      </c>
      <c r="B270" s="36"/>
      <c r="C270" s="36" t="s">
        <v>97</v>
      </c>
      <c r="D270" s="1"/>
      <c r="E270" s="1"/>
      <c r="F270" s="66"/>
      <c r="G270" s="66"/>
      <c r="H270" s="1"/>
      <c r="I270" s="1"/>
      <c r="J270" s="1"/>
      <c r="K270" s="1"/>
      <c r="L270" s="18"/>
      <c r="M270" s="18"/>
      <c r="N270" s="18"/>
      <c r="O270" s="18"/>
      <c r="P270" s="18"/>
      <c r="Q270" s="155"/>
      <c r="R270" s="155"/>
      <c r="S270" s="1"/>
    </row>
    <row r="271" spans="1:24" x14ac:dyDescent="0.35">
      <c r="A271" s="22">
        <v>45286</v>
      </c>
      <c r="B271" s="36"/>
      <c r="C271" s="36" t="s">
        <v>97</v>
      </c>
      <c r="D271" s="1"/>
      <c r="E271" s="1"/>
      <c r="F271" s="66"/>
      <c r="G271" s="66"/>
      <c r="H271" s="1"/>
      <c r="I271" s="1"/>
      <c r="J271" s="1"/>
      <c r="K271" s="1"/>
      <c r="L271" s="18"/>
      <c r="M271" s="18"/>
      <c r="N271" s="18"/>
      <c r="O271" s="18"/>
      <c r="P271" s="18"/>
      <c r="Q271" s="155"/>
      <c r="R271" s="155"/>
      <c r="S271" s="1"/>
    </row>
    <row r="272" spans="1:24" x14ac:dyDescent="0.35">
      <c r="A272" s="22">
        <v>45287</v>
      </c>
      <c r="B272" s="36"/>
      <c r="C272" s="36" t="s">
        <v>97</v>
      </c>
      <c r="D272" s="1"/>
      <c r="E272" s="1"/>
      <c r="F272" s="66"/>
      <c r="G272" s="66"/>
      <c r="H272" s="1"/>
      <c r="I272" s="1"/>
      <c r="J272" s="1"/>
      <c r="K272" s="1"/>
      <c r="L272" s="18"/>
      <c r="M272" s="18"/>
      <c r="N272" s="18"/>
      <c r="O272" s="18"/>
      <c r="P272" s="18"/>
      <c r="Q272" s="155"/>
      <c r="R272" s="155"/>
      <c r="S272" s="1"/>
    </row>
    <row r="273" spans="1:24" x14ac:dyDescent="0.35">
      <c r="A273" s="22">
        <v>45288</v>
      </c>
      <c r="B273" s="36"/>
      <c r="C273" s="36" t="s">
        <v>97</v>
      </c>
      <c r="D273" s="1"/>
      <c r="E273" s="1"/>
      <c r="F273" s="66"/>
      <c r="G273" s="66"/>
      <c r="H273" s="1"/>
      <c r="I273" s="1"/>
      <c r="J273" s="1"/>
      <c r="K273" s="1"/>
      <c r="L273" s="18"/>
      <c r="M273" s="18"/>
      <c r="N273" s="18"/>
      <c r="O273" s="18"/>
      <c r="P273" s="18"/>
      <c r="Q273" s="155"/>
      <c r="R273" s="155"/>
      <c r="S273" s="1"/>
    </row>
    <row r="274" spans="1:24" x14ac:dyDescent="0.35">
      <c r="A274" s="22">
        <v>45289</v>
      </c>
      <c r="B274" s="36"/>
      <c r="C274" s="36" t="s">
        <v>97</v>
      </c>
      <c r="D274" s="1"/>
      <c r="E274" s="1"/>
      <c r="F274" s="66"/>
      <c r="G274" s="66"/>
      <c r="H274" s="1"/>
      <c r="I274" s="1"/>
      <c r="J274" s="1"/>
      <c r="K274" s="1"/>
      <c r="L274" s="18"/>
      <c r="M274" s="18"/>
      <c r="N274" s="18"/>
      <c r="O274" s="18"/>
      <c r="P274" s="18"/>
      <c r="Q274" s="155"/>
      <c r="R274" s="155"/>
      <c r="S274" s="1"/>
    </row>
    <row r="275" spans="1:24" x14ac:dyDescent="0.35">
      <c r="A275" s="22">
        <v>45290</v>
      </c>
      <c r="B275" s="36"/>
      <c r="C275" s="36" t="s">
        <v>97</v>
      </c>
      <c r="D275" s="1"/>
      <c r="E275" s="1"/>
      <c r="F275" s="66"/>
      <c r="G275" s="66"/>
      <c r="H275" s="1"/>
      <c r="I275" s="1"/>
      <c r="J275" s="1"/>
      <c r="K275" s="1"/>
      <c r="L275" s="18"/>
      <c r="M275" s="18"/>
      <c r="N275" s="18"/>
      <c r="O275" s="18"/>
      <c r="P275" s="18"/>
      <c r="Q275" s="155"/>
      <c r="R275" s="155"/>
      <c r="S275" s="1"/>
    </row>
    <row r="276" spans="1:24" x14ac:dyDescent="0.35">
      <c r="A276" s="22">
        <v>45291</v>
      </c>
      <c r="B276" s="36"/>
      <c r="C276" s="36" t="s">
        <v>97</v>
      </c>
      <c r="D276" s="1"/>
      <c r="E276" s="1"/>
      <c r="F276" s="66"/>
      <c r="G276" s="66"/>
      <c r="H276" s="1"/>
      <c r="I276" s="1"/>
      <c r="J276" s="1"/>
      <c r="K276" s="1"/>
      <c r="L276" s="18"/>
      <c r="M276" s="18"/>
      <c r="N276" s="18"/>
      <c r="O276" s="18"/>
      <c r="P276" s="18"/>
      <c r="Q276" s="155"/>
      <c r="R276" s="155"/>
      <c r="S276" s="1"/>
    </row>
    <row r="277" spans="1:24" s="50" customFormat="1" x14ac:dyDescent="0.35">
      <c r="A277" s="22">
        <v>45292</v>
      </c>
      <c r="B277" s="36"/>
      <c r="C277" s="36" t="s">
        <v>97</v>
      </c>
      <c r="D277" s="1"/>
      <c r="E277" s="1"/>
      <c r="F277" s="66"/>
      <c r="G277" s="66"/>
      <c r="H277" s="1"/>
      <c r="I277" s="1"/>
      <c r="J277" s="1"/>
      <c r="K277" s="1"/>
      <c r="L277" s="18"/>
      <c r="M277" s="18"/>
      <c r="N277" s="18"/>
      <c r="O277" s="18"/>
      <c r="P277" s="18"/>
      <c r="Q277" s="155"/>
      <c r="R277" s="155"/>
      <c r="S277" s="1"/>
      <c r="V277"/>
      <c r="W277"/>
      <c r="X277"/>
    </row>
    <row r="278" spans="1:24" x14ac:dyDescent="0.35">
      <c r="A278" s="22">
        <v>45293</v>
      </c>
      <c r="B278" s="36"/>
      <c r="C278" s="36" t="s">
        <v>97</v>
      </c>
      <c r="D278" s="1"/>
      <c r="E278" s="1"/>
      <c r="F278" s="66"/>
      <c r="G278" s="66"/>
      <c r="H278" s="1"/>
      <c r="I278" s="1"/>
      <c r="J278" s="1"/>
      <c r="K278" s="1"/>
      <c r="L278" s="18"/>
      <c r="M278" s="18"/>
      <c r="N278" s="18"/>
      <c r="O278" s="18"/>
      <c r="P278" s="18"/>
      <c r="Q278" s="155"/>
      <c r="R278" s="155"/>
      <c r="S278" s="1"/>
    </row>
    <row r="279" spans="1:24" x14ac:dyDescent="0.35">
      <c r="A279" s="22">
        <v>45294</v>
      </c>
      <c r="B279" s="36"/>
      <c r="C279" s="36" t="s">
        <v>97</v>
      </c>
      <c r="D279" s="1"/>
      <c r="E279" s="1"/>
      <c r="F279" s="66"/>
      <c r="G279" s="66"/>
      <c r="H279" s="1"/>
      <c r="I279" s="1"/>
      <c r="J279" s="1"/>
      <c r="K279" s="1"/>
      <c r="L279" s="18"/>
      <c r="M279" s="18"/>
      <c r="N279" s="18"/>
      <c r="O279" s="18"/>
      <c r="P279" s="18"/>
      <c r="Q279" s="155"/>
      <c r="R279" s="155"/>
      <c r="S279" s="1"/>
    </row>
    <row r="280" spans="1:24" x14ac:dyDescent="0.35">
      <c r="A280" s="22">
        <v>45295</v>
      </c>
      <c r="B280" s="36"/>
      <c r="C280" s="36" t="s">
        <v>97</v>
      </c>
      <c r="D280" s="1"/>
      <c r="E280" s="1"/>
      <c r="F280" s="66"/>
      <c r="G280" s="66"/>
      <c r="H280" s="1"/>
      <c r="I280" s="1"/>
      <c r="J280" s="1"/>
      <c r="K280" s="1"/>
      <c r="L280" s="18"/>
      <c r="M280" s="18"/>
      <c r="N280" s="18"/>
      <c r="O280" s="18"/>
      <c r="P280" s="18"/>
      <c r="Q280" s="155"/>
      <c r="R280" s="155"/>
      <c r="S280" s="1"/>
    </row>
    <row r="281" spans="1:24" x14ac:dyDescent="0.35">
      <c r="A281" s="22">
        <v>45296</v>
      </c>
      <c r="B281" s="36"/>
      <c r="C281" s="36" t="s">
        <v>97</v>
      </c>
      <c r="D281" s="1"/>
      <c r="E281" s="1"/>
      <c r="F281" s="66"/>
      <c r="G281" s="66"/>
      <c r="H281" s="1"/>
      <c r="I281" s="1"/>
      <c r="J281" s="1"/>
      <c r="K281" s="1"/>
      <c r="L281" s="18"/>
      <c r="M281" s="18"/>
      <c r="N281" s="18"/>
      <c r="O281" s="18"/>
      <c r="P281" s="18"/>
      <c r="Q281" s="155"/>
      <c r="R281" s="155"/>
      <c r="S281" s="1"/>
    </row>
    <row r="282" spans="1:24" x14ac:dyDescent="0.35">
      <c r="A282" s="22">
        <v>45297</v>
      </c>
      <c r="B282" s="36"/>
      <c r="C282" s="36" t="s">
        <v>97</v>
      </c>
      <c r="D282" s="1"/>
      <c r="E282" s="1"/>
      <c r="F282" s="66"/>
      <c r="G282" s="66"/>
      <c r="H282" s="1"/>
      <c r="I282" s="1"/>
      <c r="J282" s="1"/>
      <c r="K282" s="1"/>
      <c r="L282" s="18"/>
      <c r="M282" s="18"/>
      <c r="N282" s="18"/>
      <c r="O282" s="18"/>
      <c r="P282" s="18"/>
      <c r="Q282" s="155"/>
      <c r="R282" s="155"/>
      <c r="S282" s="1"/>
    </row>
    <row r="283" spans="1:24" x14ac:dyDescent="0.35">
      <c r="A283" s="22">
        <v>45298</v>
      </c>
      <c r="B283" s="36"/>
      <c r="C283" s="36" t="s">
        <v>97</v>
      </c>
      <c r="D283" s="1"/>
      <c r="E283" s="1"/>
      <c r="F283" s="66"/>
      <c r="G283" s="66"/>
      <c r="H283" s="1"/>
      <c r="I283" s="1"/>
      <c r="J283" s="1"/>
      <c r="K283" s="1"/>
      <c r="L283" s="18"/>
      <c r="M283" s="18"/>
      <c r="N283" s="18"/>
      <c r="O283" s="18"/>
      <c r="P283" s="18"/>
      <c r="Q283" s="155"/>
      <c r="R283" s="155"/>
      <c r="S283" s="1"/>
    </row>
    <row r="284" spans="1:24" x14ac:dyDescent="0.35">
      <c r="A284" s="22">
        <v>45299</v>
      </c>
      <c r="B284" s="36"/>
      <c r="C284" s="36" t="s">
        <v>97</v>
      </c>
      <c r="D284" s="1"/>
      <c r="E284" s="1"/>
      <c r="F284" s="66"/>
      <c r="G284" s="66"/>
      <c r="H284" s="1"/>
      <c r="I284" s="1"/>
      <c r="J284" s="1"/>
      <c r="K284" s="1"/>
      <c r="L284" s="18"/>
      <c r="M284" s="18"/>
      <c r="N284" s="18"/>
      <c r="O284" s="18"/>
      <c r="P284" s="18"/>
      <c r="Q284" s="155"/>
      <c r="R284" s="155"/>
      <c r="S284" s="1"/>
    </row>
    <row r="285" spans="1:24" x14ac:dyDescent="0.35">
      <c r="A285" s="22">
        <v>45300</v>
      </c>
      <c r="B285" s="36"/>
      <c r="C285" s="36" t="s">
        <v>97</v>
      </c>
      <c r="D285" s="1"/>
      <c r="E285" s="1"/>
      <c r="F285" s="66"/>
      <c r="G285" s="66"/>
      <c r="H285" s="1"/>
      <c r="I285" s="1"/>
      <c r="J285" s="1"/>
      <c r="K285" s="1"/>
      <c r="L285" s="18"/>
      <c r="M285" s="18"/>
      <c r="N285" s="18"/>
      <c r="O285" s="18"/>
      <c r="P285" s="18"/>
      <c r="Q285" s="155"/>
      <c r="R285" s="155"/>
      <c r="S285" s="1"/>
    </row>
    <row r="286" spans="1:24" x14ac:dyDescent="0.35">
      <c r="A286" s="22">
        <v>45301</v>
      </c>
      <c r="B286" s="36"/>
      <c r="C286" s="36" t="s">
        <v>97</v>
      </c>
      <c r="D286" s="1"/>
      <c r="E286" s="1"/>
      <c r="F286" s="66"/>
      <c r="G286" s="66"/>
      <c r="H286" s="1"/>
      <c r="I286" s="1"/>
      <c r="J286" s="1"/>
      <c r="K286" s="1"/>
      <c r="L286" s="18"/>
      <c r="M286" s="18"/>
      <c r="N286" s="18"/>
      <c r="O286" s="18"/>
      <c r="P286" s="18"/>
      <c r="Q286" s="155"/>
      <c r="R286" s="155"/>
      <c r="S286" s="1"/>
    </row>
    <row r="287" spans="1:24" x14ac:dyDescent="0.35">
      <c r="A287" s="22">
        <v>45302</v>
      </c>
      <c r="B287" s="36"/>
      <c r="C287" s="36" t="s">
        <v>97</v>
      </c>
      <c r="D287" s="1"/>
      <c r="E287" s="1"/>
      <c r="F287" s="66"/>
      <c r="G287" s="66"/>
      <c r="H287" s="1"/>
      <c r="I287" s="1"/>
      <c r="J287" s="1"/>
      <c r="K287" s="1"/>
      <c r="L287" s="18"/>
      <c r="M287" s="18"/>
      <c r="N287" s="18"/>
      <c r="O287" s="18"/>
      <c r="P287" s="18"/>
      <c r="Q287" s="155"/>
      <c r="R287" s="155"/>
      <c r="S287" s="1"/>
      <c r="V287" s="50"/>
      <c r="W287" s="50"/>
      <c r="X287" s="50"/>
    </row>
    <row r="288" spans="1:24" x14ac:dyDescent="0.35">
      <c r="A288" s="22">
        <v>45303</v>
      </c>
      <c r="B288" s="36"/>
      <c r="C288" s="36" t="s">
        <v>97</v>
      </c>
      <c r="D288" s="1"/>
      <c r="E288" s="1"/>
      <c r="F288" s="66"/>
      <c r="G288" s="66"/>
      <c r="H288" s="1"/>
      <c r="I288" s="1"/>
      <c r="J288" s="1"/>
      <c r="K288" s="1"/>
      <c r="L288" s="18"/>
      <c r="M288" s="18"/>
      <c r="N288" s="18"/>
      <c r="O288" s="18"/>
      <c r="P288" s="18"/>
      <c r="Q288" s="155"/>
      <c r="R288" s="155"/>
      <c r="S288" s="1"/>
    </row>
    <row r="289" spans="1:19" x14ac:dyDescent="0.35">
      <c r="A289" s="22">
        <v>45304</v>
      </c>
      <c r="B289" s="36"/>
      <c r="C289" s="36" t="s">
        <v>97</v>
      </c>
      <c r="D289" s="1"/>
      <c r="E289" s="1"/>
      <c r="F289" s="66"/>
      <c r="G289" s="66"/>
      <c r="H289" s="1"/>
      <c r="I289" s="1"/>
      <c r="J289" s="1"/>
      <c r="K289" s="1"/>
      <c r="L289" s="18"/>
      <c r="M289" s="18"/>
      <c r="N289" s="18"/>
      <c r="O289" s="18"/>
      <c r="P289" s="18"/>
      <c r="Q289" s="155"/>
      <c r="R289" s="155"/>
      <c r="S289" s="1"/>
    </row>
    <row r="290" spans="1:19" x14ac:dyDescent="0.35">
      <c r="A290" s="22">
        <v>45305</v>
      </c>
      <c r="B290" s="36"/>
      <c r="C290" s="36" t="s">
        <v>97</v>
      </c>
      <c r="D290" s="1"/>
      <c r="E290" s="1"/>
      <c r="F290" s="66"/>
      <c r="G290" s="66"/>
      <c r="H290" s="1"/>
      <c r="I290" s="1"/>
      <c r="J290" s="1"/>
      <c r="K290" s="1"/>
      <c r="L290" s="18"/>
      <c r="M290" s="18"/>
      <c r="N290" s="18"/>
      <c r="O290" s="18"/>
      <c r="P290" s="18"/>
      <c r="Q290" s="155"/>
      <c r="R290" s="155"/>
      <c r="S290" s="1"/>
    </row>
    <row r="291" spans="1:19" x14ac:dyDescent="0.35">
      <c r="A291" s="22">
        <v>45306</v>
      </c>
      <c r="B291" s="36"/>
      <c r="C291" s="36" t="s">
        <v>97</v>
      </c>
      <c r="D291" s="1"/>
      <c r="E291" s="1"/>
      <c r="F291" s="66"/>
      <c r="G291" s="66"/>
      <c r="H291" s="1"/>
      <c r="I291" s="1"/>
      <c r="J291" s="1"/>
      <c r="K291" s="1"/>
      <c r="L291" s="18"/>
      <c r="M291" s="18"/>
      <c r="N291" s="18"/>
      <c r="O291" s="18"/>
      <c r="P291" s="18"/>
      <c r="Q291" s="155"/>
      <c r="R291" s="155"/>
      <c r="S291" s="1"/>
    </row>
    <row r="292" spans="1:19" x14ac:dyDescent="0.35">
      <c r="A292" s="22">
        <v>45307</v>
      </c>
      <c r="B292" s="36"/>
      <c r="C292" s="36" t="s">
        <v>97</v>
      </c>
      <c r="D292" s="1"/>
      <c r="E292" s="1"/>
      <c r="F292" s="66"/>
      <c r="G292" s="66"/>
      <c r="H292" s="1"/>
      <c r="I292" s="1"/>
      <c r="J292" s="1"/>
      <c r="K292" s="1"/>
      <c r="L292" s="18"/>
      <c r="M292" s="18"/>
      <c r="N292" s="18"/>
      <c r="O292" s="18"/>
      <c r="P292" s="18"/>
      <c r="Q292" s="155"/>
      <c r="R292" s="155"/>
      <c r="S292" s="1"/>
    </row>
    <row r="293" spans="1:19" x14ac:dyDescent="0.35">
      <c r="A293" s="22">
        <v>45308</v>
      </c>
      <c r="B293" s="36"/>
      <c r="C293" s="36" t="s">
        <v>97</v>
      </c>
      <c r="D293" s="1"/>
      <c r="E293" s="1"/>
      <c r="F293" s="66"/>
      <c r="G293" s="66"/>
      <c r="H293" s="1"/>
      <c r="I293" s="1"/>
      <c r="J293" s="1"/>
      <c r="K293" s="1"/>
      <c r="L293" s="18"/>
      <c r="M293" s="18"/>
      <c r="N293" s="18"/>
      <c r="O293" s="18"/>
      <c r="P293" s="18"/>
      <c r="Q293" s="155"/>
      <c r="R293" s="155"/>
      <c r="S293" s="1"/>
    </row>
    <row r="294" spans="1:19" x14ac:dyDescent="0.35">
      <c r="A294" s="22">
        <v>45309</v>
      </c>
      <c r="B294" s="36"/>
      <c r="C294" s="36" t="s">
        <v>97</v>
      </c>
      <c r="D294" s="1"/>
      <c r="E294" s="1"/>
      <c r="F294" s="66"/>
      <c r="G294" s="66"/>
      <c r="H294" s="1"/>
      <c r="I294" s="1"/>
      <c r="J294" s="1"/>
      <c r="K294" s="1"/>
      <c r="L294" s="18"/>
      <c r="M294" s="18"/>
      <c r="N294" s="18"/>
      <c r="O294" s="18"/>
      <c r="P294" s="18"/>
      <c r="Q294" s="155"/>
      <c r="R294" s="155"/>
      <c r="S294" s="1"/>
    </row>
    <row r="295" spans="1:19" x14ac:dyDescent="0.35">
      <c r="A295" s="22">
        <v>45310</v>
      </c>
      <c r="B295" s="36"/>
      <c r="C295" s="36" t="s">
        <v>97</v>
      </c>
      <c r="D295" s="1"/>
      <c r="E295" s="1"/>
      <c r="F295" s="66"/>
      <c r="G295" s="66"/>
      <c r="H295" s="1"/>
      <c r="I295" s="1"/>
      <c r="J295" s="1"/>
      <c r="K295" s="1"/>
      <c r="L295" s="18"/>
      <c r="M295" s="18"/>
      <c r="N295" s="18"/>
      <c r="O295" s="18"/>
      <c r="P295" s="18"/>
      <c r="Q295" s="155"/>
      <c r="R295" s="155"/>
      <c r="S295" s="1"/>
    </row>
    <row r="296" spans="1:19" x14ac:dyDescent="0.35">
      <c r="A296" s="22">
        <v>45311</v>
      </c>
      <c r="B296" s="36"/>
      <c r="C296" s="36" t="s">
        <v>97</v>
      </c>
      <c r="D296" s="1"/>
      <c r="E296" s="1"/>
      <c r="F296" s="66"/>
      <c r="G296" s="66"/>
      <c r="H296" s="1"/>
      <c r="I296" s="1"/>
      <c r="J296" s="1"/>
      <c r="K296" s="1"/>
      <c r="L296" s="18"/>
      <c r="M296" s="18"/>
      <c r="N296" s="18"/>
      <c r="O296" s="18"/>
      <c r="P296" s="18"/>
      <c r="Q296" s="155"/>
      <c r="R296" s="155"/>
      <c r="S296" s="1"/>
    </row>
    <row r="297" spans="1:19" x14ac:dyDescent="0.35">
      <c r="A297" s="22">
        <v>45312</v>
      </c>
      <c r="B297" s="36"/>
      <c r="C297" s="36" t="s">
        <v>97</v>
      </c>
      <c r="D297" s="1"/>
      <c r="E297" s="1"/>
      <c r="F297" s="66"/>
      <c r="G297" s="66"/>
      <c r="H297" s="1"/>
      <c r="I297" s="1"/>
      <c r="J297" s="1"/>
      <c r="K297" s="1"/>
      <c r="L297" s="18"/>
      <c r="M297" s="18"/>
      <c r="N297" s="18"/>
      <c r="O297" s="18"/>
      <c r="P297" s="18"/>
      <c r="Q297" s="155"/>
      <c r="R297" s="155"/>
      <c r="S297" s="1"/>
    </row>
    <row r="298" spans="1:19" x14ac:dyDescent="0.35">
      <c r="A298" s="22">
        <v>45313</v>
      </c>
      <c r="B298" s="36"/>
      <c r="C298" s="36" t="s">
        <v>97</v>
      </c>
      <c r="D298" s="1"/>
      <c r="E298" s="1"/>
      <c r="F298" s="66"/>
      <c r="G298" s="66"/>
      <c r="H298" s="1"/>
      <c r="I298" s="1"/>
      <c r="J298" s="1"/>
      <c r="K298" s="1"/>
      <c r="L298" s="18"/>
      <c r="M298" s="18"/>
      <c r="N298" s="18"/>
      <c r="O298" s="18"/>
      <c r="P298" s="18"/>
      <c r="Q298" s="155"/>
      <c r="R298" s="155"/>
      <c r="S298" s="1"/>
    </row>
    <row r="299" spans="1:19" x14ac:dyDescent="0.35">
      <c r="A299" s="22">
        <v>45314</v>
      </c>
      <c r="B299" s="36"/>
      <c r="C299" s="36" t="s">
        <v>97</v>
      </c>
      <c r="D299" s="1"/>
      <c r="E299" s="1"/>
      <c r="F299" s="66"/>
      <c r="G299" s="66"/>
      <c r="H299" s="1"/>
      <c r="I299" s="1"/>
      <c r="J299" s="1"/>
      <c r="K299" s="1"/>
      <c r="L299" s="18"/>
      <c r="M299" s="18"/>
      <c r="N299" s="18"/>
      <c r="O299" s="18"/>
      <c r="P299" s="18"/>
      <c r="Q299" s="155"/>
      <c r="R299" s="155"/>
      <c r="S299" s="1"/>
    </row>
    <row r="300" spans="1:19" x14ac:dyDescent="0.35">
      <c r="A300" s="22">
        <v>45315</v>
      </c>
      <c r="B300" s="36"/>
      <c r="C300" s="36" t="s">
        <v>97</v>
      </c>
      <c r="D300" s="1"/>
      <c r="E300" s="1"/>
      <c r="F300" s="66"/>
      <c r="G300" s="66"/>
      <c r="H300" s="1"/>
      <c r="I300" s="1"/>
      <c r="J300" s="1"/>
      <c r="K300" s="1"/>
      <c r="L300" s="18"/>
      <c r="M300" s="18"/>
      <c r="N300" s="18"/>
      <c r="O300" s="18"/>
      <c r="P300" s="18"/>
      <c r="Q300" s="155"/>
      <c r="R300" s="155"/>
      <c r="S300" s="1"/>
    </row>
    <row r="301" spans="1:19" x14ac:dyDescent="0.35">
      <c r="A301" s="22">
        <v>45316</v>
      </c>
      <c r="B301" s="36"/>
      <c r="C301" s="36" t="s">
        <v>97</v>
      </c>
      <c r="D301" s="1"/>
      <c r="E301" s="1"/>
      <c r="F301" s="66"/>
      <c r="G301" s="66"/>
      <c r="H301" s="1"/>
      <c r="I301" s="1"/>
      <c r="J301" s="1"/>
      <c r="K301" s="1"/>
      <c r="L301" s="18"/>
      <c r="M301" s="18"/>
      <c r="N301" s="18"/>
      <c r="O301" s="18"/>
      <c r="P301" s="18"/>
      <c r="Q301" s="155"/>
      <c r="R301" s="155"/>
      <c r="S301" s="1"/>
    </row>
    <row r="302" spans="1:19" x14ac:dyDescent="0.35">
      <c r="A302" s="22">
        <v>45317</v>
      </c>
      <c r="B302" s="36"/>
      <c r="C302" s="36" t="s">
        <v>97</v>
      </c>
      <c r="D302" s="1"/>
      <c r="E302" s="1"/>
      <c r="F302" s="66"/>
      <c r="G302" s="66"/>
      <c r="H302" s="1"/>
      <c r="I302" s="1"/>
      <c r="J302" s="1"/>
      <c r="K302" s="1"/>
      <c r="L302" s="18"/>
      <c r="M302" s="18"/>
      <c r="N302" s="18"/>
      <c r="O302" s="18"/>
      <c r="P302" s="18"/>
      <c r="Q302" s="155"/>
      <c r="R302" s="155"/>
      <c r="S302" s="1"/>
    </row>
    <row r="303" spans="1:19" x14ac:dyDescent="0.35">
      <c r="A303" s="22">
        <v>45318</v>
      </c>
      <c r="B303" s="36"/>
      <c r="C303" s="36" t="s">
        <v>97</v>
      </c>
      <c r="D303" s="1"/>
      <c r="E303" s="1"/>
      <c r="F303" s="66"/>
      <c r="G303" s="66"/>
      <c r="H303" s="1"/>
      <c r="I303" s="1"/>
      <c r="J303" s="1"/>
      <c r="K303" s="1"/>
      <c r="L303" s="18"/>
      <c r="M303" s="18"/>
      <c r="N303" s="18"/>
      <c r="O303" s="18"/>
      <c r="P303" s="18"/>
      <c r="Q303" s="155"/>
      <c r="R303" s="155"/>
      <c r="S303" s="1"/>
    </row>
    <row r="304" spans="1:19" x14ac:dyDescent="0.35">
      <c r="A304" s="22">
        <v>45319</v>
      </c>
      <c r="B304" s="36"/>
      <c r="C304" s="36" t="s">
        <v>97</v>
      </c>
      <c r="D304" s="1"/>
      <c r="E304" s="1"/>
      <c r="F304" s="66"/>
      <c r="G304" s="66"/>
      <c r="H304" s="1"/>
      <c r="I304" s="1"/>
      <c r="J304" s="1"/>
      <c r="K304" s="1"/>
      <c r="L304" s="18"/>
      <c r="M304" s="18"/>
      <c r="N304" s="18"/>
      <c r="O304" s="18"/>
      <c r="P304" s="18"/>
      <c r="Q304" s="155"/>
      <c r="R304" s="155"/>
      <c r="S304" s="1"/>
    </row>
    <row r="305" spans="1:19" x14ac:dyDescent="0.35">
      <c r="A305" s="22">
        <v>45320</v>
      </c>
      <c r="B305" s="36"/>
      <c r="C305" s="36" t="s">
        <v>97</v>
      </c>
      <c r="D305" s="1"/>
      <c r="E305" s="1"/>
      <c r="F305" s="66"/>
      <c r="G305" s="66"/>
      <c r="H305" s="1"/>
      <c r="I305" s="1"/>
      <c r="J305" s="1"/>
      <c r="K305" s="1"/>
      <c r="L305" s="18"/>
      <c r="M305" s="18"/>
      <c r="N305" s="18"/>
      <c r="O305" s="18"/>
      <c r="P305" s="18"/>
      <c r="Q305" s="155"/>
      <c r="R305" s="155"/>
      <c r="S305" s="1"/>
    </row>
    <row r="306" spans="1:19" x14ac:dyDescent="0.35">
      <c r="A306" s="22">
        <v>45321</v>
      </c>
      <c r="B306" s="36"/>
      <c r="C306" s="36" t="s">
        <v>97</v>
      </c>
      <c r="D306" s="1"/>
      <c r="E306" s="1"/>
      <c r="F306" s="66"/>
      <c r="G306" s="66"/>
      <c r="H306" s="1"/>
      <c r="I306" s="1"/>
      <c r="J306" s="1"/>
      <c r="K306" s="1"/>
      <c r="L306" s="18"/>
      <c r="M306" s="18"/>
      <c r="N306" s="18"/>
      <c r="O306" s="18"/>
      <c r="P306" s="18"/>
      <c r="Q306" s="155"/>
      <c r="R306" s="155"/>
      <c r="S306" s="1"/>
    </row>
    <row r="307" spans="1:19" x14ac:dyDescent="0.35">
      <c r="A307" s="22">
        <v>45322</v>
      </c>
      <c r="B307" s="36"/>
      <c r="C307" s="36" t="s">
        <v>97</v>
      </c>
      <c r="D307" s="1"/>
      <c r="E307" s="1"/>
      <c r="F307" s="66"/>
      <c r="G307" s="66"/>
      <c r="H307" s="1"/>
      <c r="I307" s="1"/>
      <c r="J307" s="1"/>
      <c r="K307" s="1"/>
      <c r="L307" s="18"/>
      <c r="M307" s="18"/>
      <c r="N307" s="18"/>
      <c r="O307" s="18"/>
      <c r="P307" s="18"/>
      <c r="Q307" s="155"/>
      <c r="R307" s="155"/>
      <c r="S307" s="1"/>
    </row>
    <row r="308" spans="1:19" x14ac:dyDescent="0.35">
      <c r="A308" s="22">
        <v>45323</v>
      </c>
      <c r="B308" s="36"/>
      <c r="C308" s="36" t="s">
        <v>97</v>
      </c>
      <c r="D308" s="1"/>
      <c r="E308" s="1"/>
      <c r="F308" s="66"/>
      <c r="G308" s="66"/>
      <c r="H308" s="1"/>
      <c r="I308" s="1"/>
      <c r="J308" s="1"/>
      <c r="K308" s="1"/>
      <c r="L308" s="18"/>
      <c r="M308" s="18"/>
      <c r="N308" s="18"/>
      <c r="O308" s="18"/>
      <c r="P308" s="18"/>
      <c r="Q308" s="155"/>
      <c r="R308" s="155"/>
      <c r="S308" s="1"/>
    </row>
    <row r="309" spans="1:19" x14ac:dyDescent="0.35">
      <c r="A309" s="22">
        <v>45324</v>
      </c>
      <c r="B309" s="36"/>
      <c r="C309" s="36" t="s">
        <v>97</v>
      </c>
      <c r="D309" s="1"/>
      <c r="E309" s="1"/>
      <c r="F309" s="66"/>
      <c r="G309" s="66"/>
      <c r="H309" s="1"/>
      <c r="I309" s="1"/>
      <c r="J309" s="1"/>
      <c r="K309" s="1"/>
      <c r="L309" s="18"/>
      <c r="M309" s="18"/>
      <c r="N309" s="18"/>
      <c r="O309" s="18"/>
      <c r="P309" s="18"/>
      <c r="Q309" s="155"/>
      <c r="R309" s="155"/>
      <c r="S309" s="1"/>
    </row>
    <row r="310" spans="1:19" x14ac:dyDescent="0.35">
      <c r="A310" s="22">
        <v>45325</v>
      </c>
      <c r="B310" s="36"/>
      <c r="C310" s="36" t="s">
        <v>97</v>
      </c>
      <c r="D310" s="1"/>
      <c r="E310" s="1"/>
      <c r="F310" s="66"/>
      <c r="G310" s="66"/>
      <c r="H310" s="1"/>
      <c r="I310" s="1"/>
      <c r="J310" s="1"/>
      <c r="K310" s="1"/>
      <c r="L310" s="18"/>
      <c r="M310" s="18"/>
      <c r="N310" s="18"/>
      <c r="O310" s="18"/>
      <c r="P310" s="18"/>
      <c r="Q310" s="155"/>
      <c r="R310" s="155"/>
      <c r="S310" s="1"/>
    </row>
    <row r="311" spans="1:19" x14ac:dyDescent="0.35">
      <c r="A311" s="22">
        <v>45326</v>
      </c>
      <c r="B311" s="36"/>
      <c r="C311" s="36" t="s">
        <v>97</v>
      </c>
      <c r="D311" s="1"/>
      <c r="E311" s="1"/>
      <c r="F311" s="66"/>
      <c r="G311" s="66"/>
      <c r="H311" s="1"/>
      <c r="I311" s="1"/>
      <c r="J311" s="1"/>
      <c r="K311" s="1"/>
      <c r="L311" s="18"/>
      <c r="M311" s="18"/>
      <c r="N311" s="18"/>
      <c r="O311" s="18"/>
      <c r="P311" s="18"/>
      <c r="Q311" s="155"/>
      <c r="R311" s="155"/>
      <c r="S311" s="1"/>
    </row>
    <row r="312" spans="1:19" x14ac:dyDescent="0.35">
      <c r="A312" s="22">
        <v>45327</v>
      </c>
      <c r="B312" s="36"/>
      <c r="C312" s="36" t="s">
        <v>97</v>
      </c>
      <c r="D312" s="1"/>
      <c r="E312" s="1"/>
      <c r="F312" s="66"/>
      <c r="G312" s="66"/>
      <c r="H312" s="1"/>
      <c r="I312" s="1"/>
      <c r="J312" s="1"/>
      <c r="K312" s="1"/>
      <c r="L312" s="18"/>
      <c r="M312" s="18"/>
      <c r="N312" s="18"/>
      <c r="O312" s="18"/>
      <c r="P312" s="18"/>
      <c r="Q312" s="155"/>
      <c r="R312" s="155"/>
      <c r="S312" s="1"/>
    </row>
    <row r="313" spans="1:19" x14ac:dyDescent="0.35">
      <c r="A313" s="22">
        <v>45328</v>
      </c>
      <c r="B313" s="36"/>
      <c r="C313" s="36" t="s">
        <v>97</v>
      </c>
      <c r="D313" s="1"/>
      <c r="E313" s="1"/>
      <c r="F313" s="66"/>
      <c r="G313" s="66"/>
      <c r="H313" s="1"/>
      <c r="I313" s="1"/>
      <c r="J313" s="1"/>
      <c r="K313" s="1"/>
      <c r="L313" s="18"/>
      <c r="M313" s="18"/>
      <c r="N313" s="18"/>
      <c r="O313" s="18"/>
      <c r="P313" s="18"/>
      <c r="Q313" s="155"/>
      <c r="R313" s="155"/>
      <c r="S313" s="1"/>
    </row>
    <row r="314" spans="1:19" x14ac:dyDescent="0.35">
      <c r="A314" s="22">
        <v>45329</v>
      </c>
      <c r="B314" s="36"/>
      <c r="C314" s="36" t="s">
        <v>97</v>
      </c>
      <c r="D314" s="1"/>
      <c r="E314" s="1"/>
      <c r="F314" s="66"/>
      <c r="G314" s="66"/>
      <c r="H314" s="1"/>
      <c r="I314" s="1"/>
      <c r="J314" s="1"/>
      <c r="K314" s="1"/>
      <c r="L314" s="18"/>
      <c r="M314" s="18"/>
      <c r="N314" s="18"/>
      <c r="O314" s="18"/>
      <c r="P314" s="18"/>
      <c r="Q314" s="155"/>
      <c r="R314" s="155"/>
      <c r="S314" s="1"/>
    </row>
    <row r="315" spans="1:19" x14ac:dyDescent="0.35">
      <c r="A315" s="22">
        <v>45330</v>
      </c>
      <c r="B315" s="36"/>
      <c r="C315" s="36" t="s">
        <v>97</v>
      </c>
      <c r="D315" s="1"/>
      <c r="E315" s="1"/>
      <c r="F315" s="66"/>
      <c r="G315" s="66"/>
      <c r="H315" s="1"/>
      <c r="I315" s="1"/>
      <c r="J315" s="1"/>
      <c r="K315" s="1"/>
      <c r="L315" s="18"/>
      <c r="M315" s="18"/>
      <c r="N315" s="18"/>
      <c r="O315" s="18"/>
      <c r="P315" s="18"/>
      <c r="Q315" s="155"/>
      <c r="R315" s="155"/>
      <c r="S315" s="1"/>
    </row>
    <row r="316" spans="1:19" x14ac:dyDescent="0.35">
      <c r="A316" s="22">
        <v>45331</v>
      </c>
      <c r="B316" s="36"/>
      <c r="C316" s="36" t="s">
        <v>97</v>
      </c>
      <c r="D316" s="1"/>
      <c r="E316" s="1"/>
      <c r="F316" s="66"/>
      <c r="G316" s="66"/>
      <c r="H316" s="1"/>
      <c r="I316" s="1"/>
      <c r="J316" s="1"/>
      <c r="K316" s="1"/>
      <c r="L316" s="18"/>
      <c r="M316" s="18"/>
      <c r="N316" s="18"/>
      <c r="O316" s="18"/>
      <c r="P316" s="18"/>
      <c r="Q316" s="155"/>
      <c r="R316" s="155"/>
      <c r="S316" s="1"/>
    </row>
    <row r="317" spans="1:19" x14ac:dyDescent="0.35">
      <c r="A317" s="22">
        <v>45332</v>
      </c>
      <c r="B317" s="36"/>
      <c r="C317" s="36" t="s">
        <v>97</v>
      </c>
      <c r="D317" s="1"/>
      <c r="E317" s="1"/>
      <c r="F317" s="66"/>
      <c r="G317" s="66"/>
      <c r="H317" s="1"/>
      <c r="I317" s="1"/>
      <c r="J317" s="1"/>
      <c r="K317" s="1"/>
      <c r="L317" s="18"/>
      <c r="M317" s="18"/>
      <c r="N317" s="18"/>
      <c r="O317" s="18"/>
      <c r="P317" s="18"/>
      <c r="Q317" s="155"/>
      <c r="R317" s="155"/>
      <c r="S317" s="1"/>
    </row>
    <row r="318" spans="1:19" x14ac:dyDescent="0.35">
      <c r="A318" s="22">
        <v>45333</v>
      </c>
      <c r="B318" s="36"/>
      <c r="C318" s="36" t="s">
        <v>97</v>
      </c>
      <c r="D318" s="1"/>
      <c r="E318" s="1"/>
      <c r="F318" s="66"/>
      <c r="G318" s="66"/>
      <c r="H318" s="1"/>
      <c r="I318" s="1"/>
      <c r="J318" s="1"/>
      <c r="K318" s="1"/>
      <c r="L318" s="18"/>
      <c r="M318" s="18"/>
      <c r="N318" s="18"/>
      <c r="O318" s="18"/>
      <c r="P318" s="18"/>
      <c r="Q318" s="155"/>
      <c r="R318" s="155"/>
      <c r="S318" s="1"/>
    </row>
    <row r="319" spans="1:19" x14ac:dyDescent="0.35">
      <c r="A319" s="22">
        <v>45334</v>
      </c>
      <c r="B319" s="36"/>
      <c r="C319" s="36" t="s">
        <v>97</v>
      </c>
      <c r="D319" s="1"/>
      <c r="E319" s="1"/>
      <c r="F319" s="66"/>
      <c r="G319" s="66"/>
      <c r="H319" s="1"/>
      <c r="I319" s="1"/>
      <c r="J319" s="1"/>
      <c r="K319" s="1"/>
      <c r="L319" s="18"/>
      <c r="M319" s="18"/>
      <c r="N319" s="18"/>
      <c r="O319" s="18"/>
      <c r="P319" s="18"/>
      <c r="Q319" s="155"/>
      <c r="R319" s="155"/>
      <c r="S319" s="1"/>
    </row>
    <row r="320" spans="1:19" x14ac:dyDescent="0.35">
      <c r="A320" s="22">
        <v>45335</v>
      </c>
      <c r="B320" s="36"/>
      <c r="C320" s="36" t="s">
        <v>97</v>
      </c>
      <c r="D320" s="1"/>
      <c r="E320" s="1"/>
      <c r="F320" s="66"/>
      <c r="G320" s="66"/>
      <c r="H320" s="1"/>
      <c r="I320" s="1"/>
      <c r="J320" s="1"/>
      <c r="K320" s="1"/>
      <c r="L320" s="18"/>
      <c r="M320" s="18"/>
      <c r="N320" s="18"/>
      <c r="O320" s="18"/>
      <c r="P320" s="18"/>
      <c r="Q320" s="155"/>
      <c r="R320" s="155"/>
      <c r="S320" s="1"/>
    </row>
    <row r="321" spans="1:24" x14ac:dyDescent="0.35">
      <c r="A321" s="22">
        <v>45336</v>
      </c>
      <c r="B321" s="36"/>
      <c r="C321" s="36" t="s">
        <v>97</v>
      </c>
      <c r="D321" s="1"/>
      <c r="E321" s="1"/>
      <c r="F321" s="66"/>
      <c r="G321" s="66"/>
      <c r="H321" s="1"/>
      <c r="I321" s="1"/>
      <c r="J321" s="1"/>
      <c r="K321" s="1"/>
      <c r="L321" s="18"/>
      <c r="M321" s="18"/>
      <c r="N321" s="18"/>
      <c r="O321" s="18"/>
      <c r="P321" s="18"/>
      <c r="Q321" s="155"/>
      <c r="R321" s="155"/>
      <c r="S321" s="1"/>
    </row>
    <row r="322" spans="1:24" x14ac:dyDescent="0.35">
      <c r="A322" s="22">
        <v>45337</v>
      </c>
      <c r="B322" s="36"/>
      <c r="C322" s="36" t="s">
        <v>97</v>
      </c>
      <c r="D322" s="1"/>
      <c r="E322" s="1"/>
      <c r="F322" s="66"/>
      <c r="G322" s="66"/>
      <c r="H322" s="1"/>
      <c r="I322" s="1"/>
      <c r="J322" s="1"/>
      <c r="K322" s="1"/>
      <c r="L322" s="18"/>
      <c r="M322" s="18"/>
      <c r="N322" s="18"/>
      <c r="O322" s="18"/>
      <c r="P322" s="18"/>
      <c r="Q322" s="155"/>
      <c r="R322" s="155"/>
      <c r="S322" s="1"/>
    </row>
    <row r="323" spans="1:24" x14ac:dyDescent="0.35">
      <c r="A323" s="22">
        <v>45338</v>
      </c>
      <c r="B323" s="36"/>
      <c r="C323" s="36" t="s">
        <v>97</v>
      </c>
      <c r="D323" s="1"/>
      <c r="E323" s="1"/>
      <c r="F323" s="66"/>
      <c r="G323" s="66"/>
      <c r="H323" s="1"/>
      <c r="I323" s="1"/>
      <c r="J323" s="1"/>
      <c r="K323" s="1"/>
      <c r="L323" s="18"/>
      <c r="M323" s="18"/>
      <c r="N323" s="18"/>
      <c r="O323" s="18"/>
      <c r="P323" s="18"/>
      <c r="Q323" s="155"/>
      <c r="R323" s="155"/>
      <c r="S323" s="1"/>
    </row>
    <row r="324" spans="1:24" x14ac:dyDescent="0.35">
      <c r="A324" s="22">
        <v>45339</v>
      </c>
      <c r="B324" s="36"/>
      <c r="C324" s="36" t="s">
        <v>97</v>
      </c>
      <c r="D324" s="1"/>
      <c r="E324" s="1"/>
      <c r="F324" s="66"/>
      <c r="G324" s="66"/>
      <c r="H324" s="1"/>
      <c r="I324" s="1"/>
      <c r="J324" s="1"/>
      <c r="K324" s="1"/>
      <c r="L324" s="18"/>
      <c r="M324" s="18"/>
      <c r="N324" s="18"/>
      <c r="O324" s="18"/>
      <c r="P324" s="18"/>
      <c r="Q324" s="155"/>
      <c r="R324" s="155"/>
      <c r="S324" s="1"/>
    </row>
    <row r="325" spans="1:24" x14ac:dyDescent="0.35">
      <c r="A325" s="22">
        <v>45340</v>
      </c>
      <c r="B325" s="36"/>
      <c r="C325" s="36" t="s">
        <v>97</v>
      </c>
      <c r="D325" s="1"/>
      <c r="E325" s="1"/>
      <c r="F325" s="66"/>
      <c r="G325" s="66"/>
      <c r="H325" s="1"/>
      <c r="I325" s="1"/>
      <c r="J325" s="1"/>
      <c r="K325" s="1"/>
      <c r="L325" s="18"/>
      <c r="M325" s="18"/>
      <c r="N325" s="18"/>
      <c r="O325" s="18"/>
      <c r="P325" s="18"/>
      <c r="Q325" s="155"/>
      <c r="R325" s="155"/>
      <c r="S325" s="1"/>
    </row>
    <row r="326" spans="1:24" x14ac:dyDescent="0.35">
      <c r="A326" s="22">
        <v>45341</v>
      </c>
      <c r="B326" s="36"/>
      <c r="C326" s="36" t="s">
        <v>97</v>
      </c>
      <c r="D326" s="1"/>
      <c r="E326" s="1"/>
      <c r="F326" s="66"/>
      <c r="G326" s="66"/>
      <c r="H326" s="1"/>
      <c r="I326" s="1"/>
      <c r="J326" s="1"/>
      <c r="K326" s="1"/>
      <c r="L326" s="18"/>
      <c r="M326" s="18"/>
      <c r="N326" s="18"/>
      <c r="O326" s="18"/>
      <c r="P326" s="18"/>
      <c r="Q326" s="155"/>
      <c r="R326" s="155"/>
      <c r="S326" s="1"/>
    </row>
    <row r="327" spans="1:24" x14ac:dyDescent="0.35">
      <c r="A327" s="22">
        <v>45342</v>
      </c>
      <c r="B327" s="36"/>
      <c r="C327" s="36" t="s">
        <v>97</v>
      </c>
      <c r="D327" s="1"/>
      <c r="E327" s="1"/>
      <c r="F327" s="66"/>
      <c r="G327" s="66"/>
      <c r="H327" s="1"/>
      <c r="I327" s="1"/>
      <c r="J327" s="1"/>
      <c r="K327" s="1"/>
      <c r="L327" s="18"/>
      <c r="M327" s="18"/>
      <c r="N327" s="18"/>
      <c r="O327" s="18"/>
      <c r="P327" s="18"/>
      <c r="Q327" s="155"/>
      <c r="R327" s="155"/>
      <c r="S327" s="1"/>
    </row>
    <row r="328" spans="1:24" x14ac:dyDescent="0.35">
      <c r="A328" s="22">
        <v>45343</v>
      </c>
      <c r="B328" s="36"/>
      <c r="C328" s="36" t="s">
        <v>97</v>
      </c>
      <c r="D328" s="1"/>
      <c r="E328" s="1"/>
      <c r="F328" s="66"/>
      <c r="G328" s="66"/>
      <c r="H328" s="1"/>
      <c r="I328" s="1"/>
      <c r="J328" s="1"/>
      <c r="K328" s="1"/>
      <c r="L328" s="18"/>
      <c r="M328" s="18"/>
      <c r="N328" s="18"/>
      <c r="O328" s="18"/>
      <c r="P328" s="18"/>
      <c r="Q328" s="155"/>
      <c r="R328" s="155"/>
      <c r="S328" s="1"/>
    </row>
    <row r="329" spans="1:24" x14ac:dyDescent="0.35">
      <c r="A329" s="22">
        <v>45344</v>
      </c>
      <c r="B329" s="36"/>
      <c r="C329" s="36" t="s">
        <v>97</v>
      </c>
      <c r="D329" s="1"/>
      <c r="E329" s="1"/>
      <c r="F329" s="66"/>
      <c r="G329" s="66"/>
      <c r="H329" s="1"/>
      <c r="I329" s="1"/>
      <c r="J329" s="1"/>
      <c r="K329" s="1"/>
      <c r="L329" s="18"/>
      <c r="M329" s="18"/>
      <c r="N329" s="18"/>
      <c r="O329" s="18"/>
      <c r="P329" s="18"/>
      <c r="Q329" s="155"/>
      <c r="R329" s="155"/>
      <c r="S329" s="1"/>
    </row>
    <row r="330" spans="1:24" x14ac:dyDescent="0.35">
      <c r="A330" s="22">
        <v>45345</v>
      </c>
      <c r="B330" s="36"/>
      <c r="C330" s="36" t="s">
        <v>97</v>
      </c>
      <c r="D330" s="1"/>
      <c r="E330" s="1"/>
      <c r="F330" s="66"/>
      <c r="G330" s="66"/>
      <c r="H330" s="1"/>
      <c r="I330" s="1"/>
      <c r="J330" s="1"/>
      <c r="K330" s="1"/>
      <c r="L330" s="18"/>
      <c r="M330" s="18"/>
      <c r="N330" s="18"/>
      <c r="O330" s="18"/>
      <c r="P330" s="18"/>
      <c r="Q330" s="155"/>
      <c r="R330" s="155"/>
      <c r="S330" s="1"/>
    </row>
    <row r="331" spans="1:24" x14ac:dyDescent="0.35">
      <c r="A331" s="22">
        <v>45346</v>
      </c>
      <c r="B331" s="36"/>
      <c r="C331" s="36" t="s">
        <v>97</v>
      </c>
      <c r="D331" s="1"/>
      <c r="E331" s="1"/>
      <c r="F331" s="66"/>
      <c r="G331" s="66"/>
      <c r="H331" s="1"/>
      <c r="I331" s="1"/>
      <c r="J331" s="1"/>
      <c r="K331" s="1"/>
      <c r="L331" s="18"/>
      <c r="M331" s="18"/>
      <c r="N331" s="18"/>
      <c r="O331" s="18"/>
      <c r="P331" s="18"/>
      <c r="Q331" s="155"/>
      <c r="R331" s="155"/>
      <c r="S331" s="1"/>
    </row>
    <row r="332" spans="1:24" x14ac:dyDescent="0.35">
      <c r="A332" s="22">
        <v>45347</v>
      </c>
      <c r="B332" s="36"/>
      <c r="C332" s="36" t="s">
        <v>97</v>
      </c>
      <c r="D332" s="1"/>
      <c r="E332" s="1"/>
      <c r="F332" s="66"/>
      <c r="G332" s="66"/>
      <c r="H332" s="1"/>
      <c r="I332" s="1"/>
      <c r="J332" s="1"/>
      <c r="K332" s="1"/>
      <c r="L332" s="18"/>
      <c r="M332" s="18"/>
      <c r="N332" s="18"/>
      <c r="O332" s="18"/>
      <c r="P332" s="18"/>
      <c r="Q332" s="155"/>
      <c r="R332" s="155"/>
      <c r="S332" s="1"/>
      <c r="U332" s="164" t="e">
        <f>AVERAGEIF(R295:R341,"&lt;&gt;0")</f>
        <v>#DIV/0!</v>
      </c>
    </row>
    <row r="333" spans="1:24" x14ac:dyDescent="0.35">
      <c r="A333" s="22">
        <v>45348</v>
      </c>
      <c r="B333" s="36"/>
      <c r="C333" s="36" t="s">
        <v>97</v>
      </c>
      <c r="D333" s="1"/>
      <c r="E333" s="1"/>
      <c r="F333" s="66"/>
      <c r="G333" s="66"/>
      <c r="H333" s="1"/>
      <c r="I333" s="1"/>
      <c r="J333" s="1"/>
      <c r="K333" s="1"/>
      <c r="L333" s="18"/>
      <c r="M333" s="18"/>
      <c r="N333" s="18"/>
      <c r="O333" s="18"/>
      <c r="P333" s="18"/>
      <c r="Q333" s="155"/>
      <c r="R333" s="155"/>
      <c r="S333" s="1"/>
    </row>
    <row r="334" spans="1:24" x14ac:dyDescent="0.35">
      <c r="A334" s="22">
        <v>45349</v>
      </c>
      <c r="B334" s="36"/>
      <c r="C334" s="36" t="s">
        <v>97</v>
      </c>
      <c r="D334" s="1"/>
      <c r="E334" s="1"/>
      <c r="F334" s="66"/>
      <c r="G334" s="66"/>
      <c r="H334" s="1"/>
      <c r="I334" s="1"/>
      <c r="J334" s="1"/>
      <c r="K334" s="1"/>
      <c r="L334" s="18"/>
      <c r="M334" s="18"/>
      <c r="N334" s="18"/>
      <c r="O334" s="18"/>
      <c r="P334" s="18"/>
      <c r="Q334" s="155"/>
      <c r="R334" s="155"/>
      <c r="S334" s="1"/>
    </row>
    <row r="335" spans="1:24" x14ac:dyDescent="0.35">
      <c r="A335" s="22">
        <v>45350</v>
      </c>
      <c r="B335" s="36"/>
      <c r="C335" s="36" t="s">
        <v>97</v>
      </c>
      <c r="D335" s="1"/>
      <c r="E335" s="1"/>
      <c r="F335" s="66"/>
      <c r="G335" s="66"/>
      <c r="H335" s="1"/>
      <c r="I335" s="1"/>
      <c r="J335" s="1"/>
      <c r="K335" s="1"/>
      <c r="L335" s="18"/>
      <c r="M335" s="18"/>
      <c r="N335" s="18"/>
      <c r="O335" s="18"/>
      <c r="P335" s="18"/>
      <c r="Q335" s="155"/>
      <c r="R335" s="155"/>
      <c r="S335" s="1"/>
    </row>
    <row r="336" spans="1:24" s="50" customFormat="1" x14ac:dyDescent="0.35">
      <c r="A336" s="22">
        <v>45351</v>
      </c>
      <c r="B336" s="36"/>
      <c r="C336" s="36" t="s">
        <v>97</v>
      </c>
      <c r="D336" s="1"/>
      <c r="E336" s="1"/>
      <c r="F336" s="66"/>
      <c r="G336" s="66"/>
      <c r="H336" s="1"/>
      <c r="I336" s="1"/>
      <c r="J336" s="1"/>
      <c r="K336" s="1"/>
      <c r="L336" s="18"/>
      <c r="M336" s="18"/>
      <c r="N336" s="18"/>
      <c r="O336" s="18"/>
      <c r="P336" s="18"/>
      <c r="Q336" s="155"/>
      <c r="R336" s="155"/>
      <c r="S336" s="1"/>
      <c r="V336"/>
      <c r="W336"/>
      <c r="X336"/>
    </row>
    <row r="337" spans="1:24" x14ac:dyDescent="0.35">
      <c r="A337" s="22">
        <v>45352</v>
      </c>
      <c r="B337" s="36"/>
      <c r="C337" s="36" t="s">
        <v>97</v>
      </c>
      <c r="D337" s="1"/>
      <c r="E337" s="1"/>
      <c r="F337" s="66"/>
      <c r="G337" s="66"/>
      <c r="H337" s="1"/>
      <c r="I337" s="1"/>
      <c r="J337" s="1"/>
      <c r="K337" s="1"/>
      <c r="L337" s="18"/>
      <c r="M337" s="18"/>
      <c r="N337" s="18"/>
      <c r="O337" s="18"/>
      <c r="P337" s="18"/>
      <c r="Q337" s="155"/>
      <c r="R337" s="155"/>
      <c r="S337" s="1"/>
    </row>
    <row r="338" spans="1:24" x14ac:dyDescent="0.35">
      <c r="A338" s="22">
        <v>45353</v>
      </c>
      <c r="B338" s="36"/>
      <c r="C338" s="36" t="s">
        <v>97</v>
      </c>
      <c r="D338" s="1"/>
      <c r="E338" s="1"/>
      <c r="F338" s="66"/>
      <c r="G338" s="66"/>
      <c r="H338" s="1"/>
      <c r="I338" s="1"/>
      <c r="J338" s="1"/>
      <c r="K338" s="1"/>
      <c r="L338" s="18"/>
      <c r="M338" s="18"/>
      <c r="N338" s="18"/>
      <c r="O338" s="18"/>
      <c r="P338" s="18"/>
      <c r="Q338" s="155"/>
      <c r="R338" s="155"/>
      <c r="S338" s="1"/>
    </row>
    <row r="339" spans="1:24" x14ac:dyDescent="0.35">
      <c r="A339" s="22">
        <v>45354</v>
      </c>
      <c r="B339" s="36"/>
      <c r="C339" s="36" t="s">
        <v>97</v>
      </c>
      <c r="D339" s="1"/>
      <c r="E339" s="1"/>
      <c r="F339" s="66"/>
      <c r="G339" s="66"/>
      <c r="H339" s="1"/>
      <c r="I339" s="1"/>
      <c r="J339" s="1"/>
      <c r="K339" s="1"/>
      <c r="L339" s="18"/>
      <c r="M339" s="18"/>
      <c r="N339" s="18"/>
      <c r="O339" s="18"/>
      <c r="P339" s="18"/>
      <c r="Q339" s="155"/>
      <c r="R339" s="155"/>
      <c r="S339" s="1"/>
    </row>
    <row r="340" spans="1:24" x14ac:dyDescent="0.35">
      <c r="A340" s="22">
        <v>45355</v>
      </c>
      <c r="B340" s="36"/>
      <c r="C340" s="36" t="s">
        <v>97</v>
      </c>
      <c r="D340" s="1"/>
      <c r="E340" s="1"/>
      <c r="F340" s="66"/>
      <c r="G340" s="66"/>
      <c r="H340" s="1"/>
      <c r="I340" s="1"/>
      <c r="J340" s="1"/>
      <c r="K340" s="1"/>
      <c r="L340" s="18"/>
      <c r="M340" s="18"/>
      <c r="N340" s="18"/>
      <c r="O340" s="18"/>
      <c r="P340" s="18"/>
      <c r="Q340" s="155"/>
      <c r="R340" s="155"/>
      <c r="S340" s="1"/>
      <c r="V340" s="50"/>
      <c r="W340" s="50"/>
      <c r="X340" s="50"/>
    </row>
    <row r="341" spans="1:24" x14ac:dyDescent="0.35">
      <c r="A341" s="22">
        <v>45356</v>
      </c>
      <c r="B341" s="36"/>
      <c r="C341" s="36" t="s">
        <v>97</v>
      </c>
      <c r="D341" s="1"/>
      <c r="E341" s="1"/>
      <c r="F341" s="66"/>
      <c r="G341" s="66"/>
      <c r="H341" s="1"/>
      <c r="I341" s="1"/>
      <c r="J341" s="1"/>
      <c r="K341" s="1"/>
      <c r="L341" s="18"/>
      <c r="M341" s="18"/>
      <c r="N341" s="18"/>
      <c r="O341" s="18"/>
      <c r="P341" s="18"/>
      <c r="Q341" s="155"/>
      <c r="R341" s="155"/>
      <c r="S341" s="1"/>
    </row>
    <row r="342" spans="1:24" x14ac:dyDescent="0.35">
      <c r="A342" s="22">
        <v>45357</v>
      </c>
      <c r="B342" s="36"/>
      <c r="C342" s="36" t="s">
        <v>97</v>
      </c>
      <c r="D342" s="1"/>
      <c r="E342" s="1"/>
      <c r="F342" s="66"/>
      <c r="G342" s="66"/>
      <c r="H342" s="1"/>
      <c r="I342" s="1"/>
      <c r="J342" s="1"/>
      <c r="K342" s="1"/>
      <c r="L342" s="18"/>
      <c r="M342" s="18"/>
      <c r="N342" s="18"/>
      <c r="O342" s="18"/>
      <c r="P342" s="18"/>
      <c r="Q342" s="155"/>
      <c r="R342" s="155"/>
      <c r="S342" s="1"/>
    </row>
    <row r="343" spans="1:24" x14ac:dyDescent="0.35">
      <c r="A343" s="22">
        <v>45358</v>
      </c>
      <c r="B343" s="36"/>
      <c r="C343" s="36" t="s">
        <v>97</v>
      </c>
      <c r="D343" s="1"/>
      <c r="E343" s="1"/>
      <c r="F343" s="66"/>
      <c r="G343" s="66"/>
      <c r="H343" s="1"/>
      <c r="I343" s="1"/>
      <c r="J343" s="1"/>
      <c r="K343" s="1"/>
      <c r="L343" s="18"/>
      <c r="M343" s="18"/>
      <c r="N343" s="18"/>
      <c r="O343" s="18"/>
      <c r="P343" s="18"/>
      <c r="Q343" s="155"/>
      <c r="R343" s="155"/>
      <c r="S343" s="1"/>
    </row>
    <row r="344" spans="1:24" x14ac:dyDescent="0.35">
      <c r="A344" s="22">
        <v>45359</v>
      </c>
      <c r="B344" s="36"/>
      <c r="C344" s="36" t="s">
        <v>97</v>
      </c>
      <c r="D344" s="1"/>
      <c r="E344" s="1"/>
      <c r="F344" s="66"/>
      <c r="G344" s="66"/>
      <c r="H344" s="1"/>
      <c r="I344" s="1"/>
      <c r="J344" s="1"/>
      <c r="K344" s="1"/>
      <c r="L344" s="18"/>
      <c r="M344" s="18"/>
      <c r="N344" s="18"/>
      <c r="O344" s="18"/>
      <c r="P344" s="18"/>
      <c r="Q344" s="155"/>
      <c r="R344" s="155"/>
      <c r="S344" s="1"/>
    </row>
    <row r="345" spans="1:24" x14ac:dyDescent="0.35">
      <c r="A345" s="22">
        <v>45360</v>
      </c>
      <c r="B345" s="36"/>
      <c r="C345" s="36" t="s">
        <v>97</v>
      </c>
      <c r="D345" s="1"/>
      <c r="E345" s="1"/>
      <c r="F345" s="66"/>
      <c r="G345" s="66"/>
      <c r="H345" s="1"/>
      <c r="I345" s="1"/>
      <c r="J345" s="1"/>
      <c r="K345" s="1"/>
      <c r="L345" s="18"/>
      <c r="M345" s="18"/>
      <c r="N345" s="18"/>
      <c r="O345" s="18"/>
      <c r="P345" s="18"/>
      <c r="Q345" s="155"/>
      <c r="R345" s="155"/>
      <c r="S345" s="1"/>
    </row>
    <row r="346" spans="1:24" x14ac:dyDescent="0.35">
      <c r="A346" s="22">
        <v>45361</v>
      </c>
      <c r="B346" s="36"/>
      <c r="C346" s="36" t="s">
        <v>97</v>
      </c>
      <c r="D346" s="1"/>
      <c r="E346" s="1"/>
      <c r="F346" s="66"/>
      <c r="G346" s="66"/>
      <c r="H346" s="1"/>
      <c r="I346" s="1"/>
      <c r="J346" s="1"/>
      <c r="K346" s="1"/>
      <c r="L346" s="18"/>
      <c r="M346" s="18"/>
      <c r="N346" s="18"/>
      <c r="O346" s="18"/>
      <c r="P346" s="18"/>
      <c r="Q346" s="155"/>
      <c r="R346" s="155"/>
      <c r="S346" s="1"/>
    </row>
    <row r="347" spans="1:24" x14ac:dyDescent="0.35">
      <c r="A347" s="22">
        <v>45362</v>
      </c>
      <c r="B347" s="36"/>
      <c r="C347" s="36" t="s">
        <v>97</v>
      </c>
      <c r="D347" s="1"/>
      <c r="E347" s="1"/>
      <c r="F347" s="66"/>
      <c r="G347" s="66"/>
      <c r="H347" s="1"/>
      <c r="I347" s="1"/>
      <c r="J347" s="1"/>
      <c r="K347" s="1"/>
      <c r="L347" s="18"/>
      <c r="M347" s="18"/>
      <c r="N347" s="18"/>
      <c r="O347" s="18"/>
      <c r="P347" s="18"/>
      <c r="Q347" s="155"/>
      <c r="R347" s="155"/>
      <c r="S347" s="1"/>
    </row>
    <row r="348" spans="1:24" x14ac:dyDescent="0.35">
      <c r="A348" s="22">
        <v>45363</v>
      </c>
      <c r="B348" s="36"/>
      <c r="C348" s="36" t="s">
        <v>97</v>
      </c>
      <c r="D348" s="1"/>
      <c r="E348" s="1"/>
      <c r="F348" s="66"/>
      <c r="G348" s="66"/>
      <c r="H348" s="1"/>
      <c r="I348" s="1"/>
      <c r="J348" s="1"/>
      <c r="K348" s="1"/>
      <c r="L348" s="18"/>
      <c r="M348" s="18"/>
      <c r="N348" s="18"/>
      <c r="O348" s="18"/>
      <c r="P348" s="18"/>
      <c r="Q348" s="155"/>
      <c r="R348" s="155"/>
      <c r="S348" s="1"/>
    </row>
    <row r="349" spans="1:24" x14ac:dyDescent="0.35">
      <c r="A349" s="22">
        <v>45364</v>
      </c>
      <c r="B349" s="36"/>
      <c r="C349" s="36" t="s">
        <v>97</v>
      </c>
      <c r="D349" s="1"/>
      <c r="E349" s="1"/>
      <c r="F349" s="66"/>
      <c r="G349" s="66"/>
      <c r="H349" s="1"/>
      <c r="I349" s="1"/>
      <c r="J349" s="1"/>
      <c r="K349" s="1"/>
      <c r="L349" s="18"/>
      <c r="M349" s="18"/>
      <c r="N349" s="18"/>
      <c r="O349" s="18"/>
      <c r="P349" s="18"/>
      <c r="Q349" s="155"/>
      <c r="R349" s="155"/>
      <c r="S349" s="1"/>
    </row>
    <row r="350" spans="1:24" x14ac:dyDescent="0.35">
      <c r="A350" s="22">
        <v>45365</v>
      </c>
      <c r="B350" s="36"/>
      <c r="C350" s="36" t="s">
        <v>97</v>
      </c>
      <c r="D350" s="1"/>
      <c r="E350" s="1"/>
      <c r="F350" s="66"/>
      <c r="G350" s="66"/>
      <c r="H350" s="1"/>
      <c r="I350" s="1"/>
      <c r="J350" s="1"/>
      <c r="K350" s="1"/>
      <c r="L350" s="18"/>
      <c r="M350" s="18"/>
      <c r="N350" s="18"/>
      <c r="O350" s="18"/>
      <c r="P350" s="18"/>
      <c r="Q350" s="155"/>
      <c r="R350" s="155"/>
      <c r="S350" s="1"/>
    </row>
    <row r="351" spans="1:24" x14ac:dyDescent="0.35">
      <c r="A351" s="22">
        <v>45366</v>
      </c>
      <c r="B351" s="36"/>
      <c r="C351" s="36" t="s">
        <v>97</v>
      </c>
      <c r="D351" s="1"/>
      <c r="E351" s="1"/>
      <c r="F351" s="66"/>
      <c r="G351" s="66"/>
      <c r="H351" s="1"/>
      <c r="I351" s="1"/>
      <c r="J351" s="1"/>
      <c r="K351" s="1"/>
      <c r="L351" s="18"/>
      <c r="M351" s="18"/>
      <c r="N351" s="18"/>
      <c r="O351" s="18"/>
      <c r="P351" s="18"/>
      <c r="Q351" s="155"/>
      <c r="R351" s="155"/>
      <c r="S351" s="1"/>
    </row>
    <row r="352" spans="1:24" x14ac:dyDescent="0.35">
      <c r="A352" s="22">
        <v>45367</v>
      </c>
      <c r="B352" s="36"/>
      <c r="C352" s="36" t="s">
        <v>97</v>
      </c>
      <c r="D352" s="1"/>
      <c r="E352" s="1"/>
      <c r="F352" s="66"/>
      <c r="G352" s="66"/>
      <c r="H352" s="1"/>
      <c r="I352" s="1"/>
      <c r="J352" s="1"/>
      <c r="K352" s="1"/>
      <c r="L352" s="18"/>
      <c r="M352" s="18"/>
      <c r="N352" s="18"/>
      <c r="O352" s="18"/>
      <c r="P352" s="18"/>
      <c r="Q352" s="155"/>
      <c r="R352" s="155"/>
      <c r="S352" s="1"/>
    </row>
    <row r="353" spans="1:19" x14ac:dyDescent="0.35">
      <c r="A353" s="22">
        <v>45368</v>
      </c>
      <c r="B353" s="36"/>
      <c r="C353" s="36" t="s">
        <v>97</v>
      </c>
      <c r="D353" s="1"/>
      <c r="E353" s="1"/>
      <c r="F353" s="66"/>
      <c r="G353" s="66"/>
      <c r="H353" s="1"/>
      <c r="I353" s="1"/>
      <c r="J353" s="1"/>
      <c r="K353" s="1"/>
      <c r="L353" s="18"/>
      <c r="M353" s="18"/>
      <c r="N353" s="18"/>
      <c r="O353" s="18"/>
      <c r="P353" s="18"/>
      <c r="Q353" s="155"/>
      <c r="R353" s="155"/>
      <c r="S353" s="1"/>
    </row>
    <row r="354" spans="1:19" x14ac:dyDescent="0.35">
      <c r="A354" s="22">
        <v>45369</v>
      </c>
      <c r="B354" s="36"/>
      <c r="C354" s="36" t="s">
        <v>97</v>
      </c>
      <c r="D354" s="1"/>
      <c r="E354" s="1"/>
      <c r="F354" s="66"/>
      <c r="G354" s="66"/>
      <c r="H354" s="1"/>
      <c r="I354" s="1"/>
      <c r="J354" s="1"/>
      <c r="K354" s="1"/>
      <c r="L354" s="18"/>
      <c r="M354" s="18"/>
      <c r="N354" s="18"/>
      <c r="O354" s="18"/>
      <c r="P354" s="18"/>
      <c r="Q354" s="155"/>
      <c r="R354" s="155"/>
      <c r="S354" s="1"/>
    </row>
    <row r="355" spans="1:19" x14ac:dyDescent="0.35">
      <c r="A355" s="22">
        <v>45370</v>
      </c>
      <c r="B355" s="36"/>
      <c r="C355" s="36" t="s">
        <v>97</v>
      </c>
      <c r="D355" s="1"/>
      <c r="E355" s="1"/>
      <c r="F355" s="66"/>
      <c r="G355" s="66"/>
      <c r="H355" s="1"/>
      <c r="I355" s="1"/>
      <c r="J355" s="1"/>
      <c r="K355" s="1"/>
      <c r="L355" s="18"/>
      <c r="M355" s="18"/>
      <c r="N355" s="18"/>
      <c r="O355" s="18"/>
      <c r="P355" s="18"/>
      <c r="Q355" s="155"/>
      <c r="R355" s="155"/>
      <c r="S355" s="1"/>
    </row>
    <row r="356" spans="1:19" x14ac:dyDescent="0.35">
      <c r="A356" s="22">
        <v>45371</v>
      </c>
      <c r="B356" s="36"/>
      <c r="C356" s="36" t="s">
        <v>97</v>
      </c>
      <c r="D356" s="1"/>
      <c r="E356" s="1"/>
      <c r="F356" s="66"/>
      <c r="G356" s="66"/>
      <c r="H356" s="1"/>
      <c r="I356" s="1"/>
      <c r="J356" s="1"/>
      <c r="K356" s="1"/>
      <c r="L356" s="18"/>
      <c r="M356" s="18"/>
      <c r="N356" s="18"/>
      <c r="O356" s="18"/>
      <c r="P356" s="18"/>
      <c r="Q356" s="155"/>
      <c r="R356" s="155"/>
      <c r="S356" s="1"/>
    </row>
    <row r="357" spans="1:19" x14ac:dyDescent="0.35">
      <c r="A357" s="22">
        <v>45372</v>
      </c>
      <c r="B357" s="36"/>
      <c r="C357" s="36" t="s">
        <v>97</v>
      </c>
      <c r="D357" s="1"/>
      <c r="E357" s="1"/>
      <c r="F357" s="66"/>
      <c r="G357" s="66"/>
      <c r="H357" s="1"/>
      <c r="I357" s="1"/>
      <c r="J357" s="1"/>
      <c r="K357" s="1"/>
      <c r="L357" s="18"/>
      <c r="M357" s="18"/>
      <c r="N357" s="18"/>
      <c r="O357" s="18"/>
      <c r="P357" s="18"/>
      <c r="Q357" s="155"/>
      <c r="R357" s="155"/>
      <c r="S357" s="1"/>
    </row>
    <row r="358" spans="1:19" x14ac:dyDescent="0.35">
      <c r="A358" s="22">
        <v>45373</v>
      </c>
      <c r="B358" s="36"/>
      <c r="C358" s="36" t="s">
        <v>97</v>
      </c>
      <c r="D358" s="1"/>
      <c r="E358" s="1"/>
      <c r="F358" s="66"/>
      <c r="G358" s="66"/>
      <c r="H358" s="1"/>
      <c r="I358" s="1"/>
      <c r="J358" s="1"/>
      <c r="K358" s="1"/>
      <c r="L358" s="18"/>
      <c r="M358" s="18"/>
      <c r="N358" s="18"/>
      <c r="O358" s="18"/>
      <c r="P358" s="18"/>
      <c r="Q358" s="155"/>
      <c r="R358" s="155"/>
      <c r="S358" s="1"/>
    </row>
    <row r="359" spans="1:19" x14ac:dyDescent="0.35">
      <c r="A359" s="22">
        <v>45374</v>
      </c>
      <c r="B359" s="36"/>
      <c r="C359" s="36" t="s">
        <v>97</v>
      </c>
      <c r="D359" s="1"/>
      <c r="E359" s="1"/>
      <c r="F359" s="66"/>
      <c r="G359" s="66"/>
      <c r="H359" s="1"/>
      <c r="I359" s="1"/>
      <c r="J359" s="1"/>
      <c r="K359" s="1"/>
      <c r="L359" s="18"/>
      <c r="M359" s="18"/>
      <c r="N359" s="18"/>
      <c r="O359" s="18"/>
      <c r="P359" s="18"/>
      <c r="Q359" s="155"/>
      <c r="R359" s="155"/>
      <c r="S359" s="1"/>
    </row>
    <row r="360" spans="1:19" x14ac:dyDescent="0.35">
      <c r="A360" s="22">
        <v>45375</v>
      </c>
      <c r="B360" s="36"/>
      <c r="C360" s="36" t="s">
        <v>97</v>
      </c>
      <c r="D360" s="1"/>
      <c r="E360" s="1"/>
      <c r="F360" s="66"/>
      <c r="G360" s="66"/>
      <c r="H360" s="1"/>
      <c r="I360" s="1"/>
      <c r="J360" s="1"/>
      <c r="K360" s="1"/>
      <c r="L360" s="18"/>
      <c r="M360" s="18"/>
      <c r="N360" s="18"/>
      <c r="O360" s="18"/>
      <c r="P360" s="18"/>
      <c r="Q360" s="155"/>
      <c r="R360" s="155"/>
      <c r="S360" s="1"/>
    </row>
    <row r="361" spans="1:19" x14ac:dyDescent="0.35">
      <c r="A361" s="22">
        <v>45376</v>
      </c>
      <c r="B361" s="36"/>
      <c r="C361" s="36" t="s">
        <v>97</v>
      </c>
      <c r="D361" s="1"/>
      <c r="E361" s="1"/>
      <c r="F361" s="66"/>
      <c r="G361" s="66"/>
      <c r="H361" s="1"/>
      <c r="I361" s="1"/>
      <c r="J361" s="1"/>
      <c r="K361" s="1"/>
      <c r="L361" s="18"/>
      <c r="M361" s="18"/>
      <c r="N361" s="18"/>
      <c r="O361" s="18"/>
      <c r="P361" s="18"/>
      <c r="Q361" s="155"/>
      <c r="R361" s="155"/>
      <c r="S361" s="1"/>
    </row>
    <row r="362" spans="1:19" x14ac:dyDescent="0.35">
      <c r="A362" s="22">
        <v>45377</v>
      </c>
      <c r="B362" s="36"/>
      <c r="C362" s="36" t="s">
        <v>97</v>
      </c>
      <c r="D362" s="1"/>
      <c r="E362" s="1"/>
      <c r="F362" s="66"/>
      <c r="G362" s="66"/>
      <c r="H362" s="1"/>
      <c r="I362" s="1"/>
      <c r="J362" s="1"/>
      <c r="K362" s="1"/>
      <c r="L362" s="18"/>
      <c r="M362" s="18"/>
      <c r="N362" s="18"/>
      <c r="O362" s="18"/>
      <c r="P362" s="18"/>
      <c r="Q362" s="155"/>
      <c r="R362" s="155"/>
      <c r="S362" s="1"/>
    </row>
    <row r="363" spans="1:19" x14ac:dyDescent="0.35">
      <c r="A363" s="22">
        <v>45378</v>
      </c>
      <c r="B363" s="36"/>
      <c r="C363" s="36" t="s">
        <v>97</v>
      </c>
      <c r="D363" s="1"/>
      <c r="E363" s="1"/>
      <c r="F363" s="66"/>
      <c r="G363" s="66"/>
      <c r="H363" s="1"/>
      <c r="I363" s="1"/>
      <c r="J363" s="1"/>
      <c r="K363" s="1"/>
      <c r="L363" s="18"/>
      <c r="M363" s="18"/>
      <c r="N363" s="18"/>
      <c r="O363" s="18"/>
      <c r="P363" s="18"/>
      <c r="Q363" s="155"/>
      <c r="R363" s="155"/>
      <c r="S363" s="1"/>
    </row>
    <row r="364" spans="1:19" x14ac:dyDescent="0.35">
      <c r="A364" s="22">
        <v>45379</v>
      </c>
      <c r="B364" s="36"/>
      <c r="C364" s="36" t="s">
        <v>97</v>
      </c>
      <c r="D364" s="1"/>
      <c r="E364" s="1"/>
      <c r="F364" s="66"/>
      <c r="G364" s="66"/>
      <c r="H364" s="1"/>
      <c r="I364" s="1"/>
      <c r="J364" s="1"/>
      <c r="K364" s="1"/>
      <c r="L364" s="18"/>
      <c r="M364" s="18"/>
      <c r="N364" s="18"/>
      <c r="O364" s="18"/>
      <c r="P364" s="18"/>
      <c r="Q364" s="155"/>
      <c r="R364" s="155"/>
      <c r="S364" s="1"/>
    </row>
    <row r="365" spans="1:19" x14ac:dyDescent="0.35">
      <c r="A365" s="22">
        <v>45380</v>
      </c>
      <c r="B365" s="36"/>
      <c r="C365" s="36" t="s">
        <v>97</v>
      </c>
      <c r="D365" s="1"/>
      <c r="E365" s="1"/>
      <c r="F365" s="66"/>
      <c r="G365" s="66"/>
      <c r="H365" s="1"/>
      <c r="I365" s="1"/>
      <c r="J365" s="1"/>
      <c r="K365" s="1"/>
      <c r="L365" s="18"/>
      <c r="M365" s="18"/>
      <c r="N365" s="18"/>
      <c r="O365" s="18"/>
      <c r="P365" s="18"/>
      <c r="Q365" s="155"/>
      <c r="R365" s="155"/>
      <c r="S365" s="1"/>
    </row>
    <row r="366" spans="1:19" x14ac:dyDescent="0.35">
      <c r="A366" s="22">
        <v>45381</v>
      </c>
      <c r="B366" s="36"/>
      <c r="C366" s="36" t="s">
        <v>97</v>
      </c>
      <c r="D366" s="1"/>
      <c r="E366" s="1"/>
      <c r="F366" s="66"/>
      <c r="G366" s="66"/>
      <c r="H366" s="1"/>
      <c r="I366" s="1"/>
      <c r="J366" s="1"/>
      <c r="K366" s="1"/>
      <c r="L366" s="18"/>
      <c r="M366" s="18"/>
      <c r="N366" s="18"/>
      <c r="O366" s="18"/>
      <c r="P366" s="18"/>
      <c r="Q366" s="155"/>
      <c r="R366" s="155"/>
      <c r="S366" s="1"/>
    </row>
    <row r="367" spans="1:19" x14ac:dyDescent="0.35">
      <c r="A367" s="22">
        <v>45016</v>
      </c>
      <c r="B367" s="36"/>
      <c r="C367" s="36" t="s">
        <v>97</v>
      </c>
      <c r="D367" s="1"/>
      <c r="E367" s="1"/>
      <c r="F367" s="66"/>
      <c r="G367" s="66"/>
      <c r="H367" s="1"/>
      <c r="I367" s="1"/>
      <c r="J367" s="1"/>
      <c r="K367" s="1"/>
      <c r="L367" s="18"/>
      <c r="M367" s="18"/>
      <c r="N367" s="18"/>
      <c r="O367" s="18"/>
      <c r="P367" s="18"/>
      <c r="Q367" s="155"/>
      <c r="R367" s="155"/>
      <c r="S367" s="1"/>
    </row>
    <row r="369" spans="12:12" x14ac:dyDescent="0.35">
      <c r="L369" s="173">
        <f>AVERAGE(L1:L279)</f>
        <v>0.51398148148148148</v>
      </c>
    </row>
  </sheetData>
  <mergeCells count="1">
    <mergeCell ref="W141:X141"/>
  </mergeCells>
  <phoneticPr fontId="8" type="noConversion"/>
  <dataValidations disablePrompts="1" count="2">
    <dataValidation type="list" allowBlank="1" showInputMessage="1" showErrorMessage="1" sqref="AC20:AC21 W120:W121" xr:uid="{4B0DD217-3BFE-4080-B100-903B8DA6A89D}">
      <formula1>period_TT</formula1>
    </dataValidation>
    <dataValidation type="list" allowBlank="1" showInputMessage="1" showErrorMessage="1" sqref="Z6:Z7" xr:uid="{99CF4F32-FDBA-406A-B66E-6FACCCB4D56D}">
      <formula1>WoW_dates_TT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F367"/>
  <sheetViews>
    <sheetView zoomScale="57" zoomScaleNormal="5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defaultRowHeight="14.5" x14ac:dyDescent="0.35"/>
  <cols>
    <col min="2" max="2" width="19" bestFit="1" customWidth="1"/>
    <col min="3" max="3" width="7.6328125" customWidth="1"/>
    <col min="4" max="4" width="11.81640625" bestFit="1" customWidth="1"/>
    <col min="5" max="5" width="19.08984375" customWidth="1"/>
    <col min="6" max="6" width="28.6328125" bestFit="1" customWidth="1"/>
    <col min="7" max="7" width="25.1796875" bestFit="1" customWidth="1"/>
    <col min="8" max="8" width="19.6328125" customWidth="1"/>
    <col min="9" max="9" width="18.36328125" customWidth="1"/>
    <col min="10" max="10" width="19" customWidth="1"/>
    <col min="11" max="11" width="15.54296875" customWidth="1"/>
    <col min="12" max="15" width="11.81640625" bestFit="1" customWidth="1"/>
    <col min="19" max="19" width="11.08984375" customWidth="1"/>
    <col min="21" max="21" width="10.08984375" customWidth="1"/>
    <col min="22" max="22" width="21.6328125" bestFit="1" customWidth="1"/>
    <col min="23" max="23" width="24" bestFit="1" customWidth="1"/>
    <col min="25" max="25" width="10.81640625" bestFit="1" customWidth="1"/>
    <col min="26" max="26" width="6.90625" bestFit="1" customWidth="1"/>
    <col min="31" max="31" width="11.7265625" bestFit="1" customWidth="1"/>
  </cols>
  <sheetData>
    <row r="1" spans="1:32" x14ac:dyDescent="0.35">
      <c r="A1" s="93" t="s">
        <v>36</v>
      </c>
      <c r="B1" s="41" t="s">
        <v>55</v>
      </c>
      <c r="C1" s="41" t="s">
        <v>60</v>
      </c>
      <c r="D1" s="41" t="s">
        <v>59</v>
      </c>
      <c r="E1" s="41" t="s">
        <v>34</v>
      </c>
      <c r="F1" s="41" t="s">
        <v>62</v>
      </c>
      <c r="G1" s="41" t="s">
        <v>61</v>
      </c>
      <c r="H1" s="41" t="s">
        <v>56</v>
      </c>
      <c r="I1" s="41" t="s">
        <v>57</v>
      </c>
      <c r="J1" s="41" t="s">
        <v>103</v>
      </c>
      <c r="K1" s="41" t="s">
        <v>58</v>
      </c>
      <c r="L1" s="41" t="s">
        <v>32</v>
      </c>
      <c r="M1" s="41" t="s">
        <v>5</v>
      </c>
      <c r="N1" s="41" t="s">
        <v>4</v>
      </c>
      <c r="O1" s="41" t="s">
        <v>33</v>
      </c>
      <c r="P1" s="42" t="s">
        <v>7</v>
      </c>
      <c r="Q1" s="42" t="s">
        <v>82</v>
      </c>
      <c r="R1" s="42" t="s">
        <v>83</v>
      </c>
      <c r="S1" s="41" t="s">
        <v>80</v>
      </c>
    </row>
    <row r="2" spans="1:32" x14ac:dyDescent="0.35">
      <c r="A2" s="28">
        <v>45017</v>
      </c>
      <c r="B2" s="35" t="s">
        <v>54</v>
      </c>
      <c r="C2" s="64" t="s">
        <v>97</v>
      </c>
      <c r="D2" s="33">
        <v>212</v>
      </c>
      <c r="E2" s="33">
        <v>206</v>
      </c>
      <c r="F2" s="65">
        <v>-0.28619528619528617</v>
      </c>
      <c r="G2" s="65">
        <v>-0.16599190283400811</v>
      </c>
      <c r="H2" s="33">
        <f>Table3[[#This Row],[Calls Off]]</f>
        <v>212</v>
      </c>
      <c r="I2" s="33">
        <f>Table3[[#This Row],[Calls Ans]]</f>
        <v>206</v>
      </c>
      <c r="J2" s="33">
        <v>212</v>
      </c>
      <c r="K2" s="33">
        <v>206</v>
      </c>
      <c r="L2" s="69">
        <v>0.92</v>
      </c>
      <c r="M2" s="69">
        <v>0.03</v>
      </c>
      <c r="N2" s="69">
        <v>0.97</v>
      </c>
      <c r="O2" s="69">
        <v>0.47</v>
      </c>
      <c r="P2" s="91">
        <v>0.95</v>
      </c>
      <c r="Q2" s="236">
        <v>1.7824074074074072E-3</v>
      </c>
      <c r="R2" s="190">
        <v>1.1111111111111112E-2</v>
      </c>
      <c r="S2" s="195">
        <v>3</v>
      </c>
    </row>
    <row r="3" spans="1:32" x14ac:dyDescent="0.35">
      <c r="A3" s="28">
        <v>45018</v>
      </c>
      <c r="B3" s="36" t="s">
        <v>48</v>
      </c>
      <c r="C3" s="64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68">
        <v>0</v>
      </c>
      <c r="M3" s="68">
        <v>0</v>
      </c>
      <c r="N3" s="68">
        <v>0</v>
      </c>
      <c r="O3" s="68">
        <v>0</v>
      </c>
      <c r="P3" s="92">
        <v>0</v>
      </c>
      <c r="Q3" s="237">
        <v>0</v>
      </c>
      <c r="R3" s="162">
        <v>0</v>
      </c>
      <c r="S3" s="120">
        <v>0</v>
      </c>
      <c r="U3" s="6" t="s">
        <v>66</v>
      </c>
      <c r="V3" s="7" t="s">
        <v>67</v>
      </c>
      <c r="W3" s="98" t="s">
        <v>68</v>
      </c>
      <c r="AE3" t="s">
        <v>69</v>
      </c>
      <c r="AF3" s="16">
        <v>44655</v>
      </c>
    </row>
    <row r="4" spans="1:32" x14ac:dyDescent="0.35">
      <c r="A4" s="28">
        <v>45019</v>
      </c>
      <c r="B4" s="35" t="s">
        <v>49</v>
      </c>
      <c r="C4" s="64" t="s">
        <v>97</v>
      </c>
      <c r="D4" s="33">
        <v>429</v>
      </c>
      <c r="E4" s="33">
        <v>385</v>
      </c>
      <c r="F4" s="65">
        <v>-4.6666666666666669E-2</v>
      </c>
      <c r="G4" s="65">
        <v>-5.1724137931034482E-2</v>
      </c>
      <c r="H4" s="33">
        <f>H2+Table3[[#This Row],[Calls Off]]</f>
        <v>641</v>
      </c>
      <c r="I4" s="33">
        <f>I2+Table3[[#This Row],[Calls Ans]]</f>
        <v>591</v>
      </c>
      <c r="J4" s="33">
        <f>J2+Table3[[#This Row],[Calls Off]]</f>
        <v>641</v>
      </c>
      <c r="K4" s="33">
        <f>K2+Table3[[#This Row],[Calls Ans]]</f>
        <v>591</v>
      </c>
      <c r="L4" s="69">
        <v>0.85</v>
      </c>
      <c r="M4" s="69">
        <v>0.1</v>
      </c>
      <c r="N4" s="69">
        <v>0.9</v>
      </c>
      <c r="O4" s="69">
        <v>0.44</v>
      </c>
      <c r="P4" s="91">
        <v>0.95</v>
      </c>
      <c r="Q4" s="238">
        <v>1.9675925925925928E-3</v>
      </c>
      <c r="R4" s="191">
        <v>7.7083333333333337E-2</v>
      </c>
      <c r="S4" s="120">
        <v>6</v>
      </c>
      <c r="U4" s="28">
        <v>45020</v>
      </c>
      <c r="V4" s="1">
        <f t="shared" ref="V4:V18" si="0">SUMIFS(calls_off_BAR,period_BAR,"&gt;="&amp;U4,period_BAR,"&lt;"&amp;U5)</f>
        <v>1230</v>
      </c>
      <c r="W4" s="99">
        <f t="shared" ref="W4:W18" si="1">SUMIFS(calls_ans_BAR,period_BAR,"&gt;="&amp;U4,period_BAR,"&lt;"&amp;U5)</f>
        <v>1164</v>
      </c>
      <c r="AE4" t="s">
        <v>70</v>
      </c>
      <c r="AF4" s="16">
        <v>44668</v>
      </c>
    </row>
    <row r="5" spans="1:32" x14ac:dyDescent="0.35">
      <c r="A5" s="28">
        <v>45020</v>
      </c>
      <c r="B5" s="36" t="s">
        <v>50</v>
      </c>
      <c r="C5" s="64" t="s">
        <v>97</v>
      </c>
      <c r="D5" s="1">
        <v>173</v>
      </c>
      <c r="E5" s="1">
        <v>173</v>
      </c>
      <c r="F5" s="66">
        <v>-0.58809523809523812</v>
      </c>
      <c r="G5" s="66">
        <v>-0.5620253164556962</v>
      </c>
      <c r="H5" s="1">
        <f>H4+Table3[[#This Row],[Calls Off]]</f>
        <v>814</v>
      </c>
      <c r="I5" s="1">
        <f>I4+Table3[[#This Row],[Calls Ans]]</f>
        <v>764</v>
      </c>
      <c r="J5" s="1">
        <f>J4+Table3[[#This Row],[Calls Off]]</f>
        <v>814</v>
      </c>
      <c r="K5" s="1">
        <f>K4+Table3[[#This Row],[Calls Ans]]</f>
        <v>764</v>
      </c>
      <c r="L5" s="68">
        <v>0.96</v>
      </c>
      <c r="M5" s="68">
        <v>0</v>
      </c>
      <c r="N5" s="68">
        <v>1</v>
      </c>
      <c r="O5" s="68">
        <v>0.3</v>
      </c>
      <c r="P5" s="92">
        <v>0.96</v>
      </c>
      <c r="Q5" s="237">
        <v>1.9675925925925928E-3</v>
      </c>
      <c r="R5" s="162">
        <v>1.3194444444444444E-2</v>
      </c>
      <c r="S5" s="120">
        <v>5</v>
      </c>
      <c r="U5" s="28">
        <f>U4+7</f>
        <v>45027</v>
      </c>
      <c r="V5" s="1">
        <f t="shared" si="0"/>
        <v>2482</v>
      </c>
      <c r="W5" s="99">
        <f t="shared" si="1"/>
        <v>2354</v>
      </c>
    </row>
    <row r="6" spans="1:32" x14ac:dyDescent="0.35">
      <c r="A6" s="28">
        <v>45021</v>
      </c>
      <c r="B6" s="35" t="s">
        <v>51</v>
      </c>
      <c r="C6" s="64" t="s">
        <v>97</v>
      </c>
      <c r="D6" s="33">
        <v>403</v>
      </c>
      <c r="E6" s="33">
        <v>387</v>
      </c>
      <c r="F6" s="65">
        <v>-3.125E-2</v>
      </c>
      <c r="G6" s="65">
        <v>-2.5773195876288659E-3</v>
      </c>
      <c r="H6" s="1">
        <f>H5+Table3[[#This Row],[Calls Off]]</f>
        <v>1217</v>
      </c>
      <c r="I6" s="1">
        <f>I5+Table3[[#This Row],[Calls Ans]]</f>
        <v>1151</v>
      </c>
      <c r="J6" s="1">
        <f>J5+Table3[[#This Row],[Calls Off]]</f>
        <v>1217</v>
      </c>
      <c r="K6" s="1">
        <f>K5+Table3[[#This Row],[Calls Ans]]</f>
        <v>1151</v>
      </c>
      <c r="L6" s="69">
        <v>0.85</v>
      </c>
      <c r="M6" s="69">
        <v>0.04</v>
      </c>
      <c r="N6" s="69">
        <v>0.96</v>
      </c>
      <c r="O6" s="69">
        <v>0.53</v>
      </c>
      <c r="P6" s="91">
        <v>0.98</v>
      </c>
      <c r="Q6" s="238">
        <v>1.9791666666666668E-3</v>
      </c>
      <c r="R6" s="191">
        <v>2.9166666666666664E-2</v>
      </c>
      <c r="S6" s="120">
        <v>5</v>
      </c>
      <c r="U6" s="28">
        <f t="shared" ref="U6:U18" si="2">U5+7</f>
        <v>45034</v>
      </c>
      <c r="V6" s="1">
        <f t="shared" si="0"/>
        <v>441</v>
      </c>
      <c r="W6" s="99">
        <f t="shared" si="1"/>
        <v>422</v>
      </c>
    </row>
    <row r="7" spans="1:32" x14ac:dyDescent="0.35">
      <c r="A7" s="28">
        <v>45022</v>
      </c>
      <c r="B7" s="36" t="s">
        <v>52</v>
      </c>
      <c r="C7" s="64" t="s">
        <v>97</v>
      </c>
      <c r="D7" s="1">
        <v>370</v>
      </c>
      <c r="E7" s="1">
        <v>355</v>
      </c>
      <c r="F7" s="66">
        <v>8.5043988269794715E-2</v>
      </c>
      <c r="G7" s="66">
        <v>8.2317073170731711E-2</v>
      </c>
      <c r="H7" s="1">
        <f>H6+Table3[[#This Row],[Calls Off]]</f>
        <v>1587</v>
      </c>
      <c r="I7" s="1">
        <f>I6+Table3[[#This Row],[Calls Ans]]</f>
        <v>1506</v>
      </c>
      <c r="J7" s="1">
        <f>J6+Table3[[#This Row],[Calls Off]]</f>
        <v>1587</v>
      </c>
      <c r="K7" s="1">
        <f>K6+Table3[[#This Row],[Calls Ans]]</f>
        <v>1506</v>
      </c>
      <c r="L7" s="68">
        <v>0.93</v>
      </c>
      <c r="M7" s="68">
        <v>0.04</v>
      </c>
      <c r="N7" s="68">
        <v>0.96</v>
      </c>
      <c r="O7" s="68">
        <v>0.65</v>
      </c>
      <c r="P7" s="92">
        <v>0.97</v>
      </c>
      <c r="Q7" s="237">
        <v>1.8750000000000001E-3</v>
      </c>
      <c r="R7" s="162">
        <v>1.8749999999999999E-2</v>
      </c>
      <c r="S7" s="120">
        <v>5</v>
      </c>
      <c r="U7" s="28">
        <f t="shared" si="2"/>
        <v>45041</v>
      </c>
      <c r="V7" s="1">
        <f t="shared" si="0"/>
        <v>0</v>
      </c>
      <c r="W7" s="99">
        <f t="shared" si="1"/>
        <v>0</v>
      </c>
    </row>
    <row r="8" spans="1:32" x14ac:dyDescent="0.35">
      <c r="A8" s="28">
        <v>45023</v>
      </c>
      <c r="B8" s="35" t="s">
        <v>53</v>
      </c>
      <c r="C8" s="64" t="s">
        <v>97</v>
      </c>
      <c r="D8" s="33">
        <v>0</v>
      </c>
      <c r="E8" s="33">
        <v>0</v>
      </c>
      <c r="F8" s="65">
        <v>0</v>
      </c>
      <c r="G8" s="65">
        <v>0</v>
      </c>
      <c r="H8" s="33">
        <v>0</v>
      </c>
      <c r="I8" s="33">
        <v>0</v>
      </c>
      <c r="J8" s="33">
        <v>0</v>
      </c>
      <c r="K8" s="33">
        <v>0</v>
      </c>
      <c r="L8" s="69">
        <v>0</v>
      </c>
      <c r="M8" s="69">
        <v>0</v>
      </c>
      <c r="N8" s="69">
        <v>0</v>
      </c>
      <c r="O8" s="69">
        <v>0</v>
      </c>
      <c r="P8" s="91">
        <v>0</v>
      </c>
      <c r="Q8" s="238">
        <v>0</v>
      </c>
      <c r="R8" s="191">
        <v>0</v>
      </c>
      <c r="S8" s="120">
        <v>0</v>
      </c>
      <c r="U8" s="28">
        <f t="shared" si="2"/>
        <v>45048</v>
      </c>
      <c r="V8" s="1">
        <f t="shared" si="0"/>
        <v>0</v>
      </c>
      <c r="W8" s="99">
        <f t="shared" si="1"/>
        <v>0</v>
      </c>
    </row>
    <row r="9" spans="1:32" x14ac:dyDescent="0.35">
      <c r="A9" s="28">
        <v>45024</v>
      </c>
      <c r="B9" s="36" t="s">
        <v>54</v>
      </c>
      <c r="C9" s="64" t="s">
        <v>97</v>
      </c>
      <c r="D9" s="1">
        <v>284</v>
      </c>
      <c r="E9" s="1">
        <v>249</v>
      </c>
      <c r="F9" s="66">
        <f>(Table3[[#This Row],[Calls Off]]-D2)/D2</f>
        <v>0.33962264150943394</v>
      </c>
      <c r="G9" s="66">
        <f>(Table3[[#This Row],[Calls Ans]]-E2)/E2</f>
        <v>0.20873786407766989</v>
      </c>
      <c r="H9" s="1">
        <f>H7+Table3[[#This Row],[Calls Off]]</f>
        <v>1871</v>
      </c>
      <c r="I9" s="1">
        <f>I7+Table3[[#This Row],[Calls Ans]]</f>
        <v>1755</v>
      </c>
      <c r="J9" s="1">
        <f>J7+Table3[[#This Row],[Calls Off]]</f>
        <v>1871</v>
      </c>
      <c r="K9" s="1">
        <f>K7+Table3[[#This Row],[Calls Ans]]</f>
        <v>1755</v>
      </c>
      <c r="L9" s="68">
        <v>0.65</v>
      </c>
      <c r="M9" s="68">
        <v>0.12</v>
      </c>
      <c r="N9" s="68">
        <v>0.88</v>
      </c>
      <c r="O9" s="68">
        <v>0.56999999999999995</v>
      </c>
      <c r="P9" s="92">
        <v>0.96</v>
      </c>
      <c r="Q9" s="237">
        <v>5.5787037037037038E-3</v>
      </c>
      <c r="R9" s="162">
        <v>4</v>
      </c>
      <c r="S9" s="120">
        <v>4</v>
      </c>
      <c r="U9" s="28">
        <f t="shared" si="2"/>
        <v>45055</v>
      </c>
      <c r="V9" s="1">
        <f t="shared" si="0"/>
        <v>0</v>
      </c>
      <c r="W9" s="99">
        <f t="shared" si="1"/>
        <v>0</v>
      </c>
    </row>
    <row r="10" spans="1:32" x14ac:dyDescent="0.35">
      <c r="A10" s="28">
        <v>45025</v>
      </c>
      <c r="B10" s="35" t="s">
        <v>48</v>
      </c>
      <c r="C10" s="64" t="s">
        <v>97</v>
      </c>
      <c r="D10" s="33">
        <v>0</v>
      </c>
      <c r="E10" s="33">
        <v>0</v>
      </c>
      <c r="F10" s="65">
        <v>0</v>
      </c>
      <c r="G10" s="65">
        <v>0</v>
      </c>
      <c r="H10" s="33">
        <v>0</v>
      </c>
      <c r="I10" s="33">
        <v>0</v>
      </c>
      <c r="J10" s="33">
        <v>0</v>
      </c>
      <c r="K10" s="33">
        <v>0</v>
      </c>
      <c r="L10" s="69">
        <v>0</v>
      </c>
      <c r="M10" s="69">
        <v>0</v>
      </c>
      <c r="N10" s="69">
        <v>0</v>
      </c>
      <c r="O10" s="69">
        <v>0</v>
      </c>
      <c r="P10" s="91">
        <v>0</v>
      </c>
      <c r="Q10" s="238">
        <v>0</v>
      </c>
      <c r="R10" s="191">
        <v>0</v>
      </c>
      <c r="S10" s="120">
        <v>0</v>
      </c>
      <c r="U10" s="28">
        <f t="shared" si="2"/>
        <v>45062</v>
      </c>
      <c r="V10" s="1">
        <f t="shared" si="0"/>
        <v>0</v>
      </c>
      <c r="W10" s="99">
        <f t="shared" si="1"/>
        <v>0</v>
      </c>
    </row>
    <row r="11" spans="1:32" x14ac:dyDescent="0.35">
      <c r="A11" s="28">
        <v>45026</v>
      </c>
      <c r="B11" s="36" t="s">
        <v>49</v>
      </c>
      <c r="C11" s="64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31">
        <v>0</v>
      </c>
      <c r="M11" s="131">
        <v>0</v>
      </c>
      <c r="N11" s="131">
        <v>0</v>
      </c>
      <c r="O11" s="131">
        <v>0</v>
      </c>
      <c r="P11" s="198">
        <v>0</v>
      </c>
      <c r="Q11" s="239">
        <v>0</v>
      </c>
      <c r="R11" s="199">
        <v>0</v>
      </c>
      <c r="S11" s="200">
        <v>0</v>
      </c>
      <c r="U11" s="28">
        <f t="shared" si="2"/>
        <v>45069</v>
      </c>
      <c r="V11" s="1">
        <f t="shared" si="0"/>
        <v>0</v>
      </c>
      <c r="W11" s="99">
        <f t="shared" si="1"/>
        <v>0</v>
      </c>
    </row>
    <row r="12" spans="1:32" x14ac:dyDescent="0.35">
      <c r="A12" s="28">
        <v>45027</v>
      </c>
      <c r="B12" s="35" t="s">
        <v>50</v>
      </c>
      <c r="C12" s="64" t="s">
        <v>97</v>
      </c>
      <c r="D12" s="33">
        <v>486</v>
      </c>
      <c r="E12" s="33">
        <v>469</v>
      </c>
      <c r="F12" s="65">
        <f>_xlfn.IFNA((Table3[[#This Row],[Calls Off]]-D5)/D5,0)</f>
        <v>1.8092485549132948</v>
      </c>
      <c r="G12" s="65">
        <f>_xlfn.IFNA((Table3[[#This Row],[Calls Ans]]-E5)/E5,0)</f>
        <v>1.7109826589595376</v>
      </c>
      <c r="H12" s="1">
        <f>H9+Table3[[#This Row],[Calls Off]]</f>
        <v>2357</v>
      </c>
      <c r="I12" s="1">
        <f>I9+Table3[[#This Row],[Calls Ans]]</f>
        <v>2224</v>
      </c>
      <c r="J12" s="1">
        <f>J9+Table3[[#This Row],[Calls Off]]</f>
        <v>2357</v>
      </c>
      <c r="K12" s="1">
        <f>K9+Table3[[#This Row],[Calls Ans]]</f>
        <v>2224</v>
      </c>
      <c r="L12" s="69">
        <v>0.87</v>
      </c>
      <c r="M12" s="69">
        <v>0.03</v>
      </c>
      <c r="N12" s="69">
        <v>0.97</v>
      </c>
      <c r="O12" s="69">
        <v>0.54</v>
      </c>
      <c r="P12" s="91">
        <v>0.95</v>
      </c>
      <c r="Q12" s="238">
        <v>1.9907407407407408E-3</v>
      </c>
      <c r="R12" s="191">
        <v>4.3055555555555562E-2</v>
      </c>
      <c r="S12" s="120">
        <v>6</v>
      </c>
      <c r="U12" s="28">
        <f t="shared" si="2"/>
        <v>45076</v>
      </c>
      <c r="V12" s="1">
        <f t="shared" si="0"/>
        <v>0</v>
      </c>
      <c r="W12" s="99">
        <f t="shared" si="1"/>
        <v>0</v>
      </c>
    </row>
    <row r="13" spans="1:32" x14ac:dyDescent="0.35">
      <c r="A13" s="28">
        <v>45028</v>
      </c>
      <c r="B13" s="36" t="s">
        <v>51</v>
      </c>
      <c r="C13" s="64" t="s">
        <v>97</v>
      </c>
      <c r="D13" s="1">
        <v>439</v>
      </c>
      <c r="E13" s="1">
        <v>435</v>
      </c>
      <c r="F13" s="66">
        <f>_xlfn.IFNA((Table3[[#This Row],[Calls Off]]-D6)/D6,0)</f>
        <v>8.9330024813895778E-2</v>
      </c>
      <c r="G13" s="66">
        <f>_xlfn.IFNA((Table3[[#This Row],[Calls Ans]]-E6)/E6,0)</f>
        <v>0.12403100775193798</v>
      </c>
      <c r="H13" s="1">
        <f>H12+Table3[[#This Row],[Calls Off]]</f>
        <v>2796</v>
      </c>
      <c r="I13" s="1">
        <f>I12+Table3[[#This Row],[Calls Ans]]</f>
        <v>2659</v>
      </c>
      <c r="J13" s="1">
        <f>J12+Table3[[#This Row],[Calls Off]]</f>
        <v>2796</v>
      </c>
      <c r="K13" s="1">
        <f>K12+Table3[[#This Row],[Calls Ans]]</f>
        <v>2659</v>
      </c>
      <c r="L13" s="68">
        <v>0.98</v>
      </c>
      <c r="M13" s="68">
        <v>0.01</v>
      </c>
      <c r="N13" s="68">
        <v>0.99</v>
      </c>
      <c r="O13" s="68">
        <v>0.5</v>
      </c>
      <c r="P13" s="92">
        <v>0.94</v>
      </c>
      <c r="Q13" s="237">
        <v>1.9328703703703704E-3</v>
      </c>
      <c r="R13" s="162">
        <v>1.0416666666666666E-2</v>
      </c>
      <c r="S13" s="120">
        <v>6</v>
      </c>
      <c r="U13" s="28">
        <f t="shared" si="2"/>
        <v>45083</v>
      </c>
      <c r="V13" s="1">
        <f t="shared" si="0"/>
        <v>0</v>
      </c>
      <c r="W13" s="99">
        <f t="shared" si="1"/>
        <v>0</v>
      </c>
    </row>
    <row r="14" spans="1:32" x14ac:dyDescent="0.35">
      <c r="A14" s="28">
        <v>45029</v>
      </c>
      <c r="B14" s="35" t="s">
        <v>52</v>
      </c>
      <c r="C14" s="64" t="s">
        <v>97</v>
      </c>
      <c r="D14" s="33">
        <v>382</v>
      </c>
      <c r="E14" s="33">
        <v>353</v>
      </c>
      <c r="F14" s="66">
        <f>_xlfn.IFNA((Table3[[#This Row],[Calls Off]]-D7)/D7,0)</f>
        <v>3.2432432432432434E-2</v>
      </c>
      <c r="G14" s="66">
        <f>_xlfn.IFNA((Table3[[#This Row],[Calls Ans]]-E7)/E7,0)</f>
        <v>-5.6338028169014088E-3</v>
      </c>
      <c r="H14" s="1">
        <f>H13+Table3[[#This Row],[Calls Off]]</f>
        <v>3178</v>
      </c>
      <c r="I14" s="1">
        <f>I13+Table3[[#This Row],[Calls Ans]]</f>
        <v>3012</v>
      </c>
      <c r="J14" s="1">
        <f>J13+Table3[[#This Row],[Calls Off]]</f>
        <v>3178</v>
      </c>
      <c r="K14" s="1">
        <f>K13+Table3[[#This Row],[Calls Ans]]</f>
        <v>3012</v>
      </c>
      <c r="L14" s="69">
        <v>0.86</v>
      </c>
      <c r="M14" s="69">
        <v>0.08</v>
      </c>
      <c r="N14" s="69">
        <v>0.92</v>
      </c>
      <c r="O14" s="69">
        <v>0.49</v>
      </c>
      <c r="P14" s="91">
        <v>0.96</v>
      </c>
      <c r="Q14" s="238">
        <v>2.1180555555555553E-3</v>
      </c>
      <c r="R14" s="191">
        <v>2.7083333333333334E-2</v>
      </c>
      <c r="S14" s="120">
        <v>5</v>
      </c>
      <c r="U14" s="28">
        <f t="shared" si="2"/>
        <v>45090</v>
      </c>
      <c r="V14" s="1">
        <f t="shared" si="0"/>
        <v>0</v>
      </c>
      <c r="W14" s="99">
        <f t="shared" si="1"/>
        <v>0</v>
      </c>
    </row>
    <row r="15" spans="1:32" x14ac:dyDescent="0.35">
      <c r="A15" s="28">
        <v>45030</v>
      </c>
      <c r="B15" s="36" t="s">
        <v>53</v>
      </c>
      <c r="C15" s="64" t="s">
        <v>97</v>
      </c>
      <c r="D15" s="1">
        <v>422</v>
      </c>
      <c r="E15" s="1">
        <v>395</v>
      </c>
      <c r="F15" s="66">
        <v>0</v>
      </c>
      <c r="G15" s="66">
        <v>0</v>
      </c>
      <c r="H15" s="1">
        <f>H14+Table3[[#This Row],[Calls Off]]</f>
        <v>3600</v>
      </c>
      <c r="I15" s="1">
        <f>I14+Table3[[#This Row],[Calls Ans]]</f>
        <v>3407</v>
      </c>
      <c r="J15" s="1">
        <f>J14+Table3[[#This Row],[Calls Off]]</f>
        <v>3600</v>
      </c>
      <c r="K15" s="1">
        <f>K14+Table3[[#This Row],[Calls Ans]]</f>
        <v>3407</v>
      </c>
      <c r="L15" s="68">
        <v>0.88</v>
      </c>
      <c r="M15" s="68">
        <v>0.06</v>
      </c>
      <c r="N15" s="68">
        <v>0.94</v>
      </c>
      <c r="O15" s="68">
        <v>0.54</v>
      </c>
      <c r="P15" s="92">
        <v>0.94</v>
      </c>
      <c r="Q15" s="237">
        <v>1.9675925925925928E-3</v>
      </c>
      <c r="R15" s="162">
        <v>2.1527777777777781E-2</v>
      </c>
      <c r="S15" s="120">
        <v>5</v>
      </c>
      <c r="U15" s="28">
        <f>U14+7</f>
        <v>45097</v>
      </c>
      <c r="V15" s="1">
        <f t="shared" si="0"/>
        <v>0</v>
      </c>
      <c r="W15" s="99">
        <f t="shared" si="1"/>
        <v>0</v>
      </c>
    </row>
    <row r="16" spans="1:32" x14ac:dyDescent="0.35">
      <c r="A16" s="28">
        <v>45031</v>
      </c>
      <c r="B16" s="35" t="s">
        <v>54</v>
      </c>
      <c r="C16" s="64" t="s">
        <v>97</v>
      </c>
      <c r="D16" s="33">
        <v>230</v>
      </c>
      <c r="E16" s="33">
        <v>206</v>
      </c>
      <c r="F16" s="66">
        <f>_xlfn.IFNA((Table3[[#This Row],[Calls Off]]-D9)/D9,0)</f>
        <v>-0.19014084507042253</v>
      </c>
      <c r="G16" s="66">
        <f>_xlfn.IFNA((Table3[[#This Row],[Calls Ans]]-E9)/E9,0)</f>
        <v>-0.17269076305220885</v>
      </c>
      <c r="H16" s="1">
        <f>H15+Table3[[#This Row],[Calls Off]]</f>
        <v>3830</v>
      </c>
      <c r="I16" s="1">
        <f>I15+Table3[[#This Row],[Calls Ans]]</f>
        <v>3613</v>
      </c>
      <c r="J16" s="1">
        <f>J15+Table3[[#This Row],[Calls Off]]</f>
        <v>3830</v>
      </c>
      <c r="K16" s="1">
        <f>K15+Table3[[#This Row],[Calls Ans]]</f>
        <v>3613</v>
      </c>
      <c r="L16" s="69">
        <v>0.82</v>
      </c>
      <c r="M16" s="69">
        <v>0.1</v>
      </c>
      <c r="N16" s="69">
        <v>0.9</v>
      </c>
      <c r="O16" s="69">
        <v>0.36</v>
      </c>
      <c r="P16" s="91">
        <v>0.97</v>
      </c>
      <c r="Q16" s="238">
        <v>1.8750000000000001E-3</v>
      </c>
      <c r="R16" s="191">
        <v>1.4583333333333332E-2</v>
      </c>
      <c r="S16" s="120">
        <v>4</v>
      </c>
      <c r="U16" s="28">
        <f t="shared" si="2"/>
        <v>45104</v>
      </c>
      <c r="V16" s="1">
        <f t="shared" si="0"/>
        <v>0</v>
      </c>
      <c r="W16" s="99">
        <f t="shared" si="1"/>
        <v>0</v>
      </c>
    </row>
    <row r="17" spans="1:23" x14ac:dyDescent="0.35">
      <c r="A17" s="28">
        <v>45032</v>
      </c>
      <c r="B17" s="36" t="s">
        <v>48</v>
      </c>
      <c r="C17" s="64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68">
        <v>0</v>
      </c>
      <c r="M17" s="68">
        <v>0</v>
      </c>
      <c r="N17" s="68">
        <v>0</v>
      </c>
      <c r="O17" s="68">
        <v>0</v>
      </c>
      <c r="P17" s="92">
        <v>0</v>
      </c>
      <c r="Q17" s="237">
        <v>0</v>
      </c>
      <c r="R17" s="162">
        <v>0</v>
      </c>
      <c r="S17" s="120">
        <v>0</v>
      </c>
      <c r="U17" s="28">
        <f t="shared" si="2"/>
        <v>45111</v>
      </c>
      <c r="V17" s="1">
        <f t="shared" si="0"/>
        <v>0</v>
      </c>
      <c r="W17" s="99">
        <f t="shared" si="1"/>
        <v>0</v>
      </c>
    </row>
    <row r="18" spans="1:23" x14ac:dyDescent="0.35">
      <c r="A18" s="28">
        <v>45033</v>
      </c>
      <c r="B18" s="35" t="s">
        <v>49</v>
      </c>
      <c r="C18" s="64" t="s">
        <v>97</v>
      </c>
      <c r="D18" s="33">
        <v>523</v>
      </c>
      <c r="E18" s="33">
        <v>496</v>
      </c>
      <c r="F18" s="66">
        <v>0</v>
      </c>
      <c r="G18" s="66">
        <v>0</v>
      </c>
      <c r="H18" s="1">
        <f>H16+Table3[[#This Row],[Calls Off]]</f>
        <v>4353</v>
      </c>
      <c r="I18" s="1">
        <f>I16+Table3[[#This Row],[Calls Ans]]</f>
        <v>4109</v>
      </c>
      <c r="J18" s="1">
        <f>J16+Table3[[#This Row],[Calls Off]]</f>
        <v>4353</v>
      </c>
      <c r="K18" s="1">
        <f>K16+Table3[[#This Row],[Calls Ans]]</f>
        <v>4109</v>
      </c>
      <c r="L18" s="69">
        <v>0.88</v>
      </c>
      <c r="M18" s="69">
        <v>0.05</v>
      </c>
      <c r="N18" s="69">
        <v>0.95</v>
      </c>
      <c r="O18" s="69">
        <v>0.56999999999999995</v>
      </c>
      <c r="P18" s="91">
        <v>0.95</v>
      </c>
      <c r="Q18" s="238">
        <v>1.5856481481481479E-3</v>
      </c>
      <c r="R18" s="191">
        <v>3.5416666666666666E-2</v>
      </c>
      <c r="S18" s="120">
        <v>6</v>
      </c>
      <c r="U18" s="28">
        <f t="shared" si="2"/>
        <v>45118</v>
      </c>
      <c r="V18" s="1">
        <f t="shared" si="0"/>
        <v>0</v>
      </c>
      <c r="W18" s="99">
        <f t="shared" si="1"/>
        <v>0</v>
      </c>
    </row>
    <row r="19" spans="1:23" x14ac:dyDescent="0.35">
      <c r="A19" s="28">
        <v>45034</v>
      </c>
      <c r="B19" s="36" t="s">
        <v>50</v>
      </c>
      <c r="C19" s="64" t="s">
        <v>97</v>
      </c>
      <c r="D19" s="1">
        <v>441</v>
      </c>
      <c r="E19" s="1">
        <v>422</v>
      </c>
      <c r="F19" s="66">
        <f>_xlfn.IFNA((Table3[[#This Row],[Calls Off]]-D12)/D12,0)</f>
        <v>-9.2592592592592587E-2</v>
      </c>
      <c r="G19" s="66">
        <f>_xlfn.IFNA((Table3[[#This Row],[Calls Ans]]-E12)/E12,0)</f>
        <v>-0.10021321961620469</v>
      </c>
      <c r="H19" s="1">
        <f>H18+Table3[[#This Row],[Calls Off]]</f>
        <v>4794</v>
      </c>
      <c r="I19" s="1">
        <f>I18+Table3[[#This Row],[Calls Ans]]</f>
        <v>4531</v>
      </c>
      <c r="J19" s="1">
        <f>J17+Table3[[#This Row],[Calls Off]]</f>
        <v>441</v>
      </c>
      <c r="K19" s="1">
        <f>K17+Table3[[#This Row],[Calls Ans]]</f>
        <v>422</v>
      </c>
      <c r="L19" s="68">
        <v>0.9</v>
      </c>
      <c r="M19" s="68">
        <v>0.04</v>
      </c>
      <c r="N19" s="68">
        <v>0.96</v>
      </c>
      <c r="O19" s="68">
        <v>0.57999999999999996</v>
      </c>
      <c r="P19" s="92">
        <v>0.96</v>
      </c>
      <c r="Q19" s="237">
        <v>1.712962962962963E-3</v>
      </c>
      <c r="R19" s="162">
        <v>2.6388888888888889E-2</v>
      </c>
      <c r="S19" s="120">
        <v>5</v>
      </c>
      <c r="U19" s="34">
        <f t="shared" ref="U19:U55" si="3">U18+7</f>
        <v>45125</v>
      </c>
      <c r="V19" s="39" cm="1">
        <f t="array" ref="V19">SUMIFS(calls_off_BAR,period_BAR,"&gt;="&amp;U19,period_BAR,"&lt;"&amp;U20)</f>
        <v>0</v>
      </c>
      <c r="W19" s="97" cm="1">
        <f t="array" ref="W19">SUMIFS(calls_ans_BAR,period_BAR,"&gt;="&amp;U19,period_BAR,"&lt;"&amp;U20)</f>
        <v>0</v>
      </c>
    </row>
    <row r="20" spans="1:23" x14ac:dyDescent="0.35">
      <c r="A20" s="28">
        <v>45035</v>
      </c>
      <c r="B20" s="35" t="s">
        <v>51</v>
      </c>
      <c r="C20" s="64" t="s">
        <v>97</v>
      </c>
      <c r="D20" s="33"/>
      <c r="E20" s="33"/>
      <c r="F20" s="65"/>
      <c r="G20" s="65"/>
      <c r="H20" s="33"/>
      <c r="I20" s="33"/>
      <c r="J20" s="33"/>
      <c r="K20" s="33"/>
      <c r="L20" s="69"/>
      <c r="M20" s="69"/>
      <c r="N20" s="69"/>
      <c r="O20" s="69"/>
      <c r="P20" s="91"/>
      <c r="Q20" s="191"/>
      <c r="R20" s="191"/>
      <c r="S20" s="120"/>
      <c r="U20" s="34">
        <f t="shared" si="3"/>
        <v>45132</v>
      </c>
      <c r="V20" s="39" cm="1">
        <f t="array" ref="V20">SUMIFS(calls_off_BAR,period_BAR,"&gt;="&amp;U20,period_BAR,"&lt;"&amp;U21)</f>
        <v>0</v>
      </c>
      <c r="W20" s="97" cm="1">
        <f t="array" ref="W20">SUMIFS(calls_ans_BAR,period_BAR,"&gt;="&amp;U20,period_BAR,"&lt;"&amp;U21)</f>
        <v>0</v>
      </c>
    </row>
    <row r="21" spans="1:23" x14ac:dyDescent="0.35">
      <c r="A21" s="28">
        <v>45036</v>
      </c>
      <c r="B21" s="36" t="s">
        <v>52</v>
      </c>
      <c r="C21" s="64" t="s">
        <v>97</v>
      </c>
      <c r="D21" s="1"/>
      <c r="E21" s="1"/>
      <c r="F21" s="66"/>
      <c r="G21" s="66"/>
      <c r="H21" s="1"/>
      <c r="I21" s="1"/>
      <c r="J21" s="1"/>
      <c r="K21" s="1"/>
      <c r="L21" s="68"/>
      <c r="M21" s="68"/>
      <c r="N21" s="68"/>
      <c r="O21" s="68"/>
      <c r="P21" s="92"/>
      <c r="Q21" s="162"/>
      <c r="R21" s="162"/>
      <c r="S21" s="120"/>
      <c r="U21" s="34">
        <f t="shared" si="3"/>
        <v>45139</v>
      </c>
      <c r="V21" s="1" cm="1">
        <f t="array" ref="V21">SUMIFS(calls_off_BAR,period_BAR,"&gt;="&amp;U21,period_BAR,"&lt;"&amp;U22)</f>
        <v>0</v>
      </c>
      <c r="W21" s="99" cm="1">
        <f t="array" ref="W21">SUMIFS(calls_ans_BAR,period_BAR,"&gt;="&amp;U21,period_BAR,"&lt;"&amp;U22)</f>
        <v>0</v>
      </c>
    </row>
    <row r="22" spans="1:23" x14ac:dyDescent="0.35">
      <c r="A22" s="28">
        <v>45037</v>
      </c>
      <c r="B22" s="35" t="s">
        <v>53</v>
      </c>
      <c r="C22" s="64" t="s">
        <v>97</v>
      </c>
      <c r="D22" s="33"/>
      <c r="E22" s="33"/>
      <c r="F22" s="65"/>
      <c r="G22" s="65"/>
      <c r="H22" s="33"/>
      <c r="I22" s="33"/>
      <c r="J22" s="33"/>
      <c r="K22" s="33"/>
      <c r="L22" s="69"/>
      <c r="M22" s="69"/>
      <c r="N22" s="69"/>
      <c r="O22" s="69"/>
      <c r="P22" s="91"/>
      <c r="Q22" s="191"/>
      <c r="R22" s="191"/>
      <c r="S22" s="120"/>
      <c r="U22" s="34">
        <f t="shared" si="3"/>
        <v>45146</v>
      </c>
      <c r="V22" s="1" cm="1">
        <f t="array" ref="V22">SUMIFS(calls_off_BAR,period_BAR,"&gt;="&amp;U22,period_BAR,"&lt;"&amp;U23)</f>
        <v>0</v>
      </c>
      <c r="W22" s="99" cm="1">
        <f t="array" ref="W22">SUMIFS(calls_ans_BAR,period_BAR,"&gt;="&amp;U22,period_BAR,"&lt;"&amp;U23)</f>
        <v>0</v>
      </c>
    </row>
    <row r="23" spans="1:23" x14ac:dyDescent="0.35">
      <c r="A23" s="28">
        <v>45038</v>
      </c>
      <c r="B23" s="36" t="s">
        <v>54</v>
      </c>
      <c r="C23" s="64" t="s">
        <v>97</v>
      </c>
      <c r="D23" s="1"/>
      <c r="E23" s="1"/>
      <c r="F23" s="66"/>
      <c r="G23" s="66"/>
      <c r="H23" s="1"/>
      <c r="I23" s="1"/>
      <c r="J23" s="1"/>
      <c r="K23" s="1"/>
      <c r="L23" s="68"/>
      <c r="M23" s="68"/>
      <c r="N23" s="68"/>
      <c r="O23" s="68"/>
      <c r="P23" s="92"/>
      <c r="Q23" s="162"/>
      <c r="R23" s="162"/>
      <c r="S23" s="120"/>
      <c r="U23" s="34">
        <f t="shared" si="3"/>
        <v>45153</v>
      </c>
      <c r="V23" s="1" cm="1">
        <f t="array" ref="V23">SUMIFS(calls_off_BAR,period_BAR,"&gt;="&amp;U23,period_BAR,"&lt;"&amp;U24)</f>
        <v>0</v>
      </c>
      <c r="W23" s="99" cm="1">
        <f t="array" ref="W23">SUMIFS(calls_ans_BAR,period_BAR,"&gt;="&amp;U23,period_BAR,"&lt;"&amp;U24)</f>
        <v>0</v>
      </c>
    </row>
    <row r="24" spans="1:23" x14ac:dyDescent="0.35">
      <c r="A24" s="28">
        <v>45039</v>
      </c>
      <c r="B24" s="35" t="s">
        <v>48</v>
      </c>
      <c r="C24" s="64" t="s">
        <v>97</v>
      </c>
      <c r="D24" s="33"/>
      <c r="E24" s="33"/>
      <c r="F24" s="65"/>
      <c r="G24" s="65"/>
      <c r="H24" s="33"/>
      <c r="I24" s="33"/>
      <c r="J24" s="33"/>
      <c r="K24" s="33"/>
      <c r="L24" s="69"/>
      <c r="M24" s="69"/>
      <c r="N24" s="69"/>
      <c r="O24" s="69"/>
      <c r="P24" s="91"/>
      <c r="Q24" s="191"/>
      <c r="R24" s="191"/>
      <c r="S24" s="120"/>
      <c r="U24" s="34">
        <f t="shared" si="3"/>
        <v>45160</v>
      </c>
      <c r="V24" s="1" cm="1">
        <f t="array" ref="V24">SUMIFS(calls_off_BAR,period_BAR,"&gt;="&amp;U24,period_BAR,"&lt;"&amp;U25)</f>
        <v>0</v>
      </c>
      <c r="W24" s="99" cm="1">
        <f t="array" ref="W24">SUMIFS(calls_ans_BAR,period_BAR,"&gt;="&amp;U24,period_BAR,"&lt;"&amp;U25)</f>
        <v>0</v>
      </c>
    </row>
    <row r="25" spans="1:23" x14ac:dyDescent="0.35">
      <c r="A25" s="28">
        <v>45040</v>
      </c>
      <c r="B25" s="36" t="s">
        <v>49</v>
      </c>
      <c r="C25" s="64" t="s">
        <v>97</v>
      </c>
      <c r="D25" s="1"/>
      <c r="E25" s="1"/>
      <c r="F25" s="66"/>
      <c r="G25" s="66"/>
      <c r="H25" s="1"/>
      <c r="I25" s="1"/>
      <c r="J25" s="1"/>
      <c r="K25" s="1"/>
      <c r="L25" s="68"/>
      <c r="M25" s="68"/>
      <c r="N25" s="68"/>
      <c r="O25" s="68"/>
      <c r="P25" s="92"/>
      <c r="Q25" s="162"/>
      <c r="R25" s="162"/>
      <c r="S25" s="120"/>
      <c r="U25" s="34">
        <f t="shared" si="3"/>
        <v>45167</v>
      </c>
      <c r="V25" s="1" cm="1">
        <f t="array" ref="V25">SUMIFS(calls_off_BAR,period_BAR,"&gt;="&amp;U25,period_BAR,"&lt;"&amp;U26)</f>
        <v>0</v>
      </c>
      <c r="W25" s="99" cm="1">
        <f t="array" ref="W25">SUMIFS(calls_ans_BAR,period_BAR,"&gt;="&amp;U25,period_BAR,"&lt;"&amp;U26)</f>
        <v>0</v>
      </c>
    </row>
    <row r="26" spans="1:23" x14ac:dyDescent="0.35">
      <c r="A26" s="28">
        <v>45041</v>
      </c>
      <c r="B26" s="35" t="s">
        <v>50</v>
      </c>
      <c r="C26" s="64" t="s">
        <v>97</v>
      </c>
      <c r="D26" s="33"/>
      <c r="E26" s="33"/>
      <c r="F26" s="65"/>
      <c r="G26" s="65"/>
      <c r="H26" s="33"/>
      <c r="I26" s="33"/>
      <c r="J26" s="33"/>
      <c r="K26" s="33"/>
      <c r="L26" s="69"/>
      <c r="M26" s="69"/>
      <c r="N26" s="69"/>
      <c r="O26" s="69"/>
      <c r="P26" s="91"/>
      <c r="Q26" s="191"/>
      <c r="R26" s="191"/>
      <c r="S26" s="120"/>
      <c r="U26" s="34">
        <f t="shared" si="3"/>
        <v>45174</v>
      </c>
      <c r="V26" s="1" cm="1">
        <f t="array" ref="V26">SUMIFS(calls_off_BAR,period_BAR,"&gt;="&amp;U26,period_BAR,"&lt;"&amp;U27)</f>
        <v>0</v>
      </c>
      <c r="W26" s="99" cm="1">
        <f t="array" ref="W26">SUMIFS(calls_ans_BAR,period_BAR,"&gt;="&amp;U26,period_BAR,"&lt;"&amp;U27)</f>
        <v>0</v>
      </c>
    </row>
    <row r="27" spans="1:23" x14ac:dyDescent="0.35">
      <c r="A27" s="28">
        <v>45042</v>
      </c>
      <c r="B27" s="36" t="s">
        <v>51</v>
      </c>
      <c r="C27" s="64" t="s">
        <v>97</v>
      </c>
      <c r="D27" s="1"/>
      <c r="E27" s="1"/>
      <c r="F27" s="66"/>
      <c r="G27" s="66"/>
      <c r="H27" s="1"/>
      <c r="I27" s="1"/>
      <c r="J27" s="1"/>
      <c r="K27" s="1"/>
      <c r="L27" s="68"/>
      <c r="M27" s="68"/>
      <c r="N27" s="68"/>
      <c r="O27" s="68"/>
      <c r="P27" s="92"/>
      <c r="Q27" s="162"/>
      <c r="R27" s="162"/>
      <c r="S27" s="120"/>
      <c r="U27" s="34">
        <f t="shared" si="3"/>
        <v>45181</v>
      </c>
      <c r="V27" s="1" cm="1">
        <f t="array" ref="V27">SUMIFS(calls_off_BAR,period_BAR,"&gt;="&amp;U27,period_BAR,"&lt;"&amp;U28)</f>
        <v>0</v>
      </c>
      <c r="W27" s="99" cm="1">
        <f t="array" ref="W27">SUMIFS(calls_ans_BAR,period_BAR,"&gt;="&amp;U27,period_BAR,"&lt;"&amp;U28)</f>
        <v>0</v>
      </c>
    </row>
    <row r="28" spans="1:23" x14ac:dyDescent="0.35">
      <c r="A28" s="28">
        <v>45043</v>
      </c>
      <c r="B28" s="35" t="s">
        <v>52</v>
      </c>
      <c r="C28" s="64" t="s">
        <v>97</v>
      </c>
      <c r="D28" s="33"/>
      <c r="E28" s="33"/>
      <c r="F28" s="65"/>
      <c r="G28" s="65"/>
      <c r="H28" s="33"/>
      <c r="I28" s="33"/>
      <c r="J28" s="33"/>
      <c r="K28" s="33"/>
      <c r="L28" s="69"/>
      <c r="M28" s="69"/>
      <c r="N28" s="69"/>
      <c r="O28" s="69"/>
      <c r="P28" s="91"/>
      <c r="Q28" s="191"/>
      <c r="R28" s="191"/>
      <c r="S28" s="120"/>
      <c r="U28" s="34">
        <f t="shared" si="3"/>
        <v>45188</v>
      </c>
      <c r="V28" s="1">
        <f>SUMIFS(calls_off_BAR,period_BAR,"&gt;="&amp;U28,period_BAR,"&lt;"&amp;U29)</f>
        <v>0</v>
      </c>
      <c r="W28" s="99">
        <f>SUMIFS(calls_ans_BAR,period_BAR,"&gt;="&amp;U28,period_BAR,"&lt;"&amp;U29)</f>
        <v>0</v>
      </c>
    </row>
    <row r="29" spans="1:23" ht="14" customHeight="1" x14ac:dyDescent="0.35">
      <c r="A29" s="28">
        <v>45044</v>
      </c>
      <c r="B29" s="36" t="s">
        <v>53</v>
      </c>
      <c r="C29" s="64" t="s">
        <v>97</v>
      </c>
      <c r="D29" s="1"/>
      <c r="E29" s="1"/>
      <c r="F29" s="66"/>
      <c r="G29" s="66"/>
      <c r="H29" s="1"/>
      <c r="I29" s="1"/>
      <c r="J29" s="1"/>
      <c r="K29" s="1"/>
      <c r="L29" s="68"/>
      <c r="M29" s="68"/>
      <c r="N29" s="68"/>
      <c r="O29" s="68"/>
      <c r="P29" s="92"/>
      <c r="Q29" s="162"/>
      <c r="R29" s="162"/>
      <c r="S29" s="120"/>
      <c r="U29" s="34">
        <f t="shared" si="3"/>
        <v>45195</v>
      </c>
      <c r="V29" s="1">
        <f>SUMIFS(calls_off_BAR,period_BAR,"&gt;="&amp;U29,period_BAR,"&lt;"&amp;U30)</f>
        <v>0</v>
      </c>
      <c r="W29" s="99">
        <f>SUMIFS(calls_ans_BAR,period_BAR,"&gt;="&amp;U29,period_BAR,"&lt;"&amp;U30)</f>
        <v>0</v>
      </c>
    </row>
    <row r="30" spans="1:23" ht="14" customHeight="1" x14ac:dyDescent="0.35">
      <c r="A30" s="28">
        <v>45045</v>
      </c>
      <c r="B30" s="35" t="s">
        <v>54</v>
      </c>
      <c r="C30" s="64" t="s">
        <v>97</v>
      </c>
      <c r="D30" s="33"/>
      <c r="E30" s="33"/>
      <c r="F30" s="65"/>
      <c r="G30" s="65"/>
      <c r="H30" s="33"/>
      <c r="I30" s="33"/>
      <c r="J30" s="33"/>
      <c r="K30" s="33"/>
      <c r="L30" s="69"/>
      <c r="M30" s="69"/>
      <c r="N30" s="69"/>
      <c r="O30" s="69"/>
      <c r="P30" s="91"/>
      <c r="Q30" s="191"/>
      <c r="R30" s="191"/>
      <c r="S30" s="120"/>
      <c r="U30" s="34">
        <f t="shared" si="3"/>
        <v>45202</v>
      </c>
      <c r="V30" s="1" cm="1">
        <f t="array" ref="V30">SUMIFS(calls_off_BAR,period_BAR,"&gt;="&amp;U30,period_BAR,"&lt;"&amp;U31)</f>
        <v>0</v>
      </c>
      <c r="W30" s="99" cm="1">
        <f t="array" ref="W30">SUMIFS(calls_ans_BAR,period_BAR,"&gt;="&amp;U30,period_BAR,"&lt;"&amp;U31)</f>
        <v>0</v>
      </c>
    </row>
    <row r="31" spans="1:23" ht="14" customHeight="1" x14ac:dyDescent="0.35">
      <c r="A31" s="28">
        <v>45046</v>
      </c>
      <c r="B31" s="36" t="s">
        <v>48</v>
      </c>
      <c r="C31" s="64" t="s">
        <v>97</v>
      </c>
      <c r="D31" s="1"/>
      <c r="E31" s="1"/>
      <c r="F31" s="66"/>
      <c r="G31" s="66"/>
      <c r="H31" s="1"/>
      <c r="I31" s="1"/>
      <c r="J31" s="1"/>
      <c r="K31" s="1"/>
      <c r="L31" s="68"/>
      <c r="M31" s="68"/>
      <c r="N31" s="68"/>
      <c r="O31" s="68"/>
      <c r="P31" s="92"/>
      <c r="Q31" s="162"/>
      <c r="R31" s="162"/>
      <c r="S31" s="120"/>
      <c r="U31" s="34">
        <f t="shared" si="3"/>
        <v>45209</v>
      </c>
      <c r="V31" s="1" cm="1">
        <f t="array" ref="V31">SUMIFS(calls_off_BAR,period_BAR,"&gt;="&amp;U31,period_BAR,"&lt;"&amp;U32)</f>
        <v>0</v>
      </c>
      <c r="W31" s="99" cm="1">
        <f t="array" ref="W31">SUMIFS(calls_ans_BAR,period_BAR,"&gt;="&amp;U31,period_BAR,"&lt;"&amp;U32)</f>
        <v>0</v>
      </c>
    </row>
    <row r="32" spans="1:23" ht="14" customHeight="1" x14ac:dyDescent="0.35">
      <c r="A32" s="28">
        <v>45047</v>
      </c>
      <c r="B32" s="35"/>
      <c r="C32" s="64" t="s">
        <v>97</v>
      </c>
      <c r="D32" s="33"/>
      <c r="E32" s="33"/>
      <c r="F32" s="65"/>
      <c r="G32" s="65"/>
      <c r="H32" s="33"/>
      <c r="I32" s="33"/>
      <c r="J32" s="33"/>
      <c r="K32" s="33"/>
      <c r="L32" s="69"/>
      <c r="M32" s="69"/>
      <c r="N32" s="69"/>
      <c r="O32" s="69"/>
      <c r="P32" s="91"/>
      <c r="Q32" s="191"/>
      <c r="R32" s="191"/>
      <c r="S32" s="120"/>
      <c r="U32" s="34">
        <f t="shared" si="3"/>
        <v>45216</v>
      </c>
      <c r="V32" s="1">
        <f>SUMIFS(calls_off_BAR,period_BAR,"&gt;="&amp;U32,period_BAR,"&lt;"&amp;U33)</f>
        <v>0</v>
      </c>
      <c r="W32" s="99">
        <f>SUMIFS(calls_ans_BAR,period_BAR,"&gt;="&amp;U32,period_BAR,"&lt;"&amp;U33)</f>
        <v>0</v>
      </c>
    </row>
    <row r="33" spans="1:26" ht="14" customHeight="1" x14ac:dyDescent="0.35">
      <c r="A33" s="28">
        <v>45048</v>
      </c>
      <c r="B33" s="36"/>
      <c r="C33" s="64" t="s">
        <v>97</v>
      </c>
      <c r="D33" s="1"/>
      <c r="E33" s="1"/>
      <c r="F33" s="66"/>
      <c r="G33" s="66"/>
      <c r="H33" s="1"/>
      <c r="I33" s="1"/>
      <c r="J33" s="1"/>
      <c r="K33" s="1"/>
      <c r="L33" s="68"/>
      <c r="M33" s="68"/>
      <c r="N33" s="68"/>
      <c r="O33" s="68"/>
      <c r="P33" s="92"/>
      <c r="Q33" s="162"/>
      <c r="R33" s="162"/>
      <c r="S33" s="120"/>
      <c r="U33" s="34">
        <f t="shared" si="3"/>
        <v>45223</v>
      </c>
      <c r="V33" s="1" cm="1">
        <f t="array" ref="V33">SUMIFS(calls_off_BAR,period_BAR,"&gt;="&amp;U33,period_BAR,"&lt;"&amp;U34)</f>
        <v>0</v>
      </c>
      <c r="W33" s="99" cm="1">
        <f t="array" ref="W33">SUMIFS(calls_ans_BAR,period_BAR,"&gt;="&amp;U33,period_BAR,"&lt;"&amp;U34)</f>
        <v>0</v>
      </c>
    </row>
    <row r="34" spans="1:26" ht="14" customHeight="1" x14ac:dyDescent="0.35">
      <c r="A34" s="28">
        <v>45049</v>
      </c>
      <c r="B34" s="35"/>
      <c r="C34" s="64" t="s">
        <v>97</v>
      </c>
      <c r="D34" s="33"/>
      <c r="E34" s="33"/>
      <c r="F34" s="65"/>
      <c r="G34" s="65"/>
      <c r="H34" s="33"/>
      <c r="I34" s="33"/>
      <c r="J34" s="33"/>
      <c r="K34" s="33"/>
      <c r="L34" s="69"/>
      <c r="M34" s="69"/>
      <c r="N34" s="69"/>
      <c r="O34" s="69"/>
      <c r="P34" s="91"/>
      <c r="Q34" s="191"/>
      <c r="R34" s="191"/>
      <c r="S34" s="120"/>
      <c r="U34" s="34">
        <f t="shared" si="3"/>
        <v>45230</v>
      </c>
      <c r="V34" s="1" cm="1">
        <f t="array" ref="V34">SUMIFS(calls_off_BAR,period_BAR,"&gt;="&amp;U34,period_BAR,"&lt;"&amp;U35)</f>
        <v>0</v>
      </c>
      <c r="W34" s="99" cm="1">
        <f t="array" ref="W34">SUMIFS(calls_ans_BAR,period_BAR,"&gt;="&amp;U34,period_BAR,"&lt;"&amp;U35)</f>
        <v>0</v>
      </c>
    </row>
    <row r="35" spans="1:26" ht="14" customHeight="1" x14ac:dyDescent="0.35">
      <c r="A35" s="28">
        <v>45050</v>
      </c>
      <c r="B35" s="36"/>
      <c r="C35" s="64" t="s">
        <v>97</v>
      </c>
      <c r="D35" s="1"/>
      <c r="E35" s="1"/>
      <c r="F35" s="66"/>
      <c r="G35" s="66"/>
      <c r="H35" s="1"/>
      <c r="I35" s="1"/>
      <c r="J35" s="1"/>
      <c r="K35" s="1"/>
      <c r="L35" s="68"/>
      <c r="M35" s="68"/>
      <c r="N35" s="68"/>
      <c r="O35" s="68"/>
      <c r="P35" s="92"/>
      <c r="Q35" s="162"/>
      <c r="R35" s="162"/>
      <c r="S35" s="120"/>
      <c r="U35" s="34">
        <f t="shared" si="3"/>
        <v>45237</v>
      </c>
      <c r="V35" s="1">
        <f>SUMIFS(calls_off_BAR,period_BAR,"&gt;="&amp;U35,period_BAR,"&lt;"&amp;U36)</f>
        <v>0</v>
      </c>
      <c r="W35" s="99">
        <f>SUMIFS(calls_ans_BAR,period_BAR,"&gt;="&amp;U35,period_BAR,"&lt;"&amp;U36)</f>
        <v>0</v>
      </c>
      <c r="Y35" t="e">
        <f>(Table14[[#This Row],[Sum of Calls - Offered]]-V34)/V34</f>
        <v>#DIV/0!</v>
      </c>
      <c r="Z35" t="e">
        <f>(Table14[[#This Row],[Sum of Calls - Answered]]-W34)/W34</f>
        <v>#DIV/0!</v>
      </c>
    </row>
    <row r="36" spans="1:26" ht="14" customHeight="1" x14ac:dyDescent="0.35">
      <c r="A36" s="28">
        <v>45051</v>
      </c>
      <c r="B36" s="35"/>
      <c r="C36" s="64" t="s">
        <v>97</v>
      </c>
      <c r="D36" s="33"/>
      <c r="E36" s="33"/>
      <c r="F36" s="65"/>
      <c r="G36" s="65"/>
      <c r="H36" s="33"/>
      <c r="I36" s="33"/>
      <c r="J36" s="33"/>
      <c r="K36" s="33"/>
      <c r="L36" s="69"/>
      <c r="M36" s="69"/>
      <c r="N36" s="69"/>
      <c r="O36" s="69"/>
      <c r="P36" s="91"/>
      <c r="Q36" s="191"/>
      <c r="R36" s="191"/>
      <c r="S36" s="120"/>
      <c r="U36" s="34">
        <f t="shared" si="3"/>
        <v>45244</v>
      </c>
      <c r="V36" s="1" cm="1">
        <f t="array" ref="V36">SUMIFS(calls_off_BAR,period_BAR,"&gt;="&amp;U36,period_BAR,"&lt;"&amp;U37)</f>
        <v>0</v>
      </c>
      <c r="W36" s="99" cm="1">
        <f t="array" ref="W36">SUMIFS(calls_ans_BAR,period_BAR,"&gt;="&amp;U36,period_BAR,"&lt;"&amp;U37)</f>
        <v>0</v>
      </c>
    </row>
    <row r="37" spans="1:26" ht="14" customHeight="1" x14ac:dyDescent="0.35">
      <c r="A37" s="28">
        <v>45052</v>
      </c>
      <c r="B37" s="36"/>
      <c r="C37" s="64" t="s">
        <v>97</v>
      </c>
      <c r="D37" s="1"/>
      <c r="E37" s="1"/>
      <c r="F37" s="66"/>
      <c r="G37" s="66"/>
      <c r="H37" s="1"/>
      <c r="I37" s="1"/>
      <c r="J37" s="1"/>
      <c r="K37" s="1"/>
      <c r="L37" s="68"/>
      <c r="M37" s="68"/>
      <c r="N37" s="68"/>
      <c r="O37" s="68"/>
      <c r="P37" s="92"/>
      <c r="Q37" s="162"/>
      <c r="R37" s="162"/>
      <c r="S37" s="120"/>
      <c r="U37" s="34">
        <f t="shared" si="3"/>
        <v>45251</v>
      </c>
      <c r="V37" s="1" cm="1">
        <f t="array" ref="V37">SUMIFS(calls_off_BAR,period_BAR,"&gt;="&amp;U37,period_BAR,"&lt;"&amp;U38)</f>
        <v>0</v>
      </c>
      <c r="W37" s="99" cm="1">
        <f t="array" ref="W37">SUMIFS(calls_ans_BAR,period_BAR,"&gt;="&amp;U37,period_BAR,"&lt;"&amp;U38)</f>
        <v>0</v>
      </c>
    </row>
    <row r="38" spans="1:26" ht="14" customHeight="1" x14ac:dyDescent="0.35">
      <c r="A38" s="28">
        <v>45053</v>
      </c>
      <c r="B38" s="35"/>
      <c r="C38" s="64" t="s">
        <v>97</v>
      </c>
      <c r="D38" s="33"/>
      <c r="E38" s="33"/>
      <c r="F38" s="65"/>
      <c r="G38" s="65"/>
      <c r="H38" s="33"/>
      <c r="I38" s="33"/>
      <c r="J38" s="33"/>
      <c r="K38" s="33"/>
      <c r="L38" s="69"/>
      <c r="M38" s="69"/>
      <c r="N38" s="69"/>
      <c r="O38" s="69"/>
      <c r="P38" s="91"/>
      <c r="Q38" s="191"/>
      <c r="R38" s="191"/>
      <c r="S38" s="120"/>
      <c r="U38" s="34">
        <f t="shared" si="3"/>
        <v>45258</v>
      </c>
      <c r="V38" s="1" cm="1">
        <f t="array" ref="V38">SUMIFS(calls_off_BAR,period_BAR,"&gt;="&amp;U38,period_BAR,"&lt;"&amp;U39)</f>
        <v>0</v>
      </c>
      <c r="W38" s="99" cm="1">
        <f t="array" ref="W38">SUMIFS(calls_ans_BAR,period_BAR,"&gt;="&amp;U38,period_BAR,"&lt;"&amp;U39)</f>
        <v>0</v>
      </c>
    </row>
    <row r="39" spans="1:26" ht="14" customHeight="1" x14ac:dyDescent="0.35">
      <c r="A39" s="28">
        <v>45054</v>
      </c>
      <c r="B39" s="36"/>
      <c r="C39" s="64" t="s">
        <v>97</v>
      </c>
      <c r="D39" s="1"/>
      <c r="E39" s="1"/>
      <c r="F39" s="66"/>
      <c r="G39" s="66"/>
      <c r="H39" s="1"/>
      <c r="I39" s="1"/>
      <c r="J39" s="1"/>
      <c r="K39" s="1"/>
      <c r="L39" s="68"/>
      <c r="M39" s="68"/>
      <c r="N39" s="68"/>
      <c r="O39" s="68"/>
      <c r="P39" s="92"/>
      <c r="Q39" s="162"/>
      <c r="R39" s="162"/>
      <c r="S39" s="120"/>
      <c r="U39" s="34">
        <f t="shared" si="3"/>
        <v>45265</v>
      </c>
      <c r="V39" s="1" cm="1">
        <f t="array" ref="V39">SUMIFS(calls_off_BAR,period_BAR,"&gt;="&amp;U39,period_BAR,"&lt;"&amp;U40)</f>
        <v>0</v>
      </c>
      <c r="W39" s="99" cm="1">
        <f t="array" ref="W39">SUMIFS(calls_ans_BAR,period_BAR,"&gt;="&amp;U39,period_BAR,"&lt;"&amp;U40)</f>
        <v>0</v>
      </c>
    </row>
    <row r="40" spans="1:26" ht="14" customHeight="1" x14ac:dyDescent="0.35">
      <c r="A40" s="28">
        <v>45055</v>
      </c>
      <c r="B40" s="35"/>
      <c r="C40" s="64" t="s">
        <v>97</v>
      </c>
      <c r="D40" s="33"/>
      <c r="E40" s="33"/>
      <c r="F40" s="65"/>
      <c r="G40" s="65"/>
      <c r="H40" s="33"/>
      <c r="I40" s="33"/>
      <c r="J40" s="33"/>
      <c r="K40" s="33"/>
      <c r="L40" s="69"/>
      <c r="M40" s="69"/>
      <c r="N40" s="69"/>
      <c r="O40" s="69"/>
      <c r="P40" s="91"/>
      <c r="Q40" s="191"/>
      <c r="R40" s="191"/>
      <c r="S40" s="120"/>
      <c r="U40" s="34">
        <f t="shared" si="3"/>
        <v>45272</v>
      </c>
      <c r="V40" s="1" cm="1">
        <f t="array" ref="V40">SUMIFS(calls_off_BAR,period_BAR,"&gt;="&amp;U40,period_BAR,"&lt;"&amp;U41)</f>
        <v>0</v>
      </c>
      <c r="W40" s="99" cm="1">
        <f t="array" ref="W40">SUMIFS(calls_ans_BAR,period_BAR,"&gt;="&amp;U40,period_BAR,"&lt;"&amp;U41)</f>
        <v>0</v>
      </c>
    </row>
    <row r="41" spans="1:26" ht="14" customHeight="1" x14ac:dyDescent="0.35">
      <c r="A41" s="28">
        <v>45056</v>
      </c>
      <c r="B41" s="36"/>
      <c r="C41" s="64" t="s">
        <v>97</v>
      </c>
      <c r="D41" s="1"/>
      <c r="E41" s="1"/>
      <c r="F41" s="66"/>
      <c r="G41" s="66"/>
      <c r="H41" s="1"/>
      <c r="I41" s="1"/>
      <c r="J41" s="1"/>
      <c r="K41" s="1"/>
      <c r="L41" s="68"/>
      <c r="M41" s="68"/>
      <c r="N41" s="68"/>
      <c r="O41" s="68"/>
      <c r="P41" s="92"/>
      <c r="Q41" s="162"/>
      <c r="R41" s="162"/>
      <c r="S41" s="120"/>
      <c r="U41" s="34">
        <f t="shared" si="3"/>
        <v>45279</v>
      </c>
      <c r="V41" s="1">
        <f>SUMIFS(calls_off_BAR,period_BAR,"&gt;="&amp;U41,period_BAR,"&lt;"&amp;U42)</f>
        <v>0</v>
      </c>
      <c r="W41" s="99">
        <f>SUMIFS(calls_ans_BAR,period_BAR,"&gt;="&amp;U41,period_BAR,"&lt;"&amp;U42)</f>
        <v>0</v>
      </c>
    </row>
    <row r="42" spans="1:26" ht="14" customHeight="1" x14ac:dyDescent="0.35">
      <c r="A42" s="28">
        <v>45057</v>
      </c>
      <c r="B42" s="35"/>
      <c r="C42" s="64" t="s">
        <v>97</v>
      </c>
      <c r="D42" s="33"/>
      <c r="E42" s="33"/>
      <c r="F42" s="65"/>
      <c r="G42" s="65"/>
      <c r="H42" s="33"/>
      <c r="I42" s="33"/>
      <c r="J42" s="33"/>
      <c r="K42" s="33"/>
      <c r="L42" s="69"/>
      <c r="M42" s="69"/>
      <c r="N42" s="69"/>
      <c r="O42" s="69"/>
      <c r="P42" s="91"/>
      <c r="Q42" s="191"/>
      <c r="R42" s="191"/>
      <c r="S42" s="120"/>
      <c r="U42" s="34">
        <f t="shared" si="3"/>
        <v>45286</v>
      </c>
      <c r="V42" s="1" cm="1">
        <f t="array" ref="V42">SUMIFS(calls_off_BAR,period_BAR,"&gt;="&amp;U42,period_BAR,"&lt;"&amp;U43)</f>
        <v>0</v>
      </c>
      <c r="W42" s="99" cm="1">
        <f t="array" ref="W42">SUMIFS(calls_ans_BAR,period_BAR,"&gt;="&amp;U42,period_BAR,"&lt;"&amp;U43)</f>
        <v>0</v>
      </c>
    </row>
    <row r="43" spans="1:26" ht="14" customHeight="1" x14ac:dyDescent="0.35">
      <c r="A43" s="28">
        <v>45058</v>
      </c>
      <c r="B43" s="36"/>
      <c r="C43" s="64" t="s">
        <v>97</v>
      </c>
      <c r="D43" s="1"/>
      <c r="E43" s="1"/>
      <c r="F43" s="66"/>
      <c r="G43" s="66"/>
      <c r="H43" s="1"/>
      <c r="I43" s="1"/>
      <c r="J43" s="1"/>
      <c r="K43" s="1"/>
      <c r="L43" s="68"/>
      <c r="M43" s="68"/>
      <c r="N43" s="68"/>
      <c r="O43" s="68"/>
      <c r="P43" s="92"/>
      <c r="Q43" s="162"/>
      <c r="R43" s="162"/>
      <c r="S43" s="120"/>
      <c r="U43" s="34">
        <f t="shared" si="3"/>
        <v>45293</v>
      </c>
      <c r="V43" s="1" cm="1">
        <f t="array" ref="V43">SUMIFS(calls_off_BAR,period_BAR,"&gt;="&amp;U43,period_BAR,"&lt;"&amp;U44)</f>
        <v>0</v>
      </c>
      <c r="W43" s="99" cm="1">
        <f t="array" ref="W43">SUMIFS(calls_ans_BAR,period_BAR,"&gt;="&amp;U43,period_BAR,"&lt;"&amp;U44)</f>
        <v>0</v>
      </c>
    </row>
    <row r="44" spans="1:26" ht="14" customHeight="1" x14ac:dyDescent="0.35">
      <c r="A44" s="28">
        <v>45059</v>
      </c>
      <c r="B44" s="35"/>
      <c r="C44" s="64" t="s">
        <v>97</v>
      </c>
      <c r="D44" s="33"/>
      <c r="E44" s="33"/>
      <c r="F44" s="65"/>
      <c r="G44" s="65"/>
      <c r="H44" s="33"/>
      <c r="I44" s="33"/>
      <c r="J44" s="33"/>
      <c r="K44" s="33"/>
      <c r="L44" s="69"/>
      <c r="M44" s="69"/>
      <c r="N44" s="69"/>
      <c r="O44" s="69"/>
      <c r="P44" s="91"/>
      <c r="Q44" s="191"/>
      <c r="R44" s="191"/>
      <c r="S44" s="120"/>
      <c r="U44" s="34">
        <f t="shared" si="3"/>
        <v>45300</v>
      </c>
      <c r="V44" s="1">
        <f>SUMIFS(calls_off_BAR,period_BAR,"&gt;="&amp;U44,period_BAR,"&lt;"&amp;U45)</f>
        <v>0</v>
      </c>
      <c r="W44" s="99">
        <f>SUMIFS(calls_ans_BAR,period_BAR,"&gt;="&amp;U44,period_BAR,"&lt;"&amp;U45)</f>
        <v>0</v>
      </c>
    </row>
    <row r="45" spans="1:26" ht="14" customHeight="1" x14ac:dyDescent="0.35">
      <c r="A45" s="28">
        <v>45060</v>
      </c>
      <c r="B45" s="36"/>
      <c r="C45" s="64" t="s">
        <v>97</v>
      </c>
      <c r="D45" s="1"/>
      <c r="E45" s="1"/>
      <c r="F45" s="66"/>
      <c r="G45" s="66"/>
      <c r="H45" s="1"/>
      <c r="I45" s="1"/>
      <c r="J45" s="1"/>
      <c r="K45" s="1"/>
      <c r="L45" s="68"/>
      <c r="M45" s="68"/>
      <c r="N45" s="68"/>
      <c r="O45" s="68"/>
      <c r="P45" s="92"/>
      <c r="Q45" s="162"/>
      <c r="R45" s="162"/>
      <c r="S45" s="120"/>
      <c r="U45" s="34">
        <f t="shared" si="3"/>
        <v>45307</v>
      </c>
      <c r="V45" s="1">
        <f>SUMIFS(calls_off_BAR,period_BAR,"&gt;="&amp;U45,period_BAR,"&lt;"&amp;U46)</f>
        <v>0</v>
      </c>
      <c r="W45" s="99">
        <f>SUMIFS(calls_ans_BAR,period_BAR,"&gt;="&amp;U45,period_BAR,"&lt;"&amp;U46)</f>
        <v>0</v>
      </c>
    </row>
    <row r="46" spans="1:26" ht="14" customHeight="1" x14ac:dyDescent="0.35">
      <c r="A46" s="28">
        <v>45061</v>
      </c>
      <c r="B46" s="35"/>
      <c r="C46" s="64" t="s">
        <v>97</v>
      </c>
      <c r="D46" s="33"/>
      <c r="E46" s="33"/>
      <c r="F46" s="65"/>
      <c r="G46" s="65"/>
      <c r="H46" s="33"/>
      <c r="I46" s="33"/>
      <c r="J46" s="33"/>
      <c r="K46" s="33"/>
      <c r="L46" s="69"/>
      <c r="M46" s="69"/>
      <c r="N46" s="69"/>
      <c r="O46" s="69"/>
      <c r="P46" s="91"/>
      <c r="Q46" s="191"/>
      <c r="R46" s="191"/>
      <c r="S46" s="120"/>
      <c r="U46" s="34">
        <f t="shared" si="3"/>
        <v>45314</v>
      </c>
      <c r="V46" s="1">
        <f>SUMIFS(calls_off_BAR,period_BAR,"&gt;="&amp;U46,period_BAR,"&lt;"&amp;U47)</f>
        <v>0</v>
      </c>
      <c r="W46" s="99">
        <f>SUMIFS(calls_ans_BAR,period_BAR,"&gt;="&amp;U46,period_BAR,"&lt;"&amp;U47)</f>
        <v>0</v>
      </c>
    </row>
    <row r="47" spans="1:26" ht="14" customHeight="1" x14ac:dyDescent="0.35">
      <c r="A47" s="28">
        <v>45062</v>
      </c>
      <c r="B47" s="36"/>
      <c r="C47" s="64" t="s">
        <v>97</v>
      </c>
      <c r="D47" s="1"/>
      <c r="E47" s="1"/>
      <c r="F47" s="66"/>
      <c r="G47" s="66"/>
      <c r="H47" s="1"/>
      <c r="I47" s="1"/>
      <c r="J47" s="1"/>
      <c r="K47" s="1"/>
      <c r="L47" s="68"/>
      <c r="M47" s="68"/>
      <c r="N47" s="68"/>
      <c r="O47" s="68"/>
      <c r="P47" s="92"/>
      <c r="Q47" s="162"/>
      <c r="R47" s="162"/>
      <c r="S47" s="120"/>
      <c r="U47" s="34">
        <f t="shared" si="3"/>
        <v>45321</v>
      </c>
      <c r="V47" s="1" cm="1">
        <f t="array" ref="V47">SUMIFS(calls_off_BAR,period_BAR,"&gt;="&amp;U47,period_BAR,"&lt;"&amp;U48)</f>
        <v>0</v>
      </c>
      <c r="W47" s="99" cm="1">
        <f t="array" ref="W47">SUMIFS(calls_ans_BAR,period_BAR,"&gt;="&amp;U47,period_BAR,"&lt;"&amp;U48)</f>
        <v>0</v>
      </c>
    </row>
    <row r="48" spans="1:26" x14ac:dyDescent="0.35">
      <c r="A48" s="28">
        <v>45063</v>
      </c>
      <c r="B48" s="35"/>
      <c r="C48" s="64" t="s">
        <v>97</v>
      </c>
      <c r="D48" s="33"/>
      <c r="E48" s="33"/>
      <c r="F48" s="65"/>
      <c r="G48" s="65"/>
      <c r="H48" s="33"/>
      <c r="I48" s="33"/>
      <c r="J48" s="33"/>
      <c r="K48" s="33"/>
      <c r="L48" s="69"/>
      <c r="M48" s="69"/>
      <c r="N48" s="69"/>
      <c r="O48" s="69"/>
      <c r="P48" s="91"/>
      <c r="Q48" s="191"/>
      <c r="R48" s="191"/>
      <c r="S48" s="120"/>
      <c r="U48" s="34">
        <f t="shared" si="3"/>
        <v>45328</v>
      </c>
      <c r="V48" s="1" cm="1">
        <f t="array" ref="V48">SUMIFS(calls_off_BAR,period_BAR,"&gt;="&amp;U48,period_BAR,"&lt;"&amp;U49)</f>
        <v>0</v>
      </c>
      <c r="W48" s="99" cm="1">
        <f t="array" ref="W48">SUMIFS(calls_ans_BAR,period_BAR,"&gt;="&amp;U48,period_BAR,"&lt;"&amp;U49)</f>
        <v>0</v>
      </c>
    </row>
    <row r="49" spans="1:23" x14ac:dyDescent="0.35">
      <c r="A49" s="28">
        <v>45064</v>
      </c>
      <c r="B49" s="36"/>
      <c r="C49" s="64" t="s">
        <v>97</v>
      </c>
      <c r="D49" s="1"/>
      <c r="E49" s="1"/>
      <c r="F49" s="66"/>
      <c r="G49" s="66"/>
      <c r="H49" s="1"/>
      <c r="I49" s="1"/>
      <c r="J49" s="1"/>
      <c r="K49" s="1"/>
      <c r="L49" s="68"/>
      <c r="M49" s="68"/>
      <c r="N49" s="68"/>
      <c r="O49" s="68"/>
      <c r="P49" s="92"/>
      <c r="Q49" s="162"/>
      <c r="R49" s="162"/>
      <c r="S49" s="120"/>
      <c r="U49" s="34">
        <f t="shared" si="3"/>
        <v>45335</v>
      </c>
      <c r="V49" s="1" cm="1">
        <f t="array" ref="V49">SUMIFS(calls_off_BAR,period_BAR,"&gt;="&amp;U49,period_BAR,"&lt;"&amp;U50)</f>
        <v>0</v>
      </c>
      <c r="W49" s="99" cm="1">
        <f t="array" ref="W49">SUMIFS(calls_ans_BAR,period_BAR,"&gt;="&amp;U49,period_BAR,"&lt;"&amp;U50)</f>
        <v>0</v>
      </c>
    </row>
    <row r="50" spans="1:23" x14ac:dyDescent="0.35">
      <c r="A50" s="28">
        <v>45065</v>
      </c>
      <c r="B50" s="35"/>
      <c r="C50" s="64" t="s">
        <v>97</v>
      </c>
      <c r="D50" s="33"/>
      <c r="E50" s="33"/>
      <c r="F50" s="65"/>
      <c r="G50" s="65"/>
      <c r="H50" s="33"/>
      <c r="I50" s="33"/>
      <c r="J50" s="33"/>
      <c r="K50" s="33"/>
      <c r="L50" s="69"/>
      <c r="M50" s="69"/>
      <c r="N50" s="69"/>
      <c r="O50" s="69"/>
      <c r="P50" s="91"/>
      <c r="Q50" s="191"/>
      <c r="R50" s="191"/>
      <c r="S50" s="120"/>
      <c r="U50" s="34">
        <f t="shared" si="3"/>
        <v>45342</v>
      </c>
      <c r="V50" s="1" cm="1">
        <f t="array" ref="V50">SUMIFS(calls_off_BAR,period_BAR,"&gt;="&amp;U50,period_BAR,"&lt;"&amp;U51)</f>
        <v>0</v>
      </c>
      <c r="W50" s="99" cm="1">
        <f t="array" ref="W50">SUMIFS(calls_ans_BAR,period_BAR,"&gt;="&amp;U50,period_BAR,"&lt;"&amp;U51)</f>
        <v>0</v>
      </c>
    </row>
    <row r="51" spans="1:23" x14ac:dyDescent="0.35">
      <c r="A51" s="28">
        <v>45066</v>
      </c>
      <c r="B51" s="36"/>
      <c r="C51" s="64" t="s">
        <v>97</v>
      </c>
      <c r="D51" s="1"/>
      <c r="E51" s="1"/>
      <c r="F51" s="66"/>
      <c r="G51" s="66"/>
      <c r="H51" s="1"/>
      <c r="I51" s="1"/>
      <c r="J51" s="1"/>
      <c r="K51" s="1"/>
      <c r="L51" s="68"/>
      <c r="M51" s="68"/>
      <c r="N51" s="68"/>
      <c r="O51" s="68"/>
      <c r="P51" s="92"/>
      <c r="Q51" s="162"/>
      <c r="R51" s="162"/>
      <c r="S51" s="120"/>
      <c r="U51" s="34">
        <f t="shared" si="3"/>
        <v>45349</v>
      </c>
      <c r="V51" s="1" cm="1">
        <f t="array" ref="V51">SUMIFS(calls_off_BAR,period_BAR,"&gt;="&amp;U51,period_BAR,"&lt;"&amp;U52)</f>
        <v>0</v>
      </c>
      <c r="W51" s="99" cm="1">
        <f t="array" ref="W51">SUMIFS(calls_ans_BAR,period_BAR,"&gt;="&amp;U51,period_BAR,"&lt;"&amp;U52)</f>
        <v>0</v>
      </c>
    </row>
    <row r="52" spans="1:23" x14ac:dyDescent="0.35">
      <c r="A52" s="28">
        <v>45067</v>
      </c>
      <c r="B52" s="35"/>
      <c r="C52" s="64" t="s">
        <v>97</v>
      </c>
      <c r="D52" s="33"/>
      <c r="E52" s="33"/>
      <c r="F52" s="65"/>
      <c r="G52" s="65"/>
      <c r="H52" s="33"/>
      <c r="I52" s="33"/>
      <c r="J52" s="33"/>
      <c r="K52" s="33"/>
      <c r="L52" s="69"/>
      <c r="M52" s="69"/>
      <c r="N52" s="69"/>
      <c r="O52" s="69"/>
      <c r="P52" s="91"/>
      <c r="Q52" s="191"/>
      <c r="R52" s="191"/>
      <c r="S52" s="120"/>
      <c r="U52" s="34">
        <f t="shared" si="3"/>
        <v>45356</v>
      </c>
      <c r="V52" s="1" cm="1">
        <f t="array" ref="V52">SUMIFS(calls_off_BAR,period_BAR,"&gt;="&amp;U52,period_BAR,"&lt;"&amp;U53)</f>
        <v>0</v>
      </c>
      <c r="W52" s="99" cm="1">
        <f t="array" ref="W52">SUMIFS(calls_ans_BAR,period_BAR,"&gt;="&amp;U52,period_BAR,"&lt;"&amp;U53)</f>
        <v>0</v>
      </c>
    </row>
    <row r="53" spans="1:23" x14ac:dyDescent="0.35">
      <c r="A53" s="28">
        <v>45068</v>
      </c>
      <c r="B53" s="36"/>
      <c r="C53" s="64" t="s">
        <v>97</v>
      </c>
      <c r="D53" s="1"/>
      <c r="E53" s="1"/>
      <c r="F53" s="66"/>
      <c r="G53" s="66"/>
      <c r="H53" s="1"/>
      <c r="I53" s="1"/>
      <c r="J53" s="1"/>
      <c r="K53" s="1"/>
      <c r="L53" s="68"/>
      <c r="M53" s="68"/>
      <c r="N53" s="68"/>
      <c r="O53" s="68"/>
      <c r="P53" s="92"/>
      <c r="Q53" s="162"/>
      <c r="R53" s="162"/>
      <c r="S53" s="120"/>
      <c r="U53" s="34">
        <f t="shared" si="3"/>
        <v>45363</v>
      </c>
      <c r="V53" s="1">
        <f>SUMIFS(calls_off_BAR,period_BAR,"&gt;="&amp;U53,period_BAR,"&lt;"&amp;U54)</f>
        <v>0</v>
      </c>
      <c r="W53" s="99">
        <f>SUMIFS(calls_ans_BAR,period_BAR,"&gt;="&amp;U53,period_BAR,"&lt;"&amp;U54)</f>
        <v>0</v>
      </c>
    </row>
    <row r="54" spans="1:23" x14ac:dyDescent="0.35">
      <c r="A54" s="28">
        <v>45069</v>
      </c>
      <c r="B54" s="35"/>
      <c r="C54" s="64" t="s">
        <v>97</v>
      </c>
      <c r="D54" s="33"/>
      <c r="E54" s="33"/>
      <c r="F54" s="65"/>
      <c r="G54" s="65"/>
      <c r="H54" s="33"/>
      <c r="I54" s="33"/>
      <c r="J54" s="33"/>
      <c r="K54" s="33"/>
      <c r="L54" s="69"/>
      <c r="M54" s="69"/>
      <c r="N54" s="69"/>
      <c r="O54" s="69"/>
      <c r="P54" s="91"/>
      <c r="Q54" s="191"/>
      <c r="R54" s="191"/>
      <c r="S54" s="120"/>
      <c r="U54" s="34">
        <f t="shared" si="3"/>
        <v>45370</v>
      </c>
      <c r="V54" s="1" cm="1">
        <f t="array" ref="V54">SUMIFS(calls_off_BAR,period_BAR,"&gt;="&amp;U54,period_BAR,"&lt;"&amp;U55)</f>
        <v>0</v>
      </c>
      <c r="W54" s="99" cm="1">
        <f t="array" ref="W54">SUMIFS(calls_ans_BAR,period_BAR,"&gt;="&amp;U54,period_BAR,"&lt;"&amp;U55)</f>
        <v>0</v>
      </c>
    </row>
    <row r="55" spans="1:23" x14ac:dyDescent="0.35">
      <c r="A55" s="28">
        <v>45070</v>
      </c>
      <c r="B55" s="36"/>
      <c r="C55" s="64" t="s">
        <v>97</v>
      </c>
      <c r="D55" s="1"/>
      <c r="E55" s="1"/>
      <c r="F55" s="66"/>
      <c r="G55" s="66"/>
      <c r="H55" s="1"/>
      <c r="I55" s="1"/>
      <c r="J55" s="1"/>
      <c r="K55" s="1"/>
      <c r="L55" s="68"/>
      <c r="M55" s="68"/>
      <c r="N55" s="68"/>
      <c r="O55" s="68"/>
      <c r="P55" s="92"/>
      <c r="Q55" s="162"/>
      <c r="R55" s="162"/>
      <c r="S55" s="120"/>
      <c r="U55" s="34">
        <f t="shared" si="3"/>
        <v>45377</v>
      </c>
      <c r="V55" s="1">
        <f>SUMIFS(calls_off_BAR,period_BAR,"&gt;="&amp;U55,period_BAR,"&lt;"&amp;U56)</f>
        <v>0</v>
      </c>
      <c r="W55" s="99">
        <f>SUMIFS(calls_ans_BAR,period_BAR,"&gt;="&amp;U55,period_BAR,"&lt;"&amp;U56)</f>
        <v>0</v>
      </c>
    </row>
    <row r="56" spans="1:23" x14ac:dyDescent="0.35">
      <c r="A56" s="28">
        <v>45071</v>
      </c>
      <c r="B56" s="35"/>
      <c r="C56" s="64" t="s">
        <v>97</v>
      </c>
      <c r="D56" s="33"/>
      <c r="E56" s="33"/>
      <c r="F56" s="65"/>
      <c r="G56" s="65"/>
      <c r="H56" s="33"/>
      <c r="I56" s="33"/>
      <c r="J56" s="33"/>
      <c r="K56" s="33"/>
      <c r="L56" s="69"/>
      <c r="M56" s="69"/>
      <c r="N56" s="69"/>
      <c r="O56" s="69"/>
      <c r="P56" s="91"/>
      <c r="Q56" s="191"/>
      <c r="R56" s="191"/>
      <c r="S56" s="120"/>
    </row>
    <row r="57" spans="1:23" x14ac:dyDescent="0.35">
      <c r="A57" s="28">
        <v>45072</v>
      </c>
      <c r="B57" s="36"/>
      <c r="C57" s="64" t="s">
        <v>97</v>
      </c>
      <c r="D57" s="1"/>
      <c r="E57" s="1"/>
      <c r="F57" s="66"/>
      <c r="G57" s="66"/>
      <c r="H57" s="1"/>
      <c r="I57" s="1"/>
      <c r="J57" s="1"/>
      <c r="K57" s="1"/>
      <c r="L57" s="68"/>
      <c r="M57" s="68"/>
      <c r="N57" s="68"/>
      <c r="O57" s="68"/>
      <c r="P57" s="92"/>
      <c r="Q57" s="162"/>
      <c r="R57" s="162"/>
      <c r="S57" s="120"/>
    </row>
    <row r="58" spans="1:23" x14ac:dyDescent="0.35">
      <c r="A58" s="28">
        <v>45073</v>
      </c>
      <c r="B58" s="35"/>
      <c r="C58" s="64" t="s">
        <v>97</v>
      </c>
      <c r="D58" s="33"/>
      <c r="E58" s="33"/>
      <c r="F58" s="65"/>
      <c r="G58" s="65"/>
      <c r="H58" s="33"/>
      <c r="I58" s="33"/>
      <c r="J58" s="33"/>
      <c r="K58" s="33"/>
      <c r="L58" s="69"/>
      <c r="M58" s="69"/>
      <c r="N58" s="69"/>
      <c r="O58" s="69"/>
      <c r="P58" s="91"/>
      <c r="Q58" s="191"/>
      <c r="R58" s="191"/>
      <c r="S58" s="120"/>
    </row>
    <row r="59" spans="1:23" x14ac:dyDescent="0.35">
      <c r="A59" s="28">
        <v>45074</v>
      </c>
      <c r="B59" s="36"/>
      <c r="C59" s="64" t="s">
        <v>97</v>
      </c>
      <c r="D59" s="1"/>
      <c r="E59" s="1"/>
      <c r="F59" s="66"/>
      <c r="G59" s="66"/>
      <c r="H59" s="1"/>
      <c r="I59" s="1"/>
      <c r="J59" s="1"/>
      <c r="K59" s="1"/>
      <c r="L59" s="68"/>
      <c r="M59" s="68"/>
      <c r="N59" s="68"/>
      <c r="O59" s="68"/>
      <c r="P59" s="92"/>
      <c r="Q59" s="162"/>
      <c r="R59" s="162"/>
      <c r="S59" s="120"/>
    </row>
    <row r="60" spans="1:23" x14ac:dyDescent="0.35">
      <c r="A60" s="28">
        <v>45075</v>
      </c>
      <c r="B60" s="35"/>
      <c r="C60" s="64" t="s">
        <v>97</v>
      </c>
      <c r="D60" s="33"/>
      <c r="E60" s="33"/>
      <c r="F60" s="65"/>
      <c r="G60" s="65"/>
      <c r="H60" s="33"/>
      <c r="I60" s="33"/>
      <c r="J60" s="33"/>
      <c r="K60" s="33"/>
      <c r="L60" s="69"/>
      <c r="M60" s="69"/>
      <c r="N60" s="69"/>
      <c r="O60" s="69"/>
      <c r="P60" s="91"/>
      <c r="Q60" s="191"/>
      <c r="R60" s="191"/>
      <c r="S60" s="120"/>
    </row>
    <row r="61" spans="1:23" x14ac:dyDescent="0.35">
      <c r="A61" s="28">
        <v>45076</v>
      </c>
      <c r="B61" s="36"/>
      <c r="C61" s="64" t="s">
        <v>97</v>
      </c>
      <c r="D61" s="1"/>
      <c r="E61" s="1"/>
      <c r="F61" s="66"/>
      <c r="G61" s="66"/>
      <c r="H61" s="1"/>
      <c r="I61" s="1"/>
      <c r="J61" s="1"/>
      <c r="K61" s="1"/>
      <c r="L61" s="68"/>
      <c r="M61" s="68"/>
      <c r="N61" s="68"/>
      <c r="O61" s="68"/>
      <c r="P61" s="92"/>
      <c r="Q61" s="162"/>
      <c r="R61" s="162"/>
      <c r="S61" s="120"/>
    </row>
    <row r="62" spans="1:23" x14ac:dyDescent="0.35">
      <c r="A62" s="28">
        <v>45077</v>
      </c>
      <c r="B62" s="35"/>
      <c r="C62" s="64" t="s">
        <v>97</v>
      </c>
      <c r="D62" s="33"/>
      <c r="E62" s="33"/>
      <c r="F62" s="65"/>
      <c r="G62" s="65"/>
      <c r="H62" s="33"/>
      <c r="I62" s="33"/>
      <c r="J62" s="33"/>
      <c r="K62" s="33"/>
      <c r="L62" s="69"/>
      <c r="M62" s="69"/>
      <c r="N62" s="69"/>
      <c r="O62" s="69"/>
      <c r="P62" s="91"/>
      <c r="Q62" s="191"/>
      <c r="R62" s="191"/>
      <c r="S62" s="120"/>
    </row>
    <row r="63" spans="1:23" x14ac:dyDescent="0.35">
      <c r="A63" s="28">
        <v>45078</v>
      </c>
      <c r="B63" s="36"/>
      <c r="C63" s="64" t="s">
        <v>97</v>
      </c>
      <c r="D63" s="1"/>
      <c r="E63" s="1"/>
      <c r="F63" s="66"/>
      <c r="G63" s="66"/>
      <c r="H63" s="1"/>
      <c r="I63" s="1"/>
      <c r="J63" s="1"/>
      <c r="K63" s="1"/>
      <c r="L63" s="68"/>
      <c r="M63" s="68"/>
      <c r="N63" s="68"/>
      <c r="O63" s="68"/>
      <c r="P63" s="92"/>
      <c r="Q63" s="162"/>
      <c r="R63" s="162"/>
      <c r="S63" s="120"/>
    </row>
    <row r="64" spans="1:23" x14ac:dyDescent="0.35">
      <c r="A64" s="28">
        <v>45079</v>
      </c>
      <c r="B64" s="35"/>
      <c r="C64" s="64" t="s">
        <v>97</v>
      </c>
      <c r="D64" s="33"/>
      <c r="E64" s="33"/>
      <c r="F64" s="65"/>
      <c r="G64" s="65"/>
      <c r="H64" s="33"/>
      <c r="I64" s="33"/>
      <c r="J64" s="33"/>
      <c r="K64" s="33"/>
      <c r="L64" s="69"/>
      <c r="M64" s="69"/>
      <c r="N64" s="69"/>
      <c r="O64" s="69"/>
      <c r="P64" s="91"/>
      <c r="Q64" s="191"/>
      <c r="R64" s="191"/>
      <c r="S64" s="120"/>
    </row>
    <row r="65" spans="1:19" x14ac:dyDescent="0.35">
      <c r="A65" s="28">
        <v>45080</v>
      </c>
      <c r="B65" s="36"/>
      <c r="C65" s="64" t="s">
        <v>97</v>
      </c>
      <c r="D65" s="1"/>
      <c r="E65" s="1"/>
      <c r="F65" s="66"/>
      <c r="G65" s="66"/>
      <c r="H65" s="1"/>
      <c r="I65" s="1"/>
      <c r="J65" s="1"/>
      <c r="K65" s="1"/>
      <c r="L65" s="68"/>
      <c r="M65" s="68"/>
      <c r="N65" s="68"/>
      <c r="O65" s="68"/>
      <c r="P65" s="92"/>
      <c r="Q65" s="162"/>
      <c r="R65" s="162"/>
      <c r="S65" s="120"/>
    </row>
    <row r="66" spans="1:19" x14ac:dyDescent="0.35">
      <c r="A66" s="28">
        <v>45081</v>
      </c>
      <c r="B66" s="35"/>
      <c r="C66" s="64" t="s">
        <v>97</v>
      </c>
      <c r="D66" s="33"/>
      <c r="E66" s="33"/>
      <c r="F66" s="65"/>
      <c r="G66" s="65"/>
      <c r="H66" s="33"/>
      <c r="I66" s="33"/>
      <c r="J66" s="33"/>
      <c r="K66" s="33"/>
      <c r="L66" s="69"/>
      <c r="M66" s="69"/>
      <c r="N66" s="69"/>
      <c r="O66" s="69"/>
      <c r="P66" s="91"/>
      <c r="Q66" s="191"/>
      <c r="R66" s="191"/>
      <c r="S66" s="120"/>
    </row>
    <row r="67" spans="1:19" x14ac:dyDescent="0.35">
      <c r="A67" s="28">
        <v>45082</v>
      </c>
      <c r="B67" s="36"/>
      <c r="C67" s="64" t="s">
        <v>97</v>
      </c>
      <c r="D67" s="1"/>
      <c r="E67" s="1"/>
      <c r="F67" s="66"/>
      <c r="G67" s="66"/>
      <c r="H67" s="1"/>
      <c r="I67" s="1"/>
      <c r="J67" s="1"/>
      <c r="K67" s="1"/>
      <c r="L67" s="68"/>
      <c r="M67" s="68"/>
      <c r="N67" s="68"/>
      <c r="O67" s="68"/>
      <c r="P67" s="92"/>
      <c r="Q67" s="162"/>
      <c r="R67" s="162"/>
      <c r="S67" s="120"/>
    </row>
    <row r="68" spans="1:19" x14ac:dyDescent="0.35">
      <c r="A68" s="28">
        <v>45083</v>
      </c>
      <c r="B68" s="35"/>
      <c r="C68" s="64" t="s">
        <v>97</v>
      </c>
      <c r="D68" s="33"/>
      <c r="E68" s="33"/>
      <c r="F68" s="65"/>
      <c r="G68" s="65"/>
      <c r="H68" s="33"/>
      <c r="I68" s="33"/>
      <c r="J68" s="33"/>
      <c r="K68" s="33"/>
      <c r="L68" s="69"/>
      <c r="M68" s="69"/>
      <c r="N68" s="69"/>
      <c r="O68" s="69"/>
      <c r="P68" s="91"/>
      <c r="Q68" s="191"/>
      <c r="R68" s="191"/>
      <c r="S68" s="120"/>
    </row>
    <row r="69" spans="1:19" x14ac:dyDescent="0.35">
      <c r="A69" s="28">
        <v>45084</v>
      </c>
      <c r="B69" s="36"/>
      <c r="C69" s="64" t="s">
        <v>97</v>
      </c>
      <c r="D69" s="1"/>
      <c r="E69" s="1"/>
      <c r="F69" s="66"/>
      <c r="G69" s="66"/>
      <c r="H69" s="1"/>
      <c r="I69" s="1"/>
      <c r="J69" s="1"/>
      <c r="K69" s="1"/>
      <c r="L69" s="68"/>
      <c r="M69" s="68"/>
      <c r="N69" s="68"/>
      <c r="O69" s="68"/>
      <c r="P69" s="92"/>
      <c r="Q69" s="162"/>
      <c r="R69" s="162"/>
      <c r="S69" s="120"/>
    </row>
    <row r="70" spans="1:19" x14ac:dyDescent="0.35">
      <c r="A70" s="28">
        <v>45085</v>
      </c>
      <c r="B70" s="35"/>
      <c r="C70" s="64" t="s">
        <v>97</v>
      </c>
      <c r="D70" s="33"/>
      <c r="E70" s="33"/>
      <c r="F70" s="65"/>
      <c r="G70" s="65"/>
      <c r="H70" s="33"/>
      <c r="I70" s="33"/>
      <c r="J70" s="33"/>
      <c r="K70" s="33"/>
      <c r="L70" s="69"/>
      <c r="M70" s="69"/>
      <c r="N70" s="69"/>
      <c r="O70" s="69"/>
      <c r="P70" s="91"/>
      <c r="Q70" s="191"/>
      <c r="R70" s="191"/>
      <c r="S70" s="120"/>
    </row>
    <row r="71" spans="1:19" x14ac:dyDescent="0.35">
      <c r="A71" s="28">
        <v>45086</v>
      </c>
      <c r="B71" s="36"/>
      <c r="C71" s="64" t="s">
        <v>97</v>
      </c>
      <c r="D71" s="1"/>
      <c r="E71" s="1"/>
      <c r="F71" s="66"/>
      <c r="G71" s="66"/>
      <c r="H71" s="1"/>
      <c r="I71" s="1"/>
      <c r="J71" s="1"/>
      <c r="K71" s="1"/>
      <c r="L71" s="68"/>
      <c r="M71" s="68"/>
      <c r="N71" s="68"/>
      <c r="O71" s="68"/>
      <c r="P71" s="92"/>
      <c r="Q71" s="162"/>
      <c r="R71" s="162"/>
      <c r="S71" s="120"/>
    </row>
    <row r="72" spans="1:19" x14ac:dyDescent="0.35">
      <c r="A72" s="28">
        <v>45087</v>
      </c>
      <c r="B72" s="35"/>
      <c r="C72" s="64" t="s">
        <v>97</v>
      </c>
      <c r="D72" s="33"/>
      <c r="E72" s="33"/>
      <c r="F72" s="65"/>
      <c r="G72" s="65"/>
      <c r="H72" s="33"/>
      <c r="I72" s="33"/>
      <c r="J72" s="33"/>
      <c r="K72" s="33"/>
      <c r="L72" s="69"/>
      <c r="M72" s="69"/>
      <c r="N72" s="69"/>
      <c r="O72" s="69"/>
      <c r="P72" s="91"/>
      <c r="Q72" s="191"/>
      <c r="R72" s="191"/>
      <c r="S72" s="120"/>
    </row>
    <row r="73" spans="1:19" x14ac:dyDescent="0.35">
      <c r="A73" s="28">
        <v>45088</v>
      </c>
      <c r="B73" s="36"/>
      <c r="C73" s="64" t="s">
        <v>97</v>
      </c>
      <c r="D73" s="1"/>
      <c r="E73" s="1"/>
      <c r="F73" s="66"/>
      <c r="G73" s="66"/>
      <c r="H73" s="1"/>
      <c r="I73" s="1"/>
      <c r="J73" s="1"/>
      <c r="K73" s="1"/>
      <c r="L73" s="68"/>
      <c r="M73" s="68"/>
      <c r="N73" s="68"/>
      <c r="O73" s="68"/>
      <c r="P73" s="92"/>
      <c r="Q73" s="162"/>
      <c r="R73" s="162"/>
      <c r="S73" s="120"/>
    </row>
    <row r="74" spans="1:19" x14ac:dyDescent="0.35">
      <c r="A74" s="28">
        <v>45089</v>
      </c>
      <c r="B74" s="35"/>
      <c r="C74" s="64" t="s">
        <v>97</v>
      </c>
      <c r="D74" s="33"/>
      <c r="E74" s="33"/>
      <c r="F74" s="65"/>
      <c r="G74" s="65"/>
      <c r="H74" s="33"/>
      <c r="I74" s="33"/>
      <c r="J74" s="33"/>
      <c r="K74" s="33"/>
      <c r="L74" s="69"/>
      <c r="M74" s="69"/>
      <c r="N74" s="69"/>
      <c r="O74" s="69"/>
      <c r="P74" s="91"/>
      <c r="Q74" s="191"/>
      <c r="R74" s="191"/>
      <c r="S74" s="120"/>
    </row>
    <row r="75" spans="1:19" x14ac:dyDescent="0.35">
      <c r="A75" s="28">
        <v>45090</v>
      </c>
      <c r="B75" s="36"/>
      <c r="C75" s="64" t="s">
        <v>97</v>
      </c>
      <c r="D75" s="1"/>
      <c r="E75" s="1"/>
      <c r="F75" s="66"/>
      <c r="G75" s="66"/>
      <c r="H75" s="1"/>
      <c r="I75" s="1"/>
      <c r="J75" s="1"/>
      <c r="K75" s="1"/>
      <c r="L75" s="68"/>
      <c r="M75" s="68"/>
      <c r="N75" s="68"/>
      <c r="O75" s="68"/>
      <c r="P75" s="92"/>
      <c r="Q75" s="162"/>
      <c r="R75" s="162"/>
      <c r="S75" s="120"/>
    </row>
    <row r="76" spans="1:19" x14ac:dyDescent="0.35">
      <c r="A76" s="28">
        <v>45091</v>
      </c>
      <c r="B76" s="35"/>
      <c r="C76" s="64" t="s">
        <v>97</v>
      </c>
      <c r="D76" s="33"/>
      <c r="E76" s="33"/>
      <c r="F76" s="65"/>
      <c r="G76" s="65"/>
      <c r="H76" s="33"/>
      <c r="I76" s="33"/>
      <c r="J76" s="33"/>
      <c r="K76" s="33"/>
      <c r="L76" s="69"/>
      <c r="M76" s="69"/>
      <c r="N76" s="69"/>
      <c r="O76" s="69"/>
      <c r="P76" s="91"/>
      <c r="Q76" s="191"/>
      <c r="R76" s="191"/>
      <c r="S76" s="120"/>
    </row>
    <row r="77" spans="1:19" x14ac:dyDescent="0.35">
      <c r="A77" s="28">
        <v>45092</v>
      </c>
      <c r="B77" s="36"/>
      <c r="C77" s="64" t="s">
        <v>97</v>
      </c>
      <c r="D77" s="1"/>
      <c r="E77" s="1"/>
      <c r="F77" s="66"/>
      <c r="G77" s="66"/>
      <c r="H77" s="1"/>
      <c r="I77" s="1"/>
      <c r="J77" s="1"/>
      <c r="K77" s="1"/>
      <c r="L77" s="68"/>
      <c r="M77" s="68"/>
      <c r="N77" s="68"/>
      <c r="O77" s="68"/>
      <c r="P77" s="92"/>
      <c r="Q77" s="162"/>
      <c r="R77" s="162"/>
      <c r="S77" s="120"/>
    </row>
    <row r="78" spans="1:19" x14ac:dyDescent="0.35">
      <c r="A78" s="28">
        <v>45093</v>
      </c>
      <c r="B78" s="35"/>
      <c r="C78" s="64" t="s">
        <v>97</v>
      </c>
      <c r="D78" s="33"/>
      <c r="E78" s="33"/>
      <c r="F78" s="65"/>
      <c r="G78" s="65"/>
      <c r="H78" s="33"/>
      <c r="I78" s="33"/>
      <c r="J78" s="33"/>
      <c r="K78" s="33"/>
      <c r="L78" s="69"/>
      <c r="M78" s="69"/>
      <c r="N78" s="69"/>
      <c r="O78" s="69"/>
      <c r="P78" s="91"/>
      <c r="Q78" s="191"/>
      <c r="R78" s="191"/>
      <c r="S78" s="120"/>
    </row>
    <row r="79" spans="1:19" x14ac:dyDescent="0.35">
      <c r="A79" s="28">
        <v>45094</v>
      </c>
      <c r="B79" s="36"/>
      <c r="C79" s="64" t="s">
        <v>97</v>
      </c>
      <c r="D79" s="1"/>
      <c r="E79" s="1"/>
      <c r="F79" s="66"/>
      <c r="G79" s="66"/>
      <c r="H79" s="1"/>
      <c r="I79" s="1"/>
      <c r="J79" s="1"/>
      <c r="K79" s="1"/>
      <c r="L79" s="68"/>
      <c r="M79" s="68"/>
      <c r="N79" s="68"/>
      <c r="O79" s="68"/>
      <c r="P79" s="92"/>
      <c r="Q79" s="162"/>
      <c r="R79" s="162"/>
      <c r="S79" s="120"/>
    </row>
    <row r="80" spans="1:19" x14ac:dyDescent="0.35">
      <c r="A80" s="28">
        <v>45095</v>
      </c>
      <c r="B80" s="35"/>
      <c r="C80" s="64" t="s">
        <v>97</v>
      </c>
      <c r="D80" s="33"/>
      <c r="E80" s="33"/>
      <c r="F80" s="65"/>
      <c r="G80" s="65"/>
      <c r="H80" s="33"/>
      <c r="I80" s="33"/>
      <c r="J80" s="33"/>
      <c r="K80" s="33"/>
      <c r="L80" s="69"/>
      <c r="M80" s="69"/>
      <c r="N80" s="69"/>
      <c r="O80" s="69"/>
      <c r="P80" s="91"/>
      <c r="Q80" s="191"/>
      <c r="R80" s="191"/>
      <c r="S80" s="120"/>
    </row>
    <row r="81" spans="1:19" x14ac:dyDescent="0.35">
      <c r="A81" s="28">
        <v>45096</v>
      </c>
      <c r="B81" s="36"/>
      <c r="C81" s="64" t="s">
        <v>97</v>
      </c>
      <c r="D81" s="1"/>
      <c r="E81" s="1"/>
      <c r="F81" s="66"/>
      <c r="G81" s="66"/>
      <c r="H81" s="1"/>
      <c r="I81" s="1"/>
      <c r="J81" s="1"/>
      <c r="K81" s="1"/>
      <c r="L81" s="68"/>
      <c r="M81" s="68"/>
      <c r="N81" s="68"/>
      <c r="O81" s="68"/>
      <c r="P81" s="92"/>
      <c r="Q81" s="162"/>
      <c r="R81" s="162"/>
      <c r="S81" s="120"/>
    </row>
    <row r="82" spans="1:19" x14ac:dyDescent="0.35">
      <c r="A82" s="28">
        <v>45097</v>
      </c>
      <c r="B82" s="35"/>
      <c r="C82" s="64" t="s">
        <v>97</v>
      </c>
      <c r="D82" s="33"/>
      <c r="E82" s="33"/>
      <c r="F82" s="65"/>
      <c r="G82" s="65"/>
      <c r="H82" s="33"/>
      <c r="I82" s="33"/>
      <c r="J82" s="33"/>
      <c r="K82" s="33"/>
      <c r="L82" s="69"/>
      <c r="M82" s="69"/>
      <c r="N82" s="69"/>
      <c r="O82" s="69"/>
      <c r="P82" s="91"/>
      <c r="Q82" s="191"/>
      <c r="R82" s="191"/>
      <c r="S82" s="120"/>
    </row>
    <row r="83" spans="1:19" x14ac:dyDescent="0.35">
      <c r="A83" s="28">
        <v>45098</v>
      </c>
      <c r="B83" s="36"/>
      <c r="C83" s="64" t="s">
        <v>97</v>
      </c>
      <c r="D83" s="1"/>
      <c r="E83" s="1"/>
      <c r="F83" s="66"/>
      <c r="G83" s="66"/>
      <c r="H83" s="1"/>
      <c r="I83" s="1"/>
      <c r="J83" s="1"/>
      <c r="K83" s="1"/>
      <c r="L83" s="68"/>
      <c r="M83" s="68"/>
      <c r="N83" s="68"/>
      <c r="O83" s="68"/>
      <c r="P83" s="92"/>
      <c r="Q83" s="162"/>
      <c r="R83" s="162"/>
      <c r="S83" s="120"/>
    </row>
    <row r="84" spans="1:19" x14ac:dyDescent="0.35">
      <c r="A84" s="28">
        <v>45099</v>
      </c>
      <c r="B84" s="35"/>
      <c r="C84" s="64" t="s">
        <v>97</v>
      </c>
      <c r="D84" s="33"/>
      <c r="E84" s="33"/>
      <c r="F84" s="65"/>
      <c r="G84" s="65"/>
      <c r="H84" s="33"/>
      <c r="I84" s="33"/>
      <c r="J84" s="33"/>
      <c r="K84" s="33"/>
      <c r="L84" s="69"/>
      <c r="M84" s="69"/>
      <c r="N84" s="69"/>
      <c r="O84" s="69"/>
      <c r="P84" s="91"/>
      <c r="Q84" s="191"/>
      <c r="R84" s="191"/>
      <c r="S84" s="120"/>
    </row>
    <row r="85" spans="1:19" x14ac:dyDescent="0.35">
      <c r="A85" s="28">
        <v>45100</v>
      </c>
      <c r="B85" s="36"/>
      <c r="C85" s="64" t="s">
        <v>97</v>
      </c>
      <c r="D85" s="1"/>
      <c r="E85" s="1"/>
      <c r="F85" s="66"/>
      <c r="G85" s="66"/>
      <c r="H85" s="1"/>
      <c r="I85" s="1"/>
      <c r="J85" s="1"/>
      <c r="K85" s="1"/>
      <c r="L85" s="68"/>
      <c r="M85" s="68"/>
      <c r="N85" s="68"/>
      <c r="O85" s="68"/>
      <c r="P85" s="92"/>
      <c r="Q85" s="162"/>
      <c r="R85" s="162"/>
      <c r="S85" s="120"/>
    </row>
    <row r="86" spans="1:19" x14ac:dyDescent="0.35">
      <c r="A86" s="28">
        <v>45101</v>
      </c>
      <c r="B86" s="35"/>
      <c r="C86" s="64" t="s">
        <v>97</v>
      </c>
      <c r="D86" s="33"/>
      <c r="E86" s="33"/>
      <c r="F86" s="65"/>
      <c r="G86" s="65"/>
      <c r="H86" s="33"/>
      <c r="I86" s="33"/>
      <c r="J86" s="33"/>
      <c r="K86" s="33"/>
      <c r="L86" s="69"/>
      <c r="M86" s="69"/>
      <c r="N86" s="69"/>
      <c r="O86" s="69"/>
      <c r="P86" s="91"/>
      <c r="Q86" s="191"/>
      <c r="R86" s="191"/>
      <c r="S86" s="120"/>
    </row>
    <row r="87" spans="1:19" x14ac:dyDescent="0.35">
      <c r="A87" s="28">
        <v>45102</v>
      </c>
      <c r="B87" s="36"/>
      <c r="C87" s="64" t="s">
        <v>97</v>
      </c>
      <c r="D87" s="1"/>
      <c r="E87" s="1"/>
      <c r="F87" s="66"/>
      <c r="G87" s="66"/>
      <c r="H87" s="1"/>
      <c r="I87" s="1"/>
      <c r="J87" s="1"/>
      <c r="K87" s="1"/>
      <c r="L87" s="68"/>
      <c r="M87" s="68"/>
      <c r="N87" s="68"/>
      <c r="O87" s="68"/>
      <c r="P87" s="92"/>
      <c r="Q87" s="162"/>
      <c r="R87" s="162"/>
      <c r="S87" s="120"/>
    </row>
    <row r="88" spans="1:19" x14ac:dyDescent="0.35">
      <c r="A88" s="28">
        <v>45103</v>
      </c>
      <c r="B88" s="35"/>
      <c r="C88" s="64" t="s">
        <v>97</v>
      </c>
      <c r="D88" s="33"/>
      <c r="E88" s="33"/>
      <c r="F88" s="65"/>
      <c r="G88" s="65"/>
      <c r="H88" s="33"/>
      <c r="I88" s="33"/>
      <c r="J88" s="33"/>
      <c r="K88" s="33"/>
      <c r="L88" s="69"/>
      <c r="M88" s="69"/>
      <c r="N88" s="69"/>
      <c r="O88" s="69"/>
      <c r="P88" s="91"/>
      <c r="Q88" s="191"/>
      <c r="R88" s="191"/>
      <c r="S88" s="120"/>
    </row>
    <row r="89" spans="1:19" x14ac:dyDescent="0.35">
      <c r="A89" s="28">
        <v>45104</v>
      </c>
      <c r="B89" s="36"/>
      <c r="C89" s="64" t="s">
        <v>97</v>
      </c>
      <c r="D89" s="1"/>
      <c r="E89" s="1"/>
      <c r="F89" s="66"/>
      <c r="G89" s="66"/>
      <c r="H89" s="1"/>
      <c r="I89" s="1"/>
      <c r="J89" s="1"/>
      <c r="K89" s="1"/>
      <c r="L89" s="68"/>
      <c r="M89" s="68"/>
      <c r="N89" s="68"/>
      <c r="O89" s="68"/>
      <c r="P89" s="92"/>
      <c r="Q89" s="162"/>
      <c r="R89" s="162"/>
      <c r="S89" s="120"/>
    </row>
    <row r="90" spans="1:19" x14ac:dyDescent="0.35">
      <c r="A90" s="28">
        <v>45105</v>
      </c>
      <c r="B90" s="35"/>
      <c r="C90" s="64" t="s">
        <v>97</v>
      </c>
      <c r="D90" s="33"/>
      <c r="E90" s="33"/>
      <c r="F90" s="65"/>
      <c r="G90" s="65"/>
      <c r="H90" s="33"/>
      <c r="I90" s="33"/>
      <c r="J90" s="33"/>
      <c r="K90" s="33"/>
      <c r="L90" s="69"/>
      <c r="M90" s="69"/>
      <c r="N90" s="69"/>
      <c r="O90" s="69"/>
      <c r="P90" s="91"/>
      <c r="Q90" s="191"/>
      <c r="R90" s="191"/>
      <c r="S90" s="120"/>
    </row>
    <row r="91" spans="1:19" x14ac:dyDescent="0.35">
      <c r="A91" s="28">
        <v>45106</v>
      </c>
      <c r="B91" s="36"/>
      <c r="C91" s="64" t="s">
        <v>97</v>
      </c>
      <c r="D91" s="1"/>
      <c r="E91" s="1"/>
      <c r="F91" s="66"/>
      <c r="G91" s="66"/>
      <c r="H91" s="1"/>
      <c r="I91" s="1"/>
      <c r="J91" s="1"/>
      <c r="K91" s="1"/>
      <c r="L91" s="68"/>
      <c r="M91" s="68"/>
      <c r="N91" s="68"/>
      <c r="O91" s="68"/>
      <c r="P91" s="92"/>
      <c r="Q91" s="162"/>
      <c r="R91" s="162"/>
      <c r="S91" s="120"/>
    </row>
    <row r="92" spans="1:19" x14ac:dyDescent="0.35">
      <c r="A92" s="28">
        <v>45107</v>
      </c>
      <c r="B92" s="35"/>
      <c r="C92" s="64" t="s">
        <v>97</v>
      </c>
      <c r="D92" s="33"/>
      <c r="E92" s="33"/>
      <c r="F92" s="65"/>
      <c r="G92" s="65"/>
      <c r="H92" s="33"/>
      <c r="I92" s="33"/>
      <c r="J92" s="33"/>
      <c r="K92" s="33"/>
      <c r="L92" s="69"/>
      <c r="M92" s="69"/>
      <c r="N92" s="69"/>
      <c r="O92" s="69"/>
      <c r="P92" s="91"/>
      <c r="Q92" s="191"/>
      <c r="R92" s="191"/>
      <c r="S92" s="120"/>
    </row>
    <row r="93" spans="1:19" x14ac:dyDescent="0.35">
      <c r="A93" s="28">
        <v>45108</v>
      </c>
      <c r="B93" s="36"/>
      <c r="C93" s="64" t="s">
        <v>97</v>
      </c>
      <c r="D93" s="1"/>
      <c r="E93" s="1"/>
      <c r="F93" s="66"/>
      <c r="G93" s="66"/>
      <c r="H93" s="1"/>
      <c r="I93" s="1"/>
      <c r="J93" s="1"/>
      <c r="K93" s="1"/>
      <c r="L93" s="68"/>
      <c r="M93" s="68"/>
      <c r="N93" s="68"/>
      <c r="O93" s="68"/>
      <c r="P93" s="92"/>
      <c r="Q93" s="162"/>
      <c r="R93" s="162"/>
      <c r="S93" s="120"/>
    </row>
    <row r="94" spans="1:19" x14ac:dyDescent="0.35">
      <c r="A94" s="28">
        <v>45109</v>
      </c>
      <c r="B94" s="35"/>
      <c r="C94" s="64" t="s">
        <v>97</v>
      </c>
      <c r="D94" s="33"/>
      <c r="E94" s="33"/>
      <c r="F94" s="65"/>
      <c r="G94" s="65"/>
      <c r="H94" s="33"/>
      <c r="I94" s="33"/>
      <c r="J94" s="33"/>
      <c r="K94" s="33"/>
      <c r="L94" s="69"/>
      <c r="M94" s="69"/>
      <c r="N94" s="69"/>
      <c r="O94" s="69"/>
      <c r="P94" s="91"/>
      <c r="Q94" s="191"/>
      <c r="R94" s="191"/>
      <c r="S94" s="120"/>
    </row>
    <row r="95" spans="1:19" x14ac:dyDescent="0.35">
      <c r="A95" s="28">
        <v>45110</v>
      </c>
      <c r="B95" s="36"/>
      <c r="C95" s="64" t="s">
        <v>97</v>
      </c>
      <c r="D95" s="1"/>
      <c r="E95" s="1"/>
      <c r="F95" s="66"/>
      <c r="G95" s="66"/>
      <c r="H95" s="1"/>
      <c r="I95" s="1"/>
      <c r="J95" s="1"/>
      <c r="K95" s="1"/>
      <c r="L95" s="68"/>
      <c r="M95" s="68"/>
      <c r="N95" s="68"/>
      <c r="O95" s="68"/>
      <c r="P95" s="92"/>
      <c r="Q95" s="162"/>
      <c r="R95" s="162"/>
      <c r="S95" s="120"/>
    </row>
    <row r="96" spans="1:19" x14ac:dyDescent="0.35">
      <c r="A96" s="28">
        <v>45111</v>
      </c>
      <c r="B96" s="35"/>
      <c r="C96" s="64" t="s">
        <v>97</v>
      </c>
      <c r="D96" s="33"/>
      <c r="E96" s="33"/>
      <c r="F96" s="65"/>
      <c r="G96" s="65"/>
      <c r="H96" s="33"/>
      <c r="I96" s="33"/>
      <c r="J96" s="33"/>
      <c r="K96" s="33"/>
      <c r="L96" s="69"/>
      <c r="M96" s="69"/>
      <c r="N96" s="69"/>
      <c r="O96" s="69"/>
      <c r="P96" s="91"/>
      <c r="Q96" s="191"/>
      <c r="R96" s="191"/>
      <c r="S96" s="120"/>
    </row>
    <row r="97" spans="1:23" x14ac:dyDescent="0.35">
      <c r="A97" s="28">
        <v>45112</v>
      </c>
      <c r="B97" s="36"/>
      <c r="C97" s="64" t="s">
        <v>97</v>
      </c>
      <c r="D97" s="1"/>
      <c r="E97" s="1"/>
      <c r="F97" s="66"/>
      <c r="G97" s="66"/>
      <c r="H97" s="1"/>
      <c r="I97" s="1"/>
      <c r="J97" s="1"/>
      <c r="K97" s="1"/>
      <c r="L97" s="68"/>
      <c r="M97" s="68"/>
      <c r="N97" s="68"/>
      <c r="O97" s="68"/>
      <c r="P97" s="92"/>
      <c r="Q97" s="162"/>
      <c r="R97" s="162"/>
      <c r="S97" s="120"/>
    </row>
    <row r="98" spans="1:23" x14ac:dyDescent="0.35">
      <c r="A98" s="28">
        <v>45113</v>
      </c>
      <c r="B98" s="35"/>
      <c r="C98" s="64" t="s">
        <v>97</v>
      </c>
      <c r="D98" s="33"/>
      <c r="E98" s="33"/>
      <c r="F98" s="65"/>
      <c r="G98" s="65"/>
      <c r="H98" s="33"/>
      <c r="I98" s="33"/>
      <c r="J98" s="33"/>
      <c r="K98" s="33"/>
      <c r="L98" s="69"/>
      <c r="M98" s="69"/>
      <c r="N98" s="69"/>
      <c r="O98" s="69"/>
      <c r="P98" s="91"/>
      <c r="Q98" s="191"/>
      <c r="R98" s="191"/>
      <c r="S98" s="120"/>
    </row>
    <row r="99" spans="1:23" x14ac:dyDescent="0.35">
      <c r="A99" s="28">
        <v>45114</v>
      </c>
      <c r="B99" s="36"/>
      <c r="C99" s="64" t="s">
        <v>97</v>
      </c>
      <c r="D99" s="1"/>
      <c r="E99" s="1"/>
      <c r="F99" s="66"/>
      <c r="G99" s="66"/>
      <c r="H99" s="1"/>
      <c r="I99" s="1"/>
      <c r="J99" s="1"/>
      <c r="K99" s="1"/>
      <c r="L99" s="68"/>
      <c r="M99" s="68"/>
      <c r="N99" s="68"/>
      <c r="O99" s="68"/>
      <c r="P99" s="92"/>
      <c r="Q99" s="162"/>
      <c r="R99" s="162"/>
      <c r="S99" s="120"/>
    </row>
    <row r="100" spans="1:23" x14ac:dyDescent="0.35">
      <c r="A100" s="28">
        <v>45115</v>
      </c>
      <c r="B100" s="35"/>
      <c r="C100" s="64" t="s">
        <v>97</v>
      </c>
      <c r="D100" s="33"/>
      <c r="E100" s="33"/>
      <c r="F100" s="65"/>
      <c r="G100" s="65"/>
      <c r="H100" s="33"/>
      <c r="I100" s="33"/>
      <c r="J100" s="33"/>
      <c r="K100" s="33"/>
      <c r="L100" s="69"/>
      <c r="M100" s="69"/>
      <c r="N100" s="69"/>
      <c r="O100" s="69"/>
      <c r="P100" s="91"/>
      <c r="Q100" s="191"/>
      <c r="R100" s="191"/>
      <c r="S100" s="120"/>
    </row>
    <row r="101" spans="1:23" x14ac:dyDescent="0.35">
      <c r="A101" s="28">
        <v>45116</v>
      </c>
      <c r="B101" s="36"/>
      <c r="C101" s="64" t="s">
        <v>97</v>
      </c>
      <c r="D101" s="1"/>
      <c r="E101" s="1"/>
      <c r="F101" s="66"/>
      <c r="G101" s="66"/>
      <c r="H101" s="1"/>
      <c r="I101" s="1"/>
      <c r="J101" s="1"/>
      <c r="K101" s="1"/>
      <c r="L101" s="68"/>
      <c r="M101" s="68"/>
      <c r="N101" s="68"/>
      <c r="O101" s="68"/>
      <c r="P101" s="92"/>
      <c r="Q101" s="162"/>
      <c r="R101" s="162"/>
      <c r="S101" s="120"/>
    </row>
    <row r="102" spans="1:23" x14ac:dyDescent="0.35">
      <c r="A102" s="28">
        <v>45117</v>
      </c>
      <c r="B102" s="35"/>
      <c r="C102" s="64" t="s">
        <v>97</v>
      </c>
      <c r="D102" s="33"/>
      <c r="E102" s="33"/>
      <c r="F102" s="65"/>
      <c r="G102" s="65"/>
      <c r="H102" s="33"/>
      <c r="I102" s="33"/>
      <c r="J102" s="33"/>
      <c r="K102" s="33"/>
      <c r="L102" s="69"/>
      <c r="M102" s="69"/>
      <c r="N102" s="69"/>
      <c r="O102" s="69"/>
      <c r="P102" s="91"/>
      <c r="Q102" s="191"/>
      <c r="R102" s="191"/>
      <c r="S102" s="120"/>
    </row>
    <row r="103" spans="1:23" x14ac:dyDescent="0.35">
      <c r="A103" s="28">
        <v>45118</v>
      </c>
      <c r="B103" s="36"/>
      <c r="C103" s="64" t="s">
        <v>97</v>
      </c>
      <c r="D103" s="1"/>
      <c r="E103" s="1"/>
      <c r="F103" s="66"/>
      <c r="G103" s="66"/>
      <c r="H103" s="1"/>
      <c r="I103" s="1"/>
      <c r="J103" s="1"/>
      <c r="K103" s="1"/>
      <c r="L103" s="68"/>
      <c r="M103" s="68"/>
      <c r="N103" s="68"/>
      <c r="O103" s="68"/>
      <c r="P103" s="92"/>
      <c r="Q103" s="162"/>
      <c r="R103" s="162"/>
      <c r="S103" s="120"/>
    </row>
    <row r="104" spans="1:23" x14ac:dyDescent="0.35">
      <c r="A104" s="28">
        <v>45119</v>
      </c>
      <c r="B104" s="35"/>
      <c r="C104" s="64" t="s">
        <v>97</v>
      </c>
      <c r="D104" s="33"/>
      <c r="E104" s="33"/>
      <c r="F104" s="65"/>
      <c r="G104" s="65"/>
      <c r="H104" s="33"/>
      <c r="I104" s="33"/>
      <c r="J104" s="33"/>
      <c r="K104" s="33"/>
      <c r="L104" s="69"/>
      <c r="M104" s="69"/>
      <c r="N104" s="69"/>
      <c r="O104" s="69"/>
      <c r="P104" s="91"/>
      <c r="Q104" s="191"/>
      <c r="R104" s="191"/>
      <c r="S104" s="120"/>
    </row>
    <row r="105" spans="1:23" x14ac:dyDescent="0.35">
      <c r="A105" s="28">
        <v>45120</v>
      </c>
      <c r="B105" s="36"/>
      <c r="C105" s="64" t="s">
        <v>97</v>
      </c>
      <c r="D105" s="1"/>
      <c r="E105" s="1"/>
      <c r="F105" s="66"/>
      <c r="G105" s="66"/>
      <c r="H105" s="1"/>
      <c r="I105" s="1"/>
      <c r="J105" s="1"/>
      <c r="K105" s="1"/>
      <c r="L105" s="68"/>
      <c r="M105" s="68"/>
      <c r="N105" s="68"/>
      <c r="O105" s="68"/>
      <c r="P105" s="92"/>
      <c r="Q105" s="162"/>
      <c r="R105" s="162"/>
      <c r="S105" s="120"/>
    </row>
    <row r="106" spans="1:23" x14ac:dyDescent="0.35">
      <c r="A106" s="28">
        <v>45121</v>
      </c>
      <c r="B106" s="35"/>
      <c r="C106" s="64" t="s">
        <v>97</v>
      </c>
      <c r="D106" s="33"/>
      <c r="E106" s="33"/>
      <c r="F106" s="65"/>
      <c r="G106" s="65"/>
      <c r="H106" s="33"/>
      <c r="I106" s="33"/>
      <c r="J106" s="33"/>
      <c r="K106" s="33"/>
      <c r="L106" s="69"/>
      <c r="M106" s="69"/>
      <c r="N106" s="69"/>
      <c r="O106" s="69"/>
      <c r="P106" s="91"/>
      <c r="Q106" s="191"/>
      <c r="R106" s="191"/>
      <c r="S106" s="120"/>
    </row>
    <row r="107" spans="1:23" x14ac:dyDescent="0.35">
      <c r="A107" s="28">
        <v>45122</v>
      </c>
      <c r="B107" s="36"/>
      <c r="C107" s="64" t="s">
        <v>97</v>
      </c>
      <c r="D107" s="1"/>
      <c r="E107" s="1"/>
      <c r="F107" s="66"/>
      <c r="G107" s="66"/>
      <c r="H107" s="1"/>
      <c r="I107" s="1"/>
      <c r="J107" s="1"/>
      <c r="K107" s="1"/>
      <c r="L107" s="68"/>
      <c r="M107" s="68"/>
      <c r="N107" s="68"/>
      <c r="O107" s="68"/>
      <c r="P107" s="92"/>
      <c r="Q107" s="162"/>
      <c r="R107" s="162"/>
      <c r="S107" s="120"/>
    </row>
    <row r="108" spans="1:23" x14ac:dyDescent="0.35">
      <c r="A108" s="28">
        <v>45123</v>
      </c>
      <c r="B108" s="35"/>
      <c r="C108" s="64" t="s">
        <v>97</v>
      </c>
      <c r="D108" s="33"/>
      <c r="E108" s="33"/>
      <c r="F108" s="65"/>
      <c r="G108" s="65"/>
      <c r="H108" s="33"/>
      <c r="I108" s="33"/>
      <c r="J108" s="33"/>
      <c r="K108" s="33"/>
      <c r="L108" s="69"/>
      <c r="M108" s="69"/>
      <c r="N108" s="69"/>
      <c r="O108" s="69"/>
      <c r="P108" s="91"/>
      <c r="Q108" s="191"/>
      <c r="R108" s="191"/>
      <c r="S108" s="120"/>
    </row>
    <row r="109" spans="1:23" x14ac:dyDescent="0.35">
      <c r="A109" s="28">
        <v>45124</v>
      </c>
      <c r="B109" s="94"/>
      <c r="C109" s="64" t="s">
        <v>97</v>
      </c>
      <c r="D109" s="39"/>
      <c r="E109" s="39"/>
      <c r="F109" s="83"/>
      <c r="G109" s="83"/>
      <c r="H109" s="39"/>
      <c r="I109" s="39"/>
      <c r="J109" s="39"/>
      <c r="K109" s="39"/>
      <c r="L109" s="95"/>
      <c r="M109" s="95"/>
      <c r="N109" s="95"/>
      <c r="O109" s="95"/>
      <c r="P109" s="96"/>
      <c r="Q109" s="192"/>
      <c r="R109" s="192"/>
      <c r="S109" s="120"/>
    </row>
    <row r="110" spans="1:23" x14ac:dyDescent="0.35">
      <c r="A110" s="28">
        <v>45125</v>
      </c>
      <c r="B110" s="36"/>
      <c r="C110" s="64" t="s">
        <v>97</v>
      </c>
      <c r="D110" s="1"/>
      <c r="E110" s="1"/>
      <c r="F110" s="65"/>
      <c r="G110" s="65"/>
      <c r="H110" s="33"/>
      <c r="I110" s="33"/>
      <c r="J110" s="33"/>
      <c r="K110" s="33"/>
      <c r="L110" s="68"/>
      <c r="M110" s="68"/>
      <c r="N110" s="68"/>
      <c r="O110" s="68"/>
      <c r="P110" s="96"/>
      <c r="Q110" s="192"/>
      <c r="R110" s="192"/>
      <c r="S110" s="120"/>
      <c r="U110" t="s">
        <v>63</v>
      </c>
      <c r="V110" s="16">
        <v>44652</v>
      </c>
    </row>
    <row r="111" spans="1:23" s="50" customFormat="1" x14ac:dyDescent="0.35">
      <c r="A111" s="28">
        <v>45126</v>
      </c>
      <c r="B111" s="36"/>
      <c r="C111" s="64" t="s">
        <v>97</v>
      </c>
      <c r="D111" s="1"/>
      <c r="E111" s="1"/>
      <c r="F111" s="66"/>
      <c r="G111" s="66"/>
      <c r="H111" s="1"/>
      <c r="I111" s="1"/>
      <c r="J111" s="1"/>
      <c r="K111" s="1"/>
      <c r="L111" s="68"/>
      <c r="M111" s="68"/>
      <c r="N111" s="68"/>
      <c r="O111" s="68"/>
      <c r="P111" s="96"/>
      <c r="Q111" s="192"/>
      <c r="R111" s="192"/>
      <c r="S111" s="167"/>
      <c r="U111" t="s">
        <v>64</v>
      </c>
      <c r="V111" s="16">
        <v>44681</v>
      </c>
      <c r="W111"/>
    </row>
    <row r="112" spans="1:23" x14ac:dyDescent="0.35">
      <c r="A112" s="28">
        <v>45127</v>
      </c>
      <c r="B112" s="36"/>
      <c r="C112" s="64" t="s">
        <v>97</v>
      </c>
      <c r="D112" s="1"/>
      <c r="E112" s="1"/>
      <c r="F112" s="66"/>
      <c r="G112" s="66"/>
      <c r="H112" s="1"/>
      <c r="I112" s="1"/>
      <c r="J112" s="1"/>
      <c r="K112" s="1"/>
      <c r="L112" s="68"/>
      <c r="M112" s="68"/>
      <c r="N112" s="68"/>
      <c r="O112" s="68"/>
      <c r="P112" s="96"/>
      <c r="Q112" s="192"/>
      <c r="R112" s="192"/>
      <c r="S112" s="120"/>
    </row>
    <row r="113" spans="1:19" x14ac:dyDescent="0.35">
      <c r="A113" s="28">
        <v>45128</v>
      </c>
      <c r="B113" s="36"/>
      <c r="C113" s="64" t="s">
        <v>97</v>
      </c>
      <c r="D113" s="1"/>
      <c r="E113" s="1"/>
      <c r="F113" s="66"/>
      <c r="G113" s="66"/>
      <c r="H113" s="1"/>
      <c r="I113" s="1"/>
      <c r="J113" s="1"/>
      <c r="K113" s="1"/>
      <c r="L113" s="68"/>
      <c r="M113" s="68"/>
      <c r="N113" s="68"/>
      <c r="O113" s="68"/>
      <c r="P113" s="96"/>
      <c r="Q113" s="192"/>
      <c r="R113" s="192"/>
      <c r="S113" s="120"/>
    </row>
    <row r="114" spans="1:19" x14ac:dyDescent="0.35">
      <c r="A114" s="28">
        <v>45129</v>
      </c>
      <c r="B114" s="36"/>
      <c r="C114" s="64" t="s">
        <v>97</v>
      </c>
      <c r="D114" s="1"/>
      <c r="E114" s="1"/>
      <c r="F114" s="66"/>
      <c r="G114" s="66"/>
      <c r="H114" s="1"/>
      <c r="I114" s="1"/>
      <c r="J114" s="1"/>
      <c r="K114" s="1"/>
      <c r="L114" s="68"/>
      <c r="M114" s="68"/>
      <c r="N114" s="68"/>
      <c r="O114" s="68"/>
      <c r="P114" s="96"/>
      <c r="Q114" s="192"/>
      <c r="R114" s="192"/>
      <c r="S114" s="120"/>
    </row>
    <row r="115" spans="1:19" x14ac:dyDescent="0.35">
      <c r="A115" s="28">
        <v>45130</v>
      </c>
      <c r="B115" s="36"/>
      <c r="C115" s="64" t="s">
        <v>97</v>
      </c>
      <c r="D115" s="1"/>
      <c r="E115" s="1"/>
      <c r="F115" s="66"/>
      <c r="G115" s="66"/>
      <c r="H115" s="1"/>
      <c r="I115" s="1"/>
      <c r="J115" s="1"/>
      <c r="K115" s="1"/>
      <c r="L115" s="68"/>
      <c r="M115" s="68"/>
      <c r="N115" s="68"/>
      <c r="O115" s="68"/>
      <c r="P115" s="96"/>
      <c r="Q115" s="192"/>
      <c r="R115" s="192"/>
      <c r="S115" s="120"/>
    </row>
    <row r="116" spans="1:19" x14ac:dyDescent="0.35">
      <c r="A116" s="28">
        <v>45131</v>
      </c>
      <c r="B116" s="36"/>
      <c r="C116" s="64" t="s">
        <v>97</v>
      </c>
      <c r="D116" s="1"/>
      <c r="E116" s="1"/>
      <c r="F116" s="66"/>
      <c r="G116" s="66"/>
      <c r="H116" s="1"/>
      <c r="I116" s="1"/>
      <c r="J116" s="1"/>
      <c r="K116" s="1"/>
      <c r="L116" s="68"/>
      <c r="M116" s="68"/>
      <c r="N116" s="68"/>
      <c r="O116" s="68"/>
      <c r="P116" s="96"/>
      <c r="Q116" s="192"/>
      <c r="R116" s="192"/>
      <c r="S116" s="120"/>
    </row>
    <row r="117" spans="1:19" x14ac:dyDescent="0.35">
      <c r="A117" s="28">
        <v>45132</v>
      </c>
      <c r="B117" s="36"/>
      <c r="C117" s="64" t="s">
        <v>97</v>
      </c>
      <c r="D117" s="1"/>
      <c r="E117" s="1"/>
      <c r="F117" s="66"/>
      <c r="G117" s="66"/>
      <c r="H117" s="1"/>
      <c r="I117" s="1"/>
      <c r="J117" s="1"/>
      <c r="K117" s="1"/>
      <c r="L117" s="68"/>
      <c r="M117" s="68"/>
      <c r="N117" s="68"/>
      <c r="O117" s="68"/>
      <c r="P117" s="96"/>
      <c r="Q117" s="192"/>
      <c r="R117" s="192"/>
      <c r="S117" s="120"/>
    </row>
    <row r="118" spans="1:19" x14ac:dyDescent="0.35">
      <c r="A118" s="28">
        <v>45133</v>
      </c>
      <c r="B118" s="36"/>
      <c r="C118" s="64" t="s">
        <v>97</v>
      </c>
      <c r="D118" s="1"/>
      <c r="E118" s="1"/>
      <c r="F118" s="66"/>
      <c r="G118" s="66"/>
      <c r="H118" s="1"/>
      <c r="I118" s="1"/>
      <c r="J118" s="1"/>
      <c r="K118" s="1"/>
      <c r="L118" s="68"/>
      <c r="M118" s="68"/>
      <c r="N118" s="68"/>
      <c r="O118" s="68"/>
      <c r="P118" s="96"/>
      <c r="Q118" s="192"/>
      <c r="R118" s="192"/>
      <c r="S118" s="120"/>
    </row>
    <row r="119" spans="1:19" x14ac:dyDescent="0.35">
      <c r="A119" s="28">
        <v>45134</v>
      </c>
      <c r="B119" s="36"/>
      <c r="C119" s="64" t="s">
        <v>97</v>
      </c>
      <c r="D119" s="1"/>
      <c r="E119" s="1"/>
      <c r="F119" s="66"/>
      <c r="G119" s="66"/>
      <c r="H119" s="1"/>
      <c r="I119" s="1"/>
      <c r="J119" s="1"/>
      <c r="K119" s="1"/>
      <c r="L119" s="68"/>
      <c r="M119" s="68"/>
      <c r="N119" s="68"/>
      <c r="O119" s="68"/>
      <c r="P119" s="96"/>
      <c r="Q119" s="192"/>
      <c r="R119" s="192"/>
      <c r="S119" s="120"/>
    </row>
    <row r="120" spans="1:19" x14ac:dyDescent="0.35">
      <c r="A120" s="28">
        <v>45135</v>
      </c>
      <c r="B120" s="36"/>
      <c r="C120" s="64" t="s">
        <v>97</v>
      </c>
      <c r="D120" s="1"/>
      <c r="E120" s="1"/>
      <c r="F120" s="66"/>
      <c r="G120" s="66"/>
      <c r="H120" s="1"/>
      <c r="I120" s="1"/>
      <c r="J120" s="1"/>
      <c r="K120" s="1"/>
      <c r="L120" s="68"/>
      <c r="M120" s="68"/>
      <c r="N120" s="68"/>
      <c r="O120" s="68"/>
      <c r="P120" s="96"/>
      <c r="Q120" s="192"/>
      <c r="R120" s="192"/>
      <c r="S120" s="120"/>
    </row>
    <row r="121" spans="1:19" x14ac:dyDescent="0.35">
      <c r="A121" s="28">
        <v>45136</v>
      </c>
      <c r="B121" s="36"/>
      <c r="C121" s="64" t="s">
        <v>97</v>
      </c>
      <c r="D121" s="1"/>
      <c r="E121" s="1"/>
      <c r="F121" s="66"/>
      <c r="G121" s="66"/>
      <c r="H121" s="1"/>
      <c r="I121" s="1"/>
      <c r="J121" s="1"/>
      <c r="K121" s="1"/>
      <c r="L121" s="68"/>
      <c r="M121" s="68"/>
      <c r="N121" s="68"/>
      <c r="O121" s="68"/>
      <c r="P121" s="92"/>
      <c r="Q121" s="162"/>
      <c r="R121" s="162"/>
      <c r="S121" s="120"/>
    </row>
    <row r="122" spans="1:19" x14ac:dyDescent="0.35">
      <c r="A122" s="28">
        <v>45137</v>
      </c>
      <c r="B122" s="36"/>
      <c r="C122" s="64" t="s">
        <v>97</v>
      </c>
      <c r="D122" s="1"/>
      <c r="E122" s="1"/>
      <c r="F122" s="66"/>
      <c r="G122" s="66"/>
      <c r="H122" s="1"/>
      <c r="I122" s="1"/>
      <c r="J122" s="1"/>
      <c r="K122" s="1"/>
      <c r="L122" s="68"/>
      <c r="M122" s="68"/>
      <c r="N122" s="68"/>
      <c r="O122" s="68"/>
      <c r="P122" s="92"/>
      <c r="Q122" s="162"/>
      <c r="R122" s="162"/>
      <c r="S122" s="120"/>
    </row>
    <row r="123" spans="1:19" x14ac:dyDescent="0.35">
      <c r="A123" s="28">
        <v>45138</v>
      </c>
      <c r="B123" s="36"/>
      <c r="C123" s="64" t="s">
        <v>97</v>
      </c>
      <c r="D123" s="1"/>
      <c r="E123" s="1"/>
      <c r="F123" s="66"/>
      <c r="G123" s="66"/>
      <c r="H123" s="1"/>
      <c r="I123" s="1"/>
      <c r="J123" s="1"/>
      <c r="K123" s="1"/>
      <c r="L123" s="68"/>
      <c r="M123" s="68"/>
      <c r="N123" s="68"/>
      <c r="O123" s="68"/>
      <c r="P123" s="92"/>
      <c r="Q123" s="162"/>
      <c r="R123" s="162"/>
      <c r="S123" s="120"/>
    </row>
    <row r="124" spans="1:19" x14ac:dyDescent="0.35">
      <c r="A124" s="28">
        <v>45139</v>
      </c>
      <c r="B124" s="51"/>
      <c r="C124" s="64" t="s">
        <v>97</v>
      </c>
      <c r="D124" s="52"/>
      <c r="E124" s="52"/>
      <c r="F124" s="80"/>
      <c r="G124" s="80"/>
      <c r="H124" s="52"/>
      <c r="I124" s="52"/>
      <c r="J124" s="52"/>
      <c r="K124" s="52"/>
      <c r="L124" s="104"/>
      <c r="M124" s="104"/>
      <c r="N124" s="104"/>
      <c r="O124" s="104"/>
      <c r="P124" s="105"/>
      <c r="Q124" s="166"/>
      <c r="R124" s="166"/>
      <c r="S124" s="120"/>
    </row>
    <row r="125" spans="1:19" x14ac:dyDescent="0.35">
      <c r="A125" s="28">
        <v>45140</v>
      </c>
      <c r="B125" s="103"/>
      <c r="C125" s="64" t="s">
        <v>97</v>
      </c>
      <c r="D125" s="1"/>
      <c r="E125" s="1"/>
      <c r="F125" s="66"/>
      <c r="G125" s="66"/>
      <c r="H125" s="1"/>
      <c r="I125" s="1"/>
      <c r="J125" s="1"/>
      <c r="K125" s="1"/>
      <c r="L125" s="68"/>
      <c r="M125" s="68"/>
      <c r="N125" s="68"/>
      <c r="O125" s="68"/>
      <c r="P125" s="92"/>
      <c r="Q125" s="162"/>
      <c r="R125" s="162"/>
      <c r="S125" s="120"/>
    </row>
    <row r="126" spans="1:19" x14ac:dyDescent="0.35">
      <c r="A126" s="28">
        <v>45141</v>
      </c>
      <c r="B126" s="106"/>
      <c r="C126" s="64" t="s">
        <v>97</v>
      </c>
      <c r="D126" s="107"/>
      <c r="E126" s="107"/>
      <c r="F126" s="108"/>
      <c r="G126" s="108"/>
      <c r="H126" s="107"/>
      <c r="I126" s="107"/>
      <c r="J126" s="107"/>
      <c r="K126" s="107"/>
      <c r="L126" s="109"/>
      <c r="M126" s="109"/>
      <c r="N126" s="109"/>
      <c r="O126" s="109"/>
      <c r="P126" s="110"/>
      <c r="Q126" s="193"/>
      <c r="R126" s="193"/>
      <c r="S126" s="120"/>
    </row>
    <row r="127" spans="1:19" x14ac:dyDescent="0.35">
      <c r="A127" s="28">
        <v>45142</v>
      </c>
      <c r="B127" s="36"/>
      <c r="C127" s="64" t="s">
        <v>97</v>
      </c>
      <c r="D127" s="1"/>
      <c r="E127" s="1"/>
      <c r="F127" s="66"/>
      <c r="G127" s="66"/>
      <c r="H127" s="1"/>
      <c r="I127" s="1"/>
      <c r="J127" s="1"/>
      <c r="K127" s="1"/>
      <c r="L127" s="68"/>
      <c r="M127" s="68"/>
      <c r="N127" s="68"/>
      <c r="O127" s="68"/>
      <c r="P127" s="92"/>
      <c r="Q127" s="162"/>
      <c r="R127" s="162"/>
      <c r="S127" s="120"/>
    </row>
    <row r="128" spans="1:19" x14ac:dyDescent="0.35">
      <c r="A128" s="28">
        <v>45143</v>
      </c>
      <c r="B128" s="36"/>
      <c r="C128" s="64" t="s">
        <v>97</v>
      </c>
      <c r="D128" s="1"/>
      <c r="E128" s="1"/>
      <c r="F128" s="66"/>
      <c r="G128" s="66"/>
      <c r="H128" s="1"/>
      <c r="I128" s="1"/>
      <c r="J128" s="1"/>
      <c r="K128" s="1"/>
      <c r="L128" s="68"/>
      <c r="M128" s="68"/>
      <c r="N128" s="68"/>
      <c r="O128" s="68"/>
      <c r="P128" s="92"/>
      <c r="Q128" s="162"/>
      <c r="R128" s="162"/>
      <c r="S128" s="120"/>
    </row>
    <row r="129" spans="1:19" x14ac:dyDescent="0.35">
      <c r="A129" s="28">
        <v>45144</v>
      </c>
      <c r="B129" s="36"/>
      <c r="C129" s="64" t="s">
        <v>97</v>
      </c>
      <c r="D129" s="1"/>
      <c r="E129" s="1"/>
      <c r="F129" s="66"/>
      <c r="G129" s="66"/>
      <c r="H129" s="1"/>
      <c r="I129" s="1"/>
      <c r="J129" s="1"/>
      <c r="K129" s="1"/>
      <c r="L129" s="68"/>
      <c r="M129" s="68"/>
      <c r="N129" s="68"/>
      <c r="O129" s="68"/>
      <c r="P129" s="92"/>
      <c r="Q129" s="162"/>
      <c r="R129" s="162"/>
      <c r="S129" s="120"/>
    </row>
    <row r="130" spans="1:19" x14ac:dyDescent="0.35">
      <c r="A130" s="28">
        <v>45145</v>
      </c>
      <c r="B130" s="36"/>
      <c r="C130" s="64" t="s">
        <v>97</v>
      </c>
      <c r="D130" s="1"/>
      <c r="E130" s="1"/>
      <c r="F130" s="66"/>
      <c r="G130" s="66"/>
      <c r="H130" s="1"/>
      <c r="I130" s="1"/>
      <c r="J130" s="1"/>
      <c r="K130" s="1"/>
      <c r="L130" s="68"/>
      <c r="M130" s="68"/>
      <c r="N130" s="68"/>
      <c r="O130" s="68"/>
      <c r="P130" s="92"/>
      <c r="Q130" s="162"/>
      <c r="R130" s="162"/>
      <c r="S130" s="120"/>
    </row>
    <row r="131" spans="1:19" x14ac:dyDescent="0.35">
      <c r="A131" s="28">
        <v>45146</v>
      </c>
      <c r="B131" s="36"/>
      <c r="C131" s="64" t="s">
        <v>97</v>
      </c>
      <c r="D131" s="1"/>
      <c r="E131" s="1"/>
      <c r="F131" s="66"/>
      <c r="G131" s="66"/>
      <c r="H131" s="1"/>
      <c r="I131" s="1"/>
      <c r="J131" s="1"/>
      <c r="K131" s="1"/>
      <c r="L131" s="68"/>
      <c r="M131" s="68"/>
      <c r="N131" s="68"/>
      <c r="O131" s="68"/>
      <c r="P131" s="92"/>
      <c r="Q131" s="162"/>
      <c r="R131" s="162"/>
      <c r="S131" s="120"/>
    </row>
    <row r="132" spans="1:19" x14ac:dyDescent="0.35">
      <c r="A132" s="28">
        <v>45147</v>
      </c>
      <c r="B132" s="36"/>
      <c r="C132" s="64" t="s">
        <v>97</v>
      </c>
      <c r="D132" s="1"/>
      <c r="E132" s="1"/>
      <c r="F132" s="66"/>
      <c r="G132" s="66"/>
      <c r="H132" s="1"/>
      <c r="I132" s="1"/>
      <c r="J132" s="1"/>
      <c r="K132" s="1"/>
      <c r="L132" s="68"/>
      <c r="M132" s="68"/>
      <c r="N132" s="68"/>
      <c r="O132" s="68"/>
      <c r="P132" s="92"/>
      <c r="Q132" s="162"/>
      <c r="R132" s="162"/>
      <c r="S132" s="120"/>
    </row>
    <row r="133" spans="1:19" x14ac:dyDescent="0.35">
      <c r="A133" s="28">
        <v>45148</v>
      </c>
      <c r="B133" s="36"/>
      <c r="C133" s="64" t="s">
        <v>97</v>
      </c>
      <c r="D133" s="1"/>
      <c r="E133" s="1"/>
      <c r="F133" s="66"/>
      <c r="G133" s="66"/>
      <c r="H133" s="1"/>
      <c r="I133" s="1"/>
      <c r="J133" s="1"/>
      <c r="K133" s="1"/>
      <c r="L133" s="68"/>
      <c r="M133" s="68"/>
      <c r="N133" s="68"/>
      <c r="O133" s="68"/>
      <c r="P133" s="92"/>
      <c r="Q133" s="162"/>
      <c r="R133" s="162"/>
      <c r="S133" s="120"/>
    </row>
    <row r="134" spans="1:19" x14ac:dyDescent="0.35">
      <c r="A134" s="28">
        <v>45149</v>
      </c>
      <c r="B134" s="36"/>
      <c r="C134" s="64" t="s">
        <v>97</v>
      </c>
      <c r="D134" s="1"/>
      <c r="E134" s="1"/>
      <c r="F134" s="66"/>
      <c r="G134" s="66"/>
      <c r="H134" s="1"/>
      <c r="I134" s="1"/>
      <c r="J134" s="1"/>
      <c r="K134" s="1"/>
      <c r="L134" s="68"/>
      <c r="M134" s="68"/>
      <c r="N134" s="68"/>
      <c r="O134" s="68"/>
      <c r="P134" s="92"/>
      <c r="Q134" s="162"/>
      <c r="R134" s="162"/>
      <c r="S134" s="120"/>
    </row>
    <row r="135" spans="1:19" x14ac:dyDescent="0.35">
      <c r="A135" s="28">
        <v>45150</v>
      </c>
      <c r="B135" s="36"/>
      <c r="C135" s="64" t="s">
        <v>97</v>
      </c>
      <c r="D135" s="1"/>
      <c r="E135" s="1"/>
      <c r="F135" s="66"/>
      <c r="G135" s="66"/>
      <c r="H135" s="1"/>
      <c r="I135" s="1"/>
      <c r="J135" s="1"/>
      <c r="K135" s="1"/>
      <c r="L135" s="68"/>
      <c r="M135" s="68"/>
      <c r="N135" s="68"/>
      <c r="O135" s="68"/>
      <c r="P135" s="92"/>
      <c r="Q135" s="162"/>
      <c r="R135" s="162"/>
      <c r="S135" s="120"/>
    </row>
    <row r="136" spans="1:19" x14ac:dyDescent="0.35">
      <c r="A136" s="28">
        <v>45151</v>
      </c>
      <c r="B136" s="36"/>
      <c r="C136" s="64" t="s">
        <v>97</v>
      </c>
      <c r="D136" s="1"/>
      <c r="E136" s="1"/>
      <c r="F136" s="66"/>
      <c r="G136" s="66"/>
      <c r="H136" s="1"/>
      <c r="I136" s="1"/>
      <c r="J136" s="1"/>
      <c r="K136" s="1"/>
      <c r="L136" s="68"/>
      <c r="M136" s="68"/>
      <c r="N136" s="68"/>
      <c r="O136" s="68"/>
      <c r="P136" s="92"/>
      <c r="Q136" s="162"/>
      <c r="R136" s="162"/>
      <c r="S136" s="120"/>
    </row>
    <row r="137" spans="1:19" x14ac:dyDescent="0.35">
      <c r="A137" s="28">
        <v>45152</v>
      </c>
      <c r="B137" s="36"/>
      <c r="C137" s="64" t="s">
        <v>97</v>
      </c>
      <c r="D137" s="1"/>
      <c r="E137" s="1"/>
      <c r="F137" s="66"/>
      <c r="G137" s="66"/>
      <c r="H137" s="1"/>
      <c r="I137" s="1"/>
      <c r="J137" s="1"/>
      <c r="K137" s="1"/>
      <c r="L137" s="68"/>
      <c r="M137" s="68"/>
      <c r="N137" s="68"/>
      <c r="O137" s="68"/>
      <c r="P137" s="92"/>
      <c r="Q137" s="162"/>
      <c r="R137" s="162"/>
      <c r="S137" s="120"/>
    </row>
    <row r="138" spans="1:19" x14ac:dyDescent="0.35">
      <c r="A138" s="28">
        <v>45153</v>
      </c>
      <c r="B138" s="36"/>
      <c r="C138" s="64" t="s">
        <v>97</v>
      </c>
      <c r="D138" s="1"/>
      <c r="E138" s="1"/>
      <c r="F138" s="66"/>
      <c r="G138" s="66"/>
      <c r="H138" s="1"/>
      <c r="I138" s="1"/>
      <c r="J138" s="1"/>
      <c r="K138" s="1"/>
      <c r="L138" s="68"/>
      <c r="M138" s="68"/>
      <c r="N138" s="68"/>
      <c r="O138" s="68"/>
      <c r="P138" s="92"/>
      <c r="Q138" s="162"/>
      <c r="R138" s="162"/>
      <c r="S138" s="120"/>
    </row>
    <row r="139" spans="1:19" x14ac:dyDescent="0.35">
      <c r="A139" s="28">
        <v>45154</v>
      </c>
      <c r="B139" s="36"/>
      <c r="C139" s="64" t="s">
        <v>97</v>
      </c>
      <c r="D139" s="1"/>
      <c r="E139" s="1"/>
      <c r="F139" s="66"/>
      <c r="G139" s="66"/>
      <c r="H139" s="1"/>
      <c r="I139" s="1"/>
      <c r="J139" s="1"/>
      <c r="K139" s="1"/>
      <c r="L139" s="68"/>
      <c r="M139" s="68"/>
      <c r="N139" s="68"/>
      <c r="O139" s="68"/>
      <c r="P139" s="92"/>
      <c r="Q139" s="162"/>
      <c r="R139" s="162"/>
      <c r="S139" s="120"/>
    </row>
    <row r="140" spans="1:19" x14ac:dyDescent="0.35">
      <c r="A140" s="28">
        <v>45155</v>
      </c>
      <c r="B140" s="36"/>
      <c r="C140" s="64" t="s">
        <v>97</v>
      </c>
      <c r="D140" s="1"/>
      <c r="E140" s="1"/>
      <c r="F140" s="66"/>
      <c r="G140" s="66"/>
      <c r="H140" s="1"/>
      <c r="I140" s="1"/>
      <c r="J140" s="1"/>
      <c r="K140" s="1"/>
      <c r="L140" s="68"/>
      <c r="M140" s="68"/>
      <c r="N140" s="68"/>
      <c r="O140" s="68"/>
      <c r="P140" s="92"/>
      <c r="Q140" s="162"/>
      <c r="R140" s="162"/>
      <c r="S140" s="120"/>
    </row>
    <row r="141" spans="1:19" x14ac:dyDescent="0.35">
      <c r="A141" s="28">
        <v>45156</v>
      </c>
      <c r="B141" s="36"/>
      <c r="C141" s="64" t="s">
        <v>97</v>
      </c>
      <c r="D141" s="1"/>
      <c r="E141" s="1"/>
      <c r="F141" s="66"/>
      <c r="G141" s="66"/>
      <c r="H141" s="1"/>
      <c r="I141" s="1"/>
      <c r="J141" s="1"/>
      <c r="K141" s="1"/>
      <c r="L141" s="68"/>
      <c r="M141" s="68"/>
      <c r="N141" s="68"/>
      <c r="O141" s="68"/>
      <c r="P141" s="92"/>
      <c r="Q141" s="162"/>
      <c r="R141" s="162"/>
      <c r="S141" s="120"/>
    </row>
    <row r="142" spans="1:19" x14ac:dyDescent="0.35">
      <c r="A142" s="28">
        <v>45157</v>
      </c>
      <c r="B142" s="36"/>
      <c r="C142" s="64" t="s">
        <v>97</v>
      </c>
      <c r="D142" s="1"/>
      <c r="E142" s="1"/>
      <c r="F142" s="66"/>
      <c r="G142" s="66"/>
      <c r="H142" s="1"/>
      <c r="I142" s="1"/>
      <c r="J142" s="1"/>
      <c r="K142" s="1"/>
      <c r="L142" s="68"/>
      <c r="M142" s="68"/>
      <c r="N142" s="68"/>
      <c r="O142" s="68"/>
      <c r="P142" s="92"/>
      <c r="Q142" s="162"/>
      <c r="R142" s="162"/>
      <c r="S142" s="120"/>
    </row>
    <row r="143" spans="1:19" x14ac:dyDescent="0.35">
      <c r="A143" s="28">
        <v>45158</v>
      </c>
      <c r="B143" s="36"/>
      <c r="C143" s="64" t="s">
        <v>97</v>
      </c>
      <c r="D143" s="1"/>
      <c r="E143" s="1"/>
      <c r="F143" s="66"/>
      <c r="G143" s="66"/>
      <c r="H143" s="1"/>
      <c r="I143" s="1"/>
      <c r="J143" s="1"/>
      <c r="K143" s="1"/>
      <c r="L143" s="68"/>
      <c r="M143" s="68"/>
      <c r="N143" s="68"/>
      <c r="O143" s="68"/>
      <c r="P143" s="92"/>
      <c r="Q143" s="162"/>
      <c r="R143" s="162"/>
      <c r="S143" s="120"/>
    </row>
    <row r="144" spans="1:19" x14ac:dyDescent="0.35">
      <c r="A144" s="28">
        <v>45159</v>
      </c>
      <c r="B144" s="36"/>
      <c r="C144" s="64" t="s">
        <v>97</v>
      </c>
      <c r="D144" s="1"/>
      <c r="E144" s="1"/>
      <c r="F144" s="66"/>
      <c r="G144" s="66"/>
      <c r="H144" s="1"/>
      <c r="I144" s="1"/>
      <c r="J144" s="1"/>
      <c r="K144" s="1"/>
      <c r="L144" s="68"/>
      <c r="M144" s="68"/>
      <c r="N144" s="68"/>
      <c r="O144" s="68"/>
      <c r="P144" s="92"/>
      <c r="Q144" s="162"/>
      <c r="R144" s="162"/>
      <c r="S144" s="120"/>
    </row>
    <row r="145" spans="1:23" x14ac:dyDescent="0.35">
      <c r="A145" s="28">
        <v>45160</v>
      </c>
      <c r="B145" s="36"/>
      <c r="C145" s="64" t="s">
        <v>97</v>
      </c>
      <c r="D145" s="1"/>
      <c r="E145" s="1"/>
      <c r="F145" s="66"/>
      <c r="G145" s="66"/>
      <c r="H145" s="1"/>
      <c r="I145" s="1"/>
      <c r="J145" s="1"/>
      <c r="K145" s="1"/>
      <c r="L145" s="68"/>
      <c r="M145" s="68"/>
      <c r="N145" s="68"/>
      <c r="O145" s="68"/>
      <c r="P145" s="92"/>
      <c r="Q145" s="192"/>
      <c r="R145" s="192"/>
      <c r="S145" s="196"/>
    </row>
    <row r="146" spans="1:23" x14ac:dyDescent="0.35">
      <c r="A146" s="28">
        <v>45161</v>
      </c>
      <c r="B146" s="36"/>
      <c r="C146" s="64" t="s">
        <v>97</v>
      </c>
      <c r="D146" s="1"/>
      <c r="E146" s="1"/>
      <c r="F146" s="66"/>
      <c r="G146" s="66"/>
      <c r="H146" s="1"/>
      <c r="I146" s="1"/>
      <c r="J146" s="1"/>
      <c r="K146" s="1"/>
      <c r="L146" s="68"/>
      <c r="M146" s="68"/>
      <c r="N146" s="68"/>
      <c r="O146" s="68"/>
      <c r="P146" s="92"/>
      <c r="Q146" s="162"/>
      <c r="R146" s="162"/>
      <c r="S146" s="120"/>
      <c r="U146" s="50"/>
      <c r="V146" s="50"/>
      <c r="W146" s="50"/>
    </row>
    <row r="147" spans="1:23" x14ac:dyDescent="0.35">
      <c r="A147" s="28">
        <v>45162</v>
      </c>
      <c r="B147" s="36"/>
      <c r="C147" s="64" t="s">
        <v>97</v>
      </c>
      <c r="D147" s="1"/>
      <c r="E147" s="1"/>
      <c r="F147" s="66"/>
      <c r="G147" s="66"/>
      <c r="H147" s="1"/>
      <c r="I147" s="1"/>
      <c r="J147" s="1"/>
      <c r="K147" s="1"/>
      <c r="L147" s="68"/>
      <c r="M147" s="68"/>
      <c r="N147" s="68"/>
      <c r="O147" s="68"/>
      <c r="P147" s="92"/>
      <c r="Q147" s="162"/>
      <c r="R147" s="162"/>
      <c r="S147" s="120"/>
    </row>
    <row r="148" spans="1:23" x14ac:dyDescent="0.35">
      <c r="A148" s="28">
        <v>45163</v>
      </c>
      <c r="B148" s="36"/>
      <c r="C148" s="64" t="s">
        <v>97</v>
      </c>
      <c r="D148" s="1"/>
      <c r="E148" s="1"/>
      <c r="F148" s="66"/>
      <c r="G148" s="66"/>
      <c r="H148" s="1"/>
      <c r="I148" s="1"/>
      <c r="J148" s="1"/>
      <c r="K148" s="1"/>
      <c r="L148" s="68"/>
      <c r="M148" s="68"/>
      <c r="N148" s="68"/>
      <c r="O148" s="68"/>
      <c r="P148" s="92"/>
      <c r="Q148" s="162"/>
      <c r="R148" s="162"/>
      <c r="S148" s="120"/>
    </row>
    <row r="149" spans="1:23" x14ac:dyDescent="0.35">
      <c r="A149" s="28">
        <v>45164</v>
      </c>
      <c r="B149" s="36"/>
      <c r="C149" s="64" t="s">
        <v>97</v>
      </c>
      <c r="D149" s="1"/>
      <c r="E149" s="1"/>
      <c r="F149" s="66"/>
      <c r="G149" s="66"/>
      <c r="H149" s="1"/>
      <c r="I149" s="1"/>
      <c r="J149" s="1"/>
      <c r="K149" s="1"/>
      <c r="L149" s="68"/>
      <c r="M149" s="68"/>
      <c r="N149" s="68"/>
      <c r="O149" s="68"/>
      <c r="P149" s="92"/>
      <c r="Q149" s="162"/>
      <c r="R149" s="162"/>
      <c r="S149" s="120"/>
    </row>
    <row r="150" spans="1:23" x14ac:dyDescent="0.35">
      <c r="A150" s="28">
        <v>45165</v>
      </c>
      <c r="B150" s="36"/>
      <c r="C150" s="64" t="s">
        <v>97</v>
      </c>
      <c r="D150" s="1"/>
      <c r="E150" s="1"/>
      <c r="F150" s="66"/>
      <c r="G150" s="66"/>
      <c r="H150" s="1"/>
      <c r="I150" s="1"/>
      <c r="J150" s="1"/>
      <c r="K150" s="1"/>
      <c r="L150" s="68"/>
      <c r="M150" s="68"/>
      <c r="N150" s="68"/>
      <c r="O150" s="68"/>
      <c r="P150" s="92"/>
      <c r="Q150" s="162"/>
      <c r="R150" s="162"/>
      <c r="S150" s="120"/>
    </row>
    <row r="151" spans="1:23" x14ac:dyDescent="0.35">
      <c r="A151" s="28">
        <v>45166</v>
      </c>
      <c r="B151" s="36"/>
      <c r="C151" s="64" t="s">
        <v>97</v>
      </c>
      <c r="D151" s="1"/>
      <c r="E151" s="1"/>
      <c r="F151" s="66"/>
      <c r="G151" s="66"/>
      <c r="H151" s="1"/>
      <c r="I151" s="1"/>
      <c r="J151" s="1"/>
      <c r="K151" s="1"/>
      <c r="L151" s="68"/>
      <c r="M151" s="68"/>
      <c r="N151" s="68"/>
      <c r="O151" s="68"/>
      <c r="P151" s="92"/>
      <c r="Q151" s="162"/>
      <c r="R151" s="162"/>
      <c r="S151" s="120"/>
    </row>
    <row r="152" spans="1:23" x14ac:dyDescent="0.35">
      <c r="A152" s="28">
        <v>45167</v>
      </c>
      <c r="B152" s="36"/>
      <c r="C152" s="64" t="s">
        <v>97</v>
      </c>
      <c r="D152" s="1"/>
      <c r="E152" s="1"/>
      <c r="F152" s="66"/>
      <c r="G152" s="66"/>
      <c r="H152" s="1"/>
      <c r="I152" s="1"/>
      <c r="J152" s="1"/>
      <c r="K152" s="1"/>
      <c r="L152" s="68"/>
      <c r="M152" s="68"/>
      <c r="N152" s="68"/>
      <c r="O152" s="68"/>
      <c r="P152" s="92"/>
      <c r="Q152" s="162"/>
      <c r="R152" s="162"/>
      <c r="S152" s="120"/>
      <c r="V152" s="279" t="s">
        <v>86</v>
      </c>
      <c r="W152" s="279"/>
    </row>
    <row r="153" spans="1:23" x14ac:dyDescent="0.35">
      <c r="A153" s="28">
        <v>45168</v>
      </c>
      <c r="B153" s="36"/>
      <c r="C153" s="64" t="s">
        <v>97</v>
      </c>
      <c r="D153" s="1"/>
      <c r="E153" s="1"/>
      <c r="F153" s="66"/>
      <c r="G153" s="66"/>
      <c r="H153" s="1"/>
      <c r="I153" s="1"/>
      <c r="J153" s="1"/>
      <c r="K153" s="1"/>
      <c r="L153" s="68"/>
      <c r="M153" s="68"/>
      <c r="N153" s="68"/>
      <c r="O153" s="68"/>
      <c r="P153" s="92"/>
      <c r="Q153" s="162"/>
      <c r="R153" s="162"/>
      <c r="S153" s="120"/>
      <c r="V153" t="s">
        <v>87</v>
      </c>
      <c r="W153" t="s">
        <v>88</v>
      </c>
    </row>
    <row r="154" spans="1:23" x14ac:dyDescent="0.35">
      <c r="A154" s="28">
        <v>45169</v>
      </c>
      <c r="B154" s="36"/>
      <c r="C154" s="64" t="s">
        <v>97</v>
      </c>
      <c r="D154" s="1"/>
      <c r="E154" s="1"/>
      <c r="F154" s="66"/>
      <c r="G154" s="66"/>
      <c r="H154" s="1"/>
      <c r="I154" s="1"/>
      <c r="J154" s="1"/>
      <c r="K154" s="1"/>
      <c r="L154" s="68"/>
      <c r="M154" s="68"/>
      <c r="N154" s="68"/>
      <c r="O154" s="68"/>
      <c r="P154" s="92"/>
      <c r="Q154" s="162"/>
      <c r="R154" s="162"/>
      <c r="S154" s="120"/>
      <c r="V154" t="s">
        <v>89</v>
      </c>
      <c r="W154" s="164">
        <v>0</v>
      </c>
    </row>
    <row r="155" spans="1:23" x14ac:dyDescent="0.35">
      <c r="A155" s="28">
        <v>45170</v>
      </c>
      <c r="B155" s="36"/>
      <c r="C155" s="64" t="s">
        <v>97</v>
      </c>
      <c r="D155" s="1"/>
      <c r="E155" s="1"/>
      <c r="F155" s="66"/>
      <c r="G155" s="66"/>
      <c r="H155" s="1"/>
      <c r="I155" s="1"/>
      <c r="J155" s="1"/>
      <c r="K155" s="1"/>
      <c r="L155" s="68"/>
      <c r="M155" s="68"/>
      <c r="N155" s="68"/>
      <c r="O155" s="68"/>
      <c r="P155" s="92"/>
      <c r="Q155" s="162"/>
      <c r="R155" s="162"/>
      <c r="S155" s="197"/>
      <c r="V155" t="s">
        <v>90</v>
      </c>
      <c r="W155" s="164">
        <v>0.10416666666666667</v>
      </c>
    </row>
    <row r="156" spans="1:23" x14ac:dyDescent="0.35">
      <c r="A156" s="28">
        <v>45171</v>
      </c>
      <c r="B156" s="36"/>
      <c r="C156" s="64" t="s">
        <v>97</v>
      </c>
      <c r="D156" s="1"/>
      <c r="E156" s="1"/>
      <c r="F156" s="66"/>
      <c r="G156" s="66"/>
      <c r="H156" s="1"/>
      <c r="I156" s="1"/>
      <c r="J156" s="1"/>
      <c r="K156" s="1"/>
      <c r="L156" s="68"/>
      <c r="M156" s="68"/>
      <c r="N156" s="68"/>
      <c r="O156" s="68"/>
      <c r="P156" s="92"/>
      <c r="Q156" s="162"/>
      <c r="R156" s="162"/>
      <c r="S156" s="197"/>
      <c r="V156" t="s">
        <v>91</v>
      </c>
      <c r="W156" s="164">
        <v>0.10416666666666667</v>
      </c>
    </row>
    <row r="157" spans="1:23" x14ac:dyDescent="0.35">
      <c r="A157" s="28">
        <v>45172</v>
      </c>
      <c r="B157" s="36"/>
      <c r="C157" s="64" t="s">
        <v>97</v>
      </c>
      <c r="D157" s="1"/>
      <c r="E157" s="1"/>
      <c r="F157" s="66"/>
      <c r="G157" s="66"/>
      <c r="H157" s="1"/>
      <c r="I157" s="1"/>
      <c r="J157" s="1"/>
      <c r="K157" s="1"/>
      <c r="L157" s="68"/>
      <c r="M157" s="68"/>
      <c r="N157" s="68"/>
      <c r="O157" s="68"/>
      <c r="P157" s="92"/>
      <c r="Q157" s="162"/>
      <c r="R157" s="162"/>
      <c r="S157" s="197"/>
      <c r="V157" t="s">
        <v>92</v>
      </c>
      <c r="W157" s="164">
        <v>0.20833333333333334</v>
      </c>
    </row>
    <row r="158" spans="1:23" x14ac:dyDescent="0.35">
      <c r="A158" s="28">
        <v>45173</v>
      </c>
      <c r="B158" s="36"/>
      <c r="C158" s="64" t="s">
        <v>97</v>
      </c>
      <c r="D158" s="1"/>
      <c r="E158" s="1"/>
      <c r="F158" s="66"/>
      <c r="G158" s="66"/>
      <c r="H158" s="1"/>
      <c r="I158" s="1"/>
      <c r="J158" s="1"/>
      <c r="K158" s="1"/>
      <c r="L158" s="68"/>
      <c r="M158" s="68"/>
      <c r="N158" s="68"/>
      <c r="O158" s="68"/>
      <c r="P158" s="92"/>
      <c r="Q158" s="162"/>
      <c r="R158" s="162"/>
      <c r="S158" s="197"/>
      <c r="V158" t="s">
        <v>88</v>
      </c>
      <c r="W158" s="164" t="e" cm="1">
        <f t="array" ref="W158">AVERAGEIF(chart_ATT_BAR, "&lt;&gt;0")</f>
        <v>#N/A</v>
      </c>
    </row>
    <row r="159" spans="1:23" x14ac:dyDescent="0.35">
      <c r="A159" s="28">
        <v>45174</v>
      </c>
      <c r="B159" s="36"/>
      <c r="C159" s="64" t="s">
        <v>97</v>
      </c>
      <c r="D159" s="1"/>
      <c r="E159" s="1"/>
      <c r="F159" s="66"/>
      <c r="G159" s="66"/>
      <c r="H159" s="1"/>
      <c r="I159" s="1"/>
      <c r="J159" s="1"/>
      <c r="K159" s="1"/>
      <c r="L159" s="68"/>
      <c r="M159" s="68"/>
      <c r="N159" s="68"/>
      <c r="O159" s="68"/>
      <c r="P159" s="92"/>
      <c r="Q159" s="162"/>
      <c r="R159" s="162"/>
      <c r="S159" s="197"/>
    </row>
    <row r="160" spans="1:23" x14ac:dyDescent="0.35">
      <c r="A160" s="28">
        <v>45175</v>
      </c>
      <c r="B160" s="36"/>
      <c r="C160" s="64" t="s">
        <v>97</v>
      </c>
      <c r="D160" s="1"/>
      <c r="E160" s="1"/>
      <c r="F160" s="66"/>
      <c r="G160" s="66"/>
      <c r="H160" s="1"/>
      <c r="I160" s="1"/>
      <c r="J160" s="1"/>
      <c r="K160" s="1"/>
      <c r="L160" s="68"/>
      <c r="M160" s="68"/>
      <c r="N160" s="68"/>
      <c r="O160" s="68"/>
      <c r="P160" s="92"/>
      <c r="Q160" s="162"/>
      <c r="R160" s="162"/>
      <c r="S160" s="197"/>
    </row>
    <row r="161" spans="1:22" x14ac:dyDescent="0.35">
      <c r="A161" s="28">
        <v>45176</v>
      </c>
      <c r="B161" s="36"/>
      <c r="C161" s="64" t="s">
        <v>97</v>
      </c>
      <c r="D161" s="1"/>
      <c r="E161" s="1"/>
      <c r="F161" s="66"/>
      <c r="G161" s="66"/>
      <c r="H161" s="1"/>
      <c r="I161" s="1"/>
      <c r="J161" s="1"/>
      <c r="K161" s="1"/>
      <c r="L161" s="68"/>
      <c r="M161" s="68"/>
      <c r="N161" s="68"/>
      <c r="O161" s="68"/>
      <c r="P161" s="92"/>
      <c r="Q161" s="162"/>
      <c r="R161" s="162"/>
      <c r="S161" s="197"/>
    </row>
    <row r="162" spans="1:22" x14ac:dyDescent="0.35">
      <c r="A162" s="28">
        <v>45177</v>
      </c>
      <c r="B162" s="36"/>
      <c r="C162" s="64" t="s">
        <v>97</v>
      </c>
      <c r="D162" s="1"/>
      <c r="E162" s="1"/>
      <c r="F162" s="66"/>
      <c r="G162" s="66"/>
      <c r="H162" s="1"/>
      <c r="I162" s="1"/>
      <c r="J162" s="1"/>
      <c r="K162" s="1"/>
      <c r="L162" s="68"/>
      <c r="M162" s="68"/>
      <c r="N162" s="68"/>
      <c r="O162" s="68"/>
      <c r="P162" s="92"/>
      <c r="Q162" s="162"/>
      <c r="R162" s="162"/>
      <c r="S162" s="197"/>
    </row>
    <row r="163" spans="1:22" x14ac:dyDescent="0.35">
      <c r="A163" s="28">
        <v>45178</v>
      </c>
      <c r="B163" s="36"/>
      <c r="C163" s="64" t="s">
        <v>97</v>
      </c>
      <c r="D163" s="1"/>
      <c r="E163" s="1"/>
      <c r="F163" s="66"/>
      <c r="G163" s="66"/>
      <c r="H163" s="1"/>
      <c r="I163" s="1"/>
      <c r="J163" s="1"/>
      <c r="K163" s="1"/>
      <c r="L163" s="68"/>
      <c r="M163" s="68"/>
      <c r="N163" s="68"/>
      <c r="O163" s="68"/>
      <c r="P163" s="92"/>
      <c r="Q163" s="162"/>
      <c r="R163" s="162"/>
      <c r="S163" s="197"/>
      <c r="V163" t="s">
        <v>73</v>
      </c>
    </row>
    <row r="164" spans="1:22" x14ac:dyDescent="0.35">
      <c r="A164" s="28">
        <v>45179</v>
      </c>
      <c r="B164" s="36"/>
      <c r="C164" s="64" t="s">
        <v>97</v>
      </c>
      <c r="D164" s="1"/>
      <c r="E164" s="1"/>
      <c r="F164" s="66"/>
      <c r="G164" s="66"/>
      <c r="H164" s="1"/>
      <c r="I164" s="1"/>
      <c r="J164" s="1"/>
      <c r="K164" s="1"/>
      <c r="L164" s="68"/>
      <c r="M164" s="68"/>
      <c r="N164" s="68"/>
      <c r="O164" s="68"/>
      <c r="P164" s="92"/>
      <c r="Q164" s="162"/>
      <c r="R164" s="162"/>
      <c r="S164" s="197"/>
    </row>
    <row r="165" spans="1:22" x14ac:dyDescent="0.35">
      <c r="A165" s="28">
        <v>45180</v>
      </c>
      <c r="B165" s="36"/>
      <c r="C165" s="64" t="s">
        <v>97</v>
      </c>
      <c r="D165" s="1"/>
      <c r="E165" s="1"/>
      <c r="F165" s="66"/>
      <c r="G165" s="66"/>
      <c r="H165" s="1"/>
      <c r="I165" s="1"/>
      <c r="J165" s="1"/>
      <c r="K165" s="1"/>
      <c r="L165" s="68"/>
      <c r="M165" s="68"/>
      <c r="N165" s="68"/>
      <c r="O165" s="68"/>
      <c r="P165" s="92"/>
      <c r="Q165" s="162"/>
      <c r="R165" s="162"/>
      <c r="S165" s="197"/>
    </row>
    <row r="166" spans="1:22" x14ac:dyDescent="0.35">
      <c r="A166" s="28">
        <v>45181</v>
      </c>
      <c r="B166" s="36"/>
      <c r="C166" s="64" t="s">
        <v>97</v>
      </c>
      <c r="D166" s="1"/>
      <c r="E166" s="1"/>
      <c r="F166" s="66"/>
      <c r="G166" s="66"/>
      <c r="H166" s="1"/>
      <c r="I166" s="1"/>
      <c r="J166" s="1"/>
      <c r="K166" s="1"/>
      <c r="L166" s="68"/>
      <c r="M166" s="68"/>
      <c r="N166" s="68"/>
      <c r="O166" s="68"/>
      <c r="P166" s="92"/>
      <c r="Q166" s="162"/>
      <c r="R166" s="162"/>
      <c r="S166" s="120"/>
    </row>
    <row r="167" spans="1:22" x14ac:dyDescent="0.35">
      <c r="A167" s="28">
        <v>45182</v>
      </c>
      <c r="B167" s="36"/>
      <c r="C167" s="64" t="s">
        <v>97</v>
      </c>
      <c r="D167" s="1"/>
      <c r="E167" s="1"/>
      <c r="F167" s="66"/>
      <c r="G167" s="66"/>
      <c r="H167" s="1"/>
      <c r="I167" s="1"/>
      <c r="J167" s="1"/>
      <c r="K167" s="1"/>
      <c r="L167" s="68"/>
      <c r="M167" s="68"/>
      <c r="N167" s="68"/>
      <c r="O167" s="68"/>
      <c r="P167" s="92"/>
      <c r="Q167" s="162"/>
      <c r="R167" s="162"/>
      <c r="S167" s="120"/>
    </row>
    <row r="168" spans="1:22" x14ac:dyDescent="0.35">
      <c r="A168" s="28">
        <v>45183</v>
      </c>
      <c r="B168" s="36"/>
      <c r="C168" s="64" t="s">
        <v>97</v>
      </c>
      <c r="D168" s="1"/>
      <c r="E168" s="1"/>
      <c r="F168" s="66"/>
      <c r="G168" s="66"/>
      <c r="H168" s="1"/>
      <c r="I168" s="1"/>
      <c r="J168" s="1"/>
      <c r="K168" s="1"/>
      <c r="L168" s="68"/>
      <c r="M168" s="68"/>
      <c r="N168" s="68"/>
      <c r="O168" s="68"/>
      <c r="P168" s="92"/>
      <c r="Q168" s="162"/>
      <c r="R168" s="162"/>
      <c r="S168" s="120"/>
    </row>
    <row r="169" spans="1:22" x14ac:dyDescent="0.35">
      <c r="A169" s="28">
        <v>45184</v>
      </c>
      <c r="B169" s="36"/>
      <c r="C169" s="64" t="s">
        <v>97</v>
      </c>
      <c r="D169" s="1"/>
      <c r="E169" s="1"/>
      <c r="F169" s="66"/>
      <c r="G169" s="66"/>
      <c r="H169" s="1"/>
      <c r="I169" s="1"/>
      <c r="J169" s="1"/>
      <c r="K169" s="1"/>
      <c r="L169" s="68"/>
      <c r="M169" s="68"/>
      <c r="N169" s="68"/>
      <c r="O169" s="68"/>
      <c r="P169" s="92"/>
      <c r="Q169" s="162"/>
      <c r="R169" s="162"/>
      <c r="S169" s="120"/>
    </row>
    <row r="170" spans="1:22" x14ac:dyDescent="0.35">
      <c r="A170" s="28">
        <v>45185</v>
      </c>
      <c r="B170" s="36"/>
      <c r="C170" s="64" t="s">
        <v>97</v>
      </c>
      <c r="D170" s="1"/>
      <c r="E170" s="1"/>
      <c r="F170" s="66"/>
      <c r="G170" s="66"/>
      <c r="H170" s="1"/>
      <c r="I170" s="1"/>
      <c r="J170" s="1"/>
      <c r="K170" s="1"/>
      <c r="L170" s="68"/>
      <c r="M170" s="68"/>
      <c r="N170" s="68"/>
      <c r="O170" s="68"/>
      <c r="P170" s="92"/>
      <c r="Q170" s="162"/>
      <c r="R170" s="162"/>
      <c r="S170" s="120"/>
    </row>
    <row r="171" spans="1:22" x14ac:dyDescent="0.35">
      <c r="A171" s="28">
        <v>45186</v>
      </c>
      <c r="B171" s="36"/>
      <c r="C171" s="64" t="s">
        <v>97</v>
      </c>
      <c r="D171" s="1"/>
      <c r="E171" s="1"/>
      <c r="F171" s="66"/>
      <c r="G171" s="66"/>
      <c r="H171" s="1"/>
      <c r="I171" s="1"/>
      <c r="J171" s="1"/>
      <c r="K171" s="1"/>
      <c r="L171" s="68"/>
      <c r="M171" s="68"/>
      <c r="N171" s="68"/>
      <c r="O171" s="68"/>
      <c r="P171" s="92"/>
      <c r="Q171" s="162"/>
      <c r="R171" s="162"/>
      <c r="S171" s="120"/>
    </row>
    <row r="172" spans="1:22" x14ac:dyDescent="0.35">
      <c r="A172" s="28">
        <v>45187</v>
      </c>
      <c r="B172" s="36"/>
      <c r="C172" s="64" t="s">
        <v>97</v>
      </c>
      <c r="D172" s="1"/>
      <c r="E172" s="1"/>
      <c r="F172" s="66"/>
      <c r="G172" s="66"/>
      <c r="H172" s="1"/>
      <c r="I172" s="1"/>
      <c r="J172" s="1"/>
      <c r="K172" s="1"/>
      <c r="L172" s="68"/>
      <c r="M172" s="68"/>
      <c r="N172" s="68"/>
      <c r="O172" s="68"/>
      <c r="P172" s="92"/>
      <c r="Q172" s="192"/>
      <c r="R172" s="192"/>
      <c r="S172" s="196"/>
    </row>
    <row r="173" spans="1:22" x14ac:dyDescent="0.35">
      <c r="A173" s="28">
        <v>45188</v>
      </c>
      <c r="B173" s="36"/>
      <c r="C173" s="64" t="s">
        <v>97</v>
      </c>
      <c r="D173" s="1"/>
      <c r="E173" s="1"/>
      <c r="F173" s="66"/>
      <c r="G173" s="66"/>
      <c r="H173" s="1"/>
      <c r="I173" s="1"/>
      <c r="J173" s="1"/>
      <c r="K173" s="1"/>
      <c r="L173" s="68"/>
      <c r="M173" s="68"/>
      <c r="N173" s="68"/>
      <c r="O173" s="68"/>
      <c r="P173" s="92"/>
      <c r="Q173" s="162"/>
      <c r="R173" s="162"/>
      <c r="S173" s="120"/>
      <c r="V173">
        <f>AVERAGEIF(L2:L31,"&lt;&gt;0")</f>
        <v>0.87307692307692319</v>
      </c>
    </row>
    <row r="174" spans="1:22" x14ac:dyDescent="0.35">
      <c r="A174" s="28">
        <v>45189</v>
      </c>
      <c r="B174" s="36"/>
      <c r="C174" s="64" t="s">
        <v>97</v>
      </c>
      <c r="D174" s="1"/>
      <c r="E174" s="1"/>
      <c r="F174" s="66"/>
      <c r="G174" s="66"/>
      <c r="H174" s="1"/>
      <c r="I174" s="1"/>
      <c r="J174" s="1"/>
      <c r="K174" s="1"/>
      <c r="L174" s="68"/>
      <c r="M174" s="68"/>
      <c r="N174" s="68"/>
      <c r="O174" s="68"/>
      <c r="P174" s="92"/>
      <c r="Q174" s="162"/>
      <c r="R174" s="162"/>
      <c r="S174" s="120"/>
    </row>
    <row r="175" spans="1:22" x14ac:dyDescent="0.35">
      <c r="A175" s="28">
        <v>45190</v>
      </c>
      <c r="B175" s="36"/>
      <c r="C175" s="64" t="s">
        <v>97</v>
      </c>
      <c r="D175" s="1"/>
      <c r="E175" s="1"/>
      <c r="F175" s="66"/>
      <c r="G175" s="66"/>
      <c r="H175" s="1"/>
      <c r="I175" s="1"/>
      <c r="J175" s="1"/>
      <c r="K175" s="1"/>
      <c r="L175" s="68"/>
      <c r="M175" s="68"/>
      <c r="N175" s="68"/>
      <c r="O175" s="68"/>
      <c r="P175" s="92"/>
      <c r="Q175" s="162"/>
      <c r="R175" s="162"/>
      <c r="S175" s="120"/>
    </row>
    <row r="176" spans="1:22" x14ac:dyDescent="0.35">
      <c r="A176" s="28">
        <v>45191</v>
      </c>
      <c r="B176" s="36"/>
      <c r="C176" s="64" t="s">
        <v>97</v>
      </c>
      <c r="D176" s="1"/>
      <c r="E176" s="1"/>
      <c r="F176" s="66"/>
      <c r="G176" s="66"/>
      <c r="H176" s="1"/>
      <c r="I176" s="1"/>
      <c r="J176" s="1"/>
      <c r="K176" s="1"/>
      <c r="L176" s="68"/>
      <c r="M176" s="68"/>
      <c r="N176" s="68"/>
      <c r="O176" s="68"/>
      <c r="P176" s="92"/>
      <c r="Q176" s="162"/>
      <c r="R176" s="162"/>
      <c r="S176" s="120"/>
    </row>
    <row r="177" spans="1:19" x14ac:dyDescent="0.35">
      <c r="A177" s="28">
        <v>45192</v>
      </c>
      <c r="B177" s="36"/>
      <c r="C177" s="64" t="s">
        <v>97</v>
      </c>
      <c r="D177" s="1"/>
      <c r="E177" s="1"/>
      <c r="F177" s="66"/>
      <c r="G177" s="66"/>
      <c r="H177" s="1"/>
      <c r="I177" s="1"/>
      <c r="J177" s="1"/>
      <c r="K177" s="1"/>
      <c r="L177" s="68"/>
      <c r="M177" s="68"/>
      <c r="N177" s="68"/>
      <c r="O177" s="68"/>
      <c r="P177" s="92"/>
      <c r="Q177" s="162"/>
      <c r="R177" s="162"/>
      <c r="S177" s="120"/>
    </row>
    <row r="178" spans="1:19" x14ac:dyDescent="0.35">
      <c r="A178" s="28">
        <v>45193</v>
      </c>
      <c r="B178" s="36"/>
      <c r="C178" s="64" t="s">
        <v>97</v>
      </c>
      <c r="D178" s="1"/>
      <c r="E178" s="1"/>
      <c r="F178" s="66"/>
      <c r="G178" s="66"/>
      <c r="H178" s="1"/>
      <c r="I178" s="1"/>
      <c r="J178" s="1"/>
      <c r="K178" s="1"/>
      <c r="L178" s="68"/>
      <c r="M178" s="68"/>
      <c r="N178" s="68"/>
      <c r="O178" s="68"/>
      <c r="P178" s="92"/>
      <c r="Q178" s="162"/>
      <c r="R178" s="162"/>
      <c r="S178" s="120"/>
    </row>
    <row r="179" spans="1:19" x14ac:dyDescent="0.35">
      <c r="A179" s="28">
        <v>45194</v>
      </c>
      <c r="B179" s="36"/>
      <c r="C179" s="64" t="s">
        <v>97</v>
      </c>
      <c r="D179" s="1"/>
      <c r="E179" s="1"/>
      <c r="F179" s="66"/>
      <c r="G179" s="66"/>
      <c r="H179" s="1"/>
      <c r="I179" s="1"/>
      <c r="J179" s="1"/>
      <c r="K179" s="1"/>
      <c r="L179" s="68"/>
      <c r="M179" s="68"/>
      <c r="N179" s="68"/>
      <c r="O179" s="68"/>
      <c r="P179" s="92"/>
      <c r="Q179" s="192"/>
      <c r="R179" s="192"/>
      <c r="S179" s="196"/>
    </row>
    <row r="180" spans="1:19" x14ac:dyDescent="0.35">
      <c r="A180" s="28">
        <v>45195</v>
      </c>
      <c r="B180" s="36"/>
      <c r="C180" s="64" t="s">
        <v>97</v>
      </c>
      <c r="D180" s="1"/>
      <c r="E180" s="1"/>
      <c r="F180" s="66"/>
      <c r="G180" s="66"/>
      <c r="H180" s="1"/>
      <c r="I180" s="1"/>
      <c r="J180" s="1"/>
      <c r="K180" s="1"/>
      <c r="L180" s="68"/>
      <c r="M180" s="68"/>
      <c r="N180" s="68"/>
      <c r="O180" s="68"/>
      <c r="P180" s="92"/>
      <c r="Q180" s="162"/>
      <c r="R180" s="162"/>
      <c r="S180" s="120"/>
    </row>
    <row r="181" spans="1:19" x14ac:dyDescent="0.35">
      <c r="A181" s="28">
        <v>45196</v>
      </c>
      <c r="B181" s="36"/>
      <c r="C181" s="64" t="s">
        <v>97</v>
      </c>
      <c r="D181" s="1"/>
      <c r="E181" s="1"/>
      <c r="F181" s="66"/>
      <c r="G181" s="66"/>
      <c r="H181" s="1"/>
      <c r="I181" s="1"/>
      <c r="J181" s="1"/>
      <c r="K181" s="1"/>
      <c r="L181" s="68"/>
      <c r="M181" s="68"/>
      <c r="N181" s="68"/>
      <c r="O181" s="68"/>
      <c r="P181" s="92"/>
      <c r="Q181" s="162"/>
      <c r="R181" s="162"/>
      <c r="S181" s="120"/>
    </row>
    <row r="182" spans="1:19" x14ac:dyDescent="0.35">
      <c r="A182" s="28">
        <v>45197</v>
      </c>
      <c r="B182" s="36"/>
      <c r="C182" s="64" t="s">
        <v>97</v>
      </c>
      <c r="D182" s="1"/>
      <c r="E182" s="1"/>
      <c r="F182" s="66"/>
      <c r="G182" s="66"/>
      <c r="H182" s="1"/>
      <c r="I182" s="1"/>
      <c r="J182" s="1"/>
      <c r="K182" s="1"/>
      <c r="L182" s="68"/>
      <c r="M182" s="68"/>
      <c r="N182" s="68"/>
      <c r="O182" s="68"/>
      <c r="P182" s="92"/>
      <c r="Q182" s="162"/>
      <c r="R182" s="162"/>
      <c r="S182" s="120"/>
    </row>
    <row r="183" spans="1:19" x14ac:dyDescent="0.35">
      <c r="A183" s="28">
        <v>45198</v>
      </c>
      <c r="B183" s="36"/>
      <c r="C183" s="64" t="s">
        <v>97</v>
      </c>
      <c r="D183" s="1"/>
      <c r="E183" s="1"/>
      <c r="F183" s="66"/>
      <c r="G183" s="66"/>
      <c r="H183" s="1"/>
      <c r="I183" s="1"/>
      <c r="J183" s="1"/>
      <c r="K183" s="1"/>
      <c r="L183" s="68"/>
      <c r="M183" s="68"/>
      <c r="N183" s="68"/>
      <c r="O183" s="68"/>
      <c r="P183" s="92"/>
      <c r="Q183" s="162"/>
      <c r="R183" s="162"/>
      <c r="S183" s="120"/>
    </row>
    <row r="184" spans="1:19" x14ac:dyDescent="0.35">
      <c r="A184" s="28">
        <v>45199</v>
      </c>
      <c r="B184" s="36"/>
      <c r="C184" s="64" t="s">
        <v>97</v>
      </c>
      <c r="D184" s="1"/>
      <c r="E184" s="1"/>
      <c r="F184" s="66"/>
      <c r="G184" s="66"/>
      <c r="H184" s="1"/>
      <c r="I184" s="1"/>
      <c r="J184" s="1"/>
      <c r="K184" s="1"/>
      <c r="L184" s="68"/>
      <c r="M184" s="68"/>
      <c r="N184" s="68"/>
      <c r="O184" s="68"/>
      <c r="P184" s="92"/>
      <c r="Q184" s="162"/>
      <c r="R184" s="162"/>
      <c r="S184" s="120"/>
    </row>
    <row r="185" spans="1:19" x14ac:dyDescent="0.35">
      <c r="A185" s="28">
        <v>45200</v>
      </c>
      <c r="B185" s="36"/>
      <c r="C185" s="64" t="s">
        <v>97</v>
      </c>
      <c r="D185" s="1"/>
      <c r="E185" s="1"/>
      <c r="F185" s="66"/>
      <c r="G185" s="66"/>
      <c r="H185" s="1"/>
      <c r="I185" s="1"/>
      <c r="J185" s="1"/>
      <c r="K185" s="1"/>
      <c r="L185" s="68"/>
      <c r="M185" s="68"/>
      <c r="N185" s="68"/>
      <c r="O185" s="68"/>
      <c r="P185" s="92"/>
      <c r="Q185" s="162"/>
      <c r="R185" s="162"/>
      <c r="S185" s="120"/>
    </row>
    <row r="186" spans="1:19" x14ac:dyDescent="0.35">
      <c r="A186" s="28">
        <v>45201</v>
      </c>
      <c r="B186" s="36"/>
      <c r="C186" s="64" t="s">
        <v>97</v>
      </c>
      <c r="D186" s="1"/>
      <c r="E186" s="1"/>
      <c r="F186" s="66"/>
      <c r="G186" s="66"/>
      <c r="H186" s="1"/>
      <c r="I186" s="1"/>
      <c r="J186" s="1"/>
      <c r="K186" s="1"/>
      <c r="L186" s="68"/>
      <c r="M186" s="68"/>
      <c r="N186" s="68"/>
      <c r="O186" s="68"/>
      <c r="P186" s="92"/>
      <c r="Q186" s="192"/>
      <c r="R186" s="192"/>
      <c r="S186" s="196"/>
    </row>
    <row r="187" spans="1:19" x14ac:dyDescent="0.35">
      <c r="A187" s="28">
        <v>45202</v>
      </c>
      <c r="B187" s="36"/>
      <c r="C187" s="64" t="s">
        <v>97</v>
      </c>
      <c r="D187" s="1"/>
      <c r="E187" s="1"/>
      <c r="F187" s="66"/>
      <c r="G187" s="66"/>
      <c r="H187" s="1"/>
      <c r="I187" s="1"/>
      <c r="J187" s="1"/>
      <c r="K187" s="1"/>
      <c r="L187" s="68"/>
      <c r="M187" s="68"/>
      <c r="N187" s="68"/>
      <c r="O187" s="68"/>
      <c r="P187" s="92"/>
      <c r="Q187" s="162"/>
      <c r="R187" s="162"/>
      <c r="S187" s="120"/>
    </row>
    <row r="188" spans="1:19" x14ac:dyDescent="0.35">
      <c r="A188" s="28">
        <v>45203</v>
      </c>
      <c r="B188" s="36"/>
      <c r="C188" s="64" t="s">
        <v>97</v>
      </c>
      <c r="D188" s="1"/>
      <c r="E188" s="1"/>
      <c r="F188" s="66"/>
      <c r="G188" s="66"/>
      <c r="H188" s="1"/>
      <c r="I188" s="1"/>
      <c r="J188" s="1"/>
      <c r="K188" s="1"/>
      <c r="L188" s="68"/>
      <c r="M188" s="68"/>
      <c r="N188" s="68"/>
      <c r="O188" s="68"/>
      <c r="P188" s="92"/>
      <c r="Q188" s="162"/>
      <c r="R188" s="162"/>
      <c r="S188" s="120"/>
    </row>
    <row r="189" spans="1:19" x14ac:dyDescent="0.35">
      <c r="A189" s="28">
        <v>45204</v>
      </c>
      <c r="B189" s="36"/>
      <c r="C189" s="64" t="s">
        <v>97</v>
      </c>
      <c r="D189" s="1"/>
      <c r="E189" s="1"/>
      <c r="F189" s="66"/>
      <c r="G189" s="66"/>
      <c r="H189" s="1"/>
      <c r="I189" s="1"/>
      <c r="J189" s="1"/>
      <c r="K189" s="1"/>
      <c r="L189" s="68"/>
      <c r="M189" s="68"/>
      <c r="N189" s="68"/>
      <c r="O189" s="68"/>
      <c r="P189" s="92"/>
      <c r="Q189" s="162"/>
      <c r="R189" s="162"/>
      <c r="S189" s="120"/>
    </row>
    <row r="190" spans="1:19" x14ac:dyDescent="0.35">
      <c r="A190" s="28">
        <v>45205</v>
      </c>
      <c r="B190" s="36"/>
      <c r="C190" s="64" t="s">
        <v>97</v>
      </c>
      <c r="D190" s="1"/>
      <c r="E190" s="1"/>
      <c r="F190" s="66"/>
      <c r="G190" s="66"/>
      <c r="H190" s="1"/>
      <c r="I190" s="1"/>
      <c r="J190" s="1"/>
      <c r="K190" s="1"/>
      <c r="L190" s="68"/>
      <c r="M190" s="68"/>
      <c r="N190" s="68"/>
      <c r="O190" s="68"/>
      <c r="P190" s="92"/>
      <c r="Q190" s="162"/>
      <c r="R190" s="162"/>
      <c r="S190" s="120"/>
    </row>
    <row r="191" spans="1:19" x14ac:dyDescent="0.35">
      <c r="A191" s="28">
        <v>45206</v>
      </c>
      <c r="B191" s="36"/>
      <c r="C191" s="64" t="s">
        <v>97</v>
      </c>
      <c r="D191" s="1"/>
      <c r="E191" s="1"/>
      <c r="F191" s="66"/>
      <c r="G191" s="66"/>
      <c r="H191" s="1"/>
      <c r="I191" s="1"/>
      <c r="J191" s="1"/>
      <c r="K191" s="1"/>
      <c r="L191" s="68"/>
      <c r="M191" s="68"/>
      <c r="N191" s="68"/>
      <c r="O191" s="68"/>
      <c r="P191" s="92"/>
      <c r="Q191" s="162"/>
      <c r="R191" s="162"/>
      <c r="S191" s="120"/>
    </row>
    <row r="192" spans="1:19" x14ac:dyDescent="0.35">
      <c r="A192" s="28">
        <v>45207</v>
      </c>
      <c r="B192" s="36"/>
      <c r="C192" s="64" t="s">
        <v>97</v>
      </c>
      <c r="D192" s="1"/>
      <c r="E192" s="1"/>
      <c r="F192" s="66"/>
      <c r="G192" s="66"/>
      <c r="H192" s="1"/>
      <c r="I192" s="1"/>
      <c r="J192" s="1"/>
      <c r="K192" s="1"/>
      <c r="L192" s="68"/>
      <c r="M192" s="68"/>
      <c r="N192" s="68"/>
      <c r="O192" s="68"/>
      <c r="P192" s="92"/>
      <c r="Q192" s="162"/>
      <c r="R192" s="162"/>
      <c r="S192" s="120"/>
    </row>
    <row r="193" spans="1:19" x14ac:dyDescent="0.35">
      <c r="A193" s="28">
        <v>45208</v>
      </c>
      <c r="B193" s="36"/>
      <c r="C193" s="64" t="s">
        <v>97</v>
      </c>
      <c r="D193" s="1"/>
      <c r="E193" s="1"/>
      <c r="F193" s="66"/>
      <c r="G193" s="66"/>
      <c r="H193" s="1"/>
      <c r="I193" s="1"/>
      <c r="J193" s="1"/>
      <c r="K193" s="1"/>
      <c r="L193" s="68"/>
      <c r="M193" s="68"/>
      <c r="N193" s="68"/>
      <c r="O193" s="68"/>
      <c r="P193" s="92"/>
      <c r="Q193" s="192"/>
      <c r="R193" s="192"/>
      <c r="S193" s="196"/>
    </row>
    <row r="194" spans="1:19" x14ac:dyDescent="0.35">
      <c r="A194" s="28">
        <v>45209</v>
      </c>
      <c r="B194" s="36"/>
      <c r="C194" s="64" t="s">
        <v>97</v>
      </c>
      <c r="D194" s="1"/>
      <c r="E194" s="1"/>
      <c r="F194" s="66"/>
      <c r="G194" s="66"/>
      <c r="H194" s="1"/>
      <c r="I194" s="1"/>
      <c r="J194" s="1"/>
      <c r="K194" s="1"/>
      <c r="L194" s="68"/>
      <c r="M194" s="68"/>
      <c r="N194" s="68"/>
      <c r="O194" s="68"/>
      <c r="P194" s="92"/>
      <c r="Q194" s="162"/>
      <c r="R194" s="162"/>
      <c r="S194" s="120"/>
    </row>
    <row r="195" spans="1:19" x14ac:dyDescent="0.35">
      <c r="A195" s="28">
        <v>45210</v>
      </c>
      <c r="B195" s="36"/>
      <c r="C195" s="64" t="s">
        <v>97</v>
      </c>
      <c r="D195" s="1"/>
      <c r="E195" s="1"/>
      <c r="F195" s="66"/>
      <c r="G195" s="66"/>
      <c r="H195" s="1"/>
      <c r="I195" s="1"/>
      <c r="J195" s="1"/>
      <c r="K195" s="1"/>
      <c r="L195" s="68"/>
      <c r="M195" s="68"/>
      <c r="N195" s="68"/>
      <c r="O195" s="68"/>
      <c r="P195" s="92"/>
      <c r="Q195" s="162"/>
      <c r="R195" s="162"/>
      <c r="S195" s="120"/>
    </row>
    <row r="196" spans="1:19" x14ac:dyDescent="0.35">
      <c r="A196" s="28">
        <v>45211</v>
      </c>
      <c r="B196" s="36"/>
      <c r="C196" s="64" t="s">
        <v>97</v>
      </c>
      <c r="D196" s="1"/>
      <c r="E196" s="1"/>
      <c r="F196" s="66"/>
      <c r="G196" s="66"/>
      <c r="H196" s="1"/>
      <c r="I196" s="1"/>
      <c r="J196" s="1"/>
      <c r="K196" s="1"/>
      <c r="L196" s="68"/>
      <c r="M196" s="68"/>
      <c r="N196" s="68"/>
      <c r="O196" s="68"/>
      <c r="P196" s="92"/>
      <c r="Q196" s="162"/>
      <c r="R196" s="162"/>
      <c r="S196" s="120"/>
    </row>
    <row r="197" spans="1:19" x14ac:dyDescent="0.35">
      <c r="A197" s="28">
        <v>45212</v>
      </c>
      <c r="B197" s="36"/>
      <c r="C197" s="64" t="s">
        <v>97</v>
      </c>
      <c r="D197" s="1"/>
      <c r="E197" s="1"/>
      <c r="F197" s="66"/>
      <c r="G197" s="66"/>
      <c r="H197" s="1"/>
      <c r="I197" s="1"/>
      <c r="J197" s="1"/>
      <c r="K197" s="1"/>
      <c r="L197" s="68"/>
      <c r="M197" s="68"/>
      <c r="N197" s="68"/>
      <c r="O197" s="68"/>
      <c r="P197" s="92"/>
      <c r="Q197" s="162"/>
      <c r="R197" s="162"/>
      <c r="S197" s="120"/>
    </row>
    <row r="198" spans="1:19" x14ac:dyDescent="0.35">
      <c r="A198" s="28">
        <v>45213</v>
      </c>
      <c r="B198" s="36"/>
      <c r="C198" s="64" t="s">
        <v>97</v>
      </c>
      <c r="D198" s="1"/>
      <c r="E198" s="1"/>
      <c r="F198" s="66"/>
      <c r="G198" s="66"/>
      <c r="H198" s="1"/>
      <c r="I198" s="1"/>
      <c r="J198" s="1"/>
      <c r="K198" s="1"/>
      <c r="L198" s="68"/>
      <c r="M198" s="68"/>
      <c r="N198" s="68"/>
      <c r="O198" s="68"/>
      <c r="P198" s="92"/>
      <c r="Q198" s="162"/>
      <c r="R198" s="162"/>
      <c r="S198" s="120"/>
    </row>
    <row r="199" spans="1:19" x14ac:dyDescent="0.35">
      <c r="A199" s="28">
        <v>45214</v>
      </c>
      <c r="B199" s="36"/>
      <c r="C199" s="64" t="s">
        <v>97</v>
      </c>
      <c r="D199" s="1"/>
      <c r="E199" s="1"/>
      <c r="F199" s="66"/>
      <c r="G199" s="66"/>
      <c r="H199" s="1"/>
      <c r="I199" s="1"/>
      <c r="J199" s="1"/>
      <c r="K199" s="1"/>
      <c r="L199" s="68"/>
      <c r="M199" s="68"/>
      <c r="N199" s="68"/>
      <c r="O199" s="68"/>
      <c r="P199" s="92"/>
      <c r="Q199" s="162"/>
      <c r="R199" s="162"/>
      <c r="S199" s="120"/>
    </row>
    <row r="200" spans="1:19" x14ac:dyDescent="0.35">
      <c r="A200" s="28">
        <v>45215</v>
      </c>
      <c r="B200" s="36"/>
      <c r="C200" s="64" t="s">
        <v>97</v>
      </c>
      <c r="D200" s="1"/>
      <c r="E200" s="1"/>
      <c r="F200" s="66"/>
      <c r="G200" s="66"/>
      <c r="H200" s="1"/>
      <c r="I200" s="1"/>
      <c r="J200" s="1"/>
      <c r="K200" s="1"/>
      <c r="L200" s="68"/>
      <c r="M200" s="68"/>
      <c r="N200" s="68"/>
      <c r="O200" s="68"/>
      <c r="P200" s="92"/>
      <c r="Q200" s="192"/>
      <c r="R200" s="192"/>
      <c r="S200" s="196"/>
    </row>
    <row r="201" spans="1:19" x14ac:dyDescent="0.35">
      <c r="A201" s="28">
        <v>45216</v>
      </c>
      <c r="B201" s="36"/>
      <c r="C201" s="64" t="s">
        <v>97</v>
      </c>
      <c r="D201" s="1"/>
      <c r="E201" s="1"/>
      <c r="F201" s="66"/>
      <c r="G201" s="66"/>
      <c r="H201" s="1"/>
      <c r="I201" s="1"/>
      <c r="J201" s="1"/>
      <c r="K201" s="1"/>
      <c r="L201" s="68"/>
      <c r="M201" s="68"/>
      <c r="N201" s="68"/>
      <c r="O201" s="68"/>
      <c r="P201" s="92"/>
      <c r="Q201" s="162"/>
      <c r="R201" s="162"/>
      <c r="S201" s="120"/>
    </row>
    <row r="202" spans="1:19" x14ac:dyDescent="0.35">
      <c r="A202" s="28">
        <v>45217</v>
      </c>
      <c r="B202" s="36"/>
      <c r="C202" s="64" t="s">
        <v>97</v>
      </c>
      <c r="D202" s="1"/>
      <c r="E202" s="1"/>
      <c r="F202" s="66"/>
      <c r="G202" s="66"/>
      <c r="H202" s="1"/>
      <c r="I202" s="1"/>
      <c r="J202" s="1"/>
      <c r="K202" s="1"/>
      <c r="L202" s="68"/>
      <c r="M202" s="68"/>
      <c r="N202" s="68"/>
      <c r="O202" s="68"/>
      <c r="P202" s="92"/>
      <c r="Q202" s="162"/>
      <c r="R202" s="162"/>
      <c r="S202" s="120"/>
    </row>
    <row r="203" spans="1:19" x14ac:dyDescent="0.35">
      <c r="A203" s="28">
        <v>45218</v>
      </c>
      <c r="B203" s="36"/>
      <c r="C203" s="64" t="s">
        <v>97</v>
      </c>
      <c r="D203" s="1"/>
      <c r="E203" s="1"/>
      <c r="F203" s="66"/>
      <c r="G203" s="66"/>
      <c r="H203" s="1"/>
      <c r="I203" s="1"/>
      <c r="J203" s="1"/>
      <c r="K203" s="1"/>
      <c r="L203" s="68"/>
      <c r="M203" s="68"/>
      <c r="N203" s="68"/>
      <c r="O203" s="68"/>
      <c r="P203" s="92"/>
      <c r="Q203" s="162"/>
      <c r="R203" s="162"/>
      <c r="S203" s="120"/>
    </row>
    <row r="204" spans="1:19" x14ac:dyDescent="0.35">
      <c r="A204" s="28">
        <v>45219</v>
      </c>
      <c r="B204" s="36"/>
      <c r="C204" s="64" t="s">
        <v>97</v>
      </c>
      <c r="D204" s="1"/>
      <c r="E204" s="1"/>
      <c r="F204" s="66"/>
      <c r="G204" s="66"/>
      <c r="H204" s="1"/>
      <c r="I204" s="1"/>
      <c r="J204" s="1"/>
      <c r="K204" s="1"/>
      <c r="L204" s="68"/>
      <c r="M204" s="68"/>
      <c r="N204" s="68"/>
      <c r="O204" s="68"/>
      <c r="P204" s="92"/>
      <c r="Q204" s="162"/>
      <c r="R204" s="162"/>
      <c r="S204" s="120"/>
    </row>
    <row r="205" spans="1:19" x14ac:dyDescent="0.35">
      <c r="A205" s="28">
        <v>45220</v>
      </c>
      <c r="B205" s="36"/>
      <c r="C205" s="64" t="s">
        <v>97</v>
      </c>
      <c r="D205" s="1"/>
      <c r="E205" s="1"/>
      <c r="F205" s="66"/>
      <c r="G205" s="66"/>
      <c r="H205" s="1"/>
      <c r="I205" s="1"/>
      <c r="J205" s="1"/>
      <c r="K205" s="1"/>
      <c r="L205" s="68"/>
      <c r="M205" s="68"/>
      <c r="N205" s="68"/>
      <c r="O205" s="68"/>
      <c r="P205" s="92"/>
      <c r="Q205" s="162"/>
      <c r="R205" s="162"/>
      <c r="S205" s="120"/>
    </row>
    <row r="206" spans="1:19" x14ac:dyDescent="0.35">
      <c r="A206" s="28">
        <v>45221</v>
      </c>
      <c r="B206" s="36"/>
      <c r="C206" s="64" t="s">
        <v>97</v>
      </c>
      <c r="D206" s="1"/>
      <c r="E206" s="1"/>
      <c r="F206" s="66"/>
      <c r="G206" s="66"/>
      <c r="H206" s="1"/>
      <c r="I206" s="1"/>
      <c r="J206" s="1"/>
      <c r="K206" s="1"/>
      <c r="L206" s="68"/>
      <c r="M206" s="68"/>
      <c r="N206" s="68"/>
      <c r="O206" s="68"/>
      <c r="P206" s="92"/>
      <c r="Q206" s="162"/>
      <c r="R206" s="162"/>
      <c r="S206" s="120"/>
    </row>
    <row r="207" spans="1:19" x14ac:dyDescent="0.35">
      <c r="A207" s="28">
        <v>45222</v>
      </c>
      <c r="B207" s="36"/>
      <c r="C207" s="64" t="s">
        <v>97</v>
      </c>
      <c r="D207" s="1"/>
      <c r="E207" s="1"/>
      <c r="F207" s="66"/>
      <c r="G207" s="66"/>
      <c r="H207" s="1"/>
      <c r="I207" s="1"/>
      <c r="J207" s="1"/>
      <c r="K207" s="1"/>
      <c r="L207" s="68"/>
      <c r="M207" s="68"/>
      <c r="N207" s="68"/>
      <c r="O207" s="68"/>
      <c r="P207" s="92"/>
      <c r="Q207" s="162"/>
      <c r="R207" s="162"/>
      <c r="S207" s="120"/>
    </row>
    <row r="208" spans="1:19" x14ac:dyDescent="0.35">
      <c r="A208" s="28">
        <v>45223</v>
      </c>
      <c r="B208" s="36"/>
      <c r="C208" s="64" t="s">
        <v>97</v>
      </c>
      <c r="D208" s="1"/>
      <c r="E208" s="1"/>
      <c r="F208" s="66"/>
      <c r="G208" s="66"/>
      <c r="H208" s="1"/>
      <c r="I208" s="1"/>
      <c r="J208" s="1"/>
      <c r="K208" s="1"/>
      <c r="L208" s="68"/>
      <c r="M208" s="68"/>
      <c r="N208" s="68"/>
      <c r="O208" s="68"/>
      <c r="P208" s="92"/>
      <c r="Q208" s="162"/>
      <c r="R208" s="162"/>
      <c r="S208" s="120"/>
    </row>
    <row r="209" spans="1:23" x14ac:dyDescent="0.35">
      <c r="A209" s="28">
        <v>45224</v>
      </c>
      <c r="B209" s="36"/>
      <c r="C209" s="64" t="s">
        <v>97</v>
      </c>
      <c r="D209" s="1"/>
      <c r="E209" s="1"/>
      <c r="F209" s="66"/>
      <c r="G209" s="66"/>
      <c r="H209" s="1"/>
      <c r="I209" s="1"/>
      <c r="J209" s="1"/>
      <c r="K209" s="1"/>
      <c r="L209" s="68"/>
      <c r="M209" s="68"/>
      <c r="N209" s="68"/>
      <c r="O209" s="68"/>
      <c r="P209" s="92"/>
      <c r="Q209" s="162"/>
      <c r="R209" s="162"/>
      <c r="S209" s="120"/>
    </row>
    <row r="210" spans="1:23" x14ac:dyDescent="0.35">
      <c r="A210" s="28">
        <v>45225</v>
      </c>
      <c r="B210" s="36"/>
      <c r="C210" s="64" t="s">
        <v>97</v>
      </c>
      <c r="D210" s="1"/>
      <c r="E210" s="1"/>
      <c r="F210" s="66"/>
      <c r="G210" s="66"/>
      <c r="H210" s="1"/>
      <c r="I210" s="1"/>
      <c r="J210" s="1"/>
      <c r="K210" s="1"/>
      <c r="L210" s="68"/>
      <c r="M210" s="68"/>
      <c r="N210" s="68"/>
      <c r="O210" s="68"/>
      <c r="P210" s="92"/>
      <c r="Q210" s="162"/>
      <c r="R210" s="162"/>
      <c r="S210" s="120"/>
    </row>
    <row r="211" spans="1:23" x14ac:dyDescent="0.35">
      <c r="A211" s="28">
        <v>45226</v>
      </c>
      <c r="B211" s="36"/>
      <c r="C211" s="64" t="s">
        <v>97</v>
      </c>
      <c r="D211" s="1"/>
      <c r="E211" s="1"/>
      <c r="F211" s="66"/>
      <c r="G211" s="66"/>
      <c r="H211" s="1"/>
      <c r="I211" s="1"/>
      <c r="J211" s="1"/>
      <c r="K211" s="1"/>
      <c r="L211" s="68"/>
      <c r="M211" s="68"/>
      <c r="N211" s="68"/>
      <c r="O211" s="68"/>
      <c r="P211" s="92"/>
      <c r="Q211" s="162"/>
      <c r="R211" s="162"/>
      <c r="S211" s="120"/>
    </row>
    <row r="212" spans="1:23" x14ac:dyDescent="0.35">
      <c r="A212" s="28">
        <v>45227</v>
      </c>
      <c r="B212" s="36"/>
      <c r="C212" s="64" t="s">
        <v>97</v>
      </c>
      <c r="D212" s="1"/>
      <c r="E212" s="1"/>
      <c r="F212" s="66"/>
      <c r="G212" s="66"/>
      <c r="H212" s="1"/>
      <c r="I212" s="1"/>
      <c r="J212" s="1"/>
      <c r="K212" s="1"/>
      <c r="L212" s="68"/>
      <c r="M212" s="68"/>
      <c r="N212" s="68"/>
      <c r="O212" s="68"/>
      <c r="P212" s="92"/>
      <c r="Q212" s="162"/>
      <c r="R212" s="162"/>
      <c r="S212" s="120"/>
    </row>
    <row r="213" spans="1:23" x14ac:dyDescent="0.35">
      <c r="A213" s="28">
        <v>45228</v>
      </c>
      <c r="B213" s="36"/>
      <c r="C213" s="64" t="s">
        <v>97</v>
      </c>
      <c r="D213" s="1"/>
      <c r="E213" s="1"/>
      <c r="F213" s="66"/>
      <c r="G213" s="66"/>
      <c r="H213" s="1"/>
      <c r="I213" s="1"/>
      <c r="J213" s="1"/>
      <c r="K213" s="1"/>
      <c r="L213" s="68"/>
      <c r="M213" s="68"/>
      <c r="N213" s="68"/>
      <c r="O213" s="68"/>
      <c r="P213" s="92"/>
      <c r="Q213" s="162"/>
      <c r="R213" s="162"/>
      <c r="S213" s="120"/>
    </row>
    <row r="214" spans="1:23" x14ac:dyDescent="0.35">
      <c r="A214" s="28">
        <v>45229</v>
      </c>
      <c r="B214" s="36"/>
      <c r="C214" s="64" t="s">
        <v>97</v>
      </c>
      <c r="D214" s="1"/>
      <c r="E214" s="1"/>
      <c r="F214" s="66"/>
      <c r="G214" s="66"/>
      <c r="H214" s="1"/>
      <c r="I214" s="1"/>
      <c r="J214" s="1"/>
      <c r="K214" s="1"/>
      <c r="L214" s="68"/>
      <c r="M214" s="68"/>
      <c r="N214" s="68"/>
      <c r="O214" s="68"/>
      <c r="P214" s="92"/>
      <c r="Q214" s="162"/>
      <c r="R214" s="162"/>
      <c r="S214" s="120"/>
    </row>
    <row r="215" spans="1:23" s="50" customFormat="1" x14ac:dyDescent="0.35">
      <c r="A215" s="28">
        <v>45230</v>
      </c>
      <c r="B215" s="51"/>
      <c r="C215" s="64" t="s">
        <v>97</v>
      </c>
      <c r="D215" s="52"/>
      <c r="E215" s="52"/>
      <c r="F215" s="80"/>
      <c r="G215" s="80"/>
      <c r="H215" s="52"/>
      <c r="I215" s="52"/>
      <c r="J215" s="52"/>
      <c r="K215" s="52"/>
      <c r="L215" s="104"/>
      <c r="M215" s="104"/>
      <c r="N215" s="104"/>
      <c r="O215" s="104"/>
      <c r="P215" s="105"/>
      <c r="Q215" s="166"/>
      <c r="R215" s="166"/>
      <c r="S215" s="167"/>
      <c r="U215"/>
      <c r="V215"/>
      <c r="W215"/>
    </row>
    <row r="216" spans="1:23" x14ac:dyDescent="0.35">
      <c r="A216" s="28">
        <v>45231</v>
      </c>
      <c r="B216" s="94"/>
      <c r="C216" s="64" t="s">
        <v>97</v>
      </c>
      <c r="D216" s="39"/>
      <c r="E216" s="39"/>
      <c r="F216" s="66"/>
      <c r="G216" s="66"/>
      <c r="H216" s="1"/>
      <c r="I216" s="1"/>
      <c r="J216" s="1"/>
      <c r="K216" s="1"/>
      <c r="L216" s="95"/>
      <c r="M216" s="95"/>
      <c r="N216" s="95"/>
      <c r="O216" s="95"/>
      <c r="P216" s="96"/>
      <c r="Q216" s="192"/>
      <c r="R216" s="192"/>
      <c r="S216" s="120"/>
    </row>
    <row r="217" spans="1:23" x14ac:dyDescent="0.35">
      <c r="A217" s="28">
        <v>45232</v>
      </c>
      <c r="B217" s="36"/>
      <c r="C217" s="64" t="s">
        <v>97</v>
      </c>
      <c r="D217" s="1"/>
      <c r="E217" s="1"/>
      <c r="F217" s="66"/>
      <c r="G217" s="66"/>
      <c r="H217" s="1"/>
      <c r="I217" s="1"/>
      <c r="J217" s="1"/>
      <c r="K217" s="1"/>
      <c r="L217" s="68"/>
      <c r="M217" s="68"/>
      <c r="N217" s="68"/>
      <c r="O217" s="68"/>
      <c r="P217" s="92"/>
      <c r="Q217" s="162"/>
      <c r="R217" s="162"/>
      <c r="S217" s="120"/>
    </row>
    <row r="218" spans="1:23" x14ac:dyDescent="0.35">
      <c r="A218" s="28">
        <v>45233</v>
      </c>
      <c r="B218" s="36"/>
      <c r="C218" s="64" t="s">
        <v>97</v>
      </c>
      <c r="D218" s="1"/>
      <c r="E218" s="1"/>
      <c r="F218" s="66"/>
      <c r="G218" s="66"/>
      <c r="H218" s="1"/>
      <c r="I218" s="1"/>
      <c r="J218" s="1"/>
      <c r="K218" s="1"/>
      <c r="L218" s="68"/>
      <c r="M218" s="68"/>
      <c r="N218" s="68"/>
      <c r="O218" s="68"/>
      <c r="P218" s="92"/>
      <c r="Q218" s="162"/>
      <c r="R218" s="162"/>
      <c r="S218" s="120"/>
    </row>
    <row r="219" spans="1:23" x14ac:dyDescent="0.35">
      <c r="A219" s="28">
        <v>45234</v>
      </c>
      <c r="B219" s="36"/>
      <c r="C219" s="64" t="s">
        <v>97</v>
      </c>
      <c r="D219" s="1"/>
      <c r="E219" s="1"/>
      <c r="F219" s="66"/>
      <c r="G219" s="66"/>
      <c r="H219" s="1"/>
      <c r="I219" s="1"/>
      <c r="J219" s="1"/>
      <c r="K219" s="1"/>
      <c r="L219" s="68"/>
      <c r="M219" s="68"/>
      <c r="N219" s="68"/>
      <c r="O219" s="68"/>
      <c r="P219" s="92"/>
      <c r="Q219" s="162"/>
      <c r="R219" s="162"/>
      <c r="S219" s="120"/>
    </row>
    <row r="220" spans="1:23" x14ac:dyDescent="0.35">
      <c r="A220" s="28">
        <v>45235</v>
      </c>
      <c r="B220" s="36"/>
      <c r="C220" s="64" t="s">
        <v>97</v>
      </c>
      <c r="D220" s="1"/>
      <c r="E220" s="1"/>
      <c r="F220" s="66"/>
      <c r="G220" s="66"/>
      <c r="H220" s="1"/>
      <c r="I220" s="1"/>
      <c r="J220" s="1"/>
      <c r="K220" s="1"/>
      <c r="L220" s="68"/>
      <c r="M220" s="92"/>
      <c r="N220" s="68"/>
      <c r="O220" s="68"/>
      <c r="P220" s="92"/>
      <c r="Q220" s="162"/>
      <c r="R220" s="162"/>
      <c r="S220" s="120"/>
    </row>
    <row r="221" spans="1:23" x14ac:dyDescent="0.35">
      <c r="A221" s="28">
        <v>45236</v>
      </c>
      <c r="B221" s="36"/>
      <c r="C221" s="64" t="s">
        <v>97</v>
      </c>
      <c r="D221" s="1"/>
      <c r="E221" s="1"/>
      <c r="F221" s="66"/>
      <c r="G221" s="66"/>
      <c r="H221" s="1"/>
      <c r="I221" s="1"/>
      <c r="J221" s="1"/>
      <c r="K221" s="1"/>
      <c r="L221" s="68"/>
      <c r="M221" s="68"/>
      <c r="N221" s="68"/>
      <c r="O221" s="68"/>
      <c r="P221" s="92"/>
      <c r="Q221" s="162"/>
      <c r="R221" s="162"/>
      <c r="S221" s="120"/>
    </row>
    <row r="222" spans="1:23" x14ac:dyDescent="0.35">
      <c r="A222" s="28">
        <v>45237</v>
      </c>
      <c r="B222" s="36"/>
      <c r="C222" s="64" t="s">
        <v>97</v>
      </c>
      <c r="D222" s="1"/>
      <c r="E222" s="1"/>
      <c r="F222" s="66"/>
      <c r="G222" s="66"/>
      <c r="H222" s="1"/>
      <c r="I222" s="1"/>
      <c r="J222" s="1"/>
      <c r="K222" s="1"/>
      <c r="L222" s="68"/>
      <c r="M222" s="68"/>
      <c r="N222" s="68"/>
      <c r="O222" s="68"/>
      <c r="P222" s="92"/>
      <c r="Q222" s="162"/>
      <c r="R222" s="162"/>
      <c r="S222" s="120"/>
    </row>
    <row r="223" spans="1:23" x14ac:dyDescent="0.35">
      <c r="A223" s="28">
        <v>45238</v>
      </c>
      <c r="B223" s="36"/>
      <c r="C223" s="64" t="s">
        <v>97</v>
      </c>
      <c r="D223" s="1"/>
      <c r="E223" s="1"/>
      <c r="F223" s="66"/>
      <c r="G223" s="66"/>
      <c r="H223" s="1"/>
      <c r="I223" s="1"/>
      <c r="J223" s="1"/>
      <c r="K223" s="1"/>
      <c r="L223" s="68"/>
      <c r="M223" s="68"/>
      <c r="N223" s="68"/>
      <c r="O223" s="68"/>
      <c r="P223" s="92"/>
      <c r="Q223" s="162"/>
      <c r="R223" s="162"/>
      <c r="S223" s="120"/>
    </row>
    <row r="224" spans="1:23" x14ac:dyDescent="0.35">
      <c r="A224" s="28">
        <v>45239</v>
      </c>
      <c r="B224" s="36"/>
      <c r="C224" s="64" t="s">
        <v>97</v>
      </c>
      <c r="D224" s="1"/>
      <c r="E224" s="1"/>
      <c r="F224" s="66"/>
      <c r="G224" s="66"/>
      <c r="H224" s="1"/>
      <c r="I224" s="1"/>
      <c r="J224" s="1"/>
      <c r="K224" s="1"/>
      <c r="L224" s="68"/>
      <c r="M224" s="68"/>
      <c r="N224" s="68"/>
      <c r="O224" s="68"/>
      <c r="P224" s="92"/>
      <c r="Q224" s="162"/>
      <c r="R224" s="162"/>
      <c r="S224" s="120"/>
    </row>
    <row r="225" spans="1:23" x14ac:dyDescent="0.35">
      <c r="A225" s="28">
        <v>45240</v>
      </c>
      <c r="B225" s="36"/>
      <c r="C225" s="64" t="s">
        <v>97</v>
      </c>
      <c r="D225" s="1"/>
      <c r="E225" s="1"/>
      <c r="F225" s="66"/>
      <c r="G225" s="66"/>
      <c r="H225" s="1"/>
      <c r="I225" s="1"/>
      <c r="J225" s="1"/>
      <c r="K225" s="1"/>
      <c r="L225" s="68"/>
      <c r="M225" s="68"/>
      <c r="N225" s="68"/>
      <c r="O225" s="68"/>
      <c r="P225" s="92"/>
      <c r="Q225" s="162"/>
      <c r="R225" s="162"/>
      <c r="S225" s="120"/>
    </row>
    <row r="226" spans="1:23" x14ac:dyDescent="0.35">
      <c r="A226" s="28">
        <v>45241</v>
      </c>
      <c r="B226" s="36"/>
      <c r="C226" s="64" t="s">
        <v>97</v>
      </c>
      <c r="D226" s="1"/>
      <c r="E226" s="1"/>
      <c r="F226" s="66"/>
      <c r="G226" s="66"/>
      <c r="H226" s="1"/>
      <c r="I226" s="1"/>
      <c r="J226" s="1"/>
      <c r="K226" s="1"/>
      <c r="L226" s="68"/>
      <c r="M226" s="68"/>
      <c r="N226" s="68"/>
      <c r="O226" s="68"/>
      <c r="P226" s="92"/>
      <c r="Q226" s="162"/>
      <c r="R226" s="162"/>
      <c r="S226" s="120"/>
    </row>
    <row r="227" spans="1:23" x14ac:dyDescent="0.35">
      <c r="A227" s="28">
        <v>45242</v>
      </c>
      <c r="B227" s="36"/>
      <c r="C227" s="64" t="s">
        <v>97</v>
      </c>
      <c r="D227" s="1"/>
      <c r="E227" s="1"/>
      <c r="F227" s="66"/>
      <c r="G227" s="66"/>
      <c r="H227" s="1"/>
      <c r="I227" s="1"/>
      <c r="J227" s="1"/>
      <c r="K227" s="1"/>
      <c r="L227" s="68"/>
      <c r="M227" s="68"/>
      <c r="N227" s="68"/>
      <c r="O227" s="68"/>
      <c r="P227" s="92"/>
      <c r="Q227" s="162"/>
      <c r="R227" s="162"/>
      <c r="S227" s="120"/>
    </row>
    <row r="228" spans="1:23" x14ac:dyDescent="0.35">
      <c r="A228" s="28">
        <v>45243</v>
      </c>
      <c r="B228" s="36"/>
      <c r="C228" s="64" t="s">
        <v>97</v>
      </c>
      <c r="D228" s="1"/>
      <c r="E228" s="1"/>
      <c r="F228" s="66"/>
      <c r="G228" s="66"/>
      <c r="H228" s="1"/>
      <c r="I228" s="1"/>
      <c r="J228" s="1"/>
      <c r="K228" s="1"/>
      <c r="L228" s="68"/>
      <c r="M228" s="68"/>
      <c r="N228" s="68"/>
      <c r="O228" s="68"/>
      <c r="P228" s="92"/>
      <c r="Q228" s="162"/>
      <c r="R228" s="162"/>
      <c r="S228" s="120"/>
    </row>
    <row r="229" spans="1:23" x14ac:dyDescent="0.35">
      <c r="A229" s="28">
        <v>45244</v>
      </c>
      <c r="B229" s="36"/>
      <c r="C229" s="64" t="s">
        <v>97</v>
      </c>
      <c r="D229" s="1"/>
      <c r="E229" s="1"/>
      <c r="F229" s="66"/>
      <c r="G229" s="66"/>
      <c r="H229" s="1"/>
      <c r="I229" s="1"/>
      <c r="J229" s="1"/>
      <c r="K229" s="1"/>
      <c r="L229" s="68"/>
      <c r="M229" s="68"/>
      <c r="N229" s="68"/>
      <c r="O229" s="68"/>
      <c r="P229" s="92"/>
      <c r="Q229" s="162"/>
      <c r="R229" s="162"/>
      <c r="S229" s="120"/>
    </row>
    <row r="230" spans="1:23" x14ac:dyDescent="0.35">
      <c r="A230" s="28">
        <v>45245</v>
      </c>
      <c r="B230" s="36"/>
      <c r="C230" s="64" t="s">
        <v>97</v>
      </c>
      <c r="D230" s="1"/>
      <c r="E230" s="1"/>
      <c r="F230" s="66"/>
      <c r="G230" s="66"/>
      <c r="H230" s="1"/>
      <c r="I230" s="1"/>
      <c r="J230" s="1"/>
      <c r="K230" s="1"/>
      <c r="L230" s="68"/>
      <c r="M230" s="68"/>
      <c r="N230" s="68"/>
      <c r="O230" s="68"/>
      <c r="P230" s="92"/>
      <c r="Q230" s="162"/>
      <c r="R230" s="162"/>
      <c r="S230" s="120"/>
    </row>
    <row r="231" spans="1:23" x14ac:dyDescent="0.35">
      <c r="A231" s="28">
        <v>45246</v>
      </c>
      <c r="B231" s="36"/>
      <c r="C231" s="64" t="s">
        <v>97</v>
      </c>
      <c r="D231" s="1"/>
      <c r="E231" s="1"/>
      <c r="F231" s="66"/>
      <c r="G231" s="66"/>
      <c r="H231" s="1"/>
      <c r="I231" s="1"/>
      <c r="J231" s="1"/>
      <c r="K231" s="1"/>
      <c r="L231" s="68"/>
      <c r="M231" s="68"/>
      <c r="N231" s="68"/>
      <c r="O231" s="68"/>
      <c r="P231" s="92"/>
      <c r="Q231" s="162"/>
      <c r="R231" s="162"/>
      <c r="S231" s="120"/>
    </row>
    <row r="232" spans="1:23" x14ac:dyDescent="0.35">
      <c r="A232" s="28">
        <v>45247</v>
      </c>
      <c r="B232" s="36"/>
      <c r="C232" s="64" t="s">
        <v>97</v>
      </c>
      <c r="D232" s="1"/>
      <c r="E232" s="1"/>
      <c r="F232" s="66"/>
      <c r="G232" s="66"/>
      <c r="H232" s="1"/>
      <c r="I232" s="1"/>
      <c r="J232" s="1"/>
      <c r="K232" s="1"/>
      <c r="L232" s="68"/>
      <c r="M232" s="68"/>
      <c r="N232" s="68"/>
      <c r="O232" s="68"/>
      <c r="P232" s="92"/>
      <c r="Q232" s="162"/>
      <c r="R232" s="162"/>
      <c r="S232" s="120"/>
    </row>
    <row r="233" spans="1:23" x14ac:dyDescent="0.35">
      <c r="A233" s="28">
        <v>45248</v>
      </c>
      <c r="B233" s="36"/>
      <c r="C233" s="64" t="s">
        <v>97</v>
      </c>
      <c r="D233" s="1"/>
      <c r="E233" s="1"/>
      <c r="F233" s="66"/>
      <c r="G233" s="66"/>
      <c r="H233" s="1"/>
      <c r="I233" s="1"/>
      <c r="J233" s="1"/>
      <c r="K233" s="1"/>
      <c r="L233" s="68"/>
      <c r="M233" s="68"/>
      <c r="N233" s="68"/>
      <c r="O233" s="68"/>
      <c r="P233" s="92"/>
      <c r="Q233" s="162"/>
      <c r="R233" s="162"/>
      <c r="S233" s="120"/>
    </row>
    <row r="234" spans="1:23" x14ac:dyDescent="0.35">
      <c r="A234" s="28">
        <v>45249</v>
      </c>
      <c r="B234" s="36"/>
      <c r="C234" s="64" t="s">
        <v>97</v>
      </c>
      <c r="D234" s="1"/>
      <c r="E234" s="1"/>
      <c r="F234" s="66"/>
      <c r="G234" s="66"/>
      <c r="H234" s="1"/>
      <c r="I234" s="1"/>
      <c r="J234" s="1"/>
      <c r="K234" s="1"/>
      <c r="L234" s="68"/>
      <c r="M234" s="68"/>
      <c r="N234" s="68"/>
      <c r="O234" s="68"/>
      <c r="P234" s="92"/>
      <c r="Q234" s="162"/>
      <c r="R234" s="162"/>
      <c r="S234" s="120"/>
    </row>
    <row r="235" spans="1:23" x14ac:dyDescent="0.35">
      <c r="A235" s="28">
        <v>45250</v>
      </c>
      <c r="B235" s="36"/>
      <c r="C235" s="64" t="s">
        <v>97</v>
      </c>
      <c r="D235" s="1"/>
      <c r="E235" s="1"/>
      <c r="F235" s="66"/>
      <c r="G235" s="66"/>
      <c r="H235" s="1"/>
      <c r="I235" s="1"/>
      <c r="J235" s="1"/>
      <c r="K235" s="1"/>
      <c r="L235" s="68"/>
      <c r="M235" s="68"/>
      <c r="N235" s="68"/>
      <c r="O235" s="68"/>
      <c r="P235" s="92"/>
      <c r="Q235" s="162"/>
      <c r="R235" s="162"/>
      <c r="S235" s="120"/>
    </row>
    <row r="236" spans="1:23" x14ac:dyDescent="0.35">
      <c r="A236" s="28">
        <v>45251</v>
      </c>
      <c r="B236" s="36"/>
      <c r="C236" s="64" t="s">
        <v>97</v>
      </c>
      <c r="D236" s="1"/>
      <c r="E236" s="1"/>
      <c r="F236" s="66"/>
      <c r="G236" s="66"/>
      <c r="H236" s="1"/>
      <c r="I236" s="1"/>
      <c r="J236" s="1"/>
      <c r="K236" s="1"/>
      <c r="L236" s="68"/>
      <c r="M236" s="68"/>
      <c r="N236" s="68"/>
      <c r="O236" s="68"/>
      <c r="P236" s="92"/>
      <c r="Q236" s="162"/>
      <c r="R236" s="162"/>
      <c r="S236" s="120"/>
      <c r="U236" s="50"/>
      <c r="V236" s="50"/>
      <c r="W236" s="50"/>
    </row>
    <row r="237" spans="1:23" x14ac:dyDescent="0.35">
      <c r="A237" s="28">
        <v>45252</v>
      </c>
      <c r="B237" s="36"/>
      <c r="C237" s="64" t="s">
        <v>97</v>
      </c>
      <c r="D237" s="1"/>
      <c r="E237" s="1"/>
      <c r="F237" s="66"/>
      <c r="G237" s="66"/>
      <c r="H237" s="1"/>
      <c r="I237" s="1"/>
      <c r="J237" s="1"/>
      <c r="K237" s="1"/>
      <c r="L237" s="68"/>
      <c r="M237" s="68"/>
      <c r="N237" s="68"/>
      <c r="O237" s="68"/>
      <c r="P237" s="92"/>
      <c r="Q237" s="162"/>
      <c r="R237" s="162"/>
      <c r="S237" s="120"/>
    </row>
    <row r="238" spans="1:23" x14ac:dyDescent="0.35">
      <c r="A238" s="28">
        <v>45253</v>
      </c>
      <c r="B238" s="36"/>
      <c r="C238" s="64" t="s">
        <v>97</v>
      </c>
      <c r="D238" s="1"/>
      <c r="E238" s="1"/>
      <c r="F238" s="66"/>
      <c r="G238" s="66"/>
      <c r="H238" s="1"/>
      <c r="I238" s="1"/>
      <c r="J238" s="1"/>
      <c r="K238" s="1"/>
      <c r="L238" s="68"/>
      <c r="M238" s="68"/>
      <c r="N238" s="68"/>
      <c r="O238" s="68"/>
      <c r="P238" s="92"/>
      <c r="Q238" s="162"/>
      <c r="R238" s="162"/>
      <c r="S238" s="120"/>
    </row>
    <row r="239" spans="1:23" x14ac:dyDescent="0.35">
      <c r="A239" s="28">
        <v>45254</v>
      </c>
      <c r="B239" s="36"/>
      <c r="C239" s="64" t="s">
        <v>97</v>
      </c>
      <c r="D239" s="1"/>
      <c r="E239" s="1"/>
      <c r="F239" s="66"/>
      <c r="G239" s="66"/>
      <c r="H239" s="1"/>
      <c r="I239" s="1"/>
      <c r="J239" s="1"/>
      <c r="K239" s="1"/>
      <c r="L239" s="68"/>
      <c r="M239" s="68"/>
      <c r="N239" s="68"/>
      <c r="O239" s="68"/>
      <c r="P239" s="92"/>
      <c r="Q239" s="162"/>
      <c r="R239" s="162"/>
      <c r="S239" s="120"/>
    </row>
    <row r="240" spans="1:23" x14ac:dyDescent="0.35">
      <c r="A240" s="28">
        <v>45255</v>
      </c>
      <c r="B240" s="36"/>
      <c r="C240" s="64" t="s">
        <v>97</v>
      </c>
      <c r="D240" s="1"/>
      <c r="E240" s="1"/>
      <c r="F240" s="66"/>
      <c r="G240" s="66"/>
      <c r="H240" s="1"/>
      <c r="I240" s="1"/>
      <c r="J240" s="1"/>
      <c r="K240" s="1"/>
      <c r="L240" s="68"/>
      <c r="M240" s="68"/>
      <c r="N240" s="68"/>
      <c r="O240" s="68"/>
      <c r="P240" s="92"/>
      <c r="Q240" s="162"/>
      <c r="R240" s="162"/>
      <c r="S240" s="120"/>
    </row>
    <row r="241" spans="1:21" x14ac:dyDescent="0.35">
      <c r="A241" s="28">
        <v>45256</v>
      </c>
      <c r="B241" s="36"/>
      <c r="C241" s="64" t="s">
        <v>97</v>
      </c>
      <c r="D241" s="1"/>
      <c r="E241" s="1"/>
      <c r="F241" s="66"/>
      <c r="G241" s="66"/>
      <c r="H241" s="1"/>
      <c r="I241" s="1"/>
      <c r="J241" s="1"/>
      <c r="K241" s="1"/>
      <c r="L241" s="68"/>
      <c r="M241" s="68"/>
      <c r="N241" s="68"/>
      <c r="O241" s="68"/>
      <c r="P241" s="92"/>
      <c r="Q241" s="162"/>
      <c r="R241" s="162"/>
      <c r="S241" s="120"/>
      <c r="U241">
        <f>AVERAGEIF(P1:P367,"&lt;&gt;0")</f>
        <v>0.95692307692307699</v>
      </c>
    </row>
    <row r="242" spans="1:21" x14ac:dyDescent="0.35">
      <c r="A242" s="28">
        <v>45257</v>
      </c>
      <c r="B242" s="36"/>
      <c r="C242" s="64" t="s">
        <v>97</v>
      </c>
      <c r="D242" s="1"/>
      <c r="E242" s="1"/>
      <c r="F242" s="66"/>
      <c r="G242" s="66"/>
      <c r="H242" s="1"/>
      <c r="I242" s="1"/>
      <c r="J242" s="1"/>
      <c r="K242" s="1"/>
      <c r="L242" s="68"/>
      <c r="M242" s="68"/>
      <c r="N242" s="68"/>
      <c r="O242" s="68"/>
      <c r="P242" s="92"/>
      <c r="Q242" s="162"/>
      <c r="R242" s="162"/>
      <c r="S242" s="120"/>
    </row>
    <row r="243" spans="1:21" x14ac:dyDescent="0.35">
      <c r="A243" s="28">
        <v>45258</v>
      </c>
      <c r="B243" s="36"/>
      <c r="C243" s="64" t="s">
        <v>97</v>
      </c>
      <c r="D243" s="1"/>
      <c r="E243" s="1"/>
      <c r="F243" s="66"/>
      <c r="G243" s="66"/>
      <c r="H243" s="1"/>
      <c r="I243" s="1"/>
      <c r="J243" s="1"/>
      <c r="K243" s="1"/>
      <c r="L243" s="68"/>
      <c r="M243" s="68"/>
      <c r="N243" s="68"/>
      <c r="O243" s="68"/>
      <c r="P243" s="92"/>
      <c r="Q243" s="162"/>
      <c r="R243" s="162"/>
      <c r="S243" s="120"/>
    </row>
    <row r="244" spans="1:21" x14ac:dyDescent="0.35">
      <c r="A244" s="28">
        <v>45259</v>
      </c>
      <c r="B244" s="36"/>
      <c r="C244" s="64" t="s">
        <v>97</v>
      </c>
      <c r="D244" s="1"/>
      <c r="E244" s="1"/>
      <c r="F244" s="66"/>
      <c r="G244" s="66"/>
      <c r="H244" s="1"/>
      <c r="I244" s="1"/>
      <c r="J244" s="1"/>
      <c r="K244" s="1"/>
      <c r="L244" s="68"/>
      <c r="M244" s="68"/>
      <c r="N244" s="68"/>
      <c r="O244" s="68"/>
      <c r="P244" s="92"/>
      <c r="Q244" s="162"/>
      <c r="R244" s="162"/>
      <c r="S244" s="120"/>
    </row>
    <row r="245" spans="1:21" x14ac:dyDescent="0.35">
      <c r="A245" s="28">
        <v>45260</v>
      </c>
      <c r="B245" s="36"/>
      <c r="C245" s="64" t="s">
        <v>97</v>
      </c>
      <c r="D245" s="1"/>
      <c r="E245" s="1"/>
      <c r="F245" s="66"/>
      <c r="G245" s="66"/>
      <c r="H245" s="1"/>
      <c r="I245" s="1"/>
      <c r="J245" s="1"/>
      <c r="K245" s="1"/>
      <c r="L245" s="68"/>
      <c r="M245" s="68"/>
      <c r="N245" s="68"/>
      <c r="O245" s="68"/>
      <c r="P245" s="92"/>
      <c r="Q245" s="162"/>
      <c r="R245" s="162"/>
      <c r="S245" s="120"/>
    </row>
    <row r="246" spans="1:21" x14ac:dyDescent="0.35">
      <c r="A246" s="28">
        <v>45261</v>
      </c>
      <c r="B246" s="36"/>
      <c r="C246" s="64" t="s">
        <v>97</v>
      </c>
      <c r="D246" s="1"/>
      <c r="E246" s="1"/>
      <c r="F246" s="66"/>
      <c r="G246" s="66"/>
      <c r="H246" s="1"/>
      <c r="I246" s="1"/>
      <c r="J246" s="1"/>
      <c r="K246" s="1"/>
      <c r="L246" s="68"/>
      <c r="M246" s="68"/>
      <c r="N246" s="68"/>
      <c r="O246" s="68"/>
      <c r="P246" s="92"/>
      <c r="Q246" s="162"/>
      <c r="R246" s="162"/>
      <c r="S246" s="120"/>
    </row>
    <row r="247" spans="1:21" x14ac:dyDescent="0.35">
      <c r="A247" s="28">
        <v>45262</v>
      </c>
      <c r="B247" s="36"/>
      <c r="C247" s="64" t="s">
        <v>97</v>
      </c>
      <c r="D247" s="1"/>
      <c r="E247" s="1"/>
      <c r="F247" s="66"/>
      <c r="G247" s="66"/>
      <c r="H247" s="1"/>
      <c r="I247" s="1"/>
      <c r="J247" s="1"/>
      <c r="K247" s="1"/>
      <c r="L247" s="68"/>
      <c r="M247" s="68"/>
      <c r="N247" s="68"/>
      <c r="O247" s="68"/>
      <c r="P247" s="92"/>
      <c r="Q247" s="162"/>
      <c r="R247" s="162"/>
      <c r="S247" s="120"/>
    </row>
    <row r="248" spans="1:21" x14ac:dyDescent="0.35">
      <c r="A248" s="28">
        <v>45263</v>
      </c>
      <c r="B248" s="36"/>
      <c r="C248" s="64" t="s">
        <v>97</v>
      </c>
      <c r="D248" s="1"/>
      <c r="E248" s="1"/>
      <c r="F248" s="66"/>
      <c r="G248" s="66"/>
      <c r="H248" s="1"/>
      <c r="I248" s="1"/>
      <c r="J248" s="1"/>
      <c r="K248" s="1"/>
      <c r="L248" s="68"/>
      <c r="M248" s="68"/>
      <c r="N248" s="68"/>
      <c r="O248" s="68"/>
      <c r="P248" s="92"/>
      <c r="Q248" s="162"/>
      <c r="R248" s="162"/>
      <c r="S248" s="120"/>
    </row>
    <row r="249" spans="1:21" x14ac:dyDescent="0.35">
      <c r="A249" s="28">
        <v>45264</v>
      </c>
      <c r="B249" s="36"/>
      <c r="C249" s="64" t="s">
        <v>97</v>
      </c>
      <c r="D249" s="1"/>
      <c r="E249" s="1"/>
      <c r="F249" s="66"/>
      <c r="G249" s="66"/>
      <c r="H249" s="1"/>
      <c r="I249" s="1"/>
      <c r="J249" s="1"/>
      <c r="K249" s="1"/>
      <c r="L249" s="68"/>
      <c r="M249" s="68"/>
      <c r="N249" s="68"/>
      <c r="O249" s="68"/>
      <c r="P249" s="92"/>
      <c r="Q249" s="162"/>
      <c r="R249" s="162"/>
      <c r="S249" s="120"/>
    </row>
    <row r="250" spans="1:21" x14ac:dyDescent="0.35">
      <c r="A250" s="28">
        <v>45265</v>
      </c>
      <c r="B250" s="36"/>
      <c r="C250" s="64" t="s">
        <v>97</v>
      </c>
      <c r="D250" s="1"/>
      <c r="E250" s="1"/>
      <c r="F250" s="66"/>
      <c r="G250" s="66"/>
      <c r="H250" s="1"/>
      <c r="I250" s="1"/>
      <c r="J250" s="1"/>
      <c r="K250" s="1"/>
      <c r="L250" s="68"/>
      <c r="M250" s="68"/>
      <c r="N250" s="68"/>
      <c r="O250" s="68"/>
      <c r="P250" s="92"/>
      <c r="Q250" s="162"/>
      <c r="R250" s="162"/>
      <c r="S250" s="120"/>
    </row>
    <row r="251" spans="1:21" x14ac:dyDescent="0.35">
      <c r="A251" s="28">
        <v>45266</v>
      </c>
      <c r="B251" s="36"/>
      <c r="C251" s="64" t="s">
        <v>97</v>
      </c>
      <c r="D251" s="1"/>
      <c r="E251" s="1"/>
      <c r="F251" s="66"/>
      <c r="G251" s="66"/>
      <c r="H251" s="1"/>
      <c r="I251" s="1"/>
      <c r="J251" s="1"/>
      <c r="K251" s="1"/>
      <c r="L251" s="68"/>
      <c r="M251" s="68"/>
      <c r="N251" s="68"/>
      <c r="O251" s="68"/>
      <c r="P251" s="92"/>
      <c r="Q251" s="162"/>
      <c r="R251" s="162"/>
      <c r="S251" s="120"/>
    </row>
    <row r="252" spans="1:21" x14ac:dyDescent="0.35">
      <c r="A252" s="28">
        <v>45267</v>
      </c>
      <c r="B252" s="36"/>
      <c r="C252" s="64" t="s">
        <v>97</v>
      </c>
      <c r="D252" s="1"/>
      <c r="E252" s="1"/>
      <c r="F252" s="66"/>
      <c r="G252" s="66"/>
      <c r="H252" s="1"/>
      <c r="I252" s="1"/>
      <c r="J252" s="1"/>
      <c r="K252" s="1"/>
      <c r="L252" s="68"/>
      <c r="M252" s="68"/>
      <c r="N252" s="68"/>
      <c r="O252" s="68"/>
      <c r="P252" s="92"/>
      <c r="Q252" s="162"/>
      <c r="R252" s="162"/>
      <c r="S252" s="120"/>
    </row>
    <row r="253" spans="1:21" x14ac:dyDescent="0.35">
      <c r="A253" s="28">
        <v>45268</v>
      </c>
      <c r="B253" s="36"/>
      <c r="C253" s="64" t="s">
        <v>97</v>
      </c>
      <c r="D253" s="1"/>
      <c r="E253" s="1"/>
      <c r="F253" s="66"/>
      <c r="G253" s="66"/>
      <c r="H253" s="1"/>
      <c r="I253" s="1"/>
      <c r="J253" s="1"/>
      <c r="K253" s="1"/>
      <c r="L253" s="68"/>
      <c r="M253" s="68"/>
      <c r="N253" s="68"/>
      <c r="O253" s="68"/>
      <c r="P253" s="92"/>
      <c r="Q253" s="162"/>
      <c r="R253" s="162"/>
      <c r="S253" s="120"/>
    </row>
    <row r="254" spans="1:21" x14ac:dyDescent="0.35">
      <c r="A254" s="28">
        <v>45269</v>
      </c>
      <c r="B254" s="36"/>
      <c r="C254" s="64" t="s">
        <v>97</v>
      </c>
      <c r="D254" s="1"/>
      <c r="E254" s="1"/>
      <c r="F254" s="66"/>
      <c r="G254" s="66"/>
      <c r="H254" s="1"/>
      <c r="I254" s="1"/>
      <c r="J254" s="1"/>
      <c r="K254" s="1"/>
      <c r="L254" s="68"/>
      <c r="M254" s="68"/>
      <c r="N254" s="68"/>
      <c r="O254" s="68"/>
      <c r="P254" s="92"/>
      <c r="Q254" s="162"/>
      <c r="R254" s="162"/>
      <c r="S254" s="120"/>
    </row>
    <row r="255" spans="1:21" x14ac:dyDescent="0.35">
      <c r="A255" s="28">
        <v>45270</v>
      </c>
      <c r="B255" s="36"/>
      <c r="C255" s="64" t="s">
        <v>97</v>
      </c>
      <c r="D255" s="1"/>
      <c r="E255" s="1"/>
      <c r="F255" s="66"/>
      <c r="G255" s="66"/>
      <c r="H255" s="1"/>
      <c r="I255" s="1"/>
      <c r="J255" s="1"/>
      <c r="K255" s="1"/>
      <c r="L255" s="68"/>
      <c r="M255" s="68"/>
      <c r="N255" s="68"/>
      <c r="O255" s="68"/>
      <c r="P255" s="92"/>
      <c r="Q255" s="162"/>
      <c r="R255" s="162"/>
      <c r="S255" s="120"/>
    </row>
    <row r="256" spans="1:21" x14ac:dyDescent="0.35">
      <c r="A256" s="28">
        <v>45271</v>
      </c>
      <c r="B256" s="36"/>
      <c r="C256" s="64" t="s">
        <v>97</v>
      </c>
      <c r="D256" s="1"/>
      <c r="E256" s="1"/>
      <c r="F256" s="66"/>
      <c r="G256" s="66"/>
      <c r="H256" s="1"/>
      <c r="I256" s="1"/>
      <c r="J256" s="1"/>
      <c r="K256" s="1"/>
      <c r="L256" s="68"/>
      <c r="M256" s="68"/>
      <c r="N256" s="68"/>
      <c r="O256" s="68"/>
      <c r="P256" s="92"/>
      <c r="Q256" s="162"/>
      <c r="R256" s="162"/>
      <c r="S256" s="120"/>
    </row>
    <row r="257" spans="1:21" x14ac:dyDescent="0.35">
      <c r="A257" s="28">
        <v>45272</v>
      </c>
      <c r="B257" s="36"/>
      <c r="C257" s="64" t="s">
        <v>97</v>
      </c>
      <c r="D257" s="1"/>
      <c r="E257" s="1"/>
      <c r="F257" s="66"/>
      <c r="G257" s="66"/>
      <c r="H257" s="1"/>
      <c r="I257" s="1"/>
      <c r="J257" s="1"/>
      <c r="K257" s="1"/>
      <c r="L257" s="68"/>
      <c r="M257" s="68"/>
      <c r="N257" s="68"/>
      <c r="O257" s="68"/>
      <c r="P257" s="92"/>
      <c r="Q257" s="162"/>
      <c r="R257" s="162"/>
      <c r="S257" s="120"/>
    </row>
    <row r="258" spans="1:21" x14ac:dyDescent="0.35">
      <c r="A258" s="28">
        <v>45273</v>
      </c>
      <c r="B258" s="36"/>
      <c r="C258" s="64" t="s">
        <v>97</v>
      </c>
      <c r="D258" s="1"/>
      <c r="E258" s="1"/>
      <c r="F258" s="66"/>
      <c r="G258" s="66"/>
      <c r="H258" s="1"/>
      <c r="I258" s="1"/>
      <c r="J258" s="1"/>
      <c r="K258" s="1"/>
      <c r="L258" s="68"/>
      <c r="M258" s="68"/>
      <c r="N258" s="68"/>
      <c r="O258" s="68"/>
      <c r="P258" s="92"/>
      <c r="Q258" s="162"/>
      <c r="R258" s="162"/>
      <c r="S258" s="120"/>
    </row>
    <row r="259" spans="1:21" x14ac:dyDescent="0.35">
      <c r="A259" s="28">
        <v>45274</v>
      </c>
      <c r="B259" s="36"/>
      <c r="C259" s="64" t="s">
        <v>97</v>
      </c>
      <c r="D259" s="1"/>
      <c r="E259" s="1"/>
      <c r="F259" s="66"/>
      <c r="G259" s="66"/>
      <c r="H259" s="1"/>
      <c r="I259" s="1"/>
      <c r="J259" s="1"/>
      <c r="K259" s="1"/>
      <c r="L259" s="68"/>
      <c r="M259" s="68"/>
      <c r="N259" s="68"/>
      <c r="O259" s="68"/>
      <c r="P259" s="92"/>
      <c r="Q259" s="162"/>
      <c r="R259" s="162"/>
      <c r="S259" s="120"/>
    </row>
    <row r="260" spans="1:21" x14ac:dyDescent="0.35">
      <c r="A260" s="28">
        <v>45275</v>
      </c>
      <c r="B260" s="36"/>
      <c r="C260" s="64" t="s">
        <v>97</v>
      </c>
      <c r="D260" s="1"/>
      <c r="E260" s="1"/>
      <c r="F260" s="66"/>
      <c r="G260" s="66"/>
      <c r="H260" s="1"/>
      <c r="I260" s="1"/>
      <c r="J260" s="1"/>
      <c r="K260" s="1"/>
      <c r="L260" s="68"/>
      <c r="M260" s="68"/>
      <c r="N260" s="68"/>
      <c r="O260" s="68"/>
      <c r="P260" s="92"/>
      <c r="Q260" s="162"/>
      <c r="R260" s="162"/>
      <c r="S260" s="120"/>
    </row>
    <row r="261" spans="1:21" x14ac:dyDescent="0.35">
      <c r="A261" s="28">
        <v>45276</v>
      </c>
      <c r="B261" s="36"/>
      <c r="C261" s="64" t="s">
        <v>97</v>
      </c>
      <c r="D261" s="1"/>
      <c r="E261" s="1"/>
      <c r="F261" s="66"/>
      <c r="G261" s="66"/>
      <c r="H261" s="1"/>
      <c r="I261" s="1"/>
      <c r="J261" s="1"/>
      <c r="K261" s="1"/>
      <c r="L261" s="68"/>
      <c r="M261" s="68"/>
      <c r="N261" s="68"/>
      <c r="O261" s="68"/>
      <c r="P261" s="92"/>
      <c r="Q261" s="162"/>
      <c r="R261" s="162"/>
      <c r="S261" s="120"/>
    </row>
    <row r="262" spans="1:21" x14ac:dyDescent="0.35">
      <c r="A262" s="28">
        <v>45277</v>
      </c>
      <c r="B262" s="36"/>
      <c r="C262" s="64" t="s">
        <v>97</v>
      </c>
      <c r="D262" s="1"/>
      <c r="E262" s="1"/>
      <c r="F262" s="66"/>
      <c r="G262" s="66"/>
      <c r="H262" s="1"/>
      <c r="I262" s="1"/>
      <c r="J262" s="1"/>
      <c r="K262" s="1"/>
      <c r="L262" s="68"/>
      <c r="M262" s="68"/>
      <c r="N262" s="68"/>
      <c r="O262" s="68"/>
      <c r="P262" s="92"/>
      <c r="Q262" s="162"/>
      <c r="R262" s="162"/>
      <c r="S262" s="120"/>
      <c r="U262" t="s">
        <v>65</v>
      </c>
    </row>
    <row r="263" spans="1:21" x14ac:dyDescent="0.35">
      <c r="A263" s="28">
        <v>45278</v>
      </c>
      <c r="B263" s="36"/>
      <c r="C263" s="64" t="s">
        <v>97</v>
      </c>
      <c r="D263" s="1"/>
      <c r="E263" s="1"/>
      <c r="F263" s="66"/>
      <c r="G263" s="66"/>
      <c r="H263" s="1"/>
      <c r="I263" s="1"/>
      <c r="J263" s="1"/>
      <c r="K263" s="1"/>
      <c r="L263" s="68"/>
      <c r="M263" s="68"/>
      <c r="N263" s="68"/>
      <c r="O263" s="68"/>
      <c r="P263" s="92"/>
      <c r="Q263" s="162"/>
      <c r="R263" s="162"/>
      <c r="S263" s="120"/>
    </row>
    <row r="264" spans="1:21" x14ac:dyDescent="0.35">
      <c r="A264" s="28">
        <v>45279</v>
      </c>
      <c r="B264" s="36"/>
      <c r="C264" s="64" t="s">
        <v>97</v>
      </c>
      <c r="D264" s="1"/>
      <c r="E264" s="1"/>
      <c r="F264" s="66"/>
      <c r="G264" s="66"/>
      <c r="H264" s="1"/>
      <c r="I264" s="1"/>
      <c r="J264" s="1"/>
      <c r="K264" s="1"/>
      <c r="L264" s="68"/>
      <c r="M264" s="68"/>
      <c r="N264" s="68"/>
      <c r="O264" s="68"/>
      <c r="P264" s="92"/>
      <c r="Q264" s="162"/>
      <c r="R264" s="162"/>
      <c r="S264" s="120"/>
    </row>
    <row r="265" spans="1:21" x14ac:dyDescent="0.35">
      <c r="A265" s="28">
        <v>45280</v>
      </c>
      <c r="B265" s="36"/>
      <c r="C265" s="64" t="s">
        <v>97</v>
      </c>
      <c r="D265" s="1"/>
      <c r="E265" s="1"/>
      <c r="F265" s="66"/>
      <c r="G265" s="66"/>
      <c r="H265" s="1"/>
      <c r="I265" s="1"/>
      <c r="J265" s="1"/>
      <c r="K265" s="1"/>
      <c r="L265" s="68"/>
      <c r="M265" s="68"/>
      <c r="N265" s="68"/>
      <c r="O265" s="68"/>
      <c r="P265" s="92"/>
      <c r="Q265" s="162"/>
      <c r="R265" s="162"/>
      <c r="S265" s="120"/>
    </row>
    <row r="266" spans="1:21" x14ac:dyDescent="0.35">
      <c r="A266" s="28">
        <v>45281</v>
      </c>
      <c r="B266" s="36"/>
      <c r="C266" s="64" t="s">
        <v>97</v>
      </c>
      <c r="D266" s="1"/>
      <c r="E266" s="1"/>
      <c r="F266" s="66"/>
      <c r="G266" s="66"/>
      <c r="H266" s="1"/>
      <c r="I266" s="1"/>
      <c r="J266" s="1"/>
      <c r="K266" s="1"/>
      <c r="L266" s="68"/>
      <c r="M266" s="68"/>
      <c r="N266" s="68"/>
      <c r="O266" s="68"/>
      <c r="P266" s="92"/>
      <c r="Q266" s="162"/>
      <c r="R266" s="162"/>
      <c r="S266" s="120"/>
    </row>
    <row r="267" spans="1:21" x14ac:dyDescent="0.35">
      <c r="A267" s="28">
        <v>45282</v>
      </c>
      <c r="B267" s="36"/>
      <c r="C267" s="64" t="s">
        <v>97</v>
      </c>
      <c r="D267" s="1"/>
      <c r="E267" s="1"/>
      <c r="F267" s="66"/>
      <c r="G267" s="66"/>
      <c r="H267" s="1"/>
      <c r="I267" s="1"/>
      <c r="J267" s="1"/>
      <c r="K267" s="1"/>
      <c r="L267" s="68"/>
      <c r="M267" s="68"/>
      <c r="N267" s="68"/>
      <c r="O267" s="68"/>
      <c r="P267" s="92"/>
      <c r="Q267" s="162"/>
      <c r="R267" s="162"/>
      <c r="S267" s="120"/>
    </row>
    <row r="268" spans="1:21" x14ac:dyDescent="0.35">
      <c r="A268" s="28">
        <v>45283</v>
      </c>
      <c r="B268" s="36"/>
      <c r="C268" s="64" t="s">
        <v>97</v>
      </c>
      <c r="D268" s="1"/>
      <c r="E268" s="1"/>
      <c r="F268" s="66"/>
      <c r="G268" s="66"/>
      <c r="H268" s="1"/>
      <c r="I268" s="1"/>
      <c r="J268" s="1"/>
      <c r="K268" s="1"/>
      <c r="L268" s="68"/>
      <c r="M268" s="68"/>
      <c r="N268" s="68"/>
      <c r="O268" s="68"/>
      <c r="P268" s="92"/>
      <c r="Q268" s="162"/>
      <c r="R268" s="162"/>
      <c r="S268" s="120"/>
    </row>
    <row r="269" spans="1:21" x14ac:dyDescent="0.35">
      <c r="A269" s="28">
        <v>45284</v>
      </c>
      <c r="B269" s="36"/>
      <c r="C269" s="64" t="s">
        <v>97</v>
      </c>
      <c r="D269" s="1"/>
      <c r="E269" s="1"/>
      <c r="F269" s="66"/>
      <c r="G269" s="66"/>
      <c r="H269" s="1"/>
      <c r="I269" s="1"/>
      <c r="J269" s="1"/>
      <c r="K269" s="1"/>
      <c r="L269" s="68"/>
      <c r="M269" s="68"/>
      <c r="N269" s="68"/>
      <c r="O269" s="68"/>
      <c r="P269" s="92"/>
      <c r="Q269" s="162"/>
      <c r="R269" s="162"/>
      <c r="S269" s="120"/>
    </row>
    <row r="270" spans="1:21" x14ac:dyDescent="0.35">
      <c r="A270" s="28">
        <v>45285</v>
      </c>
      <c r="B270" s="36"/>
      <c r="C270" s="64" t="s">
        <v>97</v>
      </c>
      <c r="D270" s="1"/>
      <c r="E270" s="1"/>
      <c r="F270" s="66"/>
      <c r="G270" s="66"/>
      <c r="H270" s="1"/>
      <c r="I270" s="1"/>
      <c r="J270" s="1"/>
      <c r="K270" s="1"/>
      <c r="L270" s="68"/>
      <c r="M270" s="68"/>
      <c r="N270" s="68"/>
      <c r="O270" s="68"/>
      <c r="P270" s="92"/>
      <c r="Q270" s="162"/>
      <c r="R270" s="162"/>
      <c r="S270" s="120"/>
    </row>
    <row r="271" spans="1:21" x14ac:dyDescent="0.35">
      <c r="A271" s="28">
        <v>45286</v>
      </c>
      <c r="B271" s="36"/>
      <c r="C271" s="64" t="s">
        <v>97</v>
      </c>
      <c r="D271" s="1"/>
      <c r="E271" s="1"/>
      <c r="F271" s="66"/>
      <c r="G271" s="66"/>
      <c r="H271" s="1"/>
      <c r="I271" s="1"/>
      <c r="J271" s="1"/>
      <c r="K271" s="1"/>
      <c r="L271" s="68"/>
      <c r="M271" s="68"/>
      <c r="N271" s="68"/>
      <c r="O271" s="68"/>
      <c r="P271" s="92"/>
      <c r="Q271" s="162"/>
      <c r="R271" s="162"/>
      <c r="S271" s="120"/>
    </row>
    <row r="272" spans="1:21" x14ac:dyDescent="0.35">
      <c r="A272" s="28">
        <v>45287</v>
      </c>
      <c r="B272" s="36"/>
      <c r="C272" s="64" t="s">
        <v>97</v>
      </c>
      <c r="D272" s="1"/>
      <c r="E272" s="1"/>
      <c r="F272" s="66"/>
      <c r="G272" s="66"/>
      <c r="H272" s="1"/>
      <c r="I272" s="1"/>
      <c r="J272" s="1"/>
      <c r="K272" s="1"/>
      <c r="L272" s="68"/>
      <c r="M272" s="68"/>
      <c r="N272" s="68"/>
      <c r="O272" s="68"/>
      <c r="P272" s="92"/>
      <c r="Q272" s="162"/>
      <c r="R272" s="162"/>
      <c r="S272" s="120"/>
    </row>
    <row r="273" spans="1:23" x14ac:dyDescent="0.35">
      <c r="A273" s="28">
        <v>45288</v>
      </c>
      <c r="B273" s="36"/>
      <c r="C273" s="64" t="s">
        <v>97</v>
      </c>
      <c r="D273" s="1"/>
      <c r="E273" s="1"/>
      <c r="F273" s="66"/>
      <c r="G273" s="66"/>
      <c r="H273" s="1"/>
      <c r="I273" s="1"/>
      <c r="J273" s="1"/>
      <c r="K273" s="1"/>
      <c r="L273" s="68"/>
      <c r="M273" s="68"/>
      <c r="N273" s="68"/>
      <c r="O273" s="68"/>
      <c r="P273" s="92"/>
      <c r="Q273" s="162"/>
      <c r="R273" s="162"/>
      <c r="S273" s="120"/>
    </row>
    <row r="274" spans="1:23" x14ac:dyDescent="0.35">
      <c r="A274" s="28">
        <v>45289</v>
      </c>
      <c r="B274" s="36"/>
      <c r="C274" s="64" t="s">
        <v>97</v>
      </c>
      <c r="D274" s="1"/>
      <c r="E274" s="1"/>
      <c r="F274" s="66"/>
      <c r="G274" s="66"/>
      <c r="H274" s="1"/>
      <c r="I274" s="1"/>
      <c r="J274" s="1"/>
      <c r="K274" s="1"/>
      <c r="L274" s="68"/>
      <c r="M274" s="68"/>
      <c r="N274" s="68"/>
      <c r="O274" s="68"/>
      <c r="P274" s="92"/>
      <c r="Q274" s="162"/>
      <c r="R274" s="162"/>
      <c r="S274" s="120"/>
    </row>
    <row r="275" spans="1:23" x14ac:dyDescent="0.35">
      <c r="A275" s="28">
        <v>45290</v>
      </c>
      <c r="B275" s="36"/>
      <c r="C275" s="64" t="s">
        <v>97</v>
      </c>
      <c r="D275" s="1"/>
      <c r="E275" s="1"/>
      <c r="F275" s="66"/>
      <c r="G275" s="66"/>
      <c r="H275" s="1"/>
      <c r="I275" s="1"/>
      <c r="J275" s="1"/>
      <c r="K275" s="1"/>
      <c r="L275" s="68"/>
      <c r="M275" s="68"/>
      <c r="N275" s="68"/>
      <c r="O275" s="68"/>
      <c r="P275" s="92"/>
      <c r="Q275" s="162"/>
      <c r="R275" s="162"/>
      <c r="S275" s="120"/>
    </row>
    <row r="276" spans="1:23" x14ac:dyDescent="0.35">
      <c r="A276" s="28">
        <v>45291</v>
      </c>
      <c r="B276" s="36"/>
      <c r="C276" s="64" t="s">
        <v>97</v>
      </c>
      <c r="D276" s="1"/>
      <c r="E276" s="1"/>
      <c r="F276" s="66"/>
      <c r="G276" s="66"/>
      <c r="H276" s="1"/>
      <c r="I276" s="1"/>
      <c r="J276" s="1"/>
      <c r="K276" s="1"/>
      <c r="L276" s="68"/>
      <c r="M276" s="68"/>
      <c r="N276" s="68"/>
      <c r="O276" s="68"/>
      <c r="P276" s="92"/>
      <c r="Q276" s="162"/>
      <c r="R276" s="162"/>
      <c r="S276" s="120"/>
    </row>
    <row r="277" spans="1:23" s="49" customFormat="1" x14ac:dyDescent="0.35">
      <c r="A277" s="28">
        <v>45292</v>
      </c>
      <c r="B277" s="78"/>
      <c r="C277" s="64" t="s">
        <v>97</v>
      </c>
      <c r="D277" s="67"/>
      <c r="E277" s="67"/>
      <c r="F277" s="82"/>
      <c r="G277" s="82"/>
      <c r="H277" s="67"/>
      <c r="I277" s="67"/>
      <c r="J277" s="67"/>
      <c r="K277" s="67"/>
      <c r="L277" s="150"/>
      <c r="M277" s="150"/>
      <c r="N277" s="150"/>
      <c r="O277" s="150"/>
      <c r="P277" s="151"/>
      <c r="Q277" s="194"/>
      <c r="R277" s="194"/>
      <c r="S277" s="152"/>
      <c r="U277"/>
      <c r="V277"/>
      <c r="W277"/>
    </row>
    <row r="278" spans="1:23" x14ac:dyDescent="0.35">
      <c r="A278" s="28">
        <v>45293</v>
      </c>
      <c r="B278" s="36"/>
      <c r="C278" s="64" t="s">
        <v>97</v>
      </c>
      <c r="D278" s="1"/>
      <c r="E278" s="1"/>
      <c r="F278" s="66"/>
      <c r="G278" s="66"/>
      <c r="H278" s="1"/>
      <c r="I278" s="1"/>
      <c r="J278" s="1"/>
      <c r="K278" s="1"/>
      <c r="L278" s="68"/>
      <c r="M278" s="68"/>
      <c r="N278" s="68"/>
      <c r="O278" s="68"/>
      <c r="P278" s="92"/>
      <c r="Q278" s="162"/>
      <c r="R278" s="162"/>
      <c r="S278" s="120"/>
    </row>
    <row r="279" spans="1:23" x14ac:dyDescent="0.35">
      <c r="A279" s="28">
        <v>45294</v>
      </c>
      <c r="B279" s="36"/>
      <c r="C279" s="64" t="s">
        <v>97</v>
      </c>
      <c r="D279" s="1"/>
      <c r="E279" s="1"/>
      <c r="F279" s="66"/>
      <c r="G279" s="66"/>
      <c r="H279" s="1"/>
      <c r="I279" s="1"/>
      <c r="J279" s="1"/>
      <c r="K279" s="1"/>
      <c r="L279" s="68"/>
      <c r="M279" s="68"/>
      <c r="N279" s="68"/>
      <c r="O279" s="68"/>
      <c r="P279" s="92"/>
      <c r="Q279" s="162"/>
      <c r="R279" s="162"/>
      <c r="S279" s="120"/>
    </row>
    <row r="280" spans="1:23" x14ac:dyDescent="0.35">
      <c r="A280" s="28">
        <v>45295</v>
      </c>
      <c r="B280" s="36"/>
      <c r="C280" s="64" t="s">
        <v>97</v>
      </c>
      <c r="D280" s="1"/>
      <c r="E280" s="1"/>
      <c r="F280" s="66"/>
      <c r="G280" s="66"/>
      <c r="H280" s="1"/>
      <c r="I280" s="1"/>
      <c r="J280" s="1"/>
      <c r="K280" s="1"/>
      <c r="L280" s="68"/>
      <c r="M280" s="68"/>
      <c r="N280" s="68"/>
      <c r="O280" s="68"/>
      <c r="P280" s="92"/>
      <c r="Q280" s="162"/>
      <c r="R280" s="162"/>
      <c r="S280" s="120"/>
    </row>
    <row r="281" spans="1:23" x14ac:dyDescent="0.35">
      <c r="A281" s="28">
        <v>45296</v>
      </c>
      <c r="B281" s="36"/>
      <c r="C281" s="64" t="s">
        <v>97</v>
      </c>
      <c r="D281" s="1"/>
      <c r="E281" s="1"/>
      <c r="F281" s="66"/>
      <c r="G281" s="66"/>
      <c r="H281" s="1"/>
      <c r="I281" s="1"/>
      <c r="J281" s="1"/>
      <c r="K281" s="1"/>
      <c r="L281" s="68"/>
      <c r="M281" s="68"/>
      <c r="N281" s="68"/>
      <c r="O281" s="68"/>
      <c r="P281" s="92"/>
      <c r="Q281" s="162"/>
      <c r="R281" s="162"/>
      <c r="S281" s="120"/>
    </row>
    <row r="282" spans="1:23" x14ac:dyDescent="0.35">
      <c r="A282" s="28">
        <v>45297</v>
      </c>
      <c r="B282" s="36"/>
      <c r="C282" s="64" t="s">
        <v>97</v>
      </c>
      <c r="D282" s="1"/>
      <c r="E282" s="1"/>
      <c r="F282" s="66"/>
      <c r="G282" s="66"/>
      <c r="H282" s="1"/>
      <c r="I282" s="1"/>
      <c r="J282" s="1"/>
      <c r="K282" s="1"/>
      <c r="L282" s="68"/>
      <c r="M282" s="68"/>
      <c r="N282" s="68"/>
      <c r="O282" s="68"/>
      <c r="P282" s="92"/>
      <c r="Q282" s="162"/>
      <c r="R282" s="162"/>
      <c r="S282" s="120"/>
    </row>
    <row r="283" spans="1:23" x14ac:dyDescent="0.35">
      <c r="A283" s="28">
        <v>45298</v>
      </c>
      <c r="B283" s="36"/>
      <c r="C283" s="64" t="s">
        <v>97</v>
      </c>
      <c r="D283" s="1"/>
      <c r="E283" s="1"/>
      <c r="F283" s="66"/>
      <c r="G283" s="66"/>
      <c r="H283" s="1"/>
      <c r="I283" s="1"/>
      <c r="J283" s="1"/>
      <c r="K283" s="1"/>
      <c r="L283" s="68"/>
      <c r="M283" s="68"/>
      <c r="N283" s="68"/>
      <c r="O283" s="68"/>
      <c r="P283" s="92"/>
      <c r="Q283" s="162"/>
      <c r="R283" s="162"/>
      <c r="S283" s="120"/>
    </row>
    <row r="284" spans="1:23" x14ac:dyDescent="0.35">
      <c r="A284" s="28">
        <v>45299</v>
      </c>
      <c r="B284" s="36"/>
      <c r="C284" s="64" t="s">
        <v>97</v>
      </c>
      <c r="D284" s="1"/>
      <c r="E284" s="1"/>
      <c r="F284" s="66"/>
      <c r="G284" s="66"/>
      <c r="H284" s="1"/>
      <c r="I284" s="1"/>
      <c r="J284" s="1"/>
      <c r="K284" s="1"/>
      <c r="L284" s="68"/>
      <c r="M284" s="68"/>
      <c r="N284" s="68"/>
      <c r="O284" s="68"/>
      <c r="P284" s="92"/>
      <c r="Q284" s="162"/>
      <c r="R284" s="162"/>
      <c r="S284" s="120"/>
    </row>
    <row r="285" spans="1:23" x14ac:dyDescent="0.35">
      <c r="A285" s="28">
        <v>45300</v>
      </c>
      <c r="B285" s="36"/>
      <c r="C285" s="64" t="s">
        <v>97</v>
      </c>
      <c r="D285" s="1"/>
      <c r="E285" s="1"/>
      <c r="F285" s="66"/>
      <c r="G285" s="66"/>
      <c r="H285" s="1"/>
      <c r="I285" s="1"/>
      <c r="J285" s="1"/>
      <c r="K285" s="1"/>
      <c r="L285" s="68"/>
      <c r="M285" s="68"/>
      <c r="N285" s="68"/>
      <c r="O285" s="68"/>
      <c r="P285" s="92"/>
      <c r="Q285" s="162"/>
      <c r="R285" s="162"/>
      <c r="S285" s="120"/>
    </row>
    <row r="286" spans="1:23" x14ac:dyDescent="0.35">
      <c r="A286" s="28">
        <v>45301</v>
      </c>
      <c r="B286" s="36"/>
      <c r="C286" s="64" t="s">
        <v>97</v>
      </c>
      <c r="D286" s="1"/>
      <c r="E286" s="1"/>
      <c r="F286" s="66"/>
      <c r="G286" s="66"/>
      <c r="H286" s="1"/>
      <c r="I286" s="1"/>
      <c r="J286" s="1"/>
      <c r="K286" s="1"/>
      <c r="L286" s="68"/>
      <c r="M286" s="68"/>
      <c r="N286" s="68"/>
      <c r="O286" s="68"/>
      <c r="P286" s="92"/>
      <c r="Q286" s="162"/>
      <c r="R286" s="162"/>
      <c r="S286" s="120"/>
    </row>
    <row r="287" spans="1:23" x14ac:dyDescent="0.35">
      <c r="A287" s="28">
        <v>45302</v>
      </c>
      <c r="B287" s="36"/>
      <c r="C287" s="64" t="s">
        <v>97</v>
      </c>
      <c r="D287" s="1"/>
      <c r="E287" s="1"/>
      <c r="F287" s="66"/>
      <c r="G287" s="66"/>
      <c r="H287" s="1"/>
      <c r="I287" s="1"/>
      <c r="J287" s="1"/>
      <c r="K287" s="1"/>
      <c r="L287" s="68"/>
      <c r="M287" s="68"/>
      <c r="N287" s="68"/>
      <c r="O287" s="68"/>
      <c r="P287" s="92"/>
      <c r="Q287" s="162"/>
      <c r="R287" s="162"/>
      <c r="S287" s="120"/>
    </row>
    <row r="288" spans="1:23" x14ac:dyDescent="0.35">
      <c r="A288" s="28">
        <v>45303</v>
      </c>
      <c r="B288" s="36"/>
      <c r="C288" s="64" t="s">
        <v>97</v>
      </c>
      <c r="D288" s="1"/>
      <c r="E288" s="1"/>
      <c r="F288" s="66"/>
      <c r="G288" s="66"/>
      <c r="H288" s="1"/>
      <c r="I288" s="1"/>
      <c r="J288" s="1"/>
      <c r="K288" s="1"/>
      <c r="L288" s="68"/>
      <c r="M288" s="68"/>
      <c r="N288" s="68"/>
      <c r="O288" s="68"/>
      <c r="P288" s="92"/>
      <c r="Q288" s="162"/>
      <c r="R288" s="162"/>
      <c r="S288" s="120"/>
    </row>
    <row r="289" spans="1:23" x14ac:dyDescent="0.35">
      <c r="A289" s="28">
        <v>45304</v>
      </c>
      <c r="B289" s="36"/>
      <c r="C289" s="64" t="s">
        <v>97</v>
      </c>
      <c r="D289" s="1"/>
      <c r="E289" s="1"/>
      <c r="F289" s="66"/>
      <c r="G289" s="66"/>
      <c r="H289" s="1"/>
      <c r="I289" s="1"/>
      <c r="J289" s="1"/>
      <c r="K289" s="1"/>
      <c r="L289" s="68"/>
      <c r="M289" s="68"/>
      <c r="N289" s="68"/>
      <c r="O289" s="68"/>
      <c r="P289" s="92"/>
      <c r="Q289" s="162"/>
      <c r="R289" s="162"/>
      <c r="S289" s="120"/>
    </row>
    <row r="290" spans="1:23" x14ac:dyDescent="0.35">
      <c r="A290" s="28">
        <v>45305</v>
      </c>
      <c r="B290" s="36"/>
      <c r="C290" s="64" t="s">
        <v>97</v>
      </c>
      <c r="D290" s="1"/>
      <c r="E290" s="1"/>
      <c r="F290" s="66"/>
      <c r="G290" s="66"/>
      <c r="H290" s="1"/>
      <c r="I290" s="1"/>
      <c r="J290" s="1"/>
      <c r="K290" s="1"/>
      <c r="L290" s="68"/>
      <c r="M290" s="68"/>
      <c r="N290" s="68"/>
      <c r="O290" s="68"/>
      <c r="P290" s="92"/>
      <c r="Q290" s="162"/>
      <c r="R290" s="162"/>
      <c r="S290" s="120"/>
    </row>
    <row r="291" spans="1:23" x14ac:dyDescent="0.35">
      <c r="A291" s="28">
        <v>45306</v>
      </c>
      <c r="B291" s="36"/>
      <c r="C291" s="64" t="s">
        <v>97</v>
      </c>
      <c r="D291" s="1"/>
      <c r="E291" s="1"/>
      <c r="F291" s="66"/>
      <c r="G291" s="66"/>
      <c r="H291" s="1"/>
      <c r="I291" s="1"/>
      <c r="J291" s="1"/>
      <c r="K291" s="1"/>
      <c r="L291" s="68"/>
      <c r="M291" s="68"/>
      <c r="N291" s="68"/>
      <c r="O291" s="68"/>
      <c r="P291" s="92"/>
      <c r="Q291" s="162"/>
      <c r="R291" s="162"/>
      <c r="S291" s="120"/>
    </row>
    <row r="292" spans="1:23" x14ac:dyDescent="0.35">
      <c r="A292" s="28">
        <v>45307</v>
      </c>
      <c r="B292" s="36"/>
      <c r="C292" s="64" t="s">
        <v>97</v>
      </c>
      <c r="D292" s="1"/>
      <c r="E292" s="1"/>
      <c r="F292" s="66"/>
      <c r="G292" s="66"/>
      <c r="H292" s="1"/>
      <c r="I292" s="1"/>
      <c r="J292" s="1"/>
      <c r="K292" s="1"/>
      <c r="L292" s="68"/>
      <c r="M292" s="68"/>
      <c r="N292" s="68"/>
      <c r="O292" s="68"/>
      <c r="P292" s="92"/>
      <c r="Q292" s="162"/>
      <c r="R292" s="162"/>
      <c r="S292" s="120"/>
      <c r="U292" s="49"/>
      <c r="V292" s="49"/>
      <c r="W292" s="49"/>
    </row>
    <row r="293" spans="1:23" x14ac:dyDescent="0.35">
      <c r="A293" s="28">
        <v>45308</v>
      </c>
      <c r="B293" s="36"/>
      <c r="C293" s="64" t="s">
        <v>97</v>
      </c>
      <c r="D293" s="1"/>
      <c r="E293" s="1"/>
      <c r="F293" s="66"/>
      <c r="G293" s="66"/>
      <c r="H293" s="1"/>
      <c r="I293" s="1"/>
      <c r="J293" s="1"/>
      <c r="K293" s="1"/>
      <c r="L293" s="68"/>
      <c r="M293" s="68"/>
      <c r="N293" s="68"/>
      <c r="O293" s="68"/>
      <c r="P293" s="92"/>
      <c r="Q293" s="162"/>
      <c r="R293" s="162"/>
      <c r="S293" s="120"/>
    </row>
    <row r="294" spans="1:23" x14ac:dyDescent="0.35">
      <c r="A294" s="28">
        <v>45309</v>
      </c>
      <c r="B294" s="36"/>
      <c r="C294" s="64" t="s">
        <v>97</v>
      </c>
      <c r="D294" s="1"/>
      <c r="E294" s="1"/>
      <c r="F294" s="66"/>
      <c r="G294" s="66"/>
      <c r="H294" s="1"/>
      <c r="I294" s="1"/>
      <c r="J294" s="1"/>
      <c r="K294" s="1"/>
      <c r="L294" s="68"/>
      <c r="M294" s="68"/>
      <c r="N294" s="68"/>
      <c r="O294" s="68"/>
      <c r="P294" s="92"/>
      <c r="Q294" s="162"/>
      <c r="R294" s="162"/>
      <c r="S294" s="120"/>
    </row>
    <row r="295" spans="1:23" x14ac:dyDescent="0.35">
      <c r="A295" s="28">
        <v>45310</v>
      </c>
      <c r="B295" s="36"/>
      <c r="C295" s="64" t="s">
        <v>97</v>
      </c>
      <c r="D295" s="1"/>
      <c r="E295" s="1"/>
      <c r="F295" s="66"/>
      <c r="G295" s="66"/>
      <c r="H295" s="1"/>
      <c r="I295" s="1"/>
      <c r="J295" s="1"/>
      <c r="K295" s="1"/>
      <c r="L295" s="68"/>
      <c r="M295" s="68"/>
      <c r="N295" s="68"/>
      <c r="O295" s="68"/>
      <c r="P295" s="92"/>
      <c r="Q295" s="162"/>
      <c r="R295" s="162"/>
      <c r="S295" s="120"/>
    </row>
    <row r="296" spans="1:23" x14ac:dyDescent="0.35">
      <c r="A296" s="28">
        <v>45311</v>
      </c>
      <c r="B296" s="36"/>
      <c r="C296" s="64" t="s">
        <v>97</v>
      </c>
      <c r="D296" s="1"/>
      <c r="E296" s="1"/>
      <c r="F296" s="66"/>
      <c r="G296" s="66"/>
      <c r="H296" s="1"/>
      <c r="I296" s="1"/>
      <c r="J296" s="1"/>
      <c r="K296" s="1"/>
      <c r="L296" s="68"/>
      <c r="M296" s="68"/>
      <c r="N296" s="68"/>
      <c r="O296" s="68"/>
      <c r="P296" s="92"/>
      <c r="Q296" s="162"/>
      <c r="R296" s="162"/>
      <c r="S296" s="120"/>
    </row>
    <row r="297" spans="1:23" x14ac:dyDescent="0.35">
      <c r="A297" s="28">
        <v>45312</v>
      </c>
      <c r="B297" s="36"/>
      <c r="C297" s="64" t="s">
        <v>97</v>
      </c>
      <c r="D297" s="1"/>
      <c r="E297" s="1"/>
      <c r="F297" s="66"/>
      <c r="G297" s="66"/>
      <c r="H297" s="1"/>
      <c r="I297" s="1"/>
      <c r="J297" s="1"/>
      <c r="K297" s="1"/>
      <c r="L297" s="68"/>
      <c r="M297" s="68"/>
      <c r="N297" s="68"/>
      <c r="O297" s="68"/>
      <c r="P297" s="92"/>
      <c r="Q297" s="162"/>
      <c r="R297" s="162"/>
      <c r="S297" s="120"/>
    </row>
    <row r="298" spans="1:23" x14ac:dyDescent="0.35">
      <c r="A298" s="28">
        <v>45313</v>
      </c>
      <c r="B298" s="36"/>
      <c r="C298" s="64" t="s">
        <v>97</v>
      </c>
      <c r="D298" s="1"/>
      <c r="E298" s="1"/>
      <c r="F298" s="66"/>
      <c r="G298" s="66"/>
      <c r="H298" s="1"/>
      <c r="I298" s="1"/>
      <c r="J298" s="1"/>
      <c r="K298" s="1"/>
      <c r="L298" s="68"/>
      <c r="M298" s="68"/>
      <c r="N298" s="68"/>
      <c r="O298" s="68"/>
      <c r="P298" s="92"/>
      <c r="Q298" s="162"/>
      <c r="R298" s="162"/>
      <c r="S298" s="120"/>
    </row>
    <row r="299" spans="1:23" x14ac:dyDescent="0.35">
      <c r="A299" s="28">
        <v>45314</v>
      </c>
      <c r="B299" s="36"/>
      <c r="C299" s="64" t="s">
        <v>97</v>
      </c>
      <c r="D299" s="1"/>
      <c r="E299" s="1"/>
      <c r="F299" s="66"/>
      <c r="G299" s="66"/>
      <c r="H299" s="1"/>
      <c r="I299" s="1"/>
      <c r="J299" s="1"/>
      <c r="K299" s="1"/>
      <c r="L299" s="68"/>
      <c r="M299" s="68"/>
      <c r="N299" s="68"/>
      <c r="O299" s="68"/>
      <c r="P299" s="92"/>
      <c r="Q299" s="162"/>
      <c r="R299" s="162"/>
      <c r="S299" s="120"/>
    </row>
    <row r="300" spans="1:23" x14ac:dyDescent="0.35">
      <c r="A300" s="28">
        <v>45315</v>
      </c>
      <c r="B300" s="36"/>
      <c r="C300" s="64" t="s">
        <v>97</v>
      </c>
      <c r="D300" s="1"/>
      <c r="E300" s="1"/>
      <c r="F300" s="66"/>
      <c r="G300" s="66"/>
      <c r="H300" s="1"/>
      <c r="I300" s="1"/>
      <c r="J300" s="1"/>
      <c r="K300" s="1"/>
      <c r="L300" s="68"/>
      <c r="M300" s="68"/>
      <c r="N300" s="68"/>
      <c r="O300" s="68"/>
      <c r="P300" s="92"/>
      <c r="Q300" s="162"/>
      <c r="R300" s="162"/>
      <c r="S300" s="120"/>
    </row>
    <row r="301" spans="1:23" x14ac:dyDescent="0.35">
      <c r="A301" s="28">
        <v>45316</v>
      </c>
      <c r="B301" s="36"/>
      <c r="C301" s="64" t="s">
        <v>97</v>
      </c>
      <c r="D301" s="1"/>
      <c r="E301" s="1"/>
      <c r="F301" s="66"/>
      <c r="G301" s="66"/>
      <c r="H301" s="1"/>
      <c r="I301" s="1"/>
      <c r="J301" s="1"/>
      <c r="K301" s="1"/>
      <c r="L301" s="68"/>
      <c r="M301" s="68"/>
      <c r="N301" s="68"/>
      <c r="O301" s="68"/>
      <c r="P301" s="92"/>
      <c r="Q301" s="162"/>
      <c r="R301" s="162"/>
      <c r="S301" s="120"/>
    </row>
    <row r="302" spans="1:23" x14ac:dyDescent="0.35">
      <c r="A302" s="28">
        <v>45317</v>
      </c>
      <c r="B302" s="36"/>
      <c r="C302" s="64" t="s">
        <v>97</v>
      </c>
      <c r="D302" s="1"/>
      <c r="E302" s="1"/>
      <c r="F302" s="66"/>
      <c r="G302" s="66"/>
      <c r="H302" s="1"/>
      <c r="I302" s="1"/>
      <c r="J302" s="1"/>
      <c r="K302" s="1"/>
      <c r="L302" s="68"/>
      <c r="M302" s="68"/>
      <c r="N302" s="68"/>
      <c r="O302" s="68"/>
      <c r="P302" s="92"/>
      <c r="Q302" s="162"/>
      <c r="R302" s="162"/>
      <c r="S302" s="120"/>
    </row>
    <row r="303" spans="1:23" x14ac:dyDescent="0.35">
      <c r="A303" s="28">
        <v>45318</v>
      </c>
      <c r="B303" s="36"/>
      <c r="C303" s="64" t="s">
        <v>97</v>
      </c>
      <c r="D303" s="1"/>
      <c r="E303" s="1"/>
      <c r="F303" s="66"/>
      <c r="G303" s="66"/>
      <c r="H303" s="1"/>
      <c r="I303" s="1"/>
      <c r="J303" s="1"/>
      <c r="K303" s="1"/>
      <c r="L303" s="68"/>
      <c r="M303" s="68"/>
      <c r="N303" s="68"/>
      <c r="O303" s="68"/>
      <c r="P303" s="92"/>
      <c r="Q303" s="162"/>
      <c r="R303" s="162"/>
      <c r="S303" s="120"/>
    </row>
    <row r="304" spans="1:23" x14ac:dyDescent="0.35">
      <c r="A304" s="28">
        <v>45319</v>
      </c>
      <c r="B304" s="36"/>
      <c r="C304" s="64" t="s">
        <v>97</v>
      </c>
      <c r="D304" s="1"/>
      <c r="E304" s="1"/>
      <c r="F304" s="66"/>
      <c r="G304" s="66"/>
      <c r="H304" s="1"/>
      <c r="I304" s="1"/>
      <c r="J304" s="1"/>
      <c r="K304" s="1"/>
      <c r="L304" s="68"/>
      <c r="M304" s="68"/>
      <c r="N304" s="68"/>
      <c r="O304" s="68"/>
      <c r="P304" s="92"/>
      <c r="Q304" s="162"/>
      <c r="R304" s="162"/>
      <c r="S304" s="120"/>
    </row>
    <row r="305" spans="1:19" x14ac:dyDescent="0.35">
      <c r="A305" s="28">
        <v>45320</v>
      </c>
      <c r="B305" s="36"/>
      <c r="C305" s="64" t="s">
        <v>97</v>
      </c>
      <c r="D305" s="1"/>
      <c r="E305" s="1"/>
      <c r="F305" s="66"/>
      <c r="G305" s="66"/>
      <c r="H305" s="1"/>
      <c r="I305" s="1"/>
      <c r="J305" s="1"/>
      <c r="K305" s="1"/>
      <c r="L305" s="68"/>
      <c r="M305" s="68"/>
      <c r="N305" s="68"/>
      <c r="O305" s="68"/>
      <c r="P305" s="92"/>
      <c r="Q305" s="162"/>
      <c r="R305" s="162"/>
      <c r="S305" s="120"/>
    </row>
    <row r="306" spans="1:19" x14ac:dyDescent="0.35">
      <c r="A306" s="28">
        <v>45321</v>
      </c>
      <c r="B306" s="36"/>
      <c r="C306" s="64" t="s">
        <v>97</v>
      </c>
      <c r="D306" s="1"/>
      <c r="E306" s="1"/>
      <c r="F306" s="66"/>
      <c r="G306" s="66"/>
      <c r="H306" s="1"/>
      <c r="I306" s="1"/>
      <c r="J306" s="1"/>
      <c r="K306" s="1"/>
      <c r="L306" s="68"/>
      <c r="M306" s="68"/>
      <c r="N306" s="68"/>
      <c r="O306" s="68"/>
      <c r="P306" s="92"/>
      <c r="Q306" s="162"/>
      <c r="R306" s="162"/>
      <c r="S306" s="120"/>
    </row>
    <row r="307" spans="1:19" x14ac:dyDescent="0.35">
      <c r="A307" s="28">
        <v>45322</v>
      </c>
      <c r="B307" s="36"/>
      <c r="C307" s="64" t="s">
        <v>97</v>
      </c>
      <c r="D307" s="1"/>
      <c r="E307" s="1"/>
      <c r="F307" s="66"/>
      <c r="G307" s="66"/>
      <c r="H307" s="1"/>
      <c r="I307" s="1"/>
      <c r="J307" s="1"/>
      <c r="K307" s="1"/>
      <c r="L307" s="68"/>
      <c r="M307" s="68"/>
      <c r="N307" s="68"/>
      <c r="O307" s="68"/>
      <c r="P307" s="92"/>
      <c r="Q307" s="162"/>
      <c r="R307" s="162"/>
      <c r="S307" s="120"/>
    </row>
    <row r="308" spans="1:19" x14ac:dyDescent="0.35">
      <c r="A308" s="28">
        <v>45323</v>
      </c>
      <c r="B308" s="36"/>
      <c r="C308" s="64" t="s">
        <v>97</v>
      </c>
      <c r="D308" s="1"/>
      <c r="E308" s="1"/>
      <c r="F308" s="66"/>
      <c r="G308" s="66"/>
      <c r="H308" s="1"/>
      <c r="I308" s="1"/>
      <c r="J308" s="1"/>
      <c r="K308" s="1"/>
      <c r="L308" s="68"/>
      <c r="M308" s="68"/>
      <c r="N308" s="68"/>
      <c r="O308" s="68"/>
      <c r="P308" s="92"/>
      <c r="Q308" s="162"/>
      <c r="R308" s="162"/>
      <c r="S308" s="120"/>
    </row>
    <row r="309" spans="1:19" x14ac:dyDescent="0.35">
      <c r="A309" s="28">
        <v>45324</v>
      </c>
      <c r="B309" s="36"/>
      <c r="C309" s="64" t="s">
        <v>97</v>
      </c>
      <c r="D309" s="1"/>
      <c r="E309" s="1"/>
      <c r="F309" s="66"/>
      <c r="G309" s="66"/>
      <c r="H309" s="1"/>
      <c r="I309" s="1"/>
      <c r="J309" s="1"/>
      <c r="K309" s="1"/>
      <c r="L309" s="68"/>
      <c r="M309" s="68"/>
      <c r="N309" s="68"/>
      <c r="O309" s="68"/>
      <c r="P309" s="92"/>
      <c r="Q309" s="162"/>
      <c r="R309" s="162"/>
      <c r="S309" s="120"/>
    </row>
    <row r="310" spans="1:19" x14ac:dyDescent="0.35">
      <c r="A310" s="28">
        <v>45325</v>
      </c>
      <c r="B310" s="36"/>
      <c r="C310" s="64" t="s">
        <v>97</v>
      </c>
      <c r="D310" s="1"/>
      <c r="E310" s="1"/>
      <c r="F310" s="66"/>
      <c r="G310" s="66"/>
      <c r="H310" s="1"/>
      <c r="I310" s="1"/>
      <c r="J310" s="1"/>
      <c r="K310" s="1"/>
      <c r="L310" s="68"/>
      <c r="M310" s="68"/>
      <c r="N310" s="68"/>
      <c r="O310" s="68"/>
      <c r="P310" s="92"/>
      <c r="Q310" s="162"/>
      <c r="R310" s="162"/>
      <c r="S310" s="120"/>
    </row>
    <row r="311" spans="1:19" x14ac:dyDescent="0.35">
      <c r="A311" s="28">
        <v>45326</v>
      </c>
      <c r="B311" s="36"/>
      <c r="C311" s="64" t="s">
        <v>97</v>
      </c>
      <c r="D311" s="1"/>
      <c r="E311" s="1"/>
      <c r="F311" s="66"/>
      <c r="G311" s="66"/>
      <c r="H311" s="1"/>
      <c r="I311" s="1"/>
      <c r="J311" s="1"/>
      <c r="K311" s="1"/>
      <c r="L311" s="68"/>
      <c r="M311" s="68"/>
      <c r="N311" s="68"/>
      <c r="O311" s="68"/>
      <c r="P311" s="92"/>
      <c r="Q311" s="162"/>
      <c r="R311" s="162"/>
      <c r="S311" s="120"/>
    </row>
    <row r="312" spans="1:19" x14ac:dyDescent="0.35">
      <c r="A312" s="28">
        <v>45327</v>
      </c>
      <c r="B312" s="36"/>
      <c r="C312" s="64" t="s">
        <v>97</v>
      </c>
      <c r="D312" s="1"/>
      <c r="E312" s="1"/>
      <c r="F312" s="66"/>
      <c r="G312" s="66"/>
      <c r="H312" s="1"/>
      <c r="I312" s="1"/>
      <c r="J312" s="1"/>
      <c r="K312" s="1"/>
      <c r="L312" s="68"/>
      <c r="M312" s="68"/>
      <c r="N312" s="68"/>
      <c r="O312" s="68"/>
      <c r="P312" s="92"/>
      <c r="Q312" s="162"/>
      <c r="R312" s="162"/>
      <c r="S312" s="120"/>
    </row>
    <row r="313" spans="1:19" x14ac:dyDescent="0.35">
      <c r="A313" s="28">
        <v>45328</v>
      </c>
      <c r="B313" s="36"/>
      <c r="C313" s="64" t="s">
        <v>97</v>
      </c>
      <c r="D313" s="1"/>
      <c r="E313" s="1"/>
      <c r="F313" s="66"/>
      <c r="G313" s="66"/>
      <c r="H313" s="1"/>
      <c r="I313" s="1"/>
      <c r="J313" s="1"/>
      <c r="K313" s="1"/>
      <c r="L313" s="68"/>
      <c r="M313" s="68"/>
      <c r="N313" s="68"/>
      <c r="O313" s="68"/>
      <c r="P313" s="92"/>
      <c r="Q313" s="162"/>
      <c r="R313" s="162"/>
      <c r="S313" s="120"/>
    </row>
    <row r="314" spans="1:19" x14ac:dyDescent="0.35">
      <c r="A314" s="28">
        <v>45329</v>
      </c>
      <c r="B314" s="36"/>
      <c r="C314" s="64" t="s">
        <v>97</v>
      </c>
      <c r="D314" s="1"/>
      <c r="E314" s="1"/>
      <c r="F314" s="66"/>
      <c r="G314" s="66"/>
      <c r="H314" s="1"/>
      <c r="I314" s="1"/>
      <c r="J314" s="1"/>
      <c r="K314" s="1"/>
      <c r="L314" s="68"/>
      <c r="M314" s="68"/>
      <c r="N314" s="68"/>
      <c r="O314" s="68"/>
      <c r="P314" s="92"/>
      <c r="Q314" s="162"/>
      <c r="R314" s="162"/>
      <c r="S314" s="120"/>
    </row>
    <row r="315" spans="1:19" x14ac:dyDescent="0.35">
      <c r="A315" s="28">
        <v>45330</v>
      </c>
      <c r="B315" s="36"/>
      <c r="C315" s="64" t="s">
        <v>97</v>
      </c>
      <c r="D315" s="1"/>
      <c r="E315" s="1"/>
      <c r="F315" s="66"/>
      <c r="G315" s="66"/>
      <c r="H315" s="1"/>
      <c r="I315" s="1"/>
      <c r="J315" s="1"/>
      <c r="K315" s="1"/>
      <c r="L315" s="68"/>
      <c r="M315" s="68"/>
      <c r="N315" s="68"/>
      <c r="O315" s="68"/>
      <c r="P315" s="92"/>
      <c r="Q315" s="162"/>
      <c r="R315" s="162"/>
      <c r="S315" s="120"/>
    </row>
    <row r="316" spans="1:19" x14ac:dyDescent="0.35">
      <c r="A316" s="28">
        <v>45331</v>
      </c>
      <c r="B316" s="36"/>
      <c r="C316" s="64" t="s">
        <v>97</v>
      </c>
      <c r="D316" s="1"/>
      <c r="E316" s="1"/>
      <c r="F316" s="66"/>
      <c r="G316" s="66"/>
      <c r="H316" s="1"/>
      <c r="I316" s="1"/>
      <c r="J316" s="1"/>
      <c r="K316" s="1"/>
      <c r="L316" s="68"/>
      <c r="M316" s="68"/>
      <c r="N316" s="68"/>
      <c r="O316" s="68"/>
      <c r="P316" s="92"/>
      <c r="Q316" s="162"/>
      <c r="R316" s="162"/>
      <c r="S316" s="120"/>
    </row>
    <row r="317" spans="1:19" x14ac:dyDescent="0.35">
      <c r="A317" s="28">
        <v>45332</v>
      </c>
      <c r="B317" s="36"/>
      <c r="C317" s="64" t="s">
        <v>97</v>
      </c>
      <c r="D317" s="1"/>
      <c r="E317" s="1"/>
      <c r="F317" s="66"/>
      <c r="G317" s="66"/>
      <c r="H317" s="1"/>
      <c r="I317" s="1"/>
      <c r="J317" s="1"/>
      <c r="K317" s="1"/>
      <c r="L317" s="68"/>
      <c r="M317" s="68"/>
      <c r="N317" s="68"/>
      <c r="O317" s="68"/>
      <c r="P317" s="92"/>
      <c r="Q317" s="162"/>
      <c r="R317" s="162"/>
      <c r="S317" s="120"/>
    </row>
    <row r="318" spans="1:19" x14ac:dyDescent="0.35">
      <c r="A318" s="28">
        <v>45333</v>
      </c>
      <c r="B318" s="36"/>
      <c r="C318" s="64" t="s">
        <v>97</v>
      </c>
      <c r="D318" s="1"/>
      <c r="E318" s="1"/>
      <c r="F318" s="66"/>
      <c r="G318" s="66"/>
      <c r="H318" s="1"/>
      <c r="I318" s="1"/>
      <c r="J318" s="1"/>
      <c r="K318" s="1"/>
      <c r="L318" s="68"/>
      <c r="M318" s="68"/>
      <c r="N318" s="68"/>
      <c r="O318" s="68"/>
      <c r="P318" s="92"/>
      <c r="Q318" s="162"/>
      <c r="R318" s="162"/>
      <c r="S318" s="120"/>
    </row>
    <row r="319" spans="1:19" x14ac:dyDescent="0.35">
      <c r="A319" s="28">
        <v>45334</v>
      </c>
      <c r="B319" s="36"/>
      <c r="C319" s="64" t="s">
        <v>97</v>
      </c>
      <c r="D319" s="1"/>
      <c r="E319" s="1"/>
      <c r="F319" s="66"/>
      <c r="G319" s="66"/>
      <c r="H319" s="1"/>
      <c r="I319" s="1"/>
      <c r="J319" s="1"/>
      <c r="K319" s="1"/>
      <c r="L319" s="68"/>
      <c r="M319" s="68"/>
      <c r="N319" s="68"/>
      <c r="O319" s="68"/>
      <c r="P319" s="92"/>
      <c r="Q319" s="162"/>
      <c r="R319" s="162"/>
      <c r="S319" s="120"/>
    </row>
    <row r="320" spans="1:19" x14ac:dyDescent="0.35">
      <c r="A320" s="28">
        <v>45335</v>
      </c>
      <c r="B320" s="36"/>
      <c r="C320" s="64" t="s">
        <v>97</v>
      </c>
      <c r="D320" s="1"/>
      <c r="E320" s="1"/>
      <c r="F320" s="66"/>
      <c r="G320" s="66"/>
      <c r="H320" s="1"/>
      <c r="I320" s="1"/>
      <c r="J320" s="1"/>
      <c r="K320" s="1"/>
      <c r="L320" s="68"/>
      <c r="M320" s="68"/>
      <c r="N320" s="68"/>
      <c r="O320" s="68"/>
      <c r="P320" s="92"/>
      <c r="Q320" s="162"/>
      <c r="R320" s="162"/>
      <c r="S320" s="120"/>
    </row>
    <row r="321" spans="1:23" x14ac:dyDescent="0.35">
      <c r="A321" s="28">
        <v>45336</v>
      </c>
      <c r="B321" s="36"/>
      <c r="C321" s="64" t="s">
        <v>97</v>
      </c>
      <c r="D321" s="1"/>
      <c r="E321" s="1"/>
      <c r="F321" s="66"/>
      <c r="G321" s="66"/>
      <c r="H321" s="1"/>
      <c r="I321" s="1"/>
      <c r="J321" s="1"/>
      <c r="K321" s="1"/>
      <c r="L321" s="68"/>
      <c r="M321" s="68"/>
      <c r="N321" s="68"/>
      <c r="O321" s="68"/>
      <c r="P321" s="92"/>
      <c r="Q321" s="162"/>
      <c r="R321" s="162"/>
      <c r="S321" s="120"/>
    </row>
    <row r="322" spans="1:23" x14ac:dyDescent="0.35">
      <c r="A322" s="28">
        <v>45337</v>
      </c>
      <c r="B322" s="36"/>
      <c r="C322" s="64" t="s">
        <v>97</v>
      </c>
      <c r="D322" s="1"/>
      <c r="E322" s="1"/>
      <c r="F322" s="66"/>
      <c r="G322" s="66"/>
      <c r="H322" s="1"/>
      <c r="I322" s="1"/>
      <c r="J322" s="1"/>
      <c r="K322" s="1"/>
      <c r="L322" s="68"/>
      <c r="M322" s="68"/>
      <c r="N322" s="68"/>
      <c r="O322" s="68"/>
      <c r="P322" s="92"/>
      <c r="Q322" s="162"/>
      <c r="R322" s="162"/>
      <c r="S322" s="120"/>
    </row>
    <row r="323" spans="1:23" x14ac:dyDescent="0.35">
      <c r="A323" s="28">
        <v>45338</v>
      </c>
      <c r="B323" s="36"/>
      <c r="C323" s="64" t="s">
        <v>97</v>
      </c>
      <c r="D323" s="1"/>
      <c r="E323" s="1"/>
      <c r="F323" s="66"/>
      <c r="G323" s="66"/>
      <c r="H323" s="1"/>
      <c r="I323" s="1"/>
      <c r="J323" s="1"/>
      <c r="K323" s="1"/>
      <c r="L323" s="68"/>
      <c r="M323" s="68"/>
      <c r="N323" s="68"/>
      <c r="O323" s="68"/>
      <c r="P323" s="92"/>
      <c r="Q323" s="162"/>
      <c r="R323" s="162"/>
      <c r="S323" s="120"/>
    </row>
    <row r="324" spans="1:23" x14ac:dyDescent="0.35">
      <c r="A324" s="28">
        <v>45339</v>
      </c>
      <c r="B324" s="36"/>
      <c r="C324" s="64" t="s">
        <v>97</v>
      </c>
      <c r="D324" s="1"/>
      <c r="E324" s="1"/>
      <c r="F324" s="66"/>
      <c r="G324" s="66"/>
      <c r="H324" s="1"/>
      <c r="I324" s="1"/>
      <c r="J324" s="1"/>
      <c r="K324" s="1"/>
      <c r="L324" s="68"/>
      <c r="M324" s="68"/>
      <c r="N324" s="68"/>
      <c r="O324" s="68"/>
      <c r="P324" s="92"/>
      <c r="Q324" s="162"/>
      <c r="R324" s="162"/>
      <c r="S324" s="120"/>
    </row>
    <row r="325" spans="1:23" x14ac:dyDescent="0.35">
      <c r="A325" s="28">
        <v>45340</v>
      </c>
      <c r="B325" s="36"/>
      <c r="C325" s="64" t="s">
        <v>97</v>
      </c>
      <c r="D325" s="1"/>
      <c r="E325" s="1"/>
      <c r="F325" s="66"/>
      <c r="G325" s="66"/>
      <c r="H325" s="1"/>
      <c r="I325" s="1"/>
      <c r="J325" s="1"/>
      <c r="K325" s="1"/>
      <c r="L325" s="68"/>
      <c r="M325" s="68"/>
      <c r="N325" s="68"/>
      <c r="O325" s="68"/>
      <c r="P325" s="92"/>
      <c r="Q325" s="162"/>
      <c r="R325" s="162"/>
      <c r="S325" s="120"/>
    </row>
    <row r="326" spans="1:23" x14ac:dyDescent="0.35">
      <c r="A326" s="28">
        <v>45341</v>
      </c>
      <c r="B326" s="36"/>
      <c r="C326" s="64" t="s">
        <v>97</v>
      </c>
      <c r="D326" s="1"/>
      <c r="E326" s="1"/>
      <c r="F326" s="66"/>
      <c r="G326" s="66"/>
      <c r="H326" s="1"/>
      <c r="I326" s="1"/>
      <c r="J326" s="1"/>
      <c r="K326" s="1"/>
      <c r="L326" s="68"/>
      <c r="M326" s="68"/>
      <c r="N326" s="68"/>
      <c r="O326" s="68"/>
      <c r="P326" s="92"/>
      <c r="Q326" s="162"/>
      <c r="R326" s="162"/>
      <c r="S326" s="120"/>
    </row>
    <row r="327" spans="1:23" x14ac:dyDescent="0.35">
      <c r="A327" s="28">
        <v>45342</v>
      </c>
      <c r="B327" s="36"/>
      <c r="C327" s="64" t="s">
        <v>97</v>
      </c>
      <c r="D327" s="1"/>
      <c r="E327" s="1"/>
      <c r="F327" s="66"/>
      <c r="G327" s="66"/>
      <c r="H327" s="1"/>
      <c r="I327" s="1"/>
      <c r="J327" s="1"/>
      <c r="K327" s="1"/>
      <c r="L327" s="68"/>
      <c r="M327" s="68"/>
      <c r="N327" s="68"/>
      <c r="O327" s="68"/>
      <c r="P327" s="92"/>
      <c r="Q327" s="162"/>
      <c r="R327" s="162"/>
      <c r="S327" s="120"/>
    </row>
    <row r="328" spans="1:23" x14ac:dyDescent="0.35">
      <c r="A328" s="28">
        <v>45343</v>
      </c>
      <c r="B328" s="36"/>
      <c r="C328" s="64" t="s">
        <v>97</v>
      </c>
      <c r="D328" s="1"/>
      <c r="E328" s="1"/>
      <c r="F328" s="66"/>
      <c r="G328" s="66"/>
      <c r="H328" s="1"/>
      <c r="I328" s="1"/>
      <c r="J328" s="1"/>
      <c r="K328" s="1"/>
      <c r="L328" s="68"/>
      <c r="M328" s="68"/>
      <c r="N328" s="68"/>
      <c r="O328" s="68"/>
      <c r="P328" s="92"/>
      <c r="Q328" s="162"/>
      <c r="R328" s="162"/>
      <c r="S328" s="120"/>
    </row>
    <row r="329" spans="1:23" x14ac:dyDescent="0.35">
      <c r="A329" s="28">
        <v>45344</v>
      </c>
      <c r="B329" s="36"/>
      <c r="C329" s="64" t="s">
        <v>97</v>
      </c>
      <c r="D329" s="1"/>
      <c r="E329" s="1"/>
      <c r="F329" s="66"/>
      <c r="G329" s="66"/>
      <c r="H329" s="1"/>
      <c r="I329" s="1"/>
      <c r="J329" s="1"/>
      <c r="K329" s="1"/>
      <c r="L329" s="68"/>
      <c r="M329" s="68"/>
      <c r="N329" s="68"/>
      <c r="O329" s="68"/>
      <c r="P329" s="92"/>
      <c r="Q329" s="162"/>
      <c r="R329" s="162"/>
      <c r="S329" s="120"/>
    </row>
    <row r="330" spans="1:23" x14ac:dyDescent="0.35">
      <c r="A330" s="28">
        <v>45345</v>
      </c>
      <c r="B330" s="36"/>
      <c r="C330" s="64" t="s">
        <v>97</v>
      </c>
      <c r="D330" s="1"/>
      <c r="E330" s="1"/>
      <c r="F330" s="66"/>
      <c r="G330" s="66"/>
      <c r="H330" s="1"/>
      <c r="I330" s="1"/>
      <c r="J330" s="1"/>
      <c r="K330" s="1"/>
      <c r="L330" s="68"/>
      <c r="M330" s="68"/>
      <c r="N330" s="68"/>
      <c r="O330" s="68"/>
      <c r="P330" s="92"/>
      <c r="Q330" s="162"/>
      <c r="R330" s="162"/>
      <c r="S330" s="120"/>
    </row>
    <row r="331" spans="1:23" x14ac:dyDescent="0.35">
      <c r="A331" s="28">
        <v>45346</v>
      </c>
      <c r="B331" s="36"/>
      <c r="C331" s="64" t="s">
        <v>97</v>
      </c>
      <c r="D331" s="1"/>
      <c r="E331" s="1"/>
      <c r="F331" s="66"/>
      <c r="G331" s="66"/>
      <c r="H331" s="1"/>
      <c r="I331" s="1"/>
      <c r="J331" s="1"/>
      <c r="K331" s="1"/>
      <c r="L331" s="68"/>
      <c r="M331" s="68"/>
      <c r="N331" s="68"/>
      <c r="O331" s="68"/>
      <c r="P331" s="92"/>
      <c r="Q331" s="162"/>
      <c r="R331" s="162"/>
      <c r="S331" s="120"/>
    </row>
    <row r="332" spans="1:23" x14ac:dyDescent="0.35">
      <c r="A332" s="28">
        <v>45347</v>
      </c>
      <c r="B332" s="36"/>
      <c r="C332" s="64" t="s">
        <v>97</v>
      </c>
      <c r="D332" s="1"/>
      <c r="E332" s="1"/>
      <c r="F332" s="66"/>
      <c r="G332" s="66"/>
      <c r="H332" s="1"/>
      <c r="I332" s="1"/>
      <c r="J332" s="1"/>
      <c r="K332" s="1"/>
      <c r="L332" s="68"/>
      <c r="M332" s="68"/>
      <c r="N332" s="68"/>
      <c r="O332" s="68"/>
      <c r="P332" s="92"/>
      <c r="Q332" s="162"/>
      <c r="R332" s="162"/>
      <c r="S332" s="120"/>
    </row>
    <row r="333" spans="1:23" x14ac:dyDescent="0.35">
      <c r="A333" s="28">
        <v>45348</v>
      </c>
      <c r="B333" s="36"/>
      <c r="C333" s="64" t="s">
        <v>97</v>
      </c>
      <c r="D333" s="1"/>
      <c r="E333" s="1"/>
      <c r="F333" s="66"/>
      <c r="G333" s="66"/>
      <c r="H333" s="1"/>
      <c r="I333" s="1"/>
      <c r="J333" s="1"/>
      <c r="K333" s="1"/>
      <c r="L333" s="68"/>
      <c r="M333" s="68"/>
      <c r="N333" s="68"/>
      <c r="O333" s="68"/>
      <c r="P333" s="92"/>
      <c r="Q333" s="162"/>
      <c r="R333" s="162"/>
      <c r="S333" s="120"/>
    </row>
    <row r="334" spans="1:23" x14ac:dyDescent="0.35">
      <c r="A334" s="28">
        <v>45349</v>
      </c>
      <c r="B334" s="36"/>
      <c r="C334" s="64" t="s">
        <v>97</v>
      </c>
      <c r="D334" s="1"/>
      <c r="E334" s="1"/>
      <c r="F334" s="66"/>
      <c r="G334" s="66"/>
      <c r="H334" s="1"/>
      <c r="I334" s="1"/>
      <c r="J334" s="1"/>
      <c r="K334" s="1"/>
      <c r="L334" s="68"/>
      <c r="M334" s="68"/>
      <c r="N334" s="68"/>
      <c r="O334" s="68"/>
      <c r="P334" s="92"/>
      <c r="Q334" s="162"/>
      <c r="R334" s="162"/>
      <c r="S334" s="120"/>
    </row>
    <row r="335" spans="1:23" x14ac:dyDescent="0.35">
      <c r="A335" s="28">
        <v>45350</v>
      </c>
      <c r="B335" s="36"/>
      <c r="C335" s="64" t="s">
        <v>97</v>
      </c>
      <c r="D335" s="1"/>
      <c r="E335" s="1"/>
      <c r="F335" s="66"/>
      <c r="G335" s="66"/>
      <c r="H335" s="1"/>
      <c r="I335" s="1"/>
      <c r="J335" s="1"/>
      <c r="K335" s="1"/>
      <c r="L335" s="68"/>
      <c r="M335" s="68"/>
      <c r="N335" s="68"/>
      <c r="O335" s="68"/>
      <c r="P335" s="92"/>
      <c r="Q335" s="162"/>
      <c r="R335" s="162"/>
      <c r="S335" s="120"/>
    </row>
    <row r="336" spans="1:23" s="50" customFormat="1" x14ac:dyDescent="0.35">
      <c r="A336" s="28">
        <v>45351</v>
      </c>
      <c r="B336" s="51"/>
      <c r="C336" s="64" t="s">
        <v>97</v>
      </c>
      <c r="D336" s="52"/>
      <c r="E336" s="52"/>
      <c r="F336" s="80"/>
      <c r="G336" s="80"/>
      <c r="H336" s="52"/>
      <c r="I336" s="52"/>
      <c r="J336" s="52"/>
      <c r="K336" s="52"/>
      <c r="L336" s="104"/>
      <c r="M336" s="104"/>
      <c r="N336" s="104"/>
      <c r="O336" s="104"/>
      <c r="P336" s="105"/>
      <c r="Q336" s="166"/>
      <c r="R336" s="166"/>
      <c r="S336" s="167"/>
      <c r="U336"/>
      <c r="V336"/>
      <c r="W336"/>
    </row>
    <row r="337" spans="1:23" x14ac:dyDescent="0.35">
      <c r="A337" s="28">
        <v>45352</v>
      </c>
      <c r="B337" s="36"/>
      <c r="C337" s="64" t="s">
        <v>97</v>
      </c>
      <c r="D337" s="1"/>
      <c r="E337" s="1"/>
      <c r="F337" s="66"/>
      <c r="G337" s="66"/>
      <c r="H337" s="1"/>
      <c r="I337" s="1"/>
      <c r="J337" s="1"/>
      <c r="K337" s="1"/>
      <c r="L337" s="68"/>
      <c r="M337" s="68"/>
      <c r="N337" s="68"/>
      <c r="O337" s="68"/>
      <c r="P337" s="92"/>
      <c r="Q337" s="162"/>
      <c r="R337" s="162"/>
      <c r="S337" s="120"/>
    </row>
    <row r="338" spans="1:23" x14ac:dyDescent="0.35">
      <c r="A338" s="28">
        <v>45353</v>
      </c>
      <c r="B338" s="36"/>
      <c r="C338" s="64" t="s">
        <v>97</v>
      </c>
      <c r="D338" s="1"/>
      <c r="E338" s="1"/>
      <c r="F338" s="66"/>
      <c r="G338" s="66"/>
      <c r="H338" s="1"/>
      <c r="I338" s="1"/>
      <c r="J338" s="1"/>
      <c r="K338" s="1"/>
      <c r="L338" s="68"/>
      <c r="M338" s="68"/>
      <c r="N338" s="68"/>
      <c r="O338" s="68"/>
      <c r="P338" s="92"/>
      <c r="Q338" s="162"/>
      <c r="R338" s="162"/>
      <c r="S338" s="120"/>
    </row>
    <row r="339" spans="1:23" x14ac:dyDescent="0.35">
      <c r="A339" s="28">
        <v>45354</v>
      </c>
      <c r="B339" s="36"/>
      <c r="C339" s="64" t="s">
        <v>97</v>
      </c>
      <c r="D339" s="1"/>
      <c r="E339" s="1"/>
      <c r="F339" s="66"/>
      <c r="G339" s="66"/>
      <c r="H339" s="1"/>
      <c r="I339" s="1"/>
      <c r="J339" s="1"/>
      <c r="K339" s="1"/>
      <c r="L339" s="68"/>
      <c r="M339" s="68"/>
      <c r="N339" s="68"/>
      <c r="O339" s="68"/>
      <c r="P339" s="92"/>
      <c r="Q339" s="162"/>
      <c r="R339" s="162"/>
      <c r="S339" s="120"/>
    </row>
    <row r="340" spans="1:23" x14ac:dyDescent="0.35">
      <c r="A340" s="28">
        <v>45355</v>
      </c>
      <c r="B340" s="36"/>
      <c r="C340" s="64" t="s">
        <v>97</v>
      </c>
      <c r="D340" s="1"/>
      <c r="E340" s="1"/>
      <c r="F340" s="66"/>
      <c r="G340" s="66"/>
      <c r="H340" s="1"/>
      <c r="I340" s="1"/>
      <c r="J340" s="1"/>
      <c r="K340" s="1"/>
      <c r="L340" s="68"/>
      <c r="M340" s="68"/>
      <c r="N340" s="68"/>
      <c r="O340" s="68"/>
      <c r="P340" s="92"/>
      <c r="Q340" s="162"/>
      <c r="R340" s="162"/>
      <c r="S340" s="120"/>
      <c r="U340" s="50"/>
      <c r="V340" s="50"/>
      <c r="W340" s="50"/>
    </row>
    <row r="341" spans="1:23" x14ac:dyDescent="0.35">
      <c r="A341" s="28">
        <v>45356</v>
      </c>
      <c r="B341" s="36"/>
      <c r="C341" s="64" t="s">
        <v>97</v>
      </c>
      <c r="D341" s="1"/>
      <c r="E341" s="1"/>
      <c r="F341" s="66"/>
      <c r="G341" s="66"/>
      <c r="H341" s="1"/>
      <c r="I341" s="1"/>
      <c r="J341" s="1"/>
      <c r="K341" s="1"/>
      <c r="L341" s="68"/>
      <c r="M341" s="68"/>
      <c r="N341" s="68"/>
      <c r="O341" s="68"/>
      <c r="P341" s="92"/>
      <c r="Q341" s="162"/>
      <c r="R341" s="162"/>
      <c r="S341" s="120"/>
    </row>
    <row r="342" spans="1:23" x14ac:dyDescent="0.35">
      <c r="A342" s="28">
        <v>45357</v>
      </c>
      <c r="B342" s="36"/>
      <c r="C342" s="64" t="s">
        <v>97</v>
      </c>
      <c r="D342" s="1"/>
      <c r="E342" s="1"/>
      <c r="F342" s="66"/>
      <c r="G342" s="66"/>
      <c r="H342" s="1"/>
      <c r="I342" s="1"/>
      <c r="J342" s="1"/>
      <c r="K342" s="1"/>
      <c r="L342" s="68"/>
      <c r="M342" s="68"/>
      <c r="N342" s="68"/>
      <c r="O342" s="68"/>
      <c r="P342" s="92"/>
      <c r="Q342" s="162"/>
      <c r="R342" s="162"/>
      <c r="S342" s="120"/>
    </row>
    <row r="343" spans="1:23" x14ac:dyDescent="0.35">
      <c r="A343" s="28">
        <v>45358</v>
      </c>
      <c r="B343" s="36"/>
      <c r="C343" s="64" t="s">
        <v>97</v>
      </c>
      <c r="D343" s="1"/>
      <c r="E343" s="1"/>
      <c r="F343" s="66"/>
      <c r="G343" s="66"/>
      <c r="H343" s="1"/>
      <c r="I343" s="1"/>
      <c r="J343" s="1"/>
      <c r="K343" s="1"/>
      <c r="L343" s="68"/>
      <c r="M343" s="68"/>
      <c r="N343" s="68"/>
      <c r="O343" s="68"/>
      <c r="P343" s="92"/>
      <c r="Q343" s="162"/>
      <c r="R343" s="162"/>
      <c r="S343" s="120"/>
    </row>
    <row r="344" spans="1:23" x14ac:dyDescent="0.35">
      <c r="A344" s="28">
        <v>45359</v>
      </c>
      <c r="B344" s="36"/>
      <c r="C344" s="64" t="s">
        <v>97</v>
      </c>
      <c r="D344" s="1"/>
      <c r="E344" s="1"/>
      <c r="F344" s="66"/>
      <c r="G344" s="66"/>
      <c r="H344" s="1"/>
      <c r="I344" s="1"/>
      <c r="J344" s="1"/>
      <c r="K344" s="1"/>
      <c r="L344" s="68"/>
      <c r="M344" s="68"/>
      <c r="N344" s="68"/>
      <c r="O344" s="68"/>
      <c r="P344" s="92"/>
      <c r="Q344" s="162"/>
      <c r="R344" s="162"/>
      <c r="S344" s="120"/>
    </row>
    <row r="345" spans="1:23" x14ac:dyDescent="0.35">
      <c r="A345" s="28">
        <v>45360</v>
      </c>
      <c r="B345" s="36"/>
      <c r="C345" s="64" t="s">
        <v>97</v>
      </c>
      <c r="D345" s="1"/>
      <c r="E345" s="1"/>
      <c r="F345" s="66"/>
      <c r="G345" s="66"/>
      <c r="H345" s="1"/>
      <c r="I345" s="1"/>
      <c r="J345" s="1"/>
      <c r="K345" s="1"/>
      <c r="L345" s="68"/>
      <c r="M345" s="68"/>
      <c r="N345" s="68"/>
      <c r="O345" s="68"/>
      <c r="P345" s="92"/>
      <c r="Q345" s="162"/>
      <c r="R345" s="162"/>
      <c r="S345" s="120"/>
    </row>
    <row r="346" spans="1:23" x14ac:dyDescent="0.35">
      <c r="A346" s="28">
        <v>45361</v>
      </c>
      <c r="B346" s="36"/>
      <c r="C346" s="64" t="s">
        <v>97</v>
      </c>
      <c r="D346" s="1"/>
      <c r="E346" s="1"/>
      <c r="F346" s="66"/>
      <c r="G346" s="66"/>
      <c r="H346" s="1"/>
      <c r="I346" s="1"/>
      <c r="J346" s="1"/>
      <c r="K346" s="1"/>
      <c r="L346" s="68"/>
      <c r="M346" s="68"/>
      <c r="N346" s="68"/>
      <c r="O346" s="68"/>
      <c r="P346" s="92"/>
      <c r="Q346" s="162"/>
      <c r="R346" s="162"/>
      <c r="S346" s="120"/>
    </row>
    <row r="347" spans="1:23" x14ac:dyDescent="0.35">
      <c r="A347" s="28">
        <v>45362</v>
      </c>
      <c r="B347" s="36"/>
      <c r="C347" s="64" t="s">
        <v>97</v>
      </c>
      <c r="D347" s="1"/>
      <c r="E347" s="1"/>
      <c r="F347" s="66"/>
      <c r="G347" s="66"/>
      <c r="H347" s="1"/>
      <c r="I347" s="1"/>
      <c r="J347" s="1"/>
      <c r="K347" s="1"/>
      <c r="L347" s="68"/>
      <c r="M347" s="68"/>
      <c r="N347" s="68"/>
      <c r="O347" s="68"/>
      <c r="P347" s="92"/>
      <c r="Q347" s="162"/>
      <c r="R347" s="162"/>
      <c r="S347" s="120"/>
    </row>
    <row r="348" spans="1:23" x14ac:dyDescent="0.35">
      <c r="A348" s="28">
        <v>45363</v>
      </c>
      <c r="B348" s="36"/>
      <c r="C348" s="64" t="s">
        <v>97</v>
      </c>
      <c r="D348" s="1"/>
      <c r="E348" s="1"/>
      <c r="F348" s="66"/>
      <c r="G348" s="66"/>
      <c r="H348" s="1"/>
      <c r="I348" s="1"/>
      <c r="J348" s="1"/>
      <c r="K348" s="1"/>
      <c r="L348" s="68"/>
      <c r="M348" s="68"/>
      <c r="N348" s="68"/>
      <c r="O348" s="68"/>
      <c r="P348" s="92"/>
      <c r="Q348" s="162"/>
      <c r="R348" s="162"/>
      <c r="S348" s="120"/>
    </row>
    <row r="349" spans="1:23" x14ac:dyDescent="0.35">
      <c r="A349" s="28">
        <v>45364</v>
      </c>
      <c r="B349" s="36"/>
      <c r="C349" s="64" t="s">
        <v>97</v>
      </c>
      <c r="D349" s="1"/>
      <c r="E349" s="1"/>
      <c r="F349" s="66"/>
      <c r="G349" s="66"/>
      <c r="H349" s="1"/>
      <c r="I349" s="1"/>
      <c r="J349" s="1"/>
      <c r="K349" s="1"/>
      <c r="L349" s="68"/>
      <c r="M349" s="68"/>
      <c r="N349" s="68"/>
      <c r="O349" s="68"/>
      <c r="P349" s="92"/>
      <c r="Q349" s="162"/>
      <c r="R349" s="162"/>
      <c r="S349" s="120"/>
    </row>
    <row r="350" spans="1:23" x14ac:dyDescent="0.35">
      <c r="A350" s="28">
        <v>45365</v>
      </c>
      <c r="B350" s="36"/>
      <c r="C350" s="64" t="s">
        <v>97</v>
      </c>
      <c r="D350" s="1"/>
      <c r="E350" s="1"/>
      <c r="F350" s="66"/>
      <c r="G350" s="66"/>
      <c r="H350" s="1"/>
      <c r="I350" s="1"/>
      <c r="J350" s="1"/>
      <c r="K350" s="1"/>
      <c r="L350" s="68"/>
      <c r="M350" s="68"/>
      <c r="N350" s="68"/>
      <c r="O350" s="68"/>
      <c r="P350" s="92"/>
      <c r="Q350" s="162"/>
      <c r="R350" s="162"/>
      <c r="S350" s="120"/>
    </row>
    <row r="351" spans="1:23" x14ac:dyDescent="0.35">
      <c r="A351" s="28">
        <v>45366</v>
      </c>
      <c r="B351" s="36"/>
      <c r="C351" s="64" t="s">
        <v>97</v>
      </c>
      <c r="D351" s="1"/>
      <c r="E351" s="1"/>
      <c r="F351" s="66"/>
      <c r="G351" s="66"/>
      <c r="H351" s="1"/>
      <c r="I351" s="1"/>
      <c r="J351" s="1"/>
      <c r="K351" s="1"/>
      <c r="L351" s="68"/>
      <c r="M351" s="68"/>
      <c r="N351" s="68"/>
      <c r="O351" s="68"/>
      <c r="P351" s="92"/>
      <c r="Q351" s="162"/>
      <c r="R351" s="162"/>
      <c r="S351" s="120"/>
    </row>
    <row r="352" spans="1:23" x14ac:dyDescent="0.35">
      <c r="A352" s="28">
        <v>45367</v>
      </c>
      <c r="B352" s="36"/>
      <c r="C352" s="64" t="s">
        <v>97</v>
      </c>
      <c r="D352" s="1"/>
      <c r="E352" s="1"/>
      <c r="F352" s="66"/>
      <c r="G352" s="66"/>
      <c r="H352" s="1"/>
      <c r="I352" s="1"/>
      <c r="J352" s="1"/>
      <c r="K352" s="1"/>
      <c r="L352" s="68"/>
      <c r="M352" s="68"/>
      <c r="N352" s="68"/>
      <c r="O352" s="68"/>
      <c r="P352" s="92"/>
      <c r="Q352" s="162"/>
      <c r="R352" s="162"/>
      <c r="S352" s="120"/>
    </row>
    <row r="353" spans="1:19" x14ac:dyDescent="0.35">
      <c r="A353" s="28">
        <v>45368</v>
      </c>
      <c r="B353" s="36"/>
      <c r="C353" s="64" t="s">
        <v>97</v>
      </c>
      <c r="D353" s="1"/>
      <c r="E353" s="1"/>
      <c r="F353" s="66"/>
      <c r="G353" s="66"/>
      <c r="H353" s="1"/>
      <c r="I353" s="1"/>
      <c r="J353" s="1"/>
      <c r="K353" s="1"/>
      <c r="L353" s="68"/>
      <c r="M353" s="68"/>
      <c r="N353" s="68"/>
      <c r="O353" s="68"/>
      <c r="P353" s="92"/>
      <c r="Q353" s="162"/>
      <c r="R353" s="162"/>
      <c r="S353" s="120"/>
    </row>
    <row r="354" spans="1:19" x14ac:dyDescent="0.35">
      <c r="A354" s="28">
        <v>45369</v>
      </c>
      <c r="B354" s="36"/>
      <c r="C354" s="64" t="s">
        <v>97</v>
      </c>
      <c r="D354" s="1"/>
      <c r="E354" s="1"/>
      <c r="F354" s="66"/>
      <c r="G354" s="66"/>
      <c r="H354" s="1"/>
      <c r="I354" s="1"/>
      <c r="J354" s="1"/>
      <c r="K354" s="1"/>
      <c r="L354" s="68"/>
      <c r="M354" s="68"/>
      <c r="N354" s="68"/>
      <c r="O354" s="68"/>
      <c r="P354" s="92"/>
      <c r="Q354" s="162"/>
      <c r="R354" s="162"/>
      <c r="S354" s="120"/>
    </row>
    <row r="355" spans="1:19" x14ac:dyDescent="0.35">
      <c r="A355" s="28">
        <v>45370</v>
      </c>
      <c r="B355" s="36"/>
      <c r="C355" s="64" t="s">
        <v>97</v>
      </c>
      <c r="D355" s="1"/>
      <c r="E355" s="1"/>
      <c r="F355" s="66"/>
      <c r="G355" s="66"/>
      <c r="H355" s="1"/>
      <c r="I355" s="1"/>
      <c r="J355" s="1"/>
      <c r="K355" s="1"/>
      <c r="L355" s="68"/>
      <c r="M355" s="68"/>
      <c r="N355" s="68"/>
      <c r="O355" s="68"/>
      <c r="P355" s="92"/>
      <c r="Q355" s="162"/>
      <c r="R355" s="162"/>
      <c r="S355" s="120"/>
    </row>
    <row r="356" spans="1:19" x14ac:dyDescent="0.35">
      <c r="A356" s="28">
        <v>45371</v>
      </c>
      <c r="B356" s="36"/>
      <c r="C356" s="64" t="s">
        <v>97</v>
      </c>
      <c r="D356" s="1"/>
      <c r="E356" s="1"/>
      <c r="F356" s="66"/>
      <c r="G356" s="66"/>
      <c r="H356" s="1"/>
      <c r="I356" s="1"/>
      <c r="J356" s="1"/>
      <c r="K356" s="1"/>
      <c r="L356" s="68"/>
      <c r="M356" s="68"/>
      <c r="N356" s="68"/>
      <c r="O356" s="68"/>
      <c r="P356" s="92"/>
      <c r="Q356" s="162"/>
      <c r="R356" s="162"/>
      <c r="S356" s="120"/>
    </row>
    <row r="357" spans="1:19" x14ac:dyDescent="0.35">
      <c r="A357" s="28">
        <v>45372</v>
      </c>
      <c r="B357" s="36"/>
      <c r="C357" s="64" t="s">
        <v>97</v>
      </c>
      <c r="D357" s="1"/>
      <c r="E357" s="1"/>
      <c r="F357" s="66"/>
      <c r="G357" s="66"/>
      <c r="H357" s="1"/>
      <c r="I357" s="1"/>
      <c r="J357" s="1"/>
      <c r="K357" s="1"/>
      <c r="L357" s="68"/>
      <c r="M357" s="68"/>
      <c r="N357" s="68"/>
      <c r="O357" s="68"/>
      <c r="P357" s="92"/>
      <c r="Q357" s="162"/>
      <c r="R357" s="162"/>
      <c r="S357" s="120"/>
    </row>
    <row r="358" spans="1:19" x14ac:dyDescent="0.35">
      <c r="A358" s="28">
        <v>45373</v>
      </c>
      <c r="B358" s="36"/>
      <c r="C358" s="64" t="s">
        <v>97</v>
      </c>
      <c r="D358" s="1"/>
      <c r="E358" s="1"/>
      <c r="F358" s="66"/>
      <c r="G358" s="66"/>
      <c r="H358" s="1"/>
      <c r="I358" s="1"/>
      <c r="J358" s="1"/>
      <c r="K358" s="1"/>
      <c r="L358" s="68"/>
      <c r="M358" s="68"/>
      <c r="N358" s="68"/>
      <c r="O358" s="68"/>
      <c r="P358" s="92"/>
      <c r="Q358" s="162"/>
      <c r="R358" s="162"/>
      <c r="S358" s="120"/>
    </row>
    <row r="359" spans="1:19" x14ac:dyDescent="0.35">
      <c r="A359" s="28">
        <v>45374</v>
      </c>
      <c r="B359" s="36"/>
      <c r="C359" s="64" t="s">
        <v>97</v>
      </c>
      <c r="D359" s="1"/>
      <c r="E359" s="1"/>
      <c r="F359" s="66"/>
      <c r="G359" s="66"/>
      <c r="H359" s="1"/>
      <c r="I359" s="1"/>
      <c r="J359" s="1"/>
      <c r="K359" s="1"/>
      <c r="L359" s="68"/>
      <c r="M359" s="68"/>
      <c r="N359" s="68"/>
      <c r="O359" s="68"/>
      <c r="P359" s="92"/>
      <c r="Q359" s="162"/>
      <c r="R359" s="162"/>
      <c r="S359" s="120"/>
    </row>
    <row r="360" spans="1:19" x14ac:dyDescent="0.35">
      <c r="A360" s="28">
        <v>45375</v>
      </c>
      <c r="B360" s="36"/>
      <c r="C360" s="64" t="s">
        <v>97</v>
      </c>
      <c r="D360" s="1"/>
      <c r="E360" s="1"/>
      <c r="F360" s="66"/>
      <c r="G360" s="66"/>
      <c r="H360" s="1"/>
      <c r="I360" s="1"/>
      <c r="J360" s="1"/>
      <c r="K360" s="1"/>
      <c r="L360" s="68"/>
      <c r="M360" s="68"/>
      <c r="N360" s="68"/>
      <c r="O360" s="68"/>
      <c r="P360" s="92"/>
      <c r="Q360" s="162"/>
      <c r="R360" s="162"/>
      <c r="S360" s="120"/>
    </row>
    <row r="361" spans="1:19" x14ac:dyDescent="0.35">
      <c r="A361" s="28">
        <v>45376</v>
      </c>
      <c r="B361" s="36"/>
      <c r="C361" s="64" t="s">
        <v>97</v>
      </c>
      <c r="D361" s="1"/>
      <c r="E361" s="1"/>
      <c r="F361" s="66"/>
      <c r="G361" s="66"/>
      <c r="H361" s="1"/>
      <c r="I361" s="1"/>
      <c r="J361" s="1"/>
      <c r="K361" s="1"/>
      <c r="L361" s="68"/>
      <c r="M361" s="68"/>
      <c r="N361" s="68"/>
      <c r="O361" s="68"/>
      <c r="P361" s="92"/>
      <c r="Q361" s="162"/>
      <c r="R361" s="162"/>
      <c r="S361" s="120"/>
    </row>
    <row r="362" spans="1:19" x14ac:dyDescent="0.35">
      <c r="A362" s="28">
        <v>45377</v>
      </c>
      <c r="B362" s="36"/>
      <c r="C362" s="64" t="s">
        <v>97</v>
      </c>
      <c r="D362" s="1"/>
      <c r="E362" s="1"/>
      <c r="F362" s="66"/>
      <c r="G362" s="66"/>
      <c r="H362" s="1"/>
      <c r="I362" s="1"/>
      <c r="J362" s="1"/>
      <c r="K362" s="1"/>
      <c r="L362" s="68"/>
      <c r="M362" s="68"/>
      <c r="N362" s="68"/>
      <c r="O362" s="68"/>
      <c r="P362" s="92"/>
      <c r="Q362" s="162"/>
      <c r="R362" s="162"/>
      <c r="S362" s="120"/>
    </row>
    <row r="363" spans="1:19" x14ac:dyDescent="0.35">
      <c r="A363" s="28">
        <v>45378</v>
      </c>
      <c r="B363" s="36"/>
      <c r="C363" s="64" t="s">
        <v>97</v>
      </c>
      <c r="D363" s="1"/>
      <c r="E363" s="1"/>
      <c r="F363" s="66"/>
      <c r="G363" s="66"/>
      <c r="H363" s="1"/>
      <c r="I363" s="1"/>
      <c r="J363" s="1"/>
      <c r="K363" s="1"/>
      <c r="L363" s="68"/>
      <c r="M363" s="68"/>
      <c r="N363" s="68"/>
      <c r="O363" s="68"/>
      <c r="P363" s="92"/>
      <c r="Q363" s="162"/>
      <c r="R363" s="162"/>
      <c r="S363" s="120"/>
    </row>
    <row r="364" spans="1:19" x14ac:dyDescent="0.35">
      <c r="A364" s="28">
        <v>45379</v>
      </c>
      <c r="B364" s="36"/>
      <c r="C364" s="64" t="s">
        <v>97</v>
      </c>
      <c r="D364" s="1"/>
      <c r="E364" s="1"/>
      <c r="F364" s="66"/>
      <c r="G364" s="66"/>
      <c r="H364" s="1"/>
      <c r="I364" s="1"/>
      <c r="J364" s="1"/>
      <c r="K364" s="1"/>
      <c r="L364" s="68"/>
      <c r="M364" s="68"/>
      <c r="N364" s="68"/>
      <c r="O364" s="68"/>
      <c r="P364" s="92"/>
      <c r="Q364" s="162"/>
      <c r="R364" s="162"/>
      <c r="S364" s="120"/>
    </row>
    <row r="365" spans="1:19" x14ac:dyDescent="0.35">
      <c r="A365" s="28">
        <v>45380</v>
      </c>
      <c r="B365" s="36"/>
      <c r="C365" s="64" t="s">
        <v>97</v>
      </c>
      <c r="D365" s="1"/>
      <c r="E365" s="1"/>
      <c r="F365" s="66"/>
      <c r="G365" s="66"/>
      <c r="H365" s="1"/>
      <c r="I365" s="1"/>
      <c r="J365" s="1"/>
      <c r="K365" s="1"/>
      <c r="L365" s="68"/>
      <c r="M365" s="68"/>
      <c r="N365" s="68"/>
      <c r="O365" s="68"/>
      <c r="P365" s="92"/>
      <c r="Q365" s="162"/>
      <c r="R365" s="162"/>
      <c r="S365" s="120"/>
    </row>
    <row r="366" spans="1:19" x14ac:dyDescent="0.35">
      <c r="A366" s="28">
        <v>45381</v>
      </c>
      <c r="B366" s="36"/>
      <c r="C366" s="64" t="s">
        <v>97</v>
      </c>
      <c r="D366" s="1"/>
      <c r="E366" s="1"/>
      <c r="F366" s="66"/>
      <c r="G366" s="66"/>
      <c r="H366" s="1"/>
      <c r="I366" s="1"/>
      <c r="J366" s="1"/>
      <c r="K366" s="1"/>
      <c r="L366" s="68"/>
      <c r="M366" s="68"/>
      <c r="N366" s="68"/>
      <c r="O366" s="68"/>
      <c r="P366" s="92"/>
      <c r="Q366" s="162"/>
      <c r="R366" s="162"/>
      <c r="S366" s="120"/>
    </row>
    <row r="367" spans="1:19" x14ac:dyDescent="0.35">
      <c r="A367" s="34">
        <v>45016</v>
      </c>
      <c r="B367" s="94"/>
      <c r="C367" s="209" t="s">
        <v>97</v>
      </c>
      <c r="D367" s="39"/>
      <c r="E367" s="39"/>
      <c r="F367" s="83"/>
      <c r="G367" s="83"/>
      <c r="H367" s="39"/>
      <c r="I367" s="39"/>
      <c r="J367" s="39"/>
      <c r="K367" s="39"/>
      <c r="L367" s="95"/>
      <c r="M367" s="95"/>
      <c r="N367" s="95"/>
      <c r="O367" s="95"/>
      <c r="P367" s="96"/>
      <c r="Q367" s="192"/>
      <c r="R367" s="210"/>
      <c r="S367" s="196"/>
    </row>
  </sheetData>
  <mergeCells count="1">
    <mergeCell ref="V152:W152"/>
  </mergeCells>
  <phoneticPr fontId="8" type="noConversion"/>
  <dataValidations count="2">
    <dataValidation type="list" allowBlank="1" showInputMessage="1" showErrorMessage="1" sqref="V110:V111" xr:uid="{950C7D0C-962F-4C65-9342-74196066FA34}">
      <formula1>period_BAR</formula1>
    </dataValidation>
    <dataValidation type="list" allowBlank="1" showInputMessage="1" showErrorMessage="1" sqref="AF3:AF4" xr:uid="{EC6F4C2C-364F-4AEE-A8B8-414469FA02EE}">
      <formula1>WoW_dates_BAR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4DC-8565-4FE9-AF44-80DC4178234A}">
  <sheetPr codeName="Sheet5"/>
  <dimension ref="A1:A6"/>
  <sheetViews>
    <sheetView workbookViewId="0">
      <selection activeCell="F20" sqref="F20"/>
    </sheetView>
  </sheetViews>
  <sheetFormatPr defaultRowHeight="14.5" x14ac:dyDescent="0.35"/>
  <cols>
    <col min="1" max="1" width="18.1796875" bestFit="1" customWidth="1"/>
  </cols>
  <sheetData>
    <row r="1" spans="1:1" x14ac:dyDescent="0.35">
      <c r="A1" t="s">
        <v>44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11</v>
      </c>
    </row>
    <row r="6" spans="1:1" x14ac:dyDescent="0.35">
      <c r="A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8B04-035F-4139-A1A3-8F10DB044943}">
  <sheetPr codeName="Sheet4"/>
  <dimension ref="E1:M3"/>
  <sheetViews>
    <sheetView workbookViewId="0">
      <selection activeCell="E1" sqref="E1:M3"/>
    </sheetView>
  </sheetViews>
  <sheetFormatPr defaultRowHeight="14.5" x14ac:dyDescent="0.35"/>
  <sheetData>
    <row r="1" spans="5:13" s="163" customFormat="1" ht="14.5" customHeight="1" x14ac:dyDescent="0.35">
      <c r="E1" s="280" t="s">
        <v>85</v>
      </c>
      <c r="F1" s="280"/>
      <c r="G1" s="280"/>
      <c r="H1" s="280"/>
      <c r="I1" s="280"/>
      <c r="J1" s="280"/>
      <c r="K1" s="280"/>
      <c r="L1" s="280"/>
      <c r="M1" s="280"/>
    </row>
    <row r="2" spans="5:13" s="163" customFormat="1" ht="14.5" customHeight="1" x14ac:dyDescent="0.35">
      <c r="E2" s="280"/>
      <c r="F2" s="280"/>
      <c r="G2" s="280"/>
      <c r="H2" s="280"/>
      <c r="I2" s="280"/>
      <c r="J2" s="280"/>
      <c r="K2" s="280"/>
      <c r="L2" s="280"/>
      <c r="M2" s="280"/>
    </row>
    <row r="3" spans="5:13" s="163" customFormat="1" ht="14.5" customHeight="1" x14ac:dyDescent="0.35">
      <c r="E3" s="280"/>
      <c r="F3" s="280"/>
      <c r="G3" s="280"/>
      <c r="H3" s="280"/>
      <c r="I3" s="280"/>
      <c r="J3" s="280"/>
      <c r="K3" s="280"/>
      <c r="L3" s="280"/>
      <c r="M3" s="280"/>
    </row>
  </sheetData>
  <mergeCells count="1">
    <mergeCell ref="E1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163</vt:i4>
      </vt:variant>
    </vt:vector>
  </HeadingPairs>
  <TitlesOfParts>
    <vt:vector size="175" baseType="lpstr">
      <vt:lpstr>Live Chat KPIs - Weekly</vt:lpstr>
      <vt:lpstr>Live Chat KPIs - Monthly</vt:lpstr>
      <vt:lpstr>Weekly_Regional</vt:lpstr>
      <vt:lpstr>Monthly_Regional</vt:lpstr>
      <vt:lpstr>Quarter_Regional</vt:lpstr>
      <vt:lpstr>OECS</vt:lpstr>
      <vt:lpstr>Guyana</vt:lpstr>
      <vt:lpstr>Jamaica</vt:lpstr>
      <vt:lpstr>Trinidad and Tobago</vt:lpstr>
      <vt:lpstr>Barbados</vt:lpstr>
      <vt:lpstr>Country_List</vt:lpstr>
      <vt:lpstr>Dashboard</vt:lpstr>
      <vt:lpstr>'Live Chat KPIs - Monthly'!ABR_BAR</vt:lpstr>
      <vt:lpstr>Quarter_Regional!ABR_BAR</vt:lpstr>
      <vt:lpstr>ABR_BAR</vt:lpstr>
      <vt:lpstr>'Live Chat KPIs - Monthly'!ABR_GUY</vt:lpstr>
      <vt:lpstr>Quarter_Regional!ABR_GUY</vt:lpstr>
      <vt:lpstr>ABR_GUY</vt:lpstr>
      <vt:lpstr>'Live Chat KPIs - Monthly'!ABR_JAM</vt:lpstr>
      <vt:lpstr>Quarter_Regional!ABR_JAM</vt:lpstr>
      <vt:lpstr>ABR_JAM</vt:lpstr>
      <vt:lpstr>'Live Chat KPIs - Monthly'!ABR_OECS</vt:lpstr>
      <vt:lpstr>Quarter_Regional!ABR_OECS</vt:lpstr>
      <vt:lpstr>ABR_OECS</vt:lpstr>
      <vt:lpstr>'Live Chat KPIs - Monthly'!ABR_TT</vt:lpstr>
      <vt:lpstr>Quarter_Regional!ABR_TT</vt:lpstr>
      <vt:lpstr>ABR_TT</vt:lpstr>
      <vt:lpstr>Quarter_Regional!ATT_BAR</vt:lpstr>
      <vt:lpstr>ATT_BAR</vt:lpstr>
      <vt:lpstr>Quarter_Regional!ATT_GUY</vt:lpstr>
      <vt:lpstr>ATT_GUY</vt:lpstr>
      <vt:lpstr>Quarter_Regional!ATT_JAM</vt:lpstr>
      <vt:lpstr>ATT_JAM</vt:lpstr>
      <vt:lpstr>Quarter_Regional!ATT_OECS</vt:lpstr>
      <vt:lpstr>ATT_OECS</vt:lpstr>
      <vt:lpstr>Quarter_Regional!ATT_TT</vt:lpstr>
      <vt:lpstr>ATT_TT</vt:lpstr>
      <vt:lpstr>'Live Chat KPIs - Monthly'!AU_BAR</vt:lpstr>
      <vt:lpstr>Quarter_Regional!AU_BAR</vt:lpstr>
      <vt:lpstr>AU_BAR</vt:lpstr>
      <vt:lpstr>'Live Chat KPIs - Monthly'!AU_GUY</vt:lpstr>
      <vt:lpstr>Quarter_Regional!AU_GUY</vt:lpstr>
      <vt:lpstr>AU_GUY</vt:lpstr>
      <vt:lpstr>'Live Chat KPIs - Monthly'!AU_JAM</vt:lpstr>
      <vt:lpstr>Quarter_Regional!AU_JAM</vt:lpstr>
      <vt:lpstr>AU_JAM</vt:lpstr>
      <vt:lpstr>'Live Chat KPIs - Monthly'!AU_OECS</vt:lpstr>
      <vt:lpstr>Quarter_Regional!AU_OECS</vt:lpstr>
      <vt:lpstr>AU_OECS</vt:lpstr>
      <vt:lpstr>'Live Chat KPIs - Monthly'!AU_TT</vt:lpstr>
      <vt:lpstr>Quarter_Regional!AU_TT</vt:lpstr>
      <vt:lpstr>AU_TT</vt:lpstr>
      <vt:lpstr>'Live Chat KPIs - Monthly'!calls_ans_BAR</vt:lpstr>
      <vt:lpstr>Quarter_Regional!calls_ans_BAR</vt:lpstr>
      <vt:lpstr>calls_ans_BAR</vt:lpstr>
      <vt:lpstr>'Live Chat KPIs - Monthly'!calls_ans_GUY</vt:lpstr>
      <vt:lpstr>Quarter_Regional!calls_ans_GUY</vt:lpstr>
      <vt:lpstr>calls_ans_GUY</vt:lpstr>
      <vt:lpstr>'Live Chat KPIs - Monthly'!calls_ans_JAM</vt:lpstr>
      <vt:lpstr>Quarter_Regional!calls_ans_JAM</vt:lpstr>
      <vt:lpstr>calls_ans_JAM</vt:lpstr>
      <vt:lpstr>'Live Chat KPIs - Monthly'!calls_ans_OECS</vt:lpstr>
      <vt:lpstr>Quarter_Regional!calls_ans_OECS</vt:lpstr>
      <vt:lpstr>calls_ans_OECS</vt:lpstr>
      <vt:lpstr>'Live Chat KPIs - Monthly'!calls_ans_TT</vt:lpstr>
      <vt:lpstr>Quarter_Regional!calls_ans_TT</vt:lpstr>
      <vt:lpstr>calls_ans_TT</vt:lpstr>
      <vt:lpstr>'Live Chat KPIs - Monthly'!calls_off_BAR</vt:lpstr>
      <vt:lpstr>Quarter_Regional!calls_off_BAR</vt:lpstr>
      <vt:lpstr>calls_off_BAR</vt:lpstr>
      <vt:lpstr>'Live Chat KPIs - Monthly'!calls_off_GUY</vt:lpstr>
      <vt:lpstr>Quarter_Regional!calls_off_GUY</vt:lpstr>
      <vt:lpstr>calls_off_GUY</vt:lpstr>
      <vt:lpstr>'Live Chat KPIs - Monthly'!calls_off_JAM</vt:lpstr>
      <vt:lpstr>Quarter_Regional!calls_off_JAM</vt:lpstr>
      <vt:lpstr>calls_off_JAM</vt:lpstr>
      <vt:lpstr>'Live Chat KPIs - Monthly'!calls_off_OECS</vt:lpstr>
      <vt:lpstr>Quarter_Regional!calls_off_OECS</vt:lpstr>
      <vt:lpstr>calls_off_OECS</vt:lpstr>
      <vt:lpstr>'Live Chat KPIs - Monthly'!calls_off_TT</vt:lpstr>
      <vt:lpstr>Quarter_Regional!calls_off_TT</vt:lpstr>
      <vt:lpstr>calls_off_TT</vt:lpstr>
      <vt:lpstr>'Live Chat KPIs - Monthly'!percent_WoW_ans_BAR</vt:lpstr>
      <vt:lpstr>Quarter_Regional!percent_WoW_ans_BAR</vt:lpstr>
      <vt:lpstr>percent_WoW_ans_BAR</vt:lpstr>
      <vt:lpstr>'Live Chat KPIs - Monthly'!percent_WoW_ans_GUY</vt:lpstr>
      <vt:lpstr>Quarter_Regional!percent_WoW_ans_GUY</vt:lpstr>
      <vt:lpstr>percent_WoW_ans_GUY</vt:lpstr>
      <vt:lpstr>'Live Chat KPIs - Monthly'!percent_WoW_ans_JAM</vt:lpstr>
      <vt:lpstr>Quarter_Regional!percent_WoW_ans_JAM</vt:lpstr>
      <vt:lpstr>percent_WoW_ans_JAM</vt:lpstr>
      <vt:lpstr>'Live Chat KPIs - Monthly'!percent_WoW_ans_OECS</vt:lpstr>
      <vt:lpstr>Quarter_Regional!percent_WoW_ans_OECS</vt:lpstr>
      <vt:lpstr>percent_WoW_ans_OECS</vt:lpstr>
      <vt:lpstr>'Live Chat KPIs - Monthly'!percent_WoW_ans_TT</vt:lpstr>
      <vt:lpstr>Quarter_Regional!percent_WoW_ans_TT</vt:lpstr>
      <vt:lpstr>percent_WoW_ans_TT</vt:lpstr>
      <vt:lpstr>'Live Chat KPIs - Monthly'!percent_WoW_off_BAR</vt:lpstr>
      <vt:lpstr>Quarter_Regional!percent_WoW_off_BAR</vt:lpstr>
      <vt:lpstr>percent_WoW_off_BAR</vt:lpstr>
      <vt:lpstr>'Live Chat KPIs - Monthly'!percent_WoW_off_GUY</vt:lpstr>
      <vt:lpstr>Quarter_Regional!percent_WoW_off_GUY</vt:lpstr>
      <vt:lpstr>percent_WoW_off_GUY</vt:lpstr>
      <vt:lpstr>'Live Chat KPIs - Monthly'!percent_WoW_off_JAM</vt:lpstr>
      <vt:lpstr>Quarter_Regional!percent_WoW_off_JAM</vt:lpstr>
      <vt:lpstr>percent_WoW_off_JAM</vt:lpstr>
      <vt:lpstr>'Live Chat KPIs - Monthly'!percent_WoW_off_OECS</vt:lpstr>
      <vt:lpstr>Quarter_Regional!percent_WoW_off_OECS</vt:lpstr>
      <vt:lpstr>percent_WoW_off_OECS</vt:lpstr>
      <vt:lpstr>'Live Chat KPIs - Monthly'!percent_WoW_off_TT</vt:lpstr>
      <vt:lpstr>Quarter_Regional!percent_WoW_off_TT</vt:lpstr>
      <vt:lpstr>percent_WoW_off_TT</vt:lpstr>
      <vt:lpstr>'Live Chat KPIs - Monthly'!period_BAR</vt:lpstr>
      <vt:lpstr>Quarter_Regional!period_BAR</vt:lpstr>
      <vt:lpstr>period_BAR</vt:lpstr>
      <vt:lpstr>'Live Chat KPIs - Monthly'!period_BAR_WFM</vt:lpstr>
      <vt:lpstr>Quarter_Regional!period_BAR_WFM</vt:lpstr>
      <vt:lpstr>period_BAR_WFM</vt:lpstr>
      <vt:lpstr>'Live Chat KPIs - Monthly'!period_GUY</vt:lpstr>
      <vt:lpstr>Quarter_Regional!period_GUY</vt:lpstr>
      <vt:lpstr>period_GUY</vt:lpstr>
      <vt:lpstr>'Live Chat KPIs - Monthly'!period_GUY_WF</vt:lpstr>
      <vt:lpstr>Quarter_Regional!period_GUY_WF</vt:lpstr>
      <vt:lpstr>period_GUY_WF</vt:lpstr>
      <vt:lpstr>'Live Chat KPIs - Monthly'!period_JAM</vt:lpstr>
      <vt:lpstr>Quarter_Regional!period_JAM</vt:lpstr>
      <vt:lpstr>period_JAM</vt:lpstr>
      <vt:lpstr>'Live Chat KPIs - Monthly'!period_JAM_WFM</vt:lpstr>
      <vt:lpstr>Quarter_Regional!period_JAM_WFM</vt:lpstr>
      <vt:lpstr>period_JAM_WFM</vt:lpstr>
      <vt:lpstr>'Live Chat KPIs - Monthly'!period_OECS</vt:lpstr>
      <vt:lpstr>Quarter_Regional!period_OECS</vt:lpstr>
      <vt:lpstr>period_OECS</vt:lpstr>
      <vt:lpstr>'Live Chat KPIs - Monthly'!period_TT</vt:lpstr>
      <vt:lpstr>Quarter_Regional!period_TT</vt:lpstr>
      <vt:lpstr>period_TT</vt:lpstr>
      <vt:lpstr>'Live Chat KPIs - Monthly'!period_TT_WFM</vt:lpstr>
      <vt:lpstr>Quarter_Regional!period_TT_WFM</vt:lpstr>
      <vt:lpstr>period_TT_WFM</vt:lpstr>
      <vt:lpstr>'Live Chat KPIs - Monthly'!SL_BAR</vt:lpstr>
      <vt:lpstr>Quarter_Regional!SL_BAR</vt:lpstr>
      <vt:lpstr>SL_BAR</vt:lpstr>
      <vt:lpstr>'Live Chat KPIs - Monthly'!SL_GUY</vt:lpstr>
      <vt:lpstr>Quarter_Regional!SL_GUY</vt:lpstr>
      <vt:lpstr>SL_GUY</vt:lpstr>
      <vt:lpstr>'Live Chat KPIs - Monthly'!SL_JAM</vt:lpstr>
      <vt:lpstr>Quarter_Regional!SL_JAM</vt:lpstr>
      <vt:lpstr>SL_JAM</vt:lpstr>
      <vt:lpstr>'Live Chat KPIs - Monthly'!SL_OECS</vt:lpstr>
      <vt:lpstr>Quarter_Regional!SL_OECS</vt:lpstr>
      <vt:lpstr>SL_OECS</vt:lpstr>
      <vt:lpstr>'Live Chat KPIs - Monthly'!SL_TT</vt:lpstr>
      <vt:lpstr>Quarter_Regional!SL_TT</vt:lpstr>
      <vt:lpstr>SL_TT</vt:lpstr>
      <vt:lpstr>'Live Chat KPIs - Monthly'!WoW_calls_ans</vt:lpstr>
      <vt:lpstr>Quarter_Regional!WoW_calls_ans</vt:lpstr>
      <vt:lpstr>WoW_calls_ans</vt:lpstr>
      <vt:lpstr>'Live Chat KPIs - Monthly'!WoW_calls_off</vt:lpstr>
      <vt:lpstr>Quarter_Regional!WoW_calls_off</vt:lpstr>
      <vt:lpstr>WoW_calls_off</vt:lpstr>
      <vt:lpstr>'Live Chat KPIs - Monthly'!WoW_dates_BAR</vt:lpstr>
      <vt:lpstr>Quarter_Regional!WoW_dates_BAR</vt:lpstr>
      <vt:lpstr>WoW_dates_BAR</vt:lpstr>
      <vt:lpstr>'Live Chat KPIs - Monthly'!WoW_dates_GUY</vt:lpstr>
      <vt:lpstr>Quarter_Regional!WoW_dates_GUY</vt:lpstr>
      <vt:lpstr>WoW_dates_GUY</vt:lpstr>
      <vt:lpstr>'Live Chat KPIs - Monthly'!WoW_dates_JAM</vt:lpstr>
      <vt:lpstr>Quarter_Regional!WoW_dates_JAM</vt:lpstr>
      <vt:lpstr>WoW_dates_JAM</vt:lpstr>
      <vt:lpstr>'Live Chat KPIs - Monthly'!WoW_dates_OECS</vt:lpstr>
      <vt:lpstr>Quarter_Regional!WoW_dates_OECS</vt:lpstr>
      <vt:lpstr>WoW_dates_OECS</vt:lpstr>
      <vt:lpstr>'Live Chat KPIs - Monthly'!WoW_dates_TT</vt:lpstr>
      <vt:lpstr>Quarter_Regional!WoW_dates_TT</vt:lpstr>
      <vt:lpstr>WoW_dates_TT</vt:lpstr>
    </vt:vector>
  </TitlesOfParts>
  <Company>Unicomer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Shaw</dc:creator>
  <cp:lastModifiedBy>Roy Shaw</cp:lastModifiedBy>
  <dcterms:created xsi:type="dcterms:W3CDTF">2021-11-19T18:50:18Z</dcterms:created>
  <dcterms:modified xsi:type="dcterms:W3CDTF">2023-07-18T18:37:44Z</dcterms:modified>
</cp:coreProperties>
</file>