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7"/>
  </bookViews>
  <sheets>
    <sheet name="流量计算" sheetId="1" r:id="rId1"/>
    <sheet name="设计流量计算" sheetId="2" r:id="rId2"/>
    <sheet name="污水干管主干管水力计算" sheetId="3" r:id="rId3"/>
    <sheet name="雨水干管的水力计算" sheetId="4" r:id="rId4"/>
    <sheet name="汇水面积计算表" sheetId="5" r:id="rId5"/>
    <sheet name="构筑物水头损失" sheetId="6" r:id="rId6"/>
    <sheet name="水头损失" sheetId="7" r:id="rId7"/>
    <sheet name="标高" sheetId="8" r:id="rId8"/>
    <sheet name="Sheet1" sheetId="9" r:id="rId9"/>
  </sheets>
  <calcPr calcId="144525"/>
</workbook>
</file>

<file path=xl/calcChain.xml><?xml version="1.0" encoding="utf-8"?>
<calcChain xmlns="http://schemas.openxmlformats.org/spreadsheetml/2006/main">
  <c r="C8" i="8" l="1"/>
  <c r="C6" i="8"/>
  <c r="C4" i="8"/>
  <c r="C2" i="8"/>
  <c r="G4" i="7"/>
  <c r="G5" i="7"/>
  <c r="G6" i="7"/>
  <c r="G3" i="7"/>
  <c r="D11" i="8" l="1"/>
  <c r="O24" i="3" l="1"/>
  <c r="E11" i="8" l="1"/>
  <c r="D3" i="8"/>
  <c r="C3" i="8" s="1"/>
  <c r="D4" i="8" s="1"/>
  <c r="H4" i="7"/>
  <c r="I4" i="7" s="1"/>
  <c r="H5" i="7"/>
  <c r="I5" i="7" s="1"/>
  <c r="H6" i="7"/>
  <c r="I6" i="7" s="1"/>
  <c r="H3" i="7"/>
  <c r="I3" i="7" s="1"/>
  <c r="D5" i="8" l="1"/>
  <c r="C5" i="8" s="1"/>
  <c r="E5" i="8" s="1"/>
  <c r="E3" i="8"/>
  <c r="C10" i="8"/>
  <c r="H24" i="3"/>
  <c r="H25" i="3"/>
  <c r="H26" i="3"/>
  <c r="D6" i="8" l="1"/>
  <c r="Q27" i="4"/>
  <c r="X27" i="4"/>
  <c r="N27" i="4"/>
  <c r="O27" i="4"/>
  <c r="M27" i="4" s="1"/>
  <c r="P27" i="4" s="1"/>
  <c r="O4" i="3"/>
  <c r="D7" i="8" l="1"/>
  <c r="C7" i="8" s="1"/>
  <c r="E27" i="4"/>
  <c r="I27" i="3"/>
  <c r="J27" i="3"/>
  <c r="H27" i="3" s="1"/>
  <c r="O27" i="3"/>
  <c r="Q27" i="3"/>
  <c r="S27" i="3" s="1"/>
  <c r="L27" i="3"/>
  <c r="F27" i="3"/>
  <c r="U27" i="3"/>
  <c r="C45" i="1"/>
  <c r="D45" i="1" s="1"/>
  <c r="D8" i="8" l="1"/>
  <c r="E7" i="8"/>
  <c r="K27" i="3"/>
  <c r="P27" i="3"/>
  <c r="R27" i="3"/>
  <c r="T27" i="3" s="1"/>
  <c r="I5" i="4"/>
  <c r="D9" i="8" l="1"/>
  <c r="C9" i="8" s="1"/>
  <c r="X26" i="4"/>
  <c r="N25" i="4"/>
  <c r="O25" i="4"/>
  <c r="M25" i="4" s="1"/>
  <c r="Q25" i="4"/>
  <c r="N26" i="4"/>
  <c r="O26" i="4"/>
  <c r="M26" i="4" s="1"/>
  <c r="P26" i="4" s="1"/>
  <c r="Q26" i="4"/>
  <c r="N24" i="4"/>
  <c r="O24" i="4"/>
  <c r="M24" i="4" s="1"/>
  <c r="E24" i="4" s="1"/>
  <c r="Q24" i="4"/>
  <c r="X22" i="4"/>
  <c r="Q23" i="4"/>
  <c r="N23" i="4"/>
  <c r="O23" i="4"/>
  <c r="M23" i="4" s="1"/>
  <c r="E23" i="4" s="1"/>
  <c r="X21" i="4"/>
  <c r="M22" i="4"/>
  <c r="P22" i="4" s="1"/>
  <c r="N22" i="4"/>
  <c r="O22" i="4"/>
  <c r="Q22" i="4"/>
  <c r="Q21" i="4"/>
  <c r="N21" i="4"/>
  <c r="O21" i="4"/>
  <c r="M21" i="4" s="1"/>
  <c r="E21" i="4" s="1"/>
  <c r="Q20" i="4"/>
  <c r="N20" i="4"/>
  <c r="O20" i="4"/>
  <c r="M20" i="4" s="1"/>
  <c r="E20" i="4" s="1"/>
  <c r="X17" i="4"/>
  <c r="X18" i="4"/>
  <c r="N17" i="4"/>
  <c r="O17" i="4"/>
  <c r="M17" i="4" s="1"/>
  <c r="E17" i="4" s="1"/>
  <c r="Q17" i="4"/>
  <c r="N18" i="4"/>
  <c r="O18" i="4"/>
  <c r="M18" i="4" s="1"/>
  <c r="Q18" i="4"/>
  <c r="N19" i="4"/>
  <c r="O19" i="4"/>
  <c r="M19" i="4" s="1"/>
  <c r="E19" i="4" s="1"/>
  <c r="Q19" i="4"/>
  <c r="M16" i="4"/>
  <c r="E16" i="4" s="1"/>
  <c r="Q16" i="4"/>
  <c r="N16" i="4"/>
  <c r="O16" i="4"/>
  <c r="S14" i="4"/>
  <c r="X14" i="4" s="1"/>
  <c r="N15" i="4"/>
  <c r="O15" i="4"/>
  <c r="M15" i="4" s="1"/>
  <c r="P15" i="4" s="1"/>
  <c r="Q15" i="4"/>
  <c r="Q14" i="4"/>
  <c r="N14" i="4"/>
  <c r="O14" i="4"/>
  <c r="M14" i="4" s="1"/>
  <c r="E14" i="4" s="1"/>
  <c r="N13" i="4"/>
  <c r="O13" i="4"/>
  <c r="M13" i="4" s="1"/>
  <c r="E13" i="4" s="1"/>
  <c r="Q13" i="4"/>
  <c r="X10" i="4"/>
  <c r="Q12" i="4"/>
  <c r="N12" i="4"/>
  <c r="O12" i="4"/>
  <c r="M12" i="4" s="1"/>
  <c r="E12" i="4" s="1"/>
  <c r="Q11" i="4"/>
  <c r="N11" i="4"/>
  <c r="O11" i="4"/>
  <c r="M11" i="4" s="1"/>
  <c r="E11" i="4" s="1"/>
  <c r="T10" i="4"/>
  <c r="Q10" i="4"/>
  <c r="N10" i="4"/>
  <c r="O10" i="4"/>
  <c r="M10" i="4" s="1"/>
  <c r="E10" i="4" s="1"/>
  <c r="Q9" i="4"/>
  <c r="N9" i="4"/>
  <c r="O9" i="4"/>
  <c r="M9" i="4" s="1"/>
  <c r="E9" i="4" s="1"/>
  <c r="N8" i="4"/>
  <c r="O8" i="4"/>
  <c r="M8" i="4" s="1"/>
  <c r="E8" i="4" s="1"/>
  <c r="Q8" i="4"/>
  <c r="N7" i="4"/>
  <c r="O7" i="4"/>
  <c r="M7" i="4" s="1"/>
  <c r="E7" i="4" s="1"/>
  <c r="Q7" i="4"/>
  <c r="N6" i="4"/>
  <c r="O6" i="4"/>
  <c r="M6" i="4" s="1"/>
  <c r="E6" i="4" s="1"/>
  <c r="Q6" i="4"/>
  <c r="S26" i="4"/>
  <c r="S25" i="4"/>
  <c r="X25" i="4" s="1"/>
  <c r="S24" i="4"/>
  <c r="X24" i="4" s="1"/>
  <c r="S23" i="4"/>
  <c r="X23" i="4" s="1"/>
  <c r="S22" i="4"/>
  <c r="S21" i="4"/>
  <c r="S20" i="4"/>
  <c r="X20" i="4" s="1"/>
  <c r="S19" i="4"/>
  <c r="X19" i="4" s="1"/>
  <c r="S18" i="4"/>
  <c r="S17" i="4"/>
  <c r="S16" i="4"/>
  <c r="X16" i="4" s="1"/>
  <c r="S15" i="4"/>
  <c r="X15" i="4" s="1"/>
  <c r="S13" i="4"/>
  <c r="X13" i="4" s="1"/>
  <c r="S12" i="4"/>
  <c r="R12" i="4"/>
  <c r="X12" i="4" s="1"/>
  <c r="R11" i="4"/>
  <c r="X11" i="4" s="1"/>
  <c r="S9" i="4"/>
  <c r="X9" i="4" s="1"/>
  <c r="S8" i="4"/>
  <c r="X8" i="4" s="1"/>
  <c r="S7" i="4"/>
  <c r="X7" i="4" s="1"/>
  <c r="S6" i="4"/>
  <c r="X6" i="4" s="1"/>
  <c r="S5" i="4"/>
  <c r="E9" i="8" l="1"/>
  <c r="D10" i="8"/>
  <c r="E10" i="8" s="1"/>
  <c r="E22" i="4"/>
  <c r="U10" i="4"/>
  <c r="W10" i="4" s="1"/>
  <c r="E15" i="4"/>
  <c r="E26" i="4"/>
  <c r="P25" i="4"/>
  <c r="E25" i="4"/>
  <c r="P24" i="4"/>
  <c r="P23" i="4"/>
  <c r="P21" i="4"/>
  <c r="P20" i="4"/>
  <c r="P19" i="4"/>
  <c r="E18" i="4"/>
  <c r="P18" i="4"/>
  <c r="P17" i="4"/>
  <c r="P16" i="4"/>
  <c r="P14" i="4"/>
  <c r="P13" i="4"/>
  <c r="P12" i="4"/>
  <c r="P11" i="4"/>
  <c r="P10" i="4"/>
  <c r="P9" i="4"/>
  <c r="P8" i="4"/>
  <c r="P7" i="4"/>
  <c r="P6" i="4"/>
  <c r="Q9" i="3"/>
  <c r="T11" i="4" l="1"/>
  <c r="U11" i="4" s="1"/>
  <c r="W11" i="4" s="1"/>
  <c r="N8" i="3"/>
  <c r="U8" i="3"/>
  <c r="O26" i="3"/>
  <c r="P26" i="3"/>
  <c r="R26" i="3" s="1"/>
  <c r="T26" i="3" s="1"/>
  <c r="Q26" i="3"/>
  <c r="S26" i="3" s="1"/>
  <c r="U26" i="3"/>
  <c r="I26" i="3"/>
  <c r="J26" i="3"/>
  <c r="K26" i="3" s="1"/>
  <c r="L26" i="3"/>
  <c r="F26" i="3"/>
  <c r="S25" i="3"/>
  <c r="T25" i="3"/>
  <c r="U25" i="3"/>
  <c r="Q25" i="3"/>
  <c r="P25" i="3"/>
  <c r="R25" i="3" s="1"/>
  <c r="O25" i="3"/>
  <c r="I25" i="3"/>
  <c r="J25" i="3"/>
  <c r="K25" i="3" s="1"/>
  <c r="L25" i="3"/>
  <c r="F25" i="3"/>
  <c r="Q24" i="3"/>
  <c r="U24" i="3"/>
  <c r="I24" i="3"/>
  <c r="J24" i="3"/>
  <c r="L24" i="3"/>
  <c r="F24" i="3"/>
  <c r="O23" i="3"/>
  <c r="P23" i="3" s="1"/>
  <c r="U23" i="3"/>
  <c r="I23" i="3"/>
  <c r="J23" i="3"/>
  <c r="H23" i="3" s="1"/>
  <c r="K23" i="3" s="1"/>
  <c r="L23" i="3"/>
  <c r="F23" i="3"/>
  <c r="Q23" i="3" s="1"/>
  <c r="S23" i="3" s="1"/>
  <c r="O22" i="3"/>
  <c r="Q22" i="3"/>
  <c r="S22" i="3" s="1"/>
  <c r="U22" i="3"/>
  <c r="H22" i="3"/>
  <c r="K22" i="3" s="1"/>
  <c r="L22" i="3"/>
  <c r="F22" i="3"/>
  <c r="I22" i="3"/>
  <c r="J22" i="3"/>
  <c r="U21" i="3"/>
  <c r="Q21" i="3"/>
  <c r="S21" i="3" s="1"/>
  <c r="O21" i="3"/>
  <c r="I21" i="3"/>
  <c r="J21" i="3"/>
  <c r="H21" i="3" s="1"/>
  <c r="K21" i="3" s="1"/>
  <c r="L21" i="3"/>
  <c r="F21" i="3"/>
  <c r="Q20" i="3"/>
  <c r="U20" i="3"/>
  <c r="L20" i="3"/>
  <c r="F20" i="3"/>
  <c r="S20" i="3" s="1"/>
  <c r="I20" i="3"/>
  <c r="J20" i="3"/>
  <c r="H20" i="3" s="1"/>
  <c r="K20" i="3" s="1"/>
  <c r="L8" i="3"/>
  <c r="J8" i="3"/>
  <c r="H8" i="3" s="1"/>
  <c r="I8" i="3"/>
  <c r="F8" i="3"/>
  <c r="N7" i="3"/>
  <c r="U7" i="3" s="1"/>
  <c r="L7" i="3"/>
  <c r="J7" i="3"/>
  <c r="I7" i="3"/>
  <c r="K7" i="3" s="1"/>
  <c r="H7" i="3"/>
  <c r="F7" i="3"/>
  <c r="N6" i="3"/>
  <c r="U6" i="3" s="1"/>
  <c r="L6" i="3"/>
  <c r="J6" i="3"/>
  <c r="H6" i="3" s="1"/>
  <c r="I6" i="3"/>
  <c r="F6" i="3"/>
  <c r="N5" i="3"/>
  <c r="U5" i="3" s="1"/>
  <c r="L5" i="3"/>
  <c r="J5" i="3"/>
  <c r="H5" i="3" s="1"/>
  <c r="I5" i="3"/>
  <c r="K5" i="3" s="1"/>
  <c r="F5" i="3"/>
  <c r="Q4" i="3"/>
  <c r="R4" i="3" s="1"/>
  <c r="N4" i="3"/>
  <c r="U4" i="3" s="1"/>
  <c r="L4" i="3"/>
  <c r="J4" i="3"/>
  <c r="I4" i="3"/>
  <c r="H4" i="3"/>
  <c r="F4" i="3"/>
  <c r="T12" i="4" l="1"/>
  <c r="U12" i="4" s="1"/>
  <c r="T13" i="4" s="1"/>
  <c r="V13" i="4" s="1"/>
  <c r="V11" i="4"/>
  <c r="K8" i="3"/>
  <c r="P24" i="3"/>
  <c r="R24" i="3" s="1"/>
  <c r="T24" i="3" s="1"/>
  <c r="S24" i="3"/>
  <c r="K24" i="3"/>
  <c r="R23" i="3"/>
  <c r="T23" i="3" s="1"/>
  <c r="P22" i="3"/>
  <c r="R22" i="3" s="1"/>
  <c r="T22" i="3" s="1"/>
  <c r="P21" i="3"/>
  <c r="R21" i="3" s="1"/>
  <c r="T21" i="3" s="1"/>
  <c r="O20" i="3"/>
  <c r="P20" i="3" s="1"/>
  <c r="R20" i="3" s="1"/>
  <c r="T20" i="3" s="1"/>
  <c r="K4" i="3"/>
  <c r="K6" i="3"/>
  <c r="P4" i="3"/>
  <c r="O5" i="3" s="1"/>
  <c r="T4" i="3"/>
  <c r="F14" i="3"/>
  <c r="L10" i="3"/>
  <c r="L19" i="3"/>
  <c r="F19" i="3"/>
  <c r="I19" i="3"/>
  <c r="J19" i="3"/>
  <c r="H19" i="3" s="1"/>
  <c r="K19" i="3" s="1"/>
  <c r="N18" i="3"/>
  <c r="U18" i="3" s="1"/>
  <c r="N19" i="3"/>
  <c r="U19" i="3" s="1"/>
  <c r="N20" i="3"/>
  <c r="N21" i="3"/>
  <c r="N22" i="3"/>
  <c r="N23" i="3"/>
  <c r="N24" i="3"/>
  <c r="N25" i="3"/>
  <c r="N26" i="3"/>
  <c r="N17" i="3"/>
  <c r="N16" i="3"/>
  <c r="U16" i="3" s="1"/>
  <c r="U17" i="3"/>
  <c r="F17" i="3"/>
  <c r="I17" i="3"/>
  <c r="J17" i="3"/>
  <c r="H17" i="3" s="1"/>
  <c r="L17" i="3"/>
  <c r="F18" i="3"/>
  <c r="I18" i="3"/>
  <c r="J18" i="3"/>
  <c r="H18" i="3" s="1"/>
  <c r="L18" i="3"/>
  <c r="L16" i="3"/>
  <c r="F16" i="3"/>
  <c r="I16" i="3"/>
  <c r="J16" i="3"/>
  <c r="H16" i="3" s="1"/>
  <c r="L15" i="3"/>
  <c r="F15" i="3"/>
  <c r="I15" i="3"/>
  <c r="J15" i="3"/>
  <c r="H15" i="3" s="1"/>
  <c r="I14" i="3"/>
  <c r="J14" i="3"/>
  <c r="H14" i="3" s="1"/>
  <c r="L14" i="3"/>
  <c r="N14" i="3"/>
  <c r="U14" i="3" s="1"/>
  <c r="F13" i="3"/>
  <c r="I13" i="3"/>
  <c r="J13" i="3"/>
  <c r="H13" i="3" s="1"/>
  <c r="L13" i="3"/>
  <c r="F12" i="3"/>
  <c r="I12" i="3"/>
  <c r="J12" i="3"/>
  <c r="H12" i="3" s="1"/>
  <c r="L12" i="3"/>
  <c r="N15" i="3"/>
  <c r="U15" i="3" s="1"/>
  <c r="N13" i="3"/>
  <c r="U13" i="3" s="1"/>
  <c r="N12" i="3"/>
  <c r="N11" i="3"/>
  <c r="M11" i="3"/>
  <c r="M10" i="3"/>
  <c r="U12" i="3"/>
  <c r="X5" i="4"/>
  <c r="T5" i="4"/>
  <c r="Q5" i="4"/>
  <c r="O5" i="4"/>
  <c r="M5" i="4" s="1"/>
  <c r="E5" i="4" s="1"/>
  <c r="D6" i="4" s="1"/>
  <c r="I6" i="4" s="1"/>
  <c r="N5" i="4"/>
  <c r="J5" i="4"/>
  <c r="L11" i="3"/>
  <c r="J11" i="3"/>
  <c r="H11" i="3" s="1"/>
  <c r="I11" i="3"/>
  <c r="F11" i="3"/>
  <c r="U10" i="3"/>
  <c r="J10" i="3"/>
  <c r="H10" i="3" s="1"/>
  <c r="I10" i="3"/>
  <c r="F10" i="3"/>
  <c r="U9" i="3"/>
  <c r="L9" i="3"/>
  <c r="J9" i="3"/>
  <c r="H9" i="3" s="1"/>
  <c r="I9" i="3"/>
  <c r="F9" i="3"/>
  <c r="H11" i="2"/>
  <c r="I11" i="2" s="1"/>
  <c r="L11" i="2" s="1"/>
  <c r="K21" i="2"/>
  <c r="K22" i="2" s="1"/>
  <c r="K23" i="2" s="1"/>
  <c r="K24" i="2" s="1"/>
  <c r="K26" i="2" s="1"/>
  <c r="D5" i="2"/>
  <c r="E5" i="2" s="1"/>
  <c r="G5" i="2" s="1"/>
  <c r="E4" i="2"/>
  <c r="G4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3" i="1"/>
  <c r="U13" i="4" l="1"/>
  <c r="W13" i="4" s="1"/>
  <c r="V12" i="4"/>
  <c r="W12" i="4"/>
  <c r="J6" i="4"/>
  <c r="D7" i="4"/>
  <c r="I7" i="4" s="1"/>
  <c r="U5" i="4"/>
  <c r="P5" i="3"/>
  <c r="Q5" i="3"/>
  <c r="S5" i="3" s="1"/>
  <c r="K17" i="3"/>
  <c r="K9" i="3"/>
  <c r="K16" i="3"/>
  <c r="K15" i="3"/>
  <c r="K12" i="3"/>
  <c r="K18" i="3"/>
  <c r="K14" i="3"/>
  <c r="K13" i="3"/>
  <c r="K10" i="3"/>
  <c r="K25" i="2"/>
  <c r="O9" i="3"/>
  <c r="P9" i="3" s="1"/>
  <c r="O10" i="3" s="1"/>
  <c r="P10" i="3" s="1"/>
  <c r="O11" i="3" s="1"/>
  <c r="P11" i="3" s="1"/>
  <c r="O12" i="3" s="1"/>
  <c r="P5" i="4"/>
  <c r="K11" i="3"/>
  <c r="R9" i="3"/>
  <c r="U11" i="3"/>
  <c r="H4" i="2"/>
  <c r="I4" i="2" s="1"/>
  <c r="L4" i="2" s="1"/>
  <c r="D6" i="2"/>
  <c r="D7" i="2" s="1"/>
  <c r="E7" i="2" s="1"/>
  <c r="G7" i="2" s="1"/>
  <c r="H5" i="2"/>
  <c r="I5" i="2" s="1"/>
  <c r="L5" i="2" s="1"/>
  <c r="T14" i="4" l="1"/>
  <c r="U14" i="4" s="1"/>
  <c r="E6" i="2"/>
  <c r="G6" i="2" s="1"/>
  <c r="W5" i="4"/>
  <c r="T6" i="4"/>
  <c r="J7" i="4"/>
  <c r="D8" i="4"/>
  <c r="I8" i="4" s="1"/>
  <c r="R5" i="3"/>
  <c r="T5" i="3" s="1"/>
  <c r="O6" i="3"/>
  <c r="Q10" i="3"/>
  <c r="R10" i="3"/>
  <c r="Q11" i="3"/>
  <c r="R11" i="3"/>
  <c r="Q12" i="3"/>
  <c r="S12" i="3" s="1"/>
  <c r="P12" i="3"/>
  <c r="T9" i="3"/>
  <c r="D8" i="2"/>
  <c r="E8" i="2" s="1"/>
  <c r="G8" i="2" s="1"/>
  <c r="H6" i="2"/>
  <c r="I6" i="2" s="1"/>
  <c r="L6" i="2" s="1"/>
  <c r="H7" i="2"/>
  <c r="I7" i="2" s="1"/>
  <c r="L7" i="2" s="1"/>
  <c r="V14" i="4" l="1"/>
  <c r="W14" i="4"/>
  <c r="T15" i="4"/>
  <c r="V6" i="4"/>
  <c r="U6" i="4"/>
  <c r="J8" i="4"/>
  <c r="D9" i="4"/>
  <c r="I9" i="4" s="1"/>
  <c r="Q6" i="3"/>
  <c r="S6" i="3" s="1"/>
  <c r="P6" i="3"/>
  <c r="R12" i="3"/>
  <c r="T12" i="3" s="1"/>
  <c r="O13" i="3"/>
  <c r="T11" i="3"/>
  <c r="S11" i="3"/>
  <c r="T10" i="3"/>
  <c r="S10" i="3"/>
  <c r="D9" i="2"/>
  <c r="D10" i="2" s="1"/>
  <c r="H8" i="2"/>
  <c r="I8" i="2" s="1"/>
  <c r="L8" i="2" s="1"/>
  <c r="U15" i="4" l="1"/>
  <c r="V15" i="4"/>
  <c r="J9" i="4"/>
  <c r="D10" i="4"/>
  <c r="I10" i="4" s="1"/>
  <c r="T7" i="4"/>
  <c r="W6" i="4"/>
  <c r="O7" i="3"/>
  <c r="R6" i="3"/>
  <c r="T6" i="3" s="1"/>
  <c r="P13" i="3"/>
  <c r="Q13" i="3"/>
  <c r="S13" i="3" s="1"/>
  <c r="D12" i="2"/>
  <c r="D13" i="2" s="1"/>
  <c r="D14" i="2" s="1"/>
  <c r="D15" i="2" s="1"/>
  <c r="D16" i="2" s="1"/>
  <c r="D11" i="2"/>
  <c r="E11" i="2" s="1"/>
  <c r="E9" i="2"/>
  <c r="G9" i="2" s="1"/>
  <c r="H9" i="2" s="1"/>
  <c r="I9" i="2" s="1"/>
  <c r="L9" i="2" s="1"/>
  <c r="E10" i="2"/>
  <c r="G10" i="2" s="1"/>
  <c r="W15" i="4" l="1"/>
  <c r="T16" i="4"/>
  <c r="J10" i="4"/>
  <c r="D11" i="4"/>
  <c r="I11" i="4" s="1"/>
  <c r="V7" i="4"/>
  <c r="U7" i="4"/>
  <c r="Q7" i="3"/>
  <c r="S7" i="3" s="1"/>
  <c r="P7" i="3"/>
  <c r="R13" i="3"/>
  <c r="D18" i="2"/>
  <c r="D19" i="2" s="1"/>
  <c r="D20" i="2" s="1"/>
  <c r="D21" i="2" s="1"/>
  <c r="D22" i="2" s="1"/>
  <c r="D23" i="2" s="1"/>
  <c r="D24" i="2" s="1"/>
  <c r="D17" i="2"/>
  <c r="E17" i="2" s="1"/>
  <c r="G17" i="2" s="1"/>
  <c r="H17" i="2" s="1"/>
  <c r="I17" i="2" s="1"/>
  <c r="L17" i="2" s="1"/>
  <c r="H10" i="2"/>
  <c r="I10" i="2" s="1"/>
  <c r="L10" i="2" s="1"/>
  <c r="E12" i="2"/>
  <c r="G12" i="2" s="1"/>
  <c r="U16" i="4" l="1"/>
  <c r="V16" i="4"/>
  <c r="J11" i="4"/>
  <c r="D12" i="4"/>
  <c r="I12" i="4" s="1"/>
  <c r="T8" i="4"/>
  <c r="W7" i="4"/>
  <c r="T13" i="3"/>
  <c r="Q14" i="3"/>
  <c r="O14" i="3" s="1"/>
  <c r="R7" i="3"/>
  <c r="T7" i="3" s="1"/>
  <c r="O8" i="3"/>
  <c r="P14" i="3"/>
  <c r="O15" i="3" s="1"/>
  <c r="S14" i="3"/>
  <c r="D26" i="2"/>
  <c r="D27" i="2" s="1"/>
  <c r="D25" i="2"/>
  <c r="E25" i="2" s="1"/>
  <c r="G25" i="2" s="1"/>
  <c r="H25" i="2" s="1"/>
  <c r="I25" i="2" s="1"/>
  <c r="L25" i="2" s="1"/>
  <c r="H12" i="2"/>
  <c r="I12" i="2" s="1"/>
  <c r="L12" i="2" s="1"/>
  <c r="E13" i="2"/>
  <c r="G13" i="2" s="1"/>
  <c r="W16" i="4" l="1"/>
  <c r="T17" i="4"/>
  <c r="J12" i="4"/>
  <c r="D13" i="4"/>
  <c r="I13" i="4" s="1"/>
  <c r="V8" i="4"/>
  <c r="U8" i="4"/>
  <c r="Q8" i="3"/>
  <c r="S8" i="3" s="1"/>
  <c r="P8" i="3"/>
  <c r="R8" i="3" s="1"/>
  <c r="T8" i="3" s="1"/>
  <c r="P15" i="3"/>
  <c r="Q15" i="3"/>
  <c r="S15" i="3" s="1"/>
  <c r="R14" i="3"/>
  <c r="T14" i="3" s="1"/>
  <c r="H13" i="2"/>
  <c r="I13" i="2" s="1"/>
  <c r="L13" i="2" s="1"/>
  <c r="E14" i="2"/>
  <c r="G14" i="2" s="1"/>
  <c r="U17" i="4" l="1"/>
  <c r="V17" i="4"/>
  <c r="J13" i="4"/>
  <c r="D14" i="4"/>
  <c r="I14" i="4" s="1"/>
  <c r="W8" i="4"/>
  <c r="T9" i="4"/>
  <c r="O16" i="3"/>
  <c r="R15" i="3"/>
  <c r="T15" i="3" s="1"/>
  <c r="H14" i="2"/>
  <c r="I14" i="2" s="1"/>
  <c r="L14" i="2" s="1"/>
  <c r="E15" i="2"/>
  <c r="G15" i="2" s="1"/>
  <c r="T18" i="4" l="1"/>
  <c r="W17" i="4"/>
  <c r="J14" i="4"/>
  <c r="D15" i="4"/>
  <c r="I15" i="4" s="1"/>
  <c r="U9" i="4"/>
  <c r="W9" i="4" s="1"/>
  <c r="V9" i="4"/>
  <c r="P16" i="3"/>
  <c r="Q16" i="3"/>
  <c r="S16" i="3" s="1"/>
  <c r="E16" i="2"/>
  <c r="G16" i="2" s="1"/>
  <c r="H15" i="2"/>
  <c r="I15" i="2" s="1"/>
  <c r="L15" i="2" s="1"/>
  <c r="U18" i="4" l="1"/>
  <c r="V18" i="4"/>
  <c r="J15" i="4"/>
  <c r="D16" i="4"/>
  <c r="I16" i="4" s="1"/>
  <c r="R16" i="3"/>
  <c r="T16" i="3" s="1"/>
  <c r="O17" i="3"/>
  <c r="H16" i="2"/>
  <c r="I16" i="2" s="1"/>
  <c r="L16" i="2" s="1"/>
  <c r="E18" i="2"/>
  <c r="G18" i="2" s="1"/>
  <c r="T19" i="4" l="1"/>
  <c r="W18" i="4"/>
  <c r="J16" i="4"/>
  <c r="D17" i="4"/>
  <c r="I17" i="4" s="1"/>
  <c r="P17" i="3"/>
  <c r="Q17" i="3"/>
  <c r="S17" i="3" s="1"/>
  <c r="H18" i="2"/>
  <c r="I18" i="2" s="1"/>
  <c r="L18" i="2" s="1"/>
  <c r="E19" i="2"/>
  <c r="G19" i="2" s="1"/>
  <c r="U19" i="4" l="1"/>
  <c r="V19" i="4"/>
  <c r="D18" i="4"/>
  <c r="I18" i="4" s="1"/>
  <c r="J17" i="4"/>
  <c r="R17" i="3"/>
  <c r="T17" i="3" s="1"/>
  <c r="O18" i="3"/>
  <c r="H19" i="2"/>
  <c r="I19" i="2" s="1"/>
  <c r="L19" i="2" s="1"/>
  <c r="E20" i="2"/>
  <c r="G20" i="2" s="1"/>
  <c r="T20" i="4" l="1"/>
  <c r="W19" i="4"/>
  <c r="J18" i="4"/>
  <c r="D19" i="4"/>
  <c r="P18" i="3"/>
  <c r="Q18" i="3"/>
  <c r="S18" i="3" s="1"/>
  <c r="H20" i="2"/>
  <c r="I20" i="2" s="1"/>
  <c r="L20" i="2" s="1"/>
  <c r="E21" i="2"/>
  <c r="G21" i="2" s="1"/>
  <c r="U20" i="4" l="1"/>
  <c r="V20" i="4"/>
  <c r="I19" i="4"/>
  <c r="J19" i="4" s="1"/>
  <c r="D20" i="4"/>
  <c r="O19" i="3"/>
  <c r="R18" i="3"/>
  <c r="T18" i="3" s="1"/>
  <c r="H21" i="2"/>
  <c r="I21" i="2" s="1"/>
  <c r="L21" i="2" s="1"/>
  <c r="E22" i="2"/>
  <c r="G22" i="2" s="1"/>
  <c r="W20" i="4" l="1"/>
  <c r="T21" i="4"/>
  <c r="D21" i="4"/>
  <c r="I20" i="4"/>
  <c r="J20" i="4" s="1"/>
  <c r="P19" i="3"/>
  <c r="R19" i="3" s="1"/>
  <c r="T19" i="3" s="1"/>
  <c r="Q19" i="3"/>
  <c r="S19" i="3" s="1"/>
  <c r="H22" i="2"/>
  <c r="I22" i="2" s="1"/>
  <c r="L22" i="2" s="1"/>
  <c r="E23" i="2"/>
  <c r="G23" i="2" s="1"/>
  <c r="U21" i="4" l="1"/>
  <c r="V21" i="4"/>
  <c r="I21" i="4"/>
  <c r="J21" i="4" s="1"/>
  <c r="D22" i="4"/>
  <c r="H23" i="2"/>
  <c r="I23" i="2" s="1"/>
  <c r="E24" i="2"/>
  <c r="G24" i="2" s="1"/>
  <c r="W21" i="4" l="1"/>
  <c r="T22" i="4"/>
  <c r="I22" i="4"/>
  <c r="J22" i="4" s="1"/>
  <c r="D23" i="4"/>
  <c r="H24" i="2"/>
  <c r="I24" i="2" s="1"/>
  <c r="L24" i="2" s="1"/>
  <c r="E27" i="2"/>
  <c r="G27" i="2" s="1"/>
  <c r="E26" i="2"/>
  <c r="G26" i="2" s="1"/>
  <c r="U22" i="4" l="1"/>
  <c r="V22" i="4"/>
  <c r="I23" i="4"/>
  <c r="J23" i="4" s="1"/>
  <c r="D24" i="4"/>
  <c r="H26" i="2"/>
  <c r="I26" i="2" s="1"/>
  <c r="L26" i="2" s="1"/>
  <c r="H27" i="2"/>
  <c r="I27" i="2" s="1"/>
  <c r="L27" i="2" s="1"/>
  <c r="W22" i="4" l="1"/>
  <c r="T23" i="4"/>
  <c r="I24" i="4"/>
  <c r="J24" i="4" s="1"/>
  <c r="D25" i="4"/>
  <c r="V23" i="4" l="1"/>
  <c r="U23" i="4"/>
  <c r="I25" i="4"/>
  <c r="J25" i="4" s="1"/>
  <c r="D26" i="4"/>
  <c r="D27" i="4" s="1"/>
  <c r="I27" i="4" s="1"/>
  <c r="J27" i="4" s="1"/>
  <c r="W23" i="4" l="1"/>
  <c r="T24" i="4"/>
  <c r="I26" i="4"/>
  <c r="J26" i="4" s="1"/>
  <c r="U24" i="4" l="1"/>
  <c r="V24" i="4"/>
  <c r="W24" i="4" l="1"/>
  <c r="T25" i="4"/>
  <c r="U25" i="4" l="1"/>
  <c r="V25" i="4"/>
  <c r="W25" i="4" l="1"/>
  <c r="T26" i="4"/>
  <c r="U26" i="4" l="1"/>
  <c r="V26" i="4"/>
  <c r="W26" i="4" l="1"/>
  <c r="T27" i="4"/>
  <c r="U27" i="4" l="1"/>
  <c r="W27" i="4" s="1"/>
  <c r="V27" i="4"/>
</calcChain>
</file>

<file path=xl/comments1.xml><?xml version="1.0" encoding="utf-8"?>
<comments xmlns="http://schemas.openxmlformats.org/spreadsheetml/2006/main">
  <authors>
    <author>作者</author>
  </authors>
  <commentList>
    <comment ref="H9" authorId="0">
      <text>
        <r>
          <rPr>
            <sz val="14"/>
            <rFont val="宋体"/>
            <family val="3"/>
            <charset val="134"/>
          </rPr>
          <t>出现</t>
        </r>
        <r>
          <rPr>
            <b/>
            <sz val="20"/>
            <color indexed="10"/>
            <rFont val="宋体"/>
            <family val="3"/>
            <charset val="134"/>
          </rPr>
          <t>流速太小</t>
        </r>
        <r>
          <rPr>
            <sz val="14"/>
            <rFont val="宋体"/>
            <family val="3"/>
            <charset val="134"/>
          </rPr>
          <t>时，有以下解决措施：
1.减少管径D
2.减小充满度t
3.增加管道坡度I（注意不能小于最小坡度）</t>
        </r>
      </text>
    </comment>
    <comment ref="K9" authorId="0">
      <text>
        <r>
          <rPr>
            <sz val="14"/>
            <rFont val="宋体"/>
            <family val="3"/>
            <charset val="134"/>
          </rPr>
          <t>出现</t>
        </r>
        <r>
          <rPr>
            <b/>
            <sz val="20"/>
            <color indexed="10"/>
            <rFont val="宋体"/>
            <family val="3"/>
            <charset val="134"/>
          </rPr>
          <t>实际流量太小</t>
        </r>
        <r>
          <rPr>
            <sz val="14"/>
            <rFont val="宋体"/>
            <family val="3"/>
            <charset val="134"/>
          </rPr>
          <t>时，有以下解决措施：
1.增大管径D
2.增加充满度t（注意不能大于该径最大充满度）
3.增加管道坡度I</t>
        </r>
      </text>
    </comment>
  </commentList>
</comments>
</file>

<file path=xl/sharedStrings.xml><?xml version="1.0" encoding="utf-8"?>
<sst xmlns="http://schemas.openxmlformats.org/spreadsheetml/2006/main" count="263" uniqueCount="121">
  <si>
    <t>街区编号</t>
    <phoneticPr fontId="1" type="noConversion"/>
  </si>
  <si>
    <t>管段编号</t>
    <phoneticPr fontId="1" type="noConversion"/>
  </si>
  <si>
    <t>本段流量</t>
    <phoneticPr fontId="1" type="noConversion"/>
  </si>
  <si>
    <t>街区编号</t>
    <phoneticPr fontId="1" type="noConversion"/>
  </si>
  <si>
    <t>居民区生活污水量</t>
    <phoneticPr fontId="1" type="noConversion"/>
  </si>
  <si>
    <t>集中流量</t>
    <phoneticPr fontId="1" type="noConversion"/>
  </si>
  <si>
    <t>街区面积hm2</t>
    <phoneticPr fontId="1" type="noConversion"/>
  </si>
  <si>
    <t>流量q1（L/s）</t>
    <phoneticPr fontId="1" type="noConversion"/>
  </si>
  <si>
    <t>街区面积（hm2）</t>
    <phoneticPr fontId="1" type="noConversion"/>
  </si>
  <si>
    <t>比流量qo （L/s.hm）</t>
    <phoneticPr fontId="1" type="noConversion"/>
  </si>
  <si>
    <t>流量q1（L/s）</t>
    <phoneticPr fontId="1" type="noConversion"/>
  </si>
  <si>
    <t>转输流量q2（L/s）</t>
    <phoneticPr fontId="1" type="noConversion"/>
  </si>
  <si>
    <t>合计平均流量（L/s）</t>
    <phoneticPr fontId="1" type="noConversion"/>
  </si>
  <si>
    <t>总变化系数Kz</t>
    <phoneticPr fontId="1" type="noConversion"/>
  </si>
  <si>
    <t>生活污水设计流量Q1（L/s）</t>
    <phoneticPr fontId="1" type="noConversion"/>
  </si>
  <si>
    <t>本段（L/s）</t>
    <phoneticPr fontId="1" type="noConversion"/>
  </si>
  <si>
    <t>转输（L/s）</t>
    <phoneticPr fontId="1" type="noConversion"/>
  </si>
  <si>
    <t>设计流量（L/s）</t>
    <phoneticPr fontId="1" type="noConversion"/>
  </si>
  <si>
    <t>45-46</t>
    <phoneticPr fontId="1" type="noConversion"/>
  </si>
  <si>
    <t>44-45</t>
    <phoneticPr fontId="1" type="noConversion"/>
  </si>
  <si>
    <t>43-44</t>
    <phoneticPr fontId="1" type="noConversion"/>
  </si>
  <si>
    <t>42-43</t>
    <phoneticPr fontId="1" type="noConversion"/>
  </si>
  <si>
    <t>41-42</t>
    <phoneticPr fontId="1" type="noConversion"/>
  </si>
  <si>
    <t>40-41</t>
    <phoneticPr fontId="1" type="noConversion"/>
  </si>
  <si>
    <t>38-39</t>
    <phoneticPr fontId="1" type="noConversion"/>
  </si>
  <si>
    <t>34-38</t>
    <phoneticPr fontId="1" type="noConversion"/>
  </si>
  <si>
    <t>33-34</t>
    <phoneticPr fontId="1" type="noConversion"/>
  </si>
  <si>
    <t>32-33</t>
    <phoneticPr fontId="1" type="noConversion"/>
  </si>
  <si>
    <t>9-32</t>
    <phoneticPr fontId="1" type="noConversion"/>
  </si>
  <si>
    <t>8-9</t>
    <phoneticPr fontId="1" type="noConversion"/>
  </si>
  <si>
    <t>7-8</t>
    <phoneticPr fontId="1" type="noConversion"/>
  </si>
  <si>
    <t>6-7</t>
    <phoneticPr fontId="1" type="noConversion"/>
  </si>
  <si>
    <t>5-6</t>
    <phoneticPr fontId="1" type="noConversion"/>
  </si>
  <si>
    <t>4-5</t>
    <phoneticPr fontId="1" type="noConversion"/>
  </si>
  <si>
    <t>3-4</t>
    <phoneticPr fontId="1" type="noConversion"/>
  </si>
  <si>
    <t>1-2</t>
    <phoneticPr fontId="1" type="noConversion"/>
  </si>
  <si>
    <t>53-40</t>
    <phoneticPr fontId="1" type="noConversion"/>
  </si>
  <si>
    <t>10-53</t>
    <phoneticPr fontId="1" type="noConversion"/>
  </si>
  <si>
    <t>52-10</t>
    <phoneticPr fontId="1" type="noConversion"/>
  </si>
  <si>
    <t>9-52</t>
    <phoneticPr fontId="1" type="noConversion"/>
  </si>
  <si>
    <t>51-3</t>
    <phoneticPr fontId="1" type="noConversion"/>
  </si>
  <si>
    <t>比流量q（L/s.hm）^2</t>
    <phoneticPr fontId="1" type="noConversion"/>
  </si>
  <si>
    <t>管道编号</t>
  </si>
  <si>
    <t>管长
（m）</t>
  </si>
  <si>
    <t>设计流量
（L/s）</t>
  </si>
  <si>
    <t>管径D
（mm）</t>
  </si>
  <si>
    <t xml:space="preserve">充满度
</t>
  </si>
  <si>
    <t>管道坡度I</t>
  </si>
  <si>
    <t>流速v
（m/s）</t>
  </si>
  <si>
    <t>水流断面
A（m2）</t>
  </si>
  <si>
    <t>水力半径
R（m）</t>
  </si>
  <si>
    <t>实际流量
Q（Ls）</t>
  </si>
  <si>
    <t>坡降
IL（m）</t>
  </si>
  <si>
    <t>地面标高（m）</t>
  </si>
  <si>
    <t>水面标高（m）</t>
  </si>
  <si>
    <t>管底标高（m）</t>
  </si>
  <si>
    <t>埋深（m）</t>
  </si>
  <si>
    <t>地面坡度</t>
  </si>
  <si>
    <t>h/D</t>
  </si>
  <si>
    <t>h</t>
  </si>
  <si>
    <t>起端</t>
  </si>
  <si>
    <t>终端</t>
  </si>
  <si>
    <t>管道长度
（m）</t>
  </si>
  <si>
    <r>
      <t xml:space="preserve">汇水面积
</t>
    </r>
    <r>
      <rPr>
        <sz val="12"/>
        <rFont val="Times New Roman"/>
        <family val="1"/>
      </rPr>
      <t>F</t>
    </r>
    <r>
      <rPr>
        <sz val="11"/>
        <color theme="1"/>
        <rFont val="宋体"/>
        <family val="2"/>
        <scheme val="minor"/>
      </rPr>
      <t>（</t>
    </r>
    <r>
      <rPr>
        <sz val="12"/>
        <rFont val="Times New Roman"/>
        <family val="1"/>
      </rPr>
      <t>ha</t>
    </r>
    <r>
      <rPr>
        <sz val="11"/>
        <color theme="1"/>
        <rFont val="宋体"/>
        <family val="2"/>
        <scheme val="minor"/>
      </rPr>
      <t>）</t>
    </r>
  </si>
  <si>
    <t>管内雨水流行时间</t>
  </si>
  <si>
    <r>
      <t xml:space="preserve">单位面积径流量
</t>
    </r>
    <r>
      <rPr>
        <sz val="12"/>
        <rFont val="Times New Roman"/>
        <family val="1"/>
      </rPr>
      <t>q0</t>
    </r>
    <r>
      <rPr>
        <sz val="11"/>
        <color theme="1"/>
        <rFont val="宋体"/>
        <family val="2"/>
        <scheme val="minor"/>
      </rPr>
      <t>（</t>
    </r>
    <r>
      <rPr>
        <sz val="12"/>
        <rFont val="Times New Roman"/>
        <family val="1"/>
      </rPr>
      <t>s/L</t>
    </r>
    <r>
      <rPr>
        <sz val="11"/>
        <color theme="1"/>
        <rFont val="宋体"/>
        <family val="2"/>
        <scheme val="minor"/>
      </rPr>
      <t>）</t>
    </r>
  </si>
  <si>
    <r>
      <t>Σ</t>
    </r>
    <r>
      <rPr>
        <sz val="12"/>
        <rFont val="Times New Roman"/>
        <family val="1"/>
      </rPr>
      <t>t2=</t>
    </r>
    <r>
      <rPr>
        <sz val="11"/>
        <color theme="1"/>
        <rFont val="宋体"/>
        <family val="2"/>
        <scheme val="minor"/>
      </rPr>
      <t>Σ</t>
    </r>
    <r>
      <rPr>
        <sz val="12"/>
        <rFont val="Times New Roman"/>
        <family val="1"/>
      </rPr>
      <t>(L/60v)</t>
    </r>
  </si>
  <si>
    <t>t2=L/60v</t>
  </si>
  <si>
    <t>雨水干管的水力计算</t>
    <phoneticPr fontId="1" type="noConversion"/>
  </si>
  <si>
    <t>2-51</t>
    <phoneticPr fontId="1" type="noConversion"/>
  </si>
  <si>
    <t>2-51</t>
    <phoneticPr fontId="1" type="noConversion"/>
  </si>
  <si>
    <t>水面平接</t>
    <phoneticPr fontId="1" type="noConversion"/>
  </si>
  <si>
    <t>管顶平接</t>
    <phoneticPr fontId="1" type="noConversion"/>
  </si>
  <si>
    <t>管顶平接</t>
    <phoneticPr fontId="1" type="noConversion"/>
  </si>
  <si>
    <t>地面集水时间t1（min）</t>
    <phoneticPr fontId="1" type="noConversion"/>
  </si>
  <si>
    <t>重现期p</t>
    <phoneticPr fontId="1" type="noConversion"/>
  </si>
  <si>
    <t>径流系数</t>
    <phoneticPr fontId="1" type="noConversion"/>
  </si>
  <si>
    <t>管顶平衔接</t>
    <phoneticPr fontId="1" type="noConversion"/>
  </si>
  <si>
    <t>设计管段编号</t>
    <phoneticPr fontId="1" type="noConversion"/>
  </si>
  <si>
    <t>本段汇水面积编号</t>
    <phoneticPr fontId="1" type="noConversion"/>
  </si>
  <si>
    <t>本段汇水面积</t>
    <phoneticPr fontId="1" type="noConversion"/>
  </si>
  <si>
    <t>转输汇水面积</t>
    <phoneticPr fontId="1" type="noConversion"/>
  </si>
  <si>
    <t>总汇水面积</t>
    <phoneticPr fontId="1" type="noConversion"/>
  </si>
  <si>
    <t>设跌水井连接在主干管8-9上</t>
    <phoneticPr fontId="1" type="noConversion"/>
  </si>
  <si>
    <t>构筑物名称</t>
    <phoneticPr fontId="1" type="noConversion"/>
  </si>
  <si>
    <t>格栅</t>
    <phoneticPr fontId="1" type="noConversion"/>
  </si>
  <si>
    <t>沉砂池</t>
    <phoneticPr fontId="1" type="noConversion"/>
  </si>
  <si>
    <t>二沉池</t>
    <phoneticPr fontId="1" type="noConversion"/>
  </si>
  <si>
    <t>接触池</t>
    <phoneticPr fontId="1" type="noConversion"/>
  </si>
  <si>
    <t>曝气池</t>
    <phoneticPr fontId="1" type="noConversion"/>
  </si>
  <si>
    <t>水头损失（m）</t>
    <phoneticPr fontId="1" type="noConversion"/>
  </si>
  <si>
    <t>水头损失（m）</t>
    <phoneticPr fontId="1" type="noConversion"/>
  </si>
  <si>
    <t>构筑物水头损失</t>
    <phoneticPr fontId="1" type="noConversion"/>
  </si>
  <si>
    <t>氧化沟</t>
    <phoneticPr fontId="1" type="noConversion"/>
  </si>
  <si>
    <t>重力浓缩池</t>
    <phoneticPr fontId="1" type="noConversion"/>
  </si>
  <si>
    <t>脱水机房</t>
    <phoneticPr fontId="1" type="noConversion"/>
  </si>
  <si>
    <t>提升泵房</t>
    <phoneticPr fontId="1" type="noConversion"/>
  </si>
  <si>
    <t>流量（L/S)</t>
    <phoneticPr fontId="1" type="noConversion"/>
  </si>
  <si>
    <t>管渠设计参数</t>
    <phoneticPr fontId="1" type="noConversion"/>
  </si>
  <si>
    <t>D（mm）</t>
    <phoneticPr fontId="1" type="noConversion"/>
  </si>
  <si>
    <t>V（m/s）</t>
    <phoneticPr fontId="1" type="noConversion"/>
  </si>
  <si>
    <t>L（m）</t>
    <phoneticPr fontId="1" type="noConversion"/>
  </si>
  <si>
    <t>合计</t>
    <phoneticPr fontId="1" type="noConversion"/>
  </si>
  <si>
    <t>出水口至接触池</t>
    <phoneticPr fontId="1" type="noConversion"/>
  </si>
  <si>
    <t>接触池至二沉池</t>
    <phoneticPr fontId="1" type="noConversion"/>
  </si>
  <si>
    <t>二沉池至氧化沟</t>
    <phoneticPr fontId="1" type="noConversion"/>
  </si>
  <si>
    <t>氧化沟至沉砂池</t>
    <phoneticPr fontId="1" type="noConversion"/>
  </si>
  <si>
    <t>§s</t>
    <phoneticPr fontId="1" type="noConversion"/>
  </si>
  <si>
    <t>局部</t>
    <phoneticPr fontId="1" type="noConversion"/>
  </si>
  <si>
    <t>序号</t>
    <phoneticPr fontId="1" type="noConversion"/>
  </si>
  <si>
    <t>管渠及构筑物名称</t>
    <phoneticPr fontId="1" type="noConversion"/>
  </si>
  <si>
    <t>水面上游标高（m）</t>
    <phoneticPr fontId="1" type="noConversion"/>
  </si>
  <si>
    <t>水面下游标高（m）</t>
    <phoneticPr fontId="1" type="noConversion"/>
  </si>
  <si>
    <t>构筑物水面标高（m）</t>
    <phoneticPr fontId="1" type="noConversion"/>
  </si>
  <si>
    <t>地面标高（m）</t>
    <phoneticPr fontId="1" type="noConversion"/>
  </si>
  <si>
    <t>提升泵房</t>
    <phoneticPr fontId="1" type="noConversion"/>
  </si>
  <si>
    <t>污泥回流泵房</t>
    <phoneticPr fontId="1" type="noConversion"/>
  </si>
  <si>
    <t>衔接方式</t>
    <phoneticPr fontId="1" type="noConversion"/>
  </si>
  <si>
    <t>衔接方式</t>
    <phoneticPr fontId="1" type="noConversion"/>
  </si>
  <si>
    <t>管渠及构筑物名称</t>
    <phoneticPr fontId="1" type="noConversion"/>
  </si>
  <si>
    <t>沿程JL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</si>
</sst>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 "/>
    <numFmt numFmtId="177" formatCode="0.0000_);[Red]\(0.0000\)"/>
    <numFmt numFmtId="178" formatCode="0_ "/>
    <numFmt numFmtId="179" formatCode="0.000_ "/>
    <numFmt numFmtId="180" formatCode="0_);[Red]\(0\)"/>
    <numFmt numFmtId="181" formatCode="0.00_);[Red]\(0.00\)"/>
    <numFmt numFmtId="182" formatCode="0.00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4"/>
      <name val="宋体"/>
      <family val="3"/>
      <charset val="134"/>
    </font>
    <font>
      <b/>
      <sz val="20"/>
      <color indexed="10"/>
      <name val="宋体"/>
      <family val="3"/>
      <charset val="134"/>
    </font>
    <font>
      <sz val="12"/>
      <name val="Times New Roman"/>
      <family val="1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76" fontId="0" fillId="0" borderId="1" xfId="0" applyNumberFormat="1" applyBorder="1" applyAlignment="1">
      <alignment horizontal="center" wrapText="1"/>
    </xf>
    <xf numFmtId="176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/>
    </xf>
    <xf numFmtId="176" fontId="0" fillId="0" borderId="1" xfId="0" applyNumberFormat="1" applyFont="1" applyBorder="1" applyAlignment="1">
      <alignment horizontal="center"/>
    </xf>
    <xf numFmtId="179" fontId="0" fillId="0" borderId="1" xfId="0" applyNumberFormat="1" applyFont="1" applyBorder="1"/>
    <xf numFmtId="179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/>
    <xf numFmtId="177" fontId="0" fillId="0" borderId="1" xfId="0" applyNumberFormat="1" applyFont="1" applyBorder="1"/>
    <xf numFmtId="180" fontId="0" fillId="2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6" fontId="0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/>
    <xf numFmtId="178" fontId="0" fillId="0" borderId="1" xfId="0" applyNumberFormat="1" applyFont="1" applyFill="1" applyBorder="1" applyAlignment="1">
      <alignment horizontal="center"/>
    </xf>
    <xf numFmtId="181" fontId="0" fillId="0" borderId="1" xfId="0" applyNumberFormat="1" applyFont="1" applyBorder="1" applyAlignment="1">
      <alignment horizontal="center" vertical="center"/>
    </xf>
    <xf numFmtId="181" fontId="0" fillId="0" borderId="1" xfId="0" applyNumberFormat="1" applyFont="1" applyBorder="1" applyAlignment="1">
      <alignment horizontal="center"/>
    </xf>
    <xf numFmtId="181" fontId="0" fillId="0" borderId="1" xfId="0" applyNumberFormat="1" applyFont="1" applyBorder="1"/>
    <xf numFmtId="181" fontId="0" fillId="0" borderId="1" xfId="0" applyNumberFormat="1" applyBorder="1"/>
    <xf numFmtId="181" fontId="0" fillId="0" borderId="1" xfId="0" applyNumberFormat="1" applyFont="1" applyFill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181" fontId="0" fillId="0" borderId="1" xfId="0" applyNumberFormat="1" applyFont="1" applyFill="1" applyBorder="1" applyAlignment="1">
      <alignment horizontal="center" vertical="center" wrapText="1"/>
    </xf>
    <xf numFmtId="181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Fill="1" applyBorder="1"/>
    <xf numFmtId="177" fontId="0" fillId="0" borderId="1" xfId="0" applyNumberFormat="1" applyBorder="1"/>
    <xf numFmtId="49" fontId="6" fillId="0" borderId="1" xfId="0" applyNumberFormat="1" applyFont="1" applyBorder="1" applyAlignment="1">
      <alignment horizontal="center"/>
    </xf>
    <xf numFmtId="180" fontId="7" fillId="0" borderId="1" xfId="0" applyNumberFormat="1" applyFont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178" fontId="7" fillId="0" borderId="1" xfId="0" applyNumberFormat="1" applyFont="1" applyFill="1" applyBorder="1" applyAlignment="1">
      <alignment horizontal="center"/>
    </xf>
    <xf numFmtId="181" fontId="7" fillId="0" borderId="1" xfId="0" applyNumberFormat="1" applyFont="1" applyFill="1" applyBorder="1" applyAlignment="1">
      <alignment horizontal="center"/>
    </xf>
    <xf numFmtId="177" fontId="7" fillId="0" borderId="1" xfId="0" applyNumberFormat="1" applyFont="1" applyFill="1" applyBorder="1"/>
    <xf numFmtId="181" fontId="7" fillId="0" borderId="1" xfId="0" applyNumberFormat="1" applyFont="1" applyBorder="1"/>
    <xf numFmtId="176" fontId="7" fillId="0" borderId="1" xfId="0" applyNumberFormat="1" applyFont="1" applyBorder="1"/>
    <xf numFmtId="181" fontId="7" fillId="0" borderId="1" xfId="0" applyNumberFormat="1" applyFont="1" applyBorder="1" applyAlignment="1">
      <alignment horizontal="center"/>
    </xf>
    <xf numFmtId="177" fontId="7" fillId="0" borderId="1" xfId="0" applyNumberFormat="1" applyFont="1" applyBorder="1"/>
    <xf numFmtId="179" fontId="7" fillId="0" borderId="1" xfId="0" applyNumberFormat="1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78" fontId="7" fillId="0" borderId="1" xfId="0" applyNumberFormat="1" applyFont="1" applyBorder="1" applyAlignment="1">
      <alignment horizontal="center"/>
    </xf>
    <xf numFmtId="181" fontId="7" fillId="5" borderId="1" xfId="0" applyNumberFormat="1" applyFont="1" applyFill="1" applyBorder="1"/>
    <xf numFmtId="0" fontId="0" fillId="3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81" fontId="5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/>
    </xf>
    <xf numFmtId="179" fontId="7" fillId="0" borderId="1" xfId="0" applyNumberFormat="1" applyFont="1" applyBorder="1" applyAlignment="1">
      <alignment horizontal="center"/>
    </xf>
    <xf numFmtId="182" fontId="7" fillId="0" borderId="1" xfId="0" applyNumberFormat="1" applyFont="1" applyBorder="1" applyAlignment="1">
      <alignment horizontal="center"/>
    </xf>
    <xf numFmtId="181" fontId="2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81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80" fontId="0" fillId="4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176" fontId="0" fillId="0" borderId="2" xfId="0" applyNumberForma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80" fontId="0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/>
    </xf>
    <xf numFmtId="181" fontId="0" fillId="0" borderId="1" xfId="0" applyNumberFormat="1" applyFont="1" applyBorder="1" applyAlignment="1">
      <alignment horizontal="center" vertical="center" wrapText="1"/>
    </xf>
    <xf numFmtId="181" fontId="0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182" fontId="7" fillId="0" borderId="1" xfId="0" applyNumberFormat="1" applyFont="1" applyBorder="1" applyAlignment="1">
      <alignment horizontal="center" vertical="center" wrapText="1"/>
    </xf>
    <xf numFmtId="182" fontId="7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28" workbookViewId="0">
      <selection activeCell="G27" sqref="G27"/>
    </sheetView>
  </sheetViews>
  <sheetFormatPr defaultRowHeight="13.5" x14ac:dyDescent="0.15"/>
  <cols>
    <col min="1" max="1" width="9" style="2"/>
    <col min="2" max="2" width="9.25" style="4" customWidth="1"/>
    <col min="3" max="3" width="15" style="2" customWidth="1"/>
    <col min="4" max="4" width="10.5" style="5" customWidth="1"/>
    <col min="5" max="5" width="9" style="1"/>
    <col min="6" max="9" width="9" style="1" customWidth="1"/>
    <col min="10" max="16384" width="9" style="1"/>
  </cols>
  <sheetData>
    <row r="1" spans="1:4" ht="27" x14ac:dyDescent="0.15">
      <c r="A1" s="15" t="s">
        <v>0</v>
      </c>
      <c r="B1" s="4" t="s">
        <v>6</v>
      </c>
      <c r="C1" s="3" t="s">
        <v>41</v>
      </c>
      <c r="D1" s="4" t="s">
        <v>7</v>
      </c>
    </row>
    <row r="2" spans="1:4" x14ac:dyDescent="0.15">
      <c r="A2" s="2">
        <v>1</v>
      </c>
      <c r="B2" s="4">
        <v>6.28</v>
      </c>
      <c r="C2" s="2">
        <v>0.193</v>
      </c>
      <c r="D2" s="5">
        <f>B2*C2</f>
        <v>1.21204</v>
      </c>
    </row>
    <row r="3" spans="1:4" x14ac:dyDescent="0.15">
      <c r="A3" s="2">
        <v>2</v>
      </c>
      <c r="B3" s="4">
        <v>6.09</v>
      </c>
      <c r="C3" s="2">
        <f>C2</f>
        <v>0.193</v>
      </c>
      <c r="D3" s="5">
        <f t="shared" ref="D3:D45" si="0">B3*C3</f>
        <v>1.17537</v>
      </c>
    </row>
    <row r="4" spans="1:4" x14ac:dyDescent="0.15">
      <c r="A4" s="2">
        <v>3</v>
      </c>
      <c r="B4" s="4">
        <v>4.49</v>
      </c>
      <c r="C4" s="2">
        <f t="shared" ref="C4:C45" si="1">C3</f>
        <v>0.193</v>
      </c>
      <c r="D4" s="5">
        <f t="shared" si="0"/>
        <v>0.86657000000000006</v>
      </c>
    </row>
    <row r="5" spans="1:4" x14ac:dyDescent="0.15">
      <c r="A5" s="2">
        <v>4</v>
      </c>
      <c r="B5" s="4">
        <v>1.86</v>
      </c>
      <c r="C5" s="2">
        <f t="shared" si="1"/>
        <v>0.193</v>
      </c>
      <c r="D5" s="5">
        <f t="shared" si="0"/>
        <v>0.35898000000000002</v>
      </c>
    </row>
    <row r="6" spans="1:4" x14ac:dyDescent="0.15">
      <c r="A6" s="2">
        <v>5</v>
      </c>
      <c r="B6" s="4">
        <v>8.98</v>
      </c>
      <c r="C6" s="2">
        <f t="shared" si="1"/>
        <v>0.193</v>
      </c>
      <c r="D6" s="5">
        <f t="shared" si="0"/>
        <v>1.7331400000000001</v>
      </c>
    </row>
    <row r="7" spans="1:4" x14ac:dyDescent="0.15">
      <c r="A7" s="2">
        <v>6</v>
      </c>
      <c r="B7" s="4">
        <v>3.65</v>
      </c>
      <c r="C7" s="2">
        <f t="shared" si="1"/>
        <v>0.193</v>
      </c>
      <c r="D7" s="5">
        <f t="shared" si="0"/>
        <v>0.70445000000000002</v>
      </c>
    </row>
    <row r="8" spans="1:4" x14ac:dyDescent="0.15">
      <c r="A8" s="2">
        <v>7</v>
      </c>
      <c r="B8" s="4">
        <v>5.73</v>
      </c>
      <c r="C8" s="2">
        <f t="shared" si="1"/>
        <v>0.193</v>
      </c>
      <c r="D8" s="5">
        <f t="shared" si="0"/>
        <v>1.10589</v>
      </c>
    </row>
    <row r="9" spans="1:4" x14ac:dyDescent="0.15">
      <c r="A9" s="2">
        <v>8</v>
      </c>
      <c r="B9" s="4">
        <v>10.49</v>
      </c>
      <c r="C9" s="2">
        <f t="shared" si="1"/>
        <v>0.193</v>
      </c>
      <c r="D9" s="5">
        <f t="shared" si="0"/>
        <v>2.0245700000000002</v>
      </c>
    </row>
    <row r="10" spans="1:4" x14ac:dyDescent="0.15">
      <c r="A10" s="2">
        <v>9</v>
      </c>
      <c r="B10" s="4">
        <v>3.56</v>
      </c>
      <c r="C10" s="2">
        <f t="shared" si="1"/>
        <v>0.193</v>
      </c>
      <c r="D10" s="5">
        <f t="shared" si="0"/>
        <v>0.68708000000000002</v>
      </c>
    </row>
    <row r="11" spans="1:4" x14ac:dyDescent="0.15">
      <c r="A11" s="2">
        <v>10</v>
      </c>
      <c r="B11" s="4">
        <v>5.9</v>
      </c>
      <c r="C11" s="2">
        <f t="shared" si="1"/>
        <v>0.193</v>
      </c>
      <c r="D11" s="5">
        <f t="shared" si="0"/>
        <v>1.1387</v>
      </c>
    </row>
    <row r="12" spans="1:4" x14ac:dyDescent="0.15">
      <c r="A12" s="2">
        <v>11</v>
      </c>
      <c r="B12" s="4">
        <v>8.1</v>
      </c>
      <c r="C12" s="2">
        <f t="shared" si="1"/>
        <v>0.193</v>
      </c>
      <c r="D12" s="5">
        <f t="shared" si="0"/>
        <v>1.5632999999999999</v>
      </c>
    </row>
    <row r="13" spans="1:4" x14ac:dyDescent="0.15">
      <c r="A13" s="2">
        <v>12</v>
      </c>
      <c r="B13" s="4">
        <v>6.62</v>
      </c>
      <c r="C13" s="2">
        <f t="shared" si="1"/>
        <v>0.193</v>
      </c>
      <c r="D13" s="5">
        <f t="shared" si="0"/>
        <v>1.27766</v>
      </c>
    </row>
    <row r="14" spans="1:4" x14ac:dyDescent="0.15">
      <c r="A14" s="2">
        <v>13</v>
      </c>
      <c r="B14" s="4">
        <v>4.59</v>
      </c>
      <c r="C14" s="2">
        <f t="shared" si="1"/>
        <v>0.193</v>
      </c>
      <c r="D14" s="5">
        <f t="shared" si="0"/>
        <v>0.88587000000000005</v>
      </c>
    </row>
    <row r="15" spans="1:4" x14ac:dyDescent="0.15">
      <c r="A15" s="2">
        <v>14</v>
      </c>
      <c r="B15" s="4">
        <v>3.23</v>
      </c>
      <c r="C15" s="2">
        <f t="shared" si="1"/>
        <v>0.193</v>
      </c>
      <c r="D15" s="5">
        <f t="shared" si="0"/>
        <v>0.62339</v>
      </c>
    </row>
    <row r="16" spans="1:4" x14ac:dyDescent="0.15">
      <c r="A16" s="2">
        <v>15</v>
      </c>
      <c r="B16" s="4">
        <v>5.22</v>
      </c>
      <c r="C16" s="2">
        <f t="shared" si="1"/>
        <v>0.193</v>
      </c>
      <c r="D16" s="5">
        <f t="shared" si="0"/>
        <v>1.00746</v>
      </c>
    </row>
    <row r="17" spans="1:4" x14ac:dyDescent="0.15">
      <c r="A17" s="2">
        <v>16</v>
      </c>
      <c r="B17" s="4">
        <v>2.15</v>
      </c>
      <c r="C17" s="2">
        <f t="shared" si="1"/>
        <v>0.193</v>
      </c>
      <c r="D17" s="5">
        <f t="shared" si="0"/>
        <v>0.41494999999999999</v>
      </c>
    </row>
    <row r="18" spans="1:4" x14ac:dyDescent="0.15">
      <c r="A18" s="2">
        <v>17</v>
      </c>
      <c r="B18" s="4">
        <v>4.24</v>
      </c>
      <c r="C18" s="2">
        <f t="shared" si="1"/>
        <v>0.193</v>
      </c>
      <c r="D18" s="5">
        <f t="shared" si="0"/>
        <v>0.81832000000000005</v>
      </c>
    </row>
    <row r="19" spans="1:4" x14ac:dyDescent="0.15">
      <c r="A19" s="2">
        <v>18</v>
      </c>
      <c r="B19" s="4">
        <v>3.08</v>
      </c>
      <c r="C19" s="2">
        <f t="shared" si="1"/>
        <v>0.193</v>
      </c>
      <c r="D19" s="5">
        <f t="shared" si="0"/>
        <v>0.59444000000000008</v>
      </c>
    </row>
    <row r="20" spans="1:4" x14ac:dyDescent="0.15">
      <c r="A20" s="2">
        <v>19</v>
      </c>
      <c r="B20" s="4">
        <v>3.55</v>
      </c>
      <c r="C20" s="2">
        <f t="shared" si="1"/>
        <v>0.193</v>
      </c>
      <c r="D20" s="5">
        <f t="shared" si="0"/>
        <v>0.68515000000000004</v>
      </c>
    </row>
    <row r="21" spans="1:4" x14ac:dyDescent="0.15">
      <c r="A21" s="2">
        <v>20</v>
      </c>
      <c r="B21" s="4">
        <v>3.57</v>
      </c>
      <c r="C21" s="2">
        <f t="shared" si="1"/>
        <v>0.193</v>
      </c>
      <c r="D21" s="5">
        <f t="shared" si="0"/>
        <v>0.68901000000000001</v>
      </c>
    </row>
    <row r="22" spans="1:4" x14ac:dyDescent="0.15">
      <c r="A22" s="2">
        <v>21</v>
      </c>
      <c r="B22" s="4">
        <v>3.45</v>
      </c>
      <c r="C22" s="2">
        <f t="shared" si="1"/>
        <v>0.193</v>
      </c>
      <c r="D22" s="5">
        <f t="shared" si="0"/>
        <v>0.66585000000000005</v>
      </c>
    </row>
    <row r="23" spans="1:4" x14ac:dyDescent="0.15">
      <c r="A23" s="2">
        <v>22</v>
      </c>
      <c r="B23" s="4">
        <v>5.45</v>
      </c>
      <c r="C23" s="2">
        <f t="shared" si="1"/>
        <v>0.193</v>
      </c>
      <c r="D23" s="5">
        <f t="shared" si="0"/>
        <v>1.05185</v>
      </c>
    </row>
    <row r="24" spans="1:4" x14ac:dyDescent="0.15">
      <c r="A24" s="2">
        <v>23</v>
      </c>
      <c r="B24" s="4">
        <v>6.16</v>
      </c>
      <c r="C24" s="2">
        <f t="shared" si="1"/>
        <v>0.193</v>
      </c>
      <c r="D24" s="5">
        <f t="shared" si="0"/>
        <v>1.1888800000000002</v>
      </c>
    </row>
    <row r="25" spans="1:4" x14ac:dyDescent="0.15">
      <c r="A25" s="2">
        <v>24</v>
      </c>
      <c r="B25" s="4">
        <v>3.59</v>
      </c>
      <c r="C25" s="2">
        <f t="shared" si="1"/>
        <v>0.193</v>
      </c>
      <c r="D25" s="5">
        <f t="shared" si="0"/>
        <v>0.69286999999999999</v>
      </c>
    </row>
    <row r="26" spans="1:4" x14ac:dyDescent="0.15">
      <c r="A26" s="2">
        <v>25</v>
      </c>
      <c r="B26" s="4">
        <v>2.62</v>
      </c>
      <c r="C26" s="2">
        <f t="shared" si="1"/>
        <v>0.193</v>
      </c>
      <c r="D26" s="5">
        <f t="shared" si="0"/>
        <v>0.50566</v>
      </c>
    </row>
    <row r="27" spans="1:4" x14ac:dyDescent="0.15">
      <c r="A27" s="2">
        <v>26</v>
      </c>
      <c r="B27" s="4">
        <v>2.5</v>
      </c>
      <c r="C27" s="2">
        <f t="shared" si="1"/>
        <v>0.193</v>
      </c>
      <c r="D27" s="5">
        <f t="shared" si="0"/>
        <v>0.48250000000000004</v>
      </c>
    </row>
    <row r="28" spans="1:4" x14ac:dyDescent="0.15">
      <c r="A28" s="2">
        <v>27</v>
      </c>
      <c r="B28" s="4">
        <v>2.34</v>
      </c>
      <c r="C28" s="2">
        <f t="shared" si="1"/>
        <v>0.193</v>
      </c>
      <c r="D28" s="5">
        <f t="shared" si="0"/>
        <v>0.45161999999999997</v>
      </c>
    </row>
    <row r="29" spans="1:4" x14ac:dyDescent="0.15">
      <c r="A29" s="2">
        <v>28</v>
      </c>
      <c r="B29" s="4">
        <v>1.47</v>
      </c>
      <c r="C29" s="2">
        <f t="shared" si="1"/>
        <v>0.193</v>
      </c>
      <c r="D29" s="5">
        <f t="shared" si="0"/>
        <v>0.28371000000000002</v>
      </c>
    </row>
    <row r="30" spans="1:4" x14ac:dyDescent="0.15">
      <c r="A30" s="2">
        <v>29</v>
      </c>
      <c r="B30" s="4">
        <v>2.36</v>
      </c>
      <c r="C30" s="2">
        <f t="shared" si="1"/>
        <v>0.193</v>
      </c>
      <c r="D30" s="5">
        <f t="shared" si="0"/>
        <v>0.45548</v>
      </c>
    </row>
    <row r="31" spans="1:4" x14ac:dyDescent="0.15">
      <c r="A31" s="2">
        <v>30</v>
      </c>
      <c r="B31" s="4">
        <v>2.31</v>
      </c>
      <c r="C31" s="2">
        <f t="shared" si="1"/>
        <v>0.193</v>
      </c>
      <c r="D31" s="5">
        <f t="shared" si="0"/>
        <v>0.44583</v>
      </c>
    </row>
    <row r="32" spans="1:4" x14ac:dyDescent="0.15">
      <c r="A32" s="2">
        <v>31</v>
      </c>
      <c r="B32" s="4">
        <v>2.57</v>
      </c>
      <c r="C32" s="2">
        <f t="shared" si="1"/>
        <v>0.193</v>
      </c>
      <c r="D32" s="5">
        <f t="shared" si="0"/>
        <v>0.49601000000000001</v>
      </c>
    </row>
    <row r="33" spans="1:4" x14ac:dyDescent="0.15">
      <c r="A33" s="2">
        <v>32</v>
      </c>
      <c r="B33" s="4">
        <v>2.1800000000000002</v>
      </c>
      <c r="C33" s="2">
        <f t="shared" si="1"/>
        <v>0.193</v>
      </c>
      <c r="D33" s="5">
        <f t="shared" si="0"/>
        <v>0.42074000000000006</v>
      </c>
    </row>
    <row r="34" spans="1:4" x14ac:dyDescent="0.15">
      <c r="A34" s="2">
        <v>33</v>
      </c>
      <c r="B34" s="4">
        <v>2.1800000000000002</v>
      </c>
      <c r="C34" s="2">
        <f t="shared" si="1"/>
        <v>0.193</v>
      </c>
      <c r="D34" s="5">
        <f t="shared" si="0"/>
        <v>0.42074000000000006</v>
      </c>
    </row>
    <row r="35" spans="1:4" x14ac:dyDescent="0.15">
      <c r="A35" s="2">
        <v>34</v>
      </c>
      <c r="B35" s="4">
        <v>3.04</v>
      </c>
      <c r="C35" s="2">
        <f t="shared" si="1"/>
        <v>0.193</v>
      </c>
      <c r="D35" s="5">
        <f t="shared" si="0"/>
        <v>0.58672000000000002</v>
      </c>
    </row>
    <row r="36" spans="1:4" x14ac:dyDescent="0.15">
      <c r="A36" s="2">
        <v>35</v>
      </c>
      <c r="B36" s="4">
        <v>2.1800000000000002</v>
      </c>
      <c r="C36" s="2">
        <f t="shared" si="1"/>
        <v>0.193</v>
      </c>
      <c r="D36" s="5">
        <f t="shared" si="0"/>
        <v>0.42074000000000006</v>
      </c>
    </row>
    <row r="37" spans="1:4" x14ac:dyDescent="0.15">
      <c r="A37" s="2">
        <v>36</v>
      </c>
      <c r="B37" s="4">
        <v>1.79</v>
      </c>
      <c r="C37" s="2">
        <f t="shared" si="1"/>
        <v>0.193</v>
      </c>
      <c r="D37" s="5">
        <f t="shared" si="0"/>
        <v>0.34547</v>
      </c>
    </row>
    <row r="38" spans="1:4" x14ac:dyDescent="0.15">
      <c r="A38" s="2">
        <v>37</v>
      </c>
      <c r="B38" s="4">
        <v>2.66</v>
      </c>
      <c r="C38" s="2">
        <f t="shared" si="1"/>
        <v>0.193</v>
      </c>
      <c r="D38" s="5">
        <f t="shared" si="0"/>
        <v>0.51338000000000006</v>
      </c>
    </row>
    <row r="39" spans="1:4" x14ac:dyDescent="0.15">
      <c r="A39" s="2">
        <v>38</v>
      </c>
      <c r="B39" s="4">
        <v>2.1800000000000002</v>
      </c>
      <c r="C39" s="2">
        <f t="shared" si="1"/>
        <v>0.193</v>
      </c>
      <c r="D39" s="5">
        <f t="shared" si="0"/>
        <v>0.42074000000000006</v>
      </c>
    </row>
    <row r="40" spans="1:4" x14ac:dyDescent="0.15">
      <c r="A40" s="2">
        <v>39</v>
      </c>
      <c r="B40" s="4">
        <v>3.21</v>
      </c>
      <c r="C40" s="2">
        <f t="shared" si="1"/>
        <v>0.193</v>
      </c>
      <c r="D40" s="5">
        <f t="shared" si="0"/>
        <v>0.61953000000000003</v>
      </c>
    </row>
    <row r="41" spans="1:4" x14ac:dyDescent="0.15">
      <c r="A41" s="2">
        <v>40</v>
      </c>
      <c r="B41" s="4">
        <v>2.0099999999999998</v>
      </c>
      <c r="C41" s="2">
        <f t="shared" si="1"/>
        <v>0.193</v>
      </c>
      <c r="D41" s="5">
        <f t="shared" si="0"/>
        <v>0.38792999999999994</v>
      </c>
    </row>
    <row r="42" spans="1:4" x14ac:dyDescent="0.15">
      <c r="A42" s="2">
        <v>41</v>
      </c>
      <c r="B42" s="4">
        <v>2.4</v>
      </c>
      <c r="C42" s="2">
        <f t="shared" si="1"/>
        <v>0.193</v>
      </c>
      <c r="D42" s="5">
        <f t="shared" si="0"/>
        <v>0.4632</v>
      </c>
    </row>
    <row r="43" spans="1:4" x14ac:dyDescent="0.15">
      <c r="A43" s="2">
        <v>42</v>
      </c>
      <c r="B43" s="4">
        <v>3.07</v>
      </c>
      <c r="C43" s="2">
        <f t="shared" si="1"/>
        <v>0.193</v>
      </c>
      <c r="D43" s="5">
        <f t="shared" si="0"/>
        <v>0.59250999999999998</v>
      </c>
    </row>
    <row r="44" spans="1:4" x14ac:dyDescent="0.15">
      <c r="A44" s="2">
        <v>43</v>
      </c>
      <c r="B44" s="4">
        <v>3.17</v>
      </c>
      <c r="C44" s="2">
        <f t="shared" si="1"/>
        <v>0.193</v>
      </c>
      <c r="D44" s="5">
        <f t="shared" si="0"/>
        <v>0.61180999999999996</v>
      </c>
    </row>
    <row r="45" spans="1:4" x14ac:dyDescent="0.15">
      <c r="A45" s="2">
        <v>44</v>
      </c>
      <c r="B45" s="4">
        <v>400</v>
      </c>
      <c r="C45" s="2">
        <f t="shared" si="1"/>
        <v>0.193</v>
      </c>
      <c r="D45" s="5">
        <f t="shared" si="0"/>
        <v>77.2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4" workbookViewId="0">
      <selection sqref="A1:L27"/>
    </sheetView>
  </sheetViews>
  <sheetFormatPr defaultRowHeight="13.5" x14ac:dyDescent="0.15"/>
  <cols>
    <col min="1" max="1" width="9" style="6"/>
    <col min="2" max="3" width="9" style="2"/>
    <col min="4" max="4" width="10.375" style="2" customWidth="1"/>
    <col min="5" max="6" width="9" style="5"/>
    <col min="7" max="7" width="13.125" style="2" customWidth="1"/>
    <col min="8" max="8" width="6.5" style="5" customWidth="1"/>
    <col min="9" max="9" width="11.875" style="5" customWidth="1"/>
    <col min="10" max="12" width="9" style="5"/>
    <col min="13" max="16384" width="9" style="1"/>
  </cols>
  <sheetData>
    <row r="1" spans="1:12" x14ac:dyDescent="0.15">
      <c r="A1" s="87" t="s">
        <v>1</v>
      </c>
      <c r="B1" s="88" t="s">
        <v>4</v>
      </c>
      <c r="C1" s="88"/>
      <c r="D1" s="88"/>
      <c r="E1" s="88"/>
      <c r="F1" s="88"/>
      <c r="G1" s="88"/>
      <c r="H1" s="88"/>
      <c r="I1" s="88"/>
      <c r="J1" s="91" t="s">
        <v>5</v>
      </c>
      <c r="K1" s="91"/>
      <c r="L1" s="84" t="s">
        <v>17</v>
      </c>
    </row>
    <row r="2" spans="1:12" x14ac:dyDescent="0.15">
      <c r="A2" s="87"/>
      <c r="B2" s="88" t="s">
        <v>2</v>
      </c>
      <c r="C2" s="88"/>
      <c r="D2" s="88"/>
      <c r="E2" s="88"/>
      <c r="F2" s="84" t="s">
        <v>11</v>
      </c>
      <c r="G2" s="89" t="s">
        <v>12</v>
      </c>
      <c r="H2" s="90" t="s">
        <v>13</v>
      </c>
      <c r="I2" s="90" t="s">
        <v>14</v>
      </c>
      <c r="J2" s="84" t="s">
        <v>15</v>
      </c>
      <c r="K2" s="84" t="s">
        <v>16</v>
      </c>
      <c r="L2" s="85"/>
    </row>
    <row r="3" spans="1:12" ht="27" x14ac:dyDescent="0.15">
      <c r="A3" s="87"/>
      <c r="B3" s="2" t="s">
        <v>3</v>
      </c>
      <c r="C3" s="3" t="s">
        <v>8</v>
      </c>
      <c r="D3" s="3" t="s">
        <v>9</v>
      </c>
      <c r="E3" s="4" t="s">
        <v>10</v>
      </c>
      <c r="F3" s="86"/>
      <c r="G3" s="89"/>
      <c r="H3" s="90"/>
      <c r="I3" s="90"/>
      <c r="J3" s="86"/>
      <c r="K3" s="86"/>
      <c r="L3" s="86"/>
    </row>
    <row r="4" spans="1:12" x14ac:dyDescent="0.15">
      <c r="A4" s="6" t="s">
        <v>18</v>
      </c>
      <c r="B4" s="2">
        <v>36</v>
      </c>
      <c r="C4" s="2">
        <v>1.79</v>
      </c>
      <c r="D4" s="2">
        <v>0.193</v>
      </c>
      <c r="E4" s="5">
        <f>C4*D4</f>
        <v>0.34547</v>
      </c>
      <c r="F4" s="5">
        <v>0</v>
      </c>
      <c r="G4" s="5">
        <f>E4+F4</f>
        <v>0.34547</v>
      </c>
      <c r="H4" s="5">
        <f>2.7/(G4^0.11)</f>
        <v>3.034859756568737</v>
      </c>
      <c r="I4" s="5">
        <f>G4*H4</f>
        <v>1.0484530001018015</v>
      </c>
      <c r="L4" s="5">
        <f>I4+J4+K4</f>
        <v>1.0484530001018015</v>
      </c>
    </row>
    <row r="5" spans="1:12" x14ac:dyDescent="0.15">
      <c r="A5" s="6" t="s">
        <v>19</v>
      </c>
      <c r="B5" s="2">
        <v>35</v>
      </c>
      <c r="C5" s="2">
        <v>2.1800000000000002</v>
      </c>
      <c r="D5" s="2">
        <f>D4</f>
        <v>0.193</v>
      </c>
      <c r="E5" s="5">
        <f t="shared" ref="E5:E27" si="0">C5*D5</f>
        <v>0.42074000000000006</v>
      </c>
      <c r="F5" s="5">
        <v>0.35</v>
      </c>
      <c r="G5" s="5">
        <f t="shared" ref="G5:G27" si="1">E5+F5</f>
        <v>0.77073999999999998</v>
      </c>
      <c r="H5" s="5">
        <f t="shared" ref="H5:H27" si="2">2.7/(G5^0.11)</f>
        <v>2.7784583778448551</v>
      </c>
      <c r="I5" s="5">
        <f t="shared" ref="I5:I27" si="3">G5*H5</f>
        <v>2.1414690101401437</v>
      </c>
      <c r="L5" s="5">
        <f t="shared" ref="L5:L27" si="4">I5+J5+K5</f>
        <v>2.1414690101401437</v>
      </c>
    </row>
    <row r="6" spans="1:12" x14ac:dyDescent="0.15">
      <c r="A6" s="6" t="s">
        <v>20</v>
      </c>
      <c r="B6" s="2">
        <v>34</v>
      </c>
      <c r="C6" s="2">
        <v>3.04</v>
      </c>
      <c r="D6" s="2">
        <f t="shared" ref="D6:D27" si="5">D5</f>
        <v>0.193</v>
      </c>
      <c r="E6" s="5">
        <f t="shared" si="0"/>
        <v>0.58672000000000002</v>
      </c>
      <c r="F6" s="5">
        <v>0.77</v>
      </c>
      <c r="G6" s="5">
        <f t="shared" si="1"/>
        <v>1.3567200000000001</v>
      </c>
      <c r="H6" s="5">
        <f t="shared" si="2"/>
        <v>2.6108976008529559</v>
      </c>
      <c r="I6" s="5">
        <f t="shared" si="3"/>
        <v>3.5422569930292225</v>
      </c>
      <c r="L6" s="5">
        <f t="shared" si="4"/>
        <v>3.5422569930292225</v>
      </c>
    </row>
    <row r="7" spans="1:12" x14ac:dyDescent="0.15">
      <c r="A7" s="6" t="s">
        <v>21</v>
      </c>
      <c r="B7" s="2">
        <v>33</v>
      </c>
      <c r="C7" s="2">
        <v>2.1800000000000002</v>
      </c>
      <c r="D7" s="2">
        <f t="shared" si="5"/>
        <v>0.193</v>
      </c>
      <c r="E7" s="5">
        <f t="shared" si="0"/>
        <v>0.42074000000000006</v>
      </c>
      <c r="F7" s="5">
        <v>1.36</v>
      </c>
      <c r="G7" s="5">
        <f t="shared" si="1"/>
        <v>1.7807400000000002</v>
      </c>
      <c r="H7" s="5">
        <f t="shared" si="2"/>
        <v>2.5339480540491977</v>
      </c>
      <c r="I7" s="5">
        <f t="shared" si="3"/>
        <v>4.5123026577675684</v>
      </c>
      <c r="L7" s="5">
        <f t="shared" si="4"/>
        <v>4.5123026577675684</v>
      </c>
    </row>
    <row r="8" spans="1:12" x14ac:dyDescent="0.15">
      <c r="A8" s="6" t="s">
        <v>22</v>
      </c>
      <c r="B8" s="2">
        <v>32</v>
      </c>
      <c r="C8" s="2">
        <v>2.1800000000000002</v>
      </c>
      <c r="D8" s="2">
        <f t="shared" si="5"/>
        <v>0.193</v>
      </c>
      <c r="E8" s="5">
        <f t="shared" si="0"/>
        <v>0.42074000000000006</v>
      </c>
      <c r="F8" s="5">
        <v>1.78</v>
      </c>
      <c r="G8" s="5">
        <f t="shared" si="1"/>
        <v>2.2007400000000001</v>
      </c>
      <c r="H8" s="5">
        <f t="shared" si="2"/>
        <v>2.4756041558141928</v>
      </c>
      <c r="I8" s="5">
        <f t="shared" si="3"/>
        <v>5.4481610898665274</v>
      </c>
      <c r="L8" s="5">
        <f t="shared" si="4"/>
        <v>5.4481610898665274</v>
      </c>
    </row>
    <row r="9" spans="1:12" s="45" customFormat="1" x14ac:dyDescent="0.15">
      <c r="A9" s="34" t="s">
        <v>23</v>
      </c>
      <c r="B9" s="46">
        <v>31</v>
      </c>
      <c r="C9" s="46">
        <v>2.57</v>
      </c>
      <c r="D9" s="46">
        <f t="shared" si="5"/>
        <v>0.193</v>
      </c>
      <c r="E9" s="36">
        <f t="shared" si="0"/>
        <v>0.49601000000000001</v>
      </c>
      <c r="F9" s="36">
        <v>4.25</v>
      </c>
      <c r="G9" s="36">
        <f t="shared" si="1"/>
        <v>4.7460100000000001</v>
      </c>
      <c r="H9" s="36">
        <f t="shared" si="2"/>
        <v>2.2749277731998436</v>
      </c>
      <c r="I9" s="36">
        <f t="shared" si="3"/>
        <v>10.796829960884191</v>
      </c>
      <c r="J9" s="36"/>
      <c r="K9" s="36"/>
      <c r="L9" s="36">
        <f t="shared" si="4"/>
        <v>10.796829960884191</v>
      </c>
    </row>
    <row r="10" spans="1:12" x14ac:dyDescent="0.15">
      <c r="A10" s="6" t="s">
        <v>36</v>
      </c>
      <c r="D10" s="2">
        <f>D9</f>
        <v>0.193</v>
      </c>
      <c r="E10" s="5">
        <f t="shared" si="0"/>
        <v>0</v>
      </c>
      <c r="F10" s="5">
        <v>6.3</v>
      </c>
      <c r="G10" s="5">
        <f t="shared" si="1"/>
        <v>6.3</v>
      </c>
      <c r="H10" s="5">
        <f t="shared" si="2"/>
        <v>2.2051406932736199</v>
      </c>
      <c r="I10" s="5">
        <f t="shared" si="3"/>
        <v>13.892386367623805</v>
      </c>
      <c r="L10" s="5">
        <f t="shared" si="4"/>
        <v>13.892386367623805</v>
      </c>
    </row>
    <row r="11" spans="1:12" x14ac:dyDescent="0.15">
      <c r="A11" s="6" t="s">
        <v>37</v>
      </c>
      <c r="D11" s="2">
        <f>D10</f>
        <v>0.193</v>
      </c>
      <c r="E11" s="5">
        <f t="shared" si="0"/>
        <v>0</v>
      </c>
      <c r="F11" s="5">
        <v>6.3</v>
      </c>
      <c r="G11" s="5">
        <v>6.3</v>
      </c>
      <c r="H11" s="5">
        <f t="shared" si="2"/>
        <v>2.2051406932736199</v>
      </c>
      <c r="I11" s="5">
        <f t="shared" si="3"/>
        <v>13.892386367623805</v>
      </c>
      <c r="L11" s="5">
        <f t="shared" si="4"/>
        <v>13.892386367623805</v>
      </c>
    </row>
    <row r="12" spans="1:12" x14ac:dyDescent="0.15">
      <c r="A12" s="6" t="s">
        <v>24</v>
      </c>
      <c r="B12" s="2">
        <v>30</v>
      </c>
      <c r="C12" s="2">
        <v>2.31</v>
      </c>
      <c r="D12" s="2">
        <f>D10</f>
        <v>0.193</v>
      </c>
      <c r="E12" s="5">
        <f t="shared" si="0"/>
        <v>0.44583</v>
      </c>
      <c r="F12" s="5">
        <v>0</v>
      </c>
      <c r="G12" s="5">
        <f t="shared" si="1"/>
        <v>0.44583</v>
      </c>
      <c r="H12" s="5">
        <f t="shared" si="2"/>
        <v>2.9509044164721292</v>
      </c>
      <c r="I12" s="5">
        <f t="shared" si="3"/>
        <v>1.3156017159957694</v>
      </c>
      <c r="L12" s="5">
        <f t="shared" si="4"/>
        <v>1.3156017159957694</v>
      </c>
    </row>
    <row r="13" spans="1:12" x14ac:dyDescent="0.15">
      <c r="A13" s="6" t="s">
        <v>25</v>
      </c>
      <c r="B13" s="2">
        <v>27</v>
      </c>
      <c r="C13" s="2">
        <v>2.34</v>
      </c>
      <c r="D13" s="2">
        <f t="shared" si="5"/>
        <v>0.193</v>
      </c>
      <c r="E13" s="5">
        <f t="shared" si="0"/>
        <v>0.45161999999999997</v>
      </c>
      <c r="F13" s="5">
        <v>0.45</v>
      </c>
      <c r="G13" s="5">
        <f t="shared" si="1"/>
        <v>0.90161999999999998</v>
      </c>
      <c r="H13" s="5">
        <f t="shared" si="2"/>
        <v>2.7309338156383545</v>
      </c>
      <c r="I13" s="5">
        <f t="shared" si="3"/>
        <v>2.4622645468558533</v>
      </c>
      <c r="L13" s="5">
        <f t="shared" si="4"/>
        <v>2.4622645468558533</v>
      </c>
    </row>
    <row r="14" spans="1:12" x14ac:dyDescent="0.15">
      <c r="A14" s="6" t="s">
        <v>26</v>
      </c>
      <c r="D14" s="2">
        <f t="shared" si="5"/>
        <v>0.193</v>
      </c>
      <c r="E14" s="5">
        <f t="shared" si="0"/>
        <v>0</v>
      </c>
      <c r="F14" s="5">
        <v>0.9</v>
      </c>
      <c r="G14" s="5">
        <f t="shared" si="1"/>
        <v>0.9</v>
      </c>
      <c r="H14" s="5">
        <f t="shared" si="2"/>
        <v>2.7314741079037304</v>
      </c>
      <c r="I14" s="5">
        <f t="shared" si="3"/>
        <v>2.4583266971133573</v>
      </c>
      <c r="L14" s="5">
        <f t="shared" si="4"/>
        <v>2.4583266971133573</v>
      </c>
    </row>
    <row r="15" spans="1:12" x14ac:dyDescent="0.15">
      <c r="A15" s="6" t="s">
        <v>27</v>
      </c>
      <c r="B15" s="2">
        <v>25</v>
      </c>
      <c r="C15" s="2">
        <v>2.62</v>
      </c>
      <c r="D15" s="2">
        <f t="shared" si="5"/>
        <v>0.193</v>
      </c>
      <c r="E15" s="5">
        <f t="shared" si="0"/>
        <v>0.50566</v>
      </c>
      <c r="F15" s="5">
        <v>1.83</v>
      </c>
      <c r="G15" s="5">
        <f t="shared" si="1"/>
        <v>2.3356599999999998</v>
      </c>
      <c r="H15" s="5">
        <f t="shared" si="2"/>
        <v>2.4594540079029645</v>
      </c>
      <c r="I15" s="5">
        <f t="shared" si="3"/>
        <v>5.7444483480986381</v>
      </c>
      <c r="L15" s="5">
        <f t="shared" si="4"/>
        <v>5.7444483480986381</v>
      </c>
    </row>
    <row r="16" spans="1:12" x14ac:dyDescent="0.15">
      <c r="A16" s="6" t="s">
        <v>28</v>
      </c>
      <c r="D16" s="2">
        <f t="shared" si="5"/>
        <v>0.193</v>
      </c>
      <c r="E16" s="5">
        <f t="shared" si="0"/>
        <v>0</v>
      </c>
      <c r="F16" s="5">
        <v>2.34</v>
      </c>
      <c r="G16" s="5">
        <f t="shared" si="1"/>
        <v>2.34</v>
      </c>
      <c r="H16" s="5">
        <f t="shared" si="2"/>
        <v>2.458951822626517</v>
      </c>
      <c r="I16" s="5">
        <f t="shared" si="3"/>
        <v>5.7539472649460492</v>
      </c>
      <c r="L16" s="5">
        <f t="shared" si="4"/>
        <v>5.7539472649460492</v>
      </c>
    </row>
    <row r="17" spans="1:12" x14ac:dyDescent="0.15">
      <c r="A17" s="6" t="s">
        <v>38</v>
      </c>
      <c r="D17" s="2">
        <f t="shared" si="5"/>
        <v>0.193</v>
      </c>
      <c r="E17" s="5">
        <f t="shared" si="0"/>
        <v>0</v>
      </c>
      <c r="F17" s="5">
        <v>6.3</v>
      </c>
      <c r="G17" s="5">
        <f t="shared" si="1"/>
        <v>6.3</v>
      </c>
      <c r="H17" s="5">
        <f t="shared" si="2"/>
        <v>2.2051406932736199</v>
      </c>
      <c r="I17" s="5">
        <f t="shared" si="3"/>
        <v>13.892386367623805</v>
      </c>
      <c r="L17" s="5">
        <f t="shared" si="4"/>
        <v>13.892386367623805</v>
      </c>
    </row>
    <row r="18" spans="1:12" x14ac:dyDescent="0.15">
      <c r="A18" s="6" t="s">
        <v>39</v>
      </c>
      <c r="D18" s="2">
        <f>D16</f>
        <v>0.193</v>
      </c>
      <c r="E18" s="5">
        <f t="shared" si="0"/>
        <v>0</v>
      </c>
      <c r="F18" s="5">
        <v>6.3</v>
      </c>
      <c r="G18" s="5">
        <f t="shared" si="1"/>
        <v>6.3</v>
      </c>
      <c r="H18" s="5">
        <f t="shared" si="2"/>
        <v>2.2051406932736199</v>
      </c>
      <c r="I18" s="5">
        <f t="shared" si="3"/>
        <v>13.892386367623805</v>
      </c>
      <c r="L18" s="5">
        <f t="shared" si="4"/>
        <v>13.892386367623805</v>
      </c>
    </row>
    <row r="19" spans="1:12" x14ac:dyDescent="0.15">
      <c r="A19" s="6" t="s">
        <v>29</v>
      </c>
      <c r="D19" s="2">
        <f>D18</f>
        <v>0.193</v>
      </c>
      <c r="E19" s="5">
        <f t="shared" si="0"/>
        <v>0</v>
      </c>
      <c r="F19" s="5">
        <v>8.64</v>
      </c>
      <c r="G19" s="5">
        <f t="shared" si="1"/>
        <v>8.64</v>
      </c>
      <c r="H19" s="5">
        <f t="shared" si="2"/>
        <v>2.1298413404610956</v>
      </c>
      <c r="I19" s="5">
        <f t="shared" si="3"/>
        <v>18.401829181583867</v>
      </c>
      <c r="L19" s="5">
        <f t="shared" si="4"/>
        <v>18.401829181583867</v>
      </c>
    </row>
    <row r="20" spans="1:12" x14ac:dyDescent="0.15">
      <c r="A20" s="6" t="s">
        <v>30</v>
      </c>
      <c r="B20" s="2">
        <v>22</v>
      </c>
      <c r="C20" s="2">
        <v>5.45</v>
      </c>
      <c r="D20" s="2">
        <f t="shared" si="5"/>
        <v>0.193</v>
      </c>
      <c r="E20" s="5">
        <f t="shared" si="0"/>
        <v>1.05185</v>
      </c>
      <c r="F20" s="5">
        <v>8.64</v>
      </c>
      <c r="G20" s="5">
        <f t="shared" si="1"/>
        <v>9.6918500000000005</v>
      </c>
      <c r="H20" s="5">
        <f t="shared" si="2"/>
        <v>2.1030956685143587</v>
      </c>
      <c r="I20" s="5">
        <f t="shared" si="3"/>
        <v>20.382887754890888</v>
      </c>
      <c r="K20" s="5">
        <v>77.78</v>
      </c>
      <c r="L20" s="5">
        <f t="shared" si="4"/>
        <v>98.162887754890889</v>
      </c>
    </row>
    <row r="21" spans="1:12" x14ac:dyDescent="0.15">
      <c r="A21" s="6" t="s">
        <v>31</v>
      </c>
      <c r="B21" s="2">
        <v>15</v>
      </c>
      <c r="C21" s="2">
        <v>5.22</v>
      </c>
      <c r="D21" s="2">
        <f t="shared" si="5"/>
        <v>0.193</v>
      </c>
      <c r="E21" s="5">
        <f t="shared" si="0"/>
        <v>1.00746</v>
      </c>
      <c r="F21" s="5">
        <v>11.57</v>
      </c>
      <c r="G21" s="5">
        <f t="shared" si="1"/>
        <v>12.57746</v>
      </c>
      <c r="H21" s="5">
        <f t="shared" si="2"/>
        <v>2.0436595084450286</v>
      </c>
      <c r="I21" s="5">
        <f t="shared" si="3"/>
        <v>25.704045721087009</v>
      </c>
      <c r="K21" s="5">
        <f>K20</f>
        <v>77.78</v>
      </c>
      <c r="L21" s="5">
        <f t="shared" si="4"/>
        <v>103.48404572108701</v>
      </c>
    </row>
    <row r="22" spans="1:12" x14ac:dyDescent="0.15">
      <c r="A22" s="6" t="s">
        <v>32</v>
      </c>
      <c r="B22" s="2">
        <v>8</v>
      </c>
      <c r="C22" s="2">
        <v>10.49</v>
      </c>
      <c r="D22" s="2">
        <f t="shared" si="5"/>
        <v>0.193</v>
      </c>
      <c r="E22" s="5">
        <f t="shared" si="0"/>
        <v>2.0245700000000002</v>
      </c>
      <c r="F22" s="5">
        <v>16.45</v>
      </c>
      <c r="G22" s="5">
        <f t="shared" si="1"/>
        <v>18.47457</v>
      </c>
      <c r="H22" s="5">
        <f t="shared" si="2"/>
        <v>1.9590277454006666</v>
      </c>
      <c r="I22" s="5">
        <f t="shared" si="3"/>
        <v>36.192195214346796</v>
      </c>
      <c r="K22" s="5">
        <f t="shared" ref="K22:K25" si="6">K21</f>
        <v>77.78</v>
      </c>
      <c r="L22" s="5">
        <f t="shared" si="4"/>
        <v>113.9721952143468</v>
      </c>
    </row>
    <row r="23" spans="1:12" x14ac:dyDescent="0.15">
      <c r="A23" s="6" t="s">
        <v>33</v>
      </c>
      <c r="B23" s="2">
        <v>5</v>
      </c>
      <c r="C23" s="2">
        <v>8.98</v>
      </c>
      <c r="D23" s="2">
        <f t="shared" si="5"/>
        <v>0.193</v>
      </c>
      <c r="E23" s="5">
        <f t="shared" si="0"/>
        <v>1.7331400000000001</v>
      </c>
      <c r="F23" s="5">
        <v>20.29</v>
      </c>
      <c r="G23" s="5">
        <f t="shared" si="1"/>
        <v>22.023139999999998</v>
      </c>
      <c r="H23" s="5">
        <f t="shared" si="2"/>
        <v>1.9215294624377153</v>
      </c>
      <c r="I23" s="5">
        <f t="shared" si="3"/>
        <v>42.31811236539054</v>
      </c>
      <c r="K23" s="5">
        <f t="shared" si="6"/>
        <v>77.78</v>
      </c>
      <c r="L23" s="5">
        <v>116.44</v>
      </c>
    </row>
    <row r="24" spans="1:12" x14ac:dyDescent="0.15">
      <c r="A24" s="6" t="s">
        <v>34</v>
      </c>
      <c r="B24" s="2">
        <v>1</v>
      </c>
      <c r="C24" s="2">
        <v>6.28</v>
      </c>
      <c r="D24" s="2">
        <f t="shared" si="5"/>
        <v>0.193</v>
      </c>
      <c r="E24" s="5">
        <f t="shared" si="0"/>
        <v>1.21204</v>
      </c>
      <c r="F24" s="5">
        <v>28.17</v>
      </c>
      <c r="G24" s="5">
        <f t="shared" si="1"/>
        <v>29.382040000000003</v>
      </c>
      <c r="H24" s="5">
        <f t="shared" si="2"/>
        <v>1.861550191023948</v>
      </c>
      <c r="I24" s="5">
        <f t="shared" si="3"/>
        <v>54.696142174673291</v>
      </c>
      <c r="K24" s="5">
        <f t="shared" si="6"/>
        <v>77.78</v>
      </c>
      <c r="L24" s="5">
        <f t="shared" si="4"/>
        <v>132.4761421746733</v>
      </c>
    </row>
    <row r="25" spans="1:12" x14ac:dyDescent="0.15">
      <c r="A25" s="6" t="s">
        <v>40</v>
      </c>
      <c r="D25" s="2">
        <f t="shared" si="5"/>
        <v>0.193</v>
      </c>
      <c r="E25" s="5">
        <f t="shared" si="0"/>
        <v>0</v>
      </c>
      <c r="F25" s="5">
        <v>31.76</v>
      </c>
      <c r="G25" s="5">
        <f t="shared" si="1"/>
        <v>31.76</v>
      </c>
      <c r="H25" s="5">
        <f t="shared" si="2"/>
        <v>1.8456821404979544</v>
      </c>
      <c r="I25" s="5">
        <f t="shared" si="3"/>
        <v>58.618864782215034</v>
      </c>
      <c r="K25" s="5">
        <f t="shared" si="6"/>
        <v>77.78</v>
      </c>
      <c r="L25" s="5">
        <f t="shared" si="4"/>
        <v>136.39886478221504</v>
      </c>
    </row>
    <row r="26" spans="1:12" x14ac:dyDescent="0.15">
      <c r="A26" s="6" t="s">
        <v>70</v>
      </c>
      <c r="D26" s="2">
        <f>D24</f>
        <v>0.193</v>
      </c>
      <c r="E26" s="5">
        <f t="shared" si="0"/>
        <v>0</v>
      </c>
      <c r="F26" s="5">
        <v>31.76</v>
      </c>
      <c r="G26" s="5">
        <f t="shared" si="1"/>
        <v>31.76</v>
      </c>
      <c r="H26" s="5">
        <f t="shared" si="2"/>
        <v>1.8456821404979544</v>
      </c>
      <c r="I26" s="5">
        <f t="shared" si="3"/>
        <v>58.618864782215034</v>
      </c>
      <c r="K26" s="5">
        <f>K24</f>
        <v>77.78</v>
      </c>
      <c r="L26" s="5">
        <f t="shared" si="4"/>
        <v>136.39886478221504</v>
      </c>
    </row>
    <row r="27" spans="1:12" x14ac:dyDescent="0.15">
      <c r="A27" s="6" t="s">
        <v>35</v>
      </c>
      <c r="D27" s="2">
        <f t="shared" si="5"/>
        <v>0.193</v>
      </c>
      <c r="E27" s="5">
        <f t="shared" si="0"/>
        <v>0</v>
      </c>
      <c r="F27" s="5">
        <v>108.96</v>
      </c>
      <c r="G27" s="5">
        <f t="shared" si="1"/>
        <v>108.96</v>
      </c>
      <c r="H27" s="5">
        <f t="shared" si="2"/>
        <v>1.6116264401443707</v>
      </c>
      <c r="I27" s="5">
        <f t="shared" si="3"/>
        <v>175.60281691813063</v>
      </c>
      <c r="K27" s="5">
        <v>177.78</v>
      </c>
      <c r="L27" s="5">
        <f t="shared" si="4"/>
        <v>353.38281691813063</v>
      </c>
    </row>
    <row r="29" spans="1:12" ht="13.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3.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</sheetData>
  <mergeCells count="11">
    <mergeCell ref="L1:L3"/>
    <mergeCell ref="A1:A3"/>
    <mergeCell ref="B2:E2"/>
    <mergeCell ref="F2:F3"/>
    <mergeCell ref="G2:G3"/>
    <mergeCell ref="H2:H3"/>
    <mergeCell ref="I2:I3"/>
    <mergeCell ref="B1:I1"/>
    <mergeCell ref="J1:K1"/>
    <mergeCell ref="J2:J3"/>
    <mergeCell ref="K2:K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7"/>
  <sheetViews>
    <sheetView zoomScale="90" zoomScaleNormal="90" workbookViewId="0">
      <selection activeCell="S30" sqref="S30"/>
    </sheetView>
  </sheetViews>
  <sheetFormatPr defaultRowHeight="13.5" x14ac:dyDescent="0.15"/>
  <cols>
    <col min="1" max="1" width="6.625" style="1" customWidth="1"/>
    <col min="2" max="2" width="5.25" style="20" customWidth="1"/>
    <col min="3" max="3" width="8" style="22" customWidth="1"/>
    <col min="4" max="4" width="6.875" style="2" customWidth="1"/>
    <col min="5" max="5" width="6.875" style="29" customWidth="1"/>
    <col min="6" max="6" width="5.875" style="29" customWidth="1"/>
    <col min="7" max="7" width="7.75" style="33" customWidth="1"/>
    <col min="8" max="8" width="7.5" style="29" customWidth="1"/>
    <col min="9" max="9" width="7.25" style="27" customWidth="1"/>
    <col min="10" max="10" width="5.875" style="27" customWidth="1"/>
    <col min="11" max="11" width="8.25" style="27" customWidth="1"/>
    <col min="12" max="12" width="6.875" style="27" customWidth="1"/>
    <col min="13" max="13" width="9.625" style="1" bestFit="1" customWidth="1"/>
    <col min="14" max="14" width="9.75" style="1" bestFit="1" customWidth="1"/>
    <col min="15" max="15" width="9.875" style="27" bestFit="1" customWidth="1"/>
    <col min="16" max="16" width="9.75" style="27" bestFit="1" customWidth="1"/>
    <col min="17" max="18" width="9.875" style="27" bestFit="1" customWidth="1"/>
    <col min="19" max="19" width="6.25" style="27" customWidth="1"/>
    <col min="20" max="20" width="5.75" style="29" customWidth="1"/>
    <col min="21" max="21" width="7.875" style="1" customWidth="1"/>
    <col min="22" max="22" width="7.75" style="1" customWidth="1"/>
    <col min="23" max="16384" width="9" style="1"/>
  </cols>
  <sheetData>
    <row r="1" spans="1:23" s="16" customFormat="1" ht="23.25" customHeight="1" x14ac:dyDescent="0.15">
      <c r="A1" s="96" t="s">
        <v>42</v>
      </c>
      <c r="B1" s="98" t="s">
        <v>43</v>
      </c>
      <c r="C1" s="100" t="s">
        <v>44</v>
      </c>
      <c r="D1" s="96" t="s">
        <v>45</v>
      </c>
      <c r="E1" s="102" t="s">
        <v>46</v>
      </c>
      <c r="F1" s="102"/>
      <c r="G1" s="94" t="s">
        <v>47</v>
      </c>
      <c r="H1" s="102" t="s">
        <v>48</v>
      </c>
      <c r="I1" s="102" t="s">
        <v>49</v>
      </c>
      <c r="J1" s="102" t="s">
        <v>50</v>
      </c>
      <c r="K1" s="102" t="s">
        <v>51</v>
      </c>
      <c r="L1" s="102" t="s">
        <v>52</v>
      </c>
      <c r="M1" s="97" t="s">
        <v>53</v>
      </c>
      <c r="N1" s="97"/>
      <c r="O1" s="103" t="s">
        <v>54</v>
      </c>
      <c r="P1" s="103"/>
      <c r="Q1" s="103" t="s">
        <v>55</v>
      </c>
      <c r="R1" s="103"/>
      <c r="S1" s="103" t="s">
        <v>56</v>
      </c>
      <c r="T1" s="103"/>
      <c r="U1" s="104" t="s">
        <v>57</v>
      </c>
      <c r="V1" s="92" t="s">
        <v>118</v>
      </c>
    </row>
    <row r="2" spans="1:23" s="16" customFormat="1" ht="16.5" customHeight="1" x14ac:dyDescent="0.15">
      <c r="A2" s="97"/>
      <c r="B2" s="99"/>
      <c r="C2" s="101"/>
      <c r="D2" s="97"/>
      <c r="E2" s="31" t="s">
        <v>58</v>
      </c>
      <c r="F2" s="24" t="s">
        <v>59</v>
      </c>
      <c r="G2" s="95"/>
      <c r="H2" s="103"/>
      <c r="I2" s="103"/>
      <c r="J2" s="103"/>
      <c r="K2" s="103"/>
      <c r="L2" s="103"/>
      <c r="M2" s="7" t="s">
        <v>60</v>
      </c>
      <c r="N2" s="7" t="s">
        <v>61</v>
      </c>
      <c r="O2" s="30" t="s">
        <v>60</v>
      </c>
      <c r="P2" s="31" t="s">
        <v>61</v>
      </c>
      <c r="Q2" s="31" t="s">
        <v>60</v>
      </c>
      <c r="R2" s="31" t="s">
        <v>61</v>
      </c>
      <c r="S2" s="31" t="s">
        <v>60</v>
      </c>
      <c r="T2" s="76" t="s">
        <v>61</v>
      </c>
      <c r="U2" s="95"/>
      <c r="V2" s="93"/>
    </row>
    <row r="3" spans="1:23" s="8" customFormat="1" ht="14.25" x14ac:dyDescent="0.15">
      <c r="A3" s="9">
        <v>1</v>
      </c>
      <c r="B3" s="18">
        <v>2</v>
      </c>
      <c r="C3" s="21">
        <v>3</v>
      </c>
      <c r="D3" s="10">
        <v>4</v>
      </c>
      <c r="E3" s="49">
        <v>5</v>
      </c>
      <c r="F3" s="49">
        <v>7</v>
      </c>
      <c r="G3" s="49">
        <v>7</v>
      </c>
      <c r="H3" s="60">
        <v>8</v>
      </c>
      <c r="I3" s="50">
        <v>9</v>
      </c>
      <c r="J3" s="50">
        <v>10</v>
      </c>
      <c r="K3" s="50">
        <v>11</v>
      </c>
      <c r="L3" s="50">
        <v>12</v>
      </c>
      <c r="M3" s="51">
        <v>13</v>
      </c>
      <c r="N3" s="51">
        <v>14</v>
      </c>
      <c r="O3" s="52">
        <v>15</v>
      </c>
      <c r="P3" s="52">
        <v>16</v>
      </c>
      <c r="Q3" s="52">
        <v>17</v>
      </c>
      <c r="R3" s="52">
        <v>18</v>
      </c>
      <c r="S3" s="52">
        <v>19</v>
      </c>
      <c r="T3" s="52">
        <v>20</v>
      </c>
      <c r="U3" s="53">
        <v>21</v>
      </c>
      <c r="V3" s="53">
        <v>22</v>
      </c>
    </row>
    <row r="4" spans="1:23" x14ac:dyDescent="0.15">
      <c r="A4" s="6" t="s">
        <v>24</v>
      </c>
      <c r="B4" s="20">
        <v>54</v>
      </c>
      <c r="C4" s="5">
        <v>1.3156017159957694</v>
      </c>
      <c r="D4" s="2">
        <v>300</v>
      </c>
      <c r="E4" s="29">
        <v>0.32</v>
      </c>
      <c r="F4" s="29">
        <f t="shared" ref="F4:F8" si="0">E4*(D4/1000)</f>
        <v>9.6000000000000002E-2</v>
      </c>
      <c r="G4" s="33">
        <v>3.0000000000000001E-3</v>
      </c>
      <c r="H4" s="29">
        <f t="shared" ref="H4:H8" si="1">1/0.013*J4^(2/3)*G4^0.5</f>
        <v>0.6023222714695925</v>
      </c>
      <c r="I4" s="27">
        <f t="shared" ref="I4:I8" si="2">(D4/1000)^2/8*(4*ASIN((E4)^0.5)-SIN(4*(ASIN((E4)^0.5))))</f>
        <v>1.9499976094841259E-2</v>
      </c>
      <c r="J4" s="27">
        <f t="shared" ref="J4:J8" si="3">(D4/4000)*(1-SIN((4*ASIN(E4^0.5)))/(4*ASIN((E4^0.5))))</f>
        <v>5.4052709701520041E-2</v>
      </c>
      <c r="K4" s="27">
        <f t="shared" ref="K4:K8" si="4">I4*H4*1000</f>
        <v>11.74526989504754</v>
      </c>
      <c r="L4" s="27">
        <f t="shared" ref="L4:L8" si="5">G4*B4</f>
        <v>0.16200000000000001</v>
      </c>
      <c r="M4" s="22">
        <v>1965.9</v>
      </c>
      <c r="N4" s="22">
        <f t="shared" ref="N4:N7" si="6">M5</f>
        <v>1965.7</v>
      </c>
      <c r="O4" s="26">
        <f>Q4+F4</f>
        <v>1964.796</v>
      </c>
      <c r="P4" s="26">
        <f t="shared" ref="P4:P8" si="7">O4-L4</f>
        <v>1964.634</v>
      </c>
      <c r="Q4" s="26">
        <f>M4-S4</f>
        <v>1964.7</v>
      </c>
      <c r="R4" s="26">
        <f>Q4-L4</f>
        <v>1964.538</v>
      </c>
      <c r="S4" s="26">
        <v>1.2</v>
      </c>
      <c r="T4" s="25">
        <f t="shared" ref="T4:T8" si="8">N4-R4</f>
        <v>1.1620000000000346</v>
      </c>
      <c r="U4" s="17">
        <f t="shared" ref="U4:U8" si="9">(M4-N4)/B4</f>
        <v>3.7037037037045456E-3</v>
      </c>
      <c r="V4" s="13"/>
    </row>
    <row r="5" spans="1:23" x14ac:dyDescent="0.15">
      <c r="A5" s="6" t="s">
        <v>25</v>
      </c>
      <c r="B5" s="20">
        <v>144</v>
      </c>
      <c r="C5" s="5">
        <v>2.4622645468558533</v>
      </c>
      <c r="D5" s="2">
        <v>300</v>
      </c>
      <c r="E5" s="29">
        <v>0.32</v>
      </c>
      <c r="F5" s="29">
        <f t="shared" si="0"/>
        <v>9.6000000000000002E-2</v>
      </c>
      <c r="G5" s="33">
        <v>3.5000000000000001E-3</v>
      </c>
      <c r="H5" s="29">
        <f t="shared" si="1"/>
        <v>0.65058240971174253</v>
      </c>
      <c r="I5" s="27">
        <f t="shared" si="2"/>
        <v>1.9499976094841259E-2</v>
      </c>
      <c r="J5" s="27">
        <f t="shared" si="3"/>
        <v>5.4052709701520041E-2</v>
      </c>
      <c r="K5" s="27">
        <f t="shared" si="4"/>
        <v>12.6863414371032</v>
      </c>
      <c r="L5" s="27">
        <f t="shared" si="5"/>
        <v>0.504</v>
      </c>
      <c r="M5" s="22">
        <v>1965.7</v>
      </c>
      <c r="N5" s="22">
        <f t="shared" si="6"/>
        <v>1965.2</v>
      </c>
      <c r="O5" s="27">
        <f>P4</f>
        <v>1964.634</v>
      </c>
      <c r="P5" s="27">
        <f t="shared" si="7"/>
        <v>1964.13</v>
      </c>
      <c r="Q5" s="27">
        <f>O5-F5</f>
        <v>1964.538</v>
      </c>
      <c r="R5" s="27">
        <f>P5-F5</f>
        <v>1964.0340000000001</v>
      </c>
      <c r="S5" s="27">
        <f>M5-Q5</f>
        <v>1.1620000000000346</v>
      </c>
      <c r="T5" s="29">
        <f t="shared" si="8"/>
        <v>1.16599999999994</v>
      </c>
      <c r="U5" s="17">
        <f t="shared" si="9"/>
        <v>3.472222222222222E-3</v>
      </c>
      <c r="V5" s="13" t="s">
        <v>71</v>
      </c>
    </row>
    <row r="6" spans="1:23" x14ac:dyDescent="0.15">
      <c r="A6" s="6" t="s">
        <v>26</v>
      </c>
      <c r="B6" s="20">
        <v>121</v>
      </c>
      <c r="C6" s="5">
        <v>2.4583266971133573</v>
      </c>
      <c r="D6" s="2">
        <v>300</v>
      </c>
      <c r="E6" s="29">
        <v>0.32</v>
      </c>
      <c r="F6" s="29">
        <f t="shared" si="0"/>
        <v>9.6000000000000002E-2</v>
      </c>
      <c r="G6" s="33">
        <v>3.0000000000000001E-3</v>
      </c>
      <c r="H6" s="29">
        <f t="shared" si="1"/>
        <v>0.6023222714695925</v>
      </c>
      <c r="I6" s="27">
        <f t="shared" si="2"/>
        <v>1.9499976094841259E-2</v>
      </c>
      <c r="J6" s="27">
        <f t="shared" si="3"/>
        <v>5.4052709701520041E-2</v>
      </c>
      <c r="K6" s="27">
        <f t="shared" si="4"/>
        <v>11.74526989504754</v>
      </c>
      <c r="L6" s="27">
        <f t="shared" si="5"/>
        <v>0.36299999999999999</v>
      </c>
      <c r="M6" s="22">
        <v>1965.2</v>
      </c>
      <c r="N6" s="22">
        <f t="shared" si="6"/>
        <v>1965</v>
      </c>
      <c r="O6" s="27">
        <f t="shared" ref="O6:O8" si="10">P5</f>
        <v>1964.13</v>
      </c>
      <c r="P6" s="27">
        <f t="shared" si="7"/>
        <v>1963.7670000000001</v>
      </c>
      <c r="Q6" s="27">
        <f t="shared" ref="Q6:Q8" si="11">O6-F6</f>
        <v>1964.0340000000001</v>
      </c>
      <c r="R6" s="27">
        <f t="shared" ref="R6:R8" si="12">P6-F6</f>
        <v>1963.671</v>
      </c>
      <c r="S6" s="27">
        <f t="shared" ref="S6:S8" si="13">M6-Q6</f>
        <v>1.16599999999994</v>
      </c>
      <c r="T6" s="29">
        <f t="shared" si="8"/>
        <v>1.3289999999999509</v>
      </c>
      <c r="U6" s="17">
        <f t="shared" si="9"/>
        <v>1.6528925619838468E-3</v>
      </c>
      <c r="V6" s="13" t="s">
        <v>71</v>
      </c>
    </row>
    <row r="7" spans="1:23" x14ac:dyDescent="0.15">
      <c r="A7" s="6" t="s">
        <v>27</v>
      </c>
      <c r="B7" s="20">
        <v>117</v>
      </c>
      <c r="C7" s="5">
        <v>5.7444483480986381</v>
      </c>
      <c r="D7" s="2">
        <v>300</v>
      </c>
      <c r="E7" s="29">
        <v>0.32</v>
      </c>
      <c r="F7" s="29">
        <f t="shared" si="0"/>
        <v>9.6000000000000002E-2</v>
      </c>
      <c r="G7" s="33">
        <v>3.0000000000000001E-3</v>
      </c>
      <c r="H7" s="29">
        <f t="shared" si="1"/>
        <v>0.6023222714695925</v>
      </c>
      <c r="I7" s="27">
        <f t="shared" si="2"/>
        <v>1.9499976094841259E-2</v>
      </c>
      <c r="J7" s="27">
        <f t="shared" si="3"/>
        <v>5.4052709701520041E-2</v>
      </c>
      <c r="K7" s="27">
        <f t="shared" si="4"/>
        <v>11.74526989504754</v>
      </c>
      <c r="L7" s="27">
        <f t="shared" si="5"/>
        <v>0.35100000000000003</v>
      </c>
      <c r="M7" s="22">
        <v>1965</v>
      </c>
      <c r="N7" s="22">
        <f t="shared" si="6"/>
        <v>1964.8</v>
      </c>
      <c r="O7" s="27">
        <f t="shared" si="10"/>
        <v>1963.7670000000001</v>
      </c>
      <c r="P7" s="27">
        <f t="shared" si="7"/>
        <v>1963.4159999999999</v>
      </c>
      <c r="Q7" s="27">
        <f t="shared" si="11"/>
        <v>1963.671</v>
      </c>
      <c r="R7" s="27">
        <f t="shared" si="12"/>
        <v>1963.32</v>
      </c>
      <c r="S7" s="27">
        <f t="shared" si="13"/>
        <v>1.3289999999999509</v>
      </c>
      <c r="T7" s="29">
        <f t="shared" si="8"/>
        <v>1.4800000000000182</v>
      </c>
      <c r="U7" s="17">
        <f t="shared" si="9"/>
        <v>1.709401709402098E-3</v>
      </c>
      <c r="V7" s="13" t="s">
        <v>71</v>
      </c>
    </row>
    <row r="8" spans="1:23" s="45" customFormat="1" x14ac:dyDescent="0.15">
      <c r="A8" s="34" t="s">
        <v>28</v>
      </c>
      <c r="B8" s="35">
        <v>109</v>
      </c>
      <c r="C8" s="36">
        <v>5.7539472649460492</v>
      </c>
      <c r="D8" s="46">
        <v>300</v>
      </c>
      <c r="E8" s="42">
        <v>0.34</v>
      </c>
      <c r="F8" s="42">
        <f t="shared" si="0"/>
        <v>0.10200000000000001</v>
      </c>
      <c r="G8" s="43">
        <v>4.7000000000000002E-3</v>
      </c>
      <c r="H8" s="42">
        <f t="shared" si="1"/>
        <v>0.77866817245726017</v>
      </c>
      <c r="I8" s="40">
        <f t="shared" si="2"/>
        <v>2.1192597582135642E-2</v>
      </c>
      <c r="J8" s="40">
        <f t="shared" si="3"/>
        <v>5.6737509745907105E-2</v>
      </c>
      <c r="K8" s="40">
        <f t="shared" si="4"/>
        <v>16.502001228903712</v>
      </c>
      <c r="L8" s="40">
        <f t="shared" si="5"/>
        <v>0.51229999999999998</v>
      </c>
      <c r="M8" s="41">
        <v>1964.8</v>
      </c>
      <c r="N8" s="41">
        <f>M19</f>
        <v>1964.3</v>
      </c>
      <c r="O8" s="40">
        <f t="shared" si="10"/>
        <v>1963.4159999999999</v>
      </c>
      <c r="P8" s="40">
        <f t="shared" si="7"/>
        <v>1962.9036999999998</v>
      </c>
      <c r="Q8" s="40">
        <f t="shared" si="11"/>
        <v>1963.3139999999999</v>
      </c>
      <c r="R8" s="40">
        <f t="shared" si="12"/>
        <v>1962.8016999999998</v>
      </c>
      <c r="S8" s="40">
        <f t="shared" si="13"/>
        <v>1.4860000000001037</v>
      </c>
      <c r="T8" s="42">
        <f t="shared" si="8"/>
        <v>1.4983000000001994</v>
      </c>
      <c r="U8" s="43">
        <f t="shared" si="9"/>
        <v>4.5871559633027525E-3</v>
      </c>
      <c r="V8" s="44" t="s">
        <v>71</v>
      </c>
      <c r="W8" s="45" t="s">
        <v>83</v>
      </c>
    </row>
    <row r="9" spans="1:23" s="45" customFormat="1" x14ac:dyDescent="0.15">
      <c r="A9" s="34" t="s">
        <v>18</v>
      </c>
      <c r="B9" s="35">
        <v>75</v>
      </c>
      <c r="C9" s="36">
        <v>1.0484530001018015</v>
      </c>
      <c r="D9" s="47">
        <v>300</v>
      </c>
      <c r="E9" s="42">
        <v>0.32</v>
      </c>
      <c r="F9" s="42">
        <f t="shared" ref="F9:F16" si="14">E9*(D9/1000)</f>
        <v>9.6000000000000002E-2</v>
      </c>
      <c r="G9" s="43">
        <v>3.0000000000000001E-3</v>
      </c>
      <c r="H9" s="42">
        <f t="shared" ref="H9:H16" si="15">1/0.013*J9^(2/3)*G9^0.5</f>
        <v>0.6023222714695925</v>
      </c>
      <c r="I9" s="40">
        <f t="shared" ref="I9:I16" si="16">(D9/1000)^2/8*(4*ASIN((E9)^0.5)-SIN(4*(ASIN((E9)^0.5))))</f>
        <v>1.9499976094841259E-2</v>
      </c>
      <c r="J9" s="40">
        <f t="shared" ref="J9:J16" si="17">(D9/4000)*(1-SIN((4*ASIN(E9^0.5)))/(4*ASIN((E9^0.5))))</f>
        <v>5.4052709701520041E-2</v>
      </c>
      <c r="K9" s="40">
        <f t="shared" ref="K9:K16" si="18">I9*H9*1000</f>
        <v>11.74526989504754</v>
      </c>
      <c r="L9" s="40">
        <f t="shared" ref="L9:L16" si="19">G9*B9</f>
        <v>0.22500000000000001</v>
      </c>
      <c r="M9" s="41">
        <v>1969</v>
      </c>
      <c r="N9" s="41">
        <v>1968.8</v>
      </c>
      <c r="O9" s="40">
        <f>Q9+F9</f>
        <v>1967.896</v>
      </c>
      <c r="P9" s="40">
        <f t="shared" ref="P9:P14" si="20">O9-L9</f>
        <v>1967.671</v>
      </c>
      <c r="Q9" s="48">
        <f>M9-S9</f>
        <v>1967.8</v>
      </c>
      <c r="R9" s="40">
        <f>Q9-L9</f>
        <v>1967.575</v>
      </c>
      <c r="S9" s="40">
        <v>1.2</v>
      </c>
      <c r="T9" s="42">
        <f t="shared" ref="T9:T15" si="21">N9-R9</f>
        <v>1.2249999999999091</v>
      </c>
      <c r="U9" s="43">
        <f t="shared" ref="U9:U12" si="22">(M9-N9)/B9</f>
        <v>2.6666666666672729E-3</v>
      </c>
      <c r="V9" s="44"/>
    </row>
    <row r="10" spans="1:23" s="16" customFormat="1" x14ac:dyDescent="0.15">
      <c r="A10" s="6" t="s">
        <v>19</v>
      </c>
      <c r="B10" s="19">
        <v>131</v>
      </c>
      <c r="C10" s="5">
        <v>2.1414690101401437</v>
      </c>
      <c r="D10" s="11">
        <v>300</v>
      </c>
      <c r="E10" s="25">
        <v>0.32</v>
      </c>
      <c r="F10" s="25">
        <f t="shared" si="14"/>
        <v>9.6000000000000002E-2</v>
      </c>
      <c r="G10" s="17">
        <v>5.3E-3</v>
      </c>
      <c r="H10" s="25">
        <f t="shared" si="15"/>
        <v>0.80058275215702179</v>
      </c>
      <c r="I10" s="26">
        <f t="shared" si="16"/>
        <v>1.9499976094841259E-2</v>
      </c>
      <c r="J10" s="26">
        <f t="shared" si="17"/>
        <v>5.4052709701520041E-2</v>
      </c>
      <c r="K10" s="26">
        <f t="shared" si="18"/>
        <v>15.611344529004148</v>
      </c>
      <c r="L10" s="26">
        <f t="shared" si="19"/>
        <v>0.69430000000000003</v>
      </c>
      <c r="M10" s="22">
        <f>N9</f>
        <v>1968.8</v>
      </c>
      <c r="N10" s="22">
        <v>1968.1</v>
      </c>
      <c r="O10" s="26">
        <f>P9</f>
        <v>1967.671</v>
      </c>
      <c r="P10" s="26">
        <f t="shared" si="20"/>
        <v>1966.9766999999999</v>
      </c>
      <c r="Q10" s="26">
        <f>O10-F10</f>
        <v>1967.575</v>
      </c>
      <c r="R10" s="26">
        <f t="shared" ref="R10:R14" si="23">P10-F10</f>
        <v>1966.8806999999999</v>
      </c>
      <c r="S10" s="26">
        <f t="shared" ref="S10:S15" si="24">M10-Q10</f>
        <v>1.2249999999999091</v>
      </c>
      <c r="T10" s="25">
        <f t="shared" si="21"/>
        <v>1.2192999999999756</v>
      </c>
      <c r="U10" s="17">
        <f t="shared" si="22"/>
        <v>5.3435114503820264E-3</v>
      </c>
      <c r="V10" s="13" t="s">
        <v>71</v>
      </c>
    </row>
    <row r="11" spans="1:23" s="16" customFormat="1" x14ac:dyDescent="0.15">
      <c r="A11" s="6" t="s">
        <v>20</v>
      </c>
      <c r="B11" s="19">
        <v>129</v>
      </c>
      <c r="C11" s="5">
        <v>3.5422569930292225</v>
      </c>
      <c r="D11" s="11">
        <v>300</v>
      </c>
      <c r="E11" s="25">
        <v>0.33</v>
      </c>
      <c r="F11" s="25">
        <f t="shared" si="14"/>
        <v>9.9000000000000005E-2</v>
      </c>
      <c r="G11" s="17">
        <v>3.0000000000000001E-3</v>
      </c>
      <c r="H11" s="25">
        <f t="shared" si="15"/>
        <v>0.61233320617345977</v>
      </c>
      <c r="I11" s="26">
        <f t="shared" si="16"/>
        <v>2.034303257587268E-2</v>
      </c>
      <c r="J11" s="26">
        <f t="shared" si="17"/>
        <v>5.5405873294899689E-2</v>
      </c>
      <c r="K11" s="26">
        <f t="shared" si="18"/>
        <v>12.456714360475255</v>
      </c>
      <c r="L11" s="26">
        <f t="shared" si="19"/>
        <v>0.38700000000000001</v>
      </c>
      <c r="M11" s="22">
        <f>N10</f>
        <v>1968.1</v>
      </c>
      <c r="N11" s="22">
        <f>M12</f>
        <v>1967.8</v>
      </c>
      <c r="O11" s="26">
        <f>P10</f>
        <v>1966.9766999999999</v>
      </c>
      <c r="P11" s="26">
        <f t="shared" si="20"/>
        <v>1966.5897</v>
      </c>
      <c r="Q11" s="26">
        <f>O11-F11</f>
        <v>1966.8777</v>
      </c>
      <c r="R11" s="26">
        <f t="shared" si="23"/>
        <v>1966.4907000000001</v>
      </c>
      <c r="S11" s="26">
        <f t="shared" si="24"/>
        <v>1.2222999999999047</v>
      </c>
      <c r="T11" s="25">
        <f t="shared" si="21"/>
        <v>1.3092999999998938</v>
      </c>
      <c r="U11" s="17">
        <f t="shared" si="22"/>
        <v>2.3255813953484846E-3</v>
      </c>
      <c r="V11" s="13" t="s">
        <v>71</v>
      </c>
    </row>
    <row r="12" spans="1:23" s="16" customFormat="1" x14ac:dyDescent="0.15">
      <c r="A12" s="6" t="s">
        <v>21</v>
      </c>
      <c r="B12" s="19">
        <v>128</v>
      </c>
      <c r="C12" s="5">
        <v>4.5123026577675684</v>
      </c>
      <c r="D12" s="11">
        <v>300</v>
      </c>
      <c r="E12" s="25">
        <v>0.33</v>
      </c>
      <c r="F12" s="25">
        <f t="shared" si="14"/>
        <v>9.9000000000000005E-2</v>
      </c>
      <c r="G12" s="17">
        <v>4.7000000000000002E-3</v>
      </c>
      <c r="H12" s="25">
        <f t="shared" si="15"/>
        <v>0.7664363835958693</v>
      </c>
      <c r="I12" s="26">
        <f t="shared" si="16"/>
        <v>2.034303257587268E-2</v>
      </c>
      <c r="J12" s="26">
        <f t="shared" si="17"/>
        <v>5.5405873294899689E-2</v>
      </c>
      <c r="K12" s="26">
        <f t="shared" si="18"/>
        <v>15.591640318824817</v>
      </c>
      <c r="L12" s="26">
        <f t="shared" si="19"/>
        <v>0.60160000000000002</v>
      </c>
      <c r="M12" s="22">
        <v>1967.8</v>
      </c>
      <c r="N12" s="22">
        <f>M13</f>
        <v>1967.2</v>
      </c>
      <c r="O12" s="26">
        <f>P11</f>
        <v>1966.5897</v>
      </c>
      <c r="P12" s="26">
        <f t="shared" si="20"/>
        <v>1965.9881</v>
      </c>
      <c r="Q12" s="26">
        <f>O12-F12</f>
        <v>1966.4907000000001</v>
      </c>
      <c r="R12" s="26">
        <f t="shared" si="23"/>
        <v>1965.8891000000001</v>
      </c>
      <c r="S12" s="26">
        <f t="shared" si="24"/>
        <v>1.3092999999998938</v>
      </c>
      <c r="T12" s="25">
        <f t="shared" si="21"/>
        <v>1.3108999999999469</v>
      </c>
      <c r="U12" s="17">
        <f t="shared" si="22"/>
        <v>4.6874999999992895E-3</v>
      </c>
      <c r="V12" s="13" t="s">
        <v>71</v>
      </c>
    </row>
    <row r="13" spans="1:23" s="16" customFormat="1" x14ac:dyDescent="0.15">
      <c r="A13" s="6" t="s">
        <v>22</v>
      </c>
      <c r="B13" s="19">
        <v>146</v>
      </c>
      <c r="C13" s="5">
        <v>5.4481610898665274</v>
      </c>
      <c r="D13" s="11">
        <v>300</v>
      </c>
      <c r="E13" s="25">
        <v>0.34</v>
      </c>
      <c r="F13" s="25">
        <f t="shared" si="14"/>
        <v>0.10200000000000001</v>
      </c>
      <c r="G13" s="17">
        <v>3.3999999999999998E-3</v>
      </c>
      <c r="H13" s="25">
        <f t="shared" si="15"/>
        <v>0.66228200227295342</v>
      </c>
      <c r="I13" s="26">
        <f t="shared" si="16"/>
        <v>2.1192597582135642E-2</v>
      </c>
      <c r="J13" s="26">
        <f t="shared" si="17"/>
        <v>5.6737509745907105E-2</v>
      </c>
      <c r="K13" s="26">
        <f t="shared" si="18"/>
        <v>14.035475960061744</v>
      </c>
      <c r="L13" s="26">
        <f t="shared" si="19"/>
        <v>0.49639999999999995</v>
      </c>
      <c r="M13" s="22">
        <v>1967.2</v>
      </c>
      <c r="N13" s="22">
        <f>M14</f>
        <v>1966.7</v>
      </c>
      <c r="O13" s="26">
        <f>P12</f>
        <v>1965.9881</v>
      </c>
      <c r="P13" s="26">
        <f t="shared" si="20"/>
        <v>1965.4917</v>
      </c>
      <c r="Q13" s="26">
        <f>O13-F13</f>
        <v>1965.8860999999999</v>
      </c>
      <c r="R13" s="26">
        <f t="shared" si="23"/>
        <v>1965.3896999999999</v>
      </c>
      <c r="S13" s="26">
        <f t="shared" si="24"/>
        <v>1.3139000000001033</v>
      </c>
      <c r="T13" s="25">
        <f t="shared" si="21"/>
        <v>1.3103000000000975</v>
      </c>
      <c r="U13" s="17">
        <f t="shared" ref="U13" si="25">(M13-N13)/B13</f>
        <v>3.4246575342465752E-3</v>
      </c>
      <c r="V13" s="13" t="s">
        <v>71</v>
      </c>
    </row>
    <row r="14" spans="1:23" s="45" customFormat="1" x14ac:dyDescent="0.15">
      <c r="A14" s="34" t="s">
        <v>23</v>
      </c>
      <c r="B14" s="35">
        <v>146</v>
      </c>
      <c r="C14" s="36">
        <v>10.8</v>
      </c>
      <c r="D14" s="47">
        <v>400</v>
      </c>
      <c r="E14" s="42">
        <v>0.34</v>
      </c>
      <c r="F14" s="42">
        <f t="shared" si="14"/>
        <v>0.13600000000000001</v>
      </c>
      <c r="G14" s="43">
        <v>3.0000000000000001E-3</v>
      </c>
      <c r="H14" s="42">
        <f t="shared" si="15"/>
        <v>0.75362728390337552</v>
      </c>
      <c r="I14" s="40">
        <f t="shared" si="16"/>
        <v>3.7675729034907818E-2</v>
      </c>
      <c r="J14" s="40">
        <f t="shared" si="17"/>
        <v>7.5650012994542826E-2</v>
      </c>
      <c r="K14" s="40">
        <f t="shared" si="18"/>
        <v>28.393457341657122</v>
      </c>
      <c r="L14" s="40">
        <f t="shared" si="19"/>
        <v>0.438</v>
      </c>
      <c r="M14" s="41">
        <v>1966.7</v>
      </c>
      <c r="N14" s="41">
        <f>M15</f>
        <v>1966.3</v>
      </c>
      <c r="O14" s="40">
        <f>Q14+F14</f>
        <v>1965.4256999999998</v>
      </c>
      <c r="P14" s="40">
        <f t="shared" si="20"/>
        <v>1964.9876999999997</v>
      </c>
      <c r="Q14" s="40">
        <f>R13+D13/1000-D14/1000</f>
        <v>1965.2896999999998</v>
      </c>
      <c r="R14" s="40">
        <f t="shared" si="23"/>
        <v>1964.8516999999997</v>
      </c>
      <c r="S14" s="40">
        <f t="shared" si="24"/>
        <v>1.4103000000002339</v>
      </c>
      <c r="T14" s="42">
        <f t="shared" si="21"/>
        <v>1.4483000000002448</v>
      </c>
      <c r="U14" s="43">
        <f t="shared" ref="U14" si="26">(M14-N14)/B14</f>
        <v>2.7397260273978831E-3</v>
      </c>
      <c r="V14" s="44" t="s">
        <v>73</v>
      </c>
    </row>
    <row r="15" spans="1:23" s="16" customFormat="1" x14ac:dyDescent="0.15">
      <c r="A15" s="6" t="s">
        <v>36</v>
      </c>
      <c r="B15" s="19">
        <v>102</v>
      </c>
      <c r="C15" s="5">
        <v>13.89</v>
      </c>
      <c r="D15" s="23">
        <v>400</v>
      </c>
      <c r="E15" s="28">
        <v>0.35</v>
      </c>
      <c r="F15" s="28">
        <f t="shared" si="14"/>
        <v>0.13999999999999999</v>
      </c>
      <c r="G15" s="32">
        <v>3.0000000000000001E-3</v>
      </c>
      <c r="H15" s="25">
        <f t="shared" si="15"/>
        <v>0.76518316910697426</v>
      </c>
      <c r="I15" s="26">
        <f t="shared" si="16"/>
        <v>3.9196876494176615E-2</v>
      </c>
      <c r="J15" s="26">
        <f t="shared" si="17"/>
        <v>7.7396656642119671E-2</v>
      </c>
      <c r="K15" s="26">
        <f t="shared" si="18"/>
        <v>29.992790174908727</v>
      </c>
      <c r="L15" s="26">
        <f t="shared" si="19"/>
        <v>0.30599999999999999</v>
      </c>
      <c r="M15" s="22">
        <v>1966.3</v>
      </c>
      <c r="N15" s="22">
        <f t="shared" ref="N15" si="27">M16</f>
        <v>1966</v>
      </c>
      <c r="O15" s="26">
        <f>P14</f>
        <v>1964.9876999999997</v>
      </c>
      <c r="P15" s="26">
        <f t="shared" ref="P15:P26" si="28">O15-L15</f>
        <v>1964.6816999999996</v>
      </c>
      <c r="Q15" s="26">
        <f>O15-F15</f>
        <v>1964.8476999999996</v>
      </c>
      <c r="R15" s="26">
        <f>P15-F15</f>
        <v>1964.5416999999995</v>
      </c>
      <c r="S15" s="26">
        <f t="shared" si="24"/>
        <v>1.4523000000003776</v>
      </c>
      <c r="T15" s="25">
        <f t="shared" si="21"/>
        <v>1.4583000000004631</v>
      </c>
      <c r="U15" s="17">
        <f t="shared" ref="U15" si="29">(M15-N15)/B15</f>
        <v>2.9411764705877894E-3</v>
      </c>
      <c r="V15" s="13" t="s">
        <v>71</v>
      </c>
    </row>
    <row r="16" spans="1:23" s="45" customFormat="1" x14ac:dyDescent="0.15">
      <c r="A16" s="34" t="s">
        <v>37</v>
      </c>
      <c r="B16" s="35">
        <v>173</v>
      </c>
      <c r="C16" s="36">
        <v>13.89</v>
      </c>
      <c r="D16" s="37">
        <v>400</v>
      </c>
      <c r="E16" s="38">
        <v>0.35</v>
      </c>
      <c r="F16" s="38">
        <f t="shared" si="14"/>
        <v>0.13999999999999999</v>
      </c>
      <c r="G16" s="39">
        <v>3.0000000000000001E-3</v>
      </c>
      <c r="H16" s="42">
        <f t="shared" si="15"/>
        <v>0.76518316910697426</v>
      </c>
      <c r="I16" s="40">
        <f t="shared" si="16"/>
        <v>3.9196876494176615E-2</v>
      </c>
      <c r="J16" s="40">
        <f t="shared" si="17"/>
        <v>7.7396656642119671E-2</v>
      </c>
      <c r="K16" s="40">
        <f t="shared" si="18"/>
        <v>29.992790174908727</v>
      </c>
      <c r="L16" s="40">
        <f t="shared" si="19"/>
        <v>0.51900000000000002</v>
      </c>
      <c r="M16" s="41">
        <v>1966</v>
      </c>
      <c r="N16" s="41">
        <f>M17</f>
        <v>1965.9</v>
      </c>
      <c r="O16" s="40">
        <f>P15</f>
        <v>1964.6816999999996</v>
      </c>
      <c r="P16" s="40">
        <f t="shared" si="28"/>
        <v>1964.1626999999996</v>
      </c>
      <c r="Q16" s="40">
        <f>O16-F16</f>
        <v>1964.5416999999995</v>
      </c>
      <c r="R16" s="40">
        <f>P16-F16</f>
        <v>1964.0226999999995</v>
      </c>
      <c r="S16" s="40">
        <f t="shared" ref="S16" si="30">M16-Q16</f>
        <v>1.4583000000004631</v>
      </c>
      <c r="T16" s="42">
        <f t="shared" ref="T16" si="31">N16-R16</f>
        <v>1.8773000000005595</v>
      </c>
      <c r="U16" s="43">
        <f t="shared" ref="U16" si="32">(M16-N16)/B16</f>
        <v>5.7803468208039916E-4</v>
      </c>
      <c r="V16" s="44" t="s">
        <v>71</v>
      </c>
    </row>
    <row r="17" spans="1:22" s="45" customFormat="1" x14ac:dyDescent="0.15">
      <c r="A17" s="34" t="s">
        <v>38</v>
      </c>
      <c r="B17" s="35">
        <v>318</v>
      </c>
      <c r="C17" s="36">
        <v>13.89</v>
      </c>
      <c r="D17" s="46">
        <v>400</v>
      </c>
      <c r="E17" s="42">
        <v>0.35</v>
      </c>
      <c r="F17" s="42">
        <f t="shared" ref="F17:F26" si="33">E17*(D17/1000)</f>
        <v>0.13999999999999999</v>
      </c>
      <c r="G17" s="43">
        <v>3.0000000000000001E-3</v>
      </c>
      <c r="H17" s="42">
        <f t="shared" ref="H17:H20" si="34">1/0.013*J17^(2/3)*G17^0.5</f>
        <v>0.76518316910697426</v>
      </c>
      <c r="I17" s="40">
        <f t="shared" ref="I17:I20" si="35">(D17/1000)^2/8*(4*ASIN((E17)^0.5)-SIN(4*(ASIN((E17)^0.5))))</f>
        <v>3.9196876494176615E-2</v>
      </c>
      <c r="J17" s="40">
        <f t="shared" ref="J17:J20" si="36">(D17/4000)*(1-SIN((4*ASIN(E17^0.5)))/(4*ASIN((E17^0.5))))</f>
        <v>7.7396656642119671E-2</v>
      </c>
      <c r="K17" s="40">
        <f t="shared" ref="K17:K20" si="37">I17*H17*1000</f>
        <v>29.992790174908727</v>
      </c>
      <c r="L17" s="40">
        <f t="shared" ref="L17:L20" si="38">G17*B17</f>
        <v>0.95400000000000007</v>
      </c>
      <c r="M17" s="41">
        <v>1965.9</v>
      </c>
      <c r="N17" s="41">
        <f>M18</f>
        <v>1965.5</v>
      </c>
      <c r="O17" s="40">
        <f>P16</f>
        <v>1964.1626999999996</v>
      </c>
      <c r="P17" s="40">
        <f t="shared" si="28"/>
        <v>1963.2086999999997</v>
      </c>
      <c r="Q17" s="40">
        <f>O17-F17</f>
        <v>1964.0226999999995</v>
      </c>
      <c r="R17" s="40">
        <f>P17-F17</f>
        <v>1963.0686999999996</v>
      </c>
      <c r="S17" s="40">
        <f t="shared" ref="S17" si="39">M17-Q17</f>
        <v>1.8773000000005595</v>
      </c>
      <c r="T17" s="42">
        <f t="shared" ref="T17" si="40">N17-R17</f>
        <v>2.4313000000004195</v>
      </c>
      <c r="U17" s="43">
        <f t="shared" ref="U17" si="41">(M17-N17)/B17</f>
        <v>1.2578616352204117E-3</v>
      </c>
      <c r="V17" s="44" t="s">
        <v>71</v>
      </c>
    </row>
    <row r="18" spans="1:22" s="45" customFormat="1" x14ac:dyDescent="0.15">
      <c r="A18" s="34" t="s">
        <v>39</v>
      </c>
      <c r="B18" s="35">
        <v>204</v>
      </c>
      <c r="C18" s="36">
        <v>13.89</v>
      </c>
      <c r="D18" s="46">
        <v>400</v>
      </c>
      <c r="E18" s="42">
        <v>0.35</v>
      </c>
      <c r="F18" s="42">
        <f t="shared" si="33"/>
        <v>0.13999999999999999</v>
      </c>
      <c r="G18" s="43">
        <v>5.8999999999999999E-3</v>
      </c>
      <c r="H18" s="42">
        <f t="shared" si="34"/>
        <v>1.073076754862561</v>
      </c>
      <c r="I18" s="40">
        <f t="shared" si="35"/>
        <v>3.9196876494176615E-2</v>
      </c>
      <c r="J18" s="40">
        <f t="shared" si="36"/>
        <v>7.7396656642119671E-2</v>
      </c>
      <c r="K18" s="40">
        <f t="shared" si="37"/>
        <v>42.061257029119645</v>
      </c>
      <c r="L18" s="40">
        <f t="shared" si="38"/>
        <v>1.2036</v>
      </c>
      <c r="M18" s="41">
        <v>1965.5</v>
      </c>
      <c r="N18" s="41">
        <f t="shared" ref="N18:N26" si="42">M19</f>
        <v>1964.3</v>
      </c>
      <c r="O18" s="40">
        <f>P17</f>
        <v>1963.2086999999997</v>
      </c>
      <c r="P18" s="40">
        <f t="shared" si="28"/>
        <v>1962.0050999999996</v>
      </c>
      <c r="Q18" s="40">
        <f>O18-F18</f>
        <v>1963.0686999999996</v>
      </c>
      <c r="R18" s="40">
        <f t="shared" ref="R18" si="43">P18-F18</f>
        <v>1961.8650999999995</v>
      </c>
      <c r="S18" s="40">
        <f t="shared" ref="S18" si="44">M18-Q18</f>
        <v>2.4313000000004195</v>
      </c>
      <c r="T18" s="42">
        <f t="shared" ref="T18" si="45">N18-R18</f>
        <v>2.4349000000004253</v>
      </c>
      <c r="U18" s="43">
        <f t="shared" ref="U18:U19" si="46">(M18-N18)/B18</f>
        <v>5.8823529411766934E-3</v>
      </c>
      <c r="V18" s="44" t="s">
        <v>71</v>
      </c>
    </row>
    <row r="19" spans="1:22" s="45" customFormat="1" x14ac:dyDescent="0.15">
      <c r="A19" s="34" t="s">
        <v>29</v>
      </c>
      <c r="B19" s="35">
        <v>45</v>
      </c>
      <c r="C19" s="36">
        <v>18.399999999999999</v>
      </c>
      <c r="D19" s="46">
        <v>400</v>
      </c>
      <c r="E19" s="42">
        <v>0.35</v>
      </c>
      <c r="F19" s="42">
        <f t="shared" si="33"/>
        <v>0.13999999999999999</v>
      </c>
      <c r="G19" s="43">
        <v>6.7000000000000002E-3</v>
      </c>
      <c r="H19" s="42">
        <f t="shared" si="34"/>
        <v>1.1435158345072984</v>
      </c>
      <c r="I19" s="40">
        <f t="shared" si="35"/>
        <v>3.9196876494176615E-2</v>
      </c>
      <c r="J19" s="40">
        <f t="shared" si="36"/>
        <v>7.7396656642119671E-2</v>
      </c>
      <c r="K19" s="40">
        <f t="shared" si="37"/>
        <v>44.822248934317884</v>
      </c>
      <c r="L19" s="40">
        <f t="shared" si="38"/>
        <v>0.30149999999999999</v>
      </c>
      <c r="M19" s="41">
        <v>1964.3</v>
      </c>
      <c r="N19" s="41">
        <f t="shared" si="42"/>
        <v>1964</v>
      </c>
      <c r="O19" s="40">
        <f>P18</f>
        <v>1962.0050999999996</v>
      </c>
      <c r="P19" s="40">
        <f t="shared" si="28"/>
        <v>1961.7035999999996</v>
      </c>
      <c r="Q19" s="40">
        <f>O19-F19</f>
        <v>1961.8650999999995</v>
      </c>
      <c r="R19" s="40">
        <f t="shared" ref="R19" si="47">P19-F19</f>
        <v>1961.5635999999995</v>
      </c>
      <c r="S19" s="40">
        <f t="shared" ref="S19" si="48">M19-Q19</f>
        <v>2.4349000000004253</v>
      </c>
      <c r="T19" s="42">
        <f t="shared" ref="T19" si="49">N19-R19</f>
        <v>2.4364000000005035</v>
      </c>
      <c r="U19" s="43">
        <f t="shared" si="46"/>
        <v>6.6666666666656558E-3</v>
      </c>
      <c r="V19" s="44" t="s">
        <v>71</v>
      </c>
    </row>
    <row r="20" spans="1:22" x14ac:dyDescent="0.15">
      <c r="A20" s="6" t="s">
        <v>30</v>
      </c>
      <c r="B20" s="20">
        <v>203</v>
      </c>
      <c r="C20" s="5">
        <v>98.16</v>
      </c>
      <c r="D20" s="2">
        <v>600</v>
      </c>
      <c r="E20" s="29">
        <v>0.35</v>
      </c>
      <c r="F20" s="29">
        <f t="shared" si="33"/>
        <v>0.21</v>
      </c>
      <c r="G20" s="33">
        <v>3.5000000000000001E-3</v>
      </c>
      <c r="H20" s="29">
        <f t="shared" si="34"/>
        <v>1.0830112707227098</v>
      </c>
      <c r="I20" s="27">
        <f t="shared" si="35"/>
        <v>8.8192972111897361E-2</v>
      </c>
      <c r="J20" s="27">
        <f t="shared" si="36"/>
        <v>0.11609498496317949</v>
      </c>
      <c r="K20" s="27">
        <f t="shared" si="37"/>
        <v>95.513982795718462</v>
      </c>
      <c r="L20" s="27">
        <f t="shared" si="38"/>
        <v>0.71050000000000002</v>
      </c>
      <c r="M20" s="22">
        <v>1964</v>
      </c>
      <c r="N20" s="22">
        <f t="shared" si="42"/>
        <v>1963.3</v>
      </c>
      <c r="O20" s="40">
        <f>Q20+F20</f>
        <v>1961.5735999999997</v>
      </c>
      <c r="P20" s="40">
        <f t="shared" si="28"/>
        <v>1960.8630999999998</v>
      </c>
      <c r="Q20" s="40">
        <f>R19+D19/1000-D20/1000</f>
        <v>1961.3635999999997</v>
      </c>
      <c r="R20" s="40">
        <f t="shared" ref="R20:R21" si="50">P20-F20</f>
        <v>1960.6530999999998</v>
      </c>
      <c r="S20" s="40">
        <f t="shared" ref="S20:S21" si="51">M20-Q20</f>
        <v>2.6364000000003216</v>
      </c>
      <c r="T20" s="42">
        <f t="shared" ref="T20:T21" si="52">N20-R20</f>
        <v>2.646900000000187</v>
      </c>
      <c r="U20" s="43">
        <f t="shared" ref="U20:U21" si="53">(M20-N20)/B20</f>
        <v>3.4482758620691897E-3</v>
      </c>
      <c r="V20" s="13" t="s">
        <v>72</v>
      </c>
    </row>
    <row r="21" spans="1:22" x14ac:dyDescent="0.15">
      <c r="A21" s="6" t="s">
        <v>31</v>
      </c>
      <c r="B21" s="20">
        <v>75</v>
      </c>
      <c r="C21" s="5">
        <v>103.48</v>
      </c>
      <c r="D21" s="2">
        <v>600</v>
      </c>
      <c r="E21" s="29">
        <v>0.37</v>
      </c>
      <c r="F21" s="29">
        <f t="shared" si="33"/>
        <v>0.222</v>
      </c>
      <c r="G21" s="33">
        <v>5.4000000000000003E-3</v>
      </c>
      <c r="H21" s="29">
        <f t="shared" ref="H21:H22" si="54">1/0.013*J21^(2/3)*G21^0.5</f>
        <v>1.3844099030274635</v>
      </c>
      <c r="I21" s="27">
        <f t="shared" ref="I21:I22" si="55">(D21/1000)^2/8*(4*ASIN((E21)^0.5)-SIN(4*(ASIN((E21)^0.5))))</f>
        <v>9.5104429526817219E-2</v>
      </c>
      <c r="J21" s="27">
        <f t="shared" ref="J21:J22" si="56">(D21/4000)*(1-SIN((4*ASIN(E21^0.5)))/(4*ASIN((E21^0.5))))</f>
        <v>0.12120394466411755</v>
      </c>
      <c r="K21" s="27">
        <f t="shared" ref="K21:K22" si="57">I21*H21*1000</f>
        <v>131.66351405870327</v>
      </c>
      <c r="L21" s="27">
        <f t="shared" ref="L21:L22" si="58">G21*B21</f>
        <v>0.40500000000000003</v>
      </c>
      <c r="M21" s="22">
        <v>1963.3</v>
      </c>
      <c r="N21" s="22">
        <f t="shared" si="42"/>
        <v>1962.9</v>
      </c>
      <c r="O21" s="27">
        <f>P20</f>
        <v>1960.8630999999998</v>
      </c>
      <c r="P21" s="27">
        <f t="shared" si="28"/>
        <v>1960.4580999999998</v>
      </c>
      <c r="Q21" s="27">
        <f>O21-F21</f>
        <v>1960.6410999999998</v>
      </c>
      <c r="R21" s="27">
        <f t="shared" si="50"/>
        <v>1960.2360999999999</v>
      </c>
      <c r="S21" s="27">
        <f t="shared" si="51"/>
        <v>2.6589000000001306</v>
      </c>
      <c r="T21" s="29">
        <f t="shared" si="52"/>
        <v>2.6639000000002397</v>
      </c>
      <c r="U21" s="43">
        <f t="shared" si="53"/>
        <v>5.3333333333315143E-3</v>
      </c>
      <c r="V21" s="44" t="s">
        <v>71</v>
      </c>
    </row>
    <row r="22" spans="1:22" x14ac:dyDescent="0.15">
      <c r="A22" s="6" t="s">
        <v>32</v>
      </c>
      <c r="B22" s="20">
        <v>264</v>
      </c>
      <c r="C22" s="5">
        <v>113.97</v>
      </c>
      <c r="D22" s="2">
        <v>600</v>
      </c>
      <c r="E22" s="29">
        <v>0.37</v>
      </c>
      <c r="F22" s="29">
        <f t="shared" si="33"/>
        <v>0.222</v>
      </c>
      <c r="G22" s="33">
        <v>4.0000000000000001E-3</v>
      </c>
      <c r="H22" s="29">
        <f t="shared" si="54"/>
        <v>1.1915103330555534</v>
      </c>
      <c r="I22" s="27">
        <f t="shared" si="55"/>
        <v>9.5104429526817219E-2</v>
      </c>
      <c r="J22" s="27">
        <f t="shared" si="56"/>
        <v>0.12120394466411755</v>
      </c>
      <c r="K22" s="27">
        <f t="shared" si="57"/>
        <v>113.31791050055639</v>
      </c>
      <c r="L22" s="27">
        <f t="shared" si="58"/>
        <v>1.056</v>
      </c>
      <c r="M22" s="22">
        <v>1962.9</v>
      </c>
      <c r="N22" s="22">
        <f t="shared" si="42"/>
        <v>1962</v>
      </c>
      <c r="O22" s="27">
        <f>P21</f>
        <v>1960.4580999999998</v>
      </c>
      <c r="P22" s="27">
        <f t="shared" si="28"/>
        <v>1959.4020999999998</v>
      </c>
      <c r="Q22" s="27">
        <f>O22-F22</f>
        <v>1960.2360999999999</v>
      </c>
      <c r="R22" s="27">
        <f t="shared" ref="R22" si="59">P22-F22</f>
        <v>1959.1800999999998</v>
      </c>
      <c r="S22" s="27">
        <f t="shared" ref="S22" si="60">M22-Q22</f>
        <v>2.6639000000002397</v>
      </c>
      <c r="T22" s="29">
        <f t="shared" ref="T22" si="61">N22-R22</f>
        <v>2.8199000000001888</v>
      </c>
      <c r="U22" s="43">
        <f t="shared" ref="U22" si="62">(M22-N22)/B22</f>
        <v>3.4090909090912537E-3</v>
      </c>
      <c r="V22" s="44" t="s">
        <v>71</v>
      </c>
    </row>
    <row r="23" spans="1:22" x14ac:dyDescent="0.15">
      <c r="A23" s="6" t="s">
        <v>33</v>
      </c>
      <c r="B23" s="20">
        <v>189</v>
      </c>
      <c r="C23" s="5">
        <v>116.44</v>
      </c>
      <c r="D23" s="2">
        <v>600</v>
      </c>
      <c r="E23" s="29">
        <v>0.38</v>
      </c>
      <c r="F23" s="29">
        <f t="shared" si="33"/>
        <v>0.22799999999999998</v>
      </c>
      <c r="G23" s="33">
        <v>4.0000000000000001E-3</v>
      </c>
      <c r="H23" s="29">
        <f t="shared" ref="H23:H27" si="63">1/0.013*J23^(2/3)*G23^0.5</f>
        <v>1.2077637103962482</v>
      </c>
      <c r="I23" s="27">
        <f t="shared" ref="I23" si="64">(D23/1000)^2/8*(4*ASIN((E23)^0.5)-SIN(4*(ASIN((E23)^0.5))))</f>
        <v>9.8590048438077948E-2</v>
      </c>
      <c r="J23" s="27">
        <f t="shared" ref="J23" si="65">(D23/4000)*(1-SIN((4*ASIN(E23^0.5)))/(4*ASIN((E23^0.5))))</f>
        <v>0.12369239519538527</v>
      </c>
      <c r="K23" s="27">
        <f t="shared" ref="K23" si="66">I23*H23*1000</f>
        <v>119.07348270971886</v>
      </c>
      <c r="L23" s="27">
        <f t="shared" ref="L23" si="67">G23*B23</f>
        <v>0.75600000000000001</v>
      </c>
      <c r="M23" s="22">
        <v>1962</v>
      </c>
      <c r="N23" s="22">
        <f t="shared" si="42"/>
        <v>1961.3</v>
      </c>
      <c r="O23" s="27">
        <f>P22</f>
        <v>1959.4020999999998</v>
      </c>
      <c r="P23" s="27">
        <f t="shared" si="28"/>
        <v>1958.6460999999997</v>
      </c>
      <c r="Q23" s="27">
        <f>O23-F23</f>
        <v>1959.1740999999997</v>
      </c>
      <c r="R23" s="27">
        <f t="shared" ref="R23" si="68">P23-F23</f>
        <v>1958.4180999999996</v>
      </c>
      <c r="S23" s="27">
        <f t="shared" ref="S23" si="69">M23-Q23</f>
        <v>2.8259000000002743</v>
      </c>
      <c r="T23" s="29">
        <f t="shared" ref="T23" si="70">N23-R23</f>
        <v>2.8819000000003143</v>
      </c>
      <c r="U23" s="43">
        <f t="shared" ref="U23" si="71">(M23-N23)/B23</f>
        <v>3.7037037037039441E-3</v>
      </c>
      <c r="V23" s="44" t="s">
        <v>71</v>
      </c>
    </row>
    <row r="24" spans="1:22" x14ac:dyDescent="0.15">
      <c r="A24" s="6" t="s">
        <v>34</v>
      </c>
      <c r="B24" s="20">
        <v>336</v>
      </c>
      <c r="C24" s="5">
        <v>132.47999999999999</v>
      </c>
      <c r="D24" s="2">
        <v>700</v>
      </c>
      <c r="E24" s="29">
        <v>0.38</v>
      </c>
      <c r="F24" s="29">
        <f t="shared" si="33"/>
        <v>0.26599999999999996</v>
      </c>
      <c r="G24" s="33">
        <v>3.0000000000000001E-3</v>
      </c>
      <c r="H24" s="29">
        <f t="shared" si="63"/>
        <v>1.1591611072177324</v>
      </c>
      <c r="I24" s="27">
        <f t="shared" ref="I24" si="72">(D24/1000)^2/8*(4*ASIN((E24)^0.5)-SIN(4*(ASIN((E24)^0.5))))</f>
        <v>0.13419201037405051</v>
      </c>
      <c r="J24" s="27">
        <f t="shared" ref="J24" si="73">(D24/4000)*(1-SIN((4*ASIN(E24^0.5)))/(4*ASIN((E24^0.5))))</f>
        <v>0.14430779439461616</v>
      </c>
      <c r="K24" s="27">
        <f t="shared" ref="K24" si="74">I24*H24*1000</f>
        <v>155.55015932495783</v>
      </c>
      <c r="L24" s="27">
        <f t="shared" ref="L24" si="75">G24*B24</f>
        <v>1.008</v>
      </c>
      <c r="M24" s="22">
        <v>1961.3</v>
      </c>
      <c r="N24" s="22">
        <f t="shared" si="42"/>
        <v>1960.5</v>
      </c>
      <c r="O24" s="27">
        <f>Q24+F24</f>
        <v>1958.5840999999996</v>
      </c>
      <c r="P24" s="27">
        <f t="shared" si="28"/>
        <v>1957.5760999999995</v>
      </c>
      <c r="Q24" s="27">
        <f>R23+D23/1000-D24/1000</f>
        <v>1958.3180999999995</v>
      </c>
      <c r="R24" s="27">
        <f t="shared" ref="R24:R25" si="76">P24-F24</f>
        <v>1957.3100999999995</v>
      </c>
      <c r="S24" s="27">
        <f t="shared" ref="S24" si="77">M24-Q24</f>
        <v>2.9819000000004507</v>
      </c>
      <c r="T24" s="29">
        <f t="shared" ref="T24" si="78">N24-R24</f>
        <v>3.1899000000005344</v>
      </c>
      <c r="U24" s="43">
        <f t="shared" ref="U24" si="79">(M24-N24)/B24</f>
        <v>2.3809523809522454E-3</v>
      </c>
      <c r="V24" s="13" t="s">
        <v>72</v>
      </c>
    </row>
    <row r="25" spans="1:22" x14ac:dyDescent="0.15">
      <c r="A25" s="6" t="s">
        <v>40</v>
      </c>
      <c r="B25" s="20">
        <v>243</v>
      </c>
      <c r="C25" s="5">
        <v>136.4</v>
      </c>
      <c r="D25" s="2">
        <v>700</v>
      </c>
      <c r="E25" s="29">
        <v>0.38</v>
      </c>
      <c r="F25" s="29">
        <f t="shared" si="33"/>
        <v>0.26599999999999996</v>
      </c>
      <c r="G25" s="33">
        <v>3.0000000000000001E-3</v>
      </c>
      <c r="H25" s="29">
        <f t="shared" si="63"/>
        <v>1.1591611072177324</v>
      </c>
      <c r="I25" s="27">
        <f t="shared" ref="I25" si="80">(D25/1000)^2/8*(4*ASIN((E25)^0.5)-SIN(4*(ASIN((E25)^0.5))))</f>
        <v>0.13419201037405051</v>
      </c>
      <c r="J25" s="27">
        <f t="shared" ref="J25" si="81">(D25/4000)*(1-SIN((4*ASIN(E25^0.5)))/(4*ASIN((E25^0.5))))</f>
        <v>0.14430779439461616</v>
      </c>
      <c r="K25" s="27">
        <f t="shared" ref="K25" si="82">I25*H25*1000</f>
        <v>155.55015932495783</v>
      </c>
      <c r="L25" s="27">
        <f t="shared" ref="L25" si="83">G25*B25</f>
        <v>0.72899999999999998</v>
      </c>
      <c r="M25" s="22">
        <v>1960.5</v>
      </c>
      <c r="N25" s="22">
        <f t="shared" si="42"/>
        <v>1959.9</v>
      </c>
      <c r="O25" s="27">
        <f>P24</f>
        <v>1957.5760999999995</v>
      </c>
      <c r="P25" s="27">
        <f t="shared" si="28"/>
        <v>1956.8470999999995</v>
      </c>
      <c r="Q25" s="27">
        <f>R24+D24/1000-D25/1000</f>
        <v>1957.3100999999995</v>
      </c>
      <c r="R25" s="27">
        <f t="shared" si="76"/>
        <v>1956.5810999999994</v>
      </c>
      <c r="S25" s="27">
        <f t="shared" ref="S25" si="84">M25-Q25</f>
        <v>3.1899000000005344</v>
      </c>
      <c r="T25" s="29">
        <f t="shared" ref="T25" si="85">N25-R25</f>
        <v>3.3189000000006672</v>
      </c>
      <c r="U25" s="43">
        <f t="shared" ref="U25" si="86">(M25-N25)/B25</f>
        <v>2.4691358024687615E-3</v>
      </c>
      <c r="V25" s="44" t="s">
        <v>71</v>
      </c>
    </row>
    <row r="26" spans="1:22" x14ac:dyDescent="0.15">
      <c r="A26" s="6" t="s">
        <v>69</v>
      </c>
      <c r="B26" s="20">
        <v>411</v>
      </c>
      <c r="C26" s="5">
        <v>136.4</v>
      </c>
      <c r="D26" s="2">
        <v>700</v>
      </c>
      <c r="E26" s="29">
        <v>0.38</v>
      </c>
      <c r="F26" s="29">
        <f t="shared" si="33"/>
        <v>0.26599999999999996</v>
      </c>
      <c r="G26" s="33">
        <v>3.0000000000000001E-3</v>
      </c>
      <c r="H26" s="29">
        <f t="shared" si="63"/>
        <v>1.1591611072177324</v>
      </c>
      <c r="I26" s="27">
        <f t="shared" ref="I26" si="87">(D26/1000)^2/8*(4*ASIN((E26)^0.5)-SIN(4*(ASIN((E26)^0.5))))</f>
        <v>0.13419201037405051</v>
      </c>
      <c r="J26" s="27">
        <f t="shared" ref="J26" si="88">(D26/4000)*(1-SIN((4*ASIN(E26^0.5)))/(4*ASIN((E26^0.5))))</f>
        <v>0.14430779439461616</v>
      </c>
      <c r="K26" s="27">
        <f t="shared" ref="K26:K27" si="89">I26*H26*1000</f>
        <v>155.55015932495783</v>
      </c>
      <c r="L26" s="27">
        <f t="shared" ref="L26" si="90">G26*B26</f>
        <v>1.2330000000000001</v>
      </c>
      <c r="M26" s="22">
        <v>1959.9</v>
      </c>
      <c r="N26" s="22">
        <f t="shared" si="42"/>
        <v>1958.8</v>
      </c>
      <c r="O26" s="27">
        <f>P25</f>
        <v>1956.8470999999995</v>
      </c>
      <c r="P26" s="27">
        <f t="shared" si="28"/>
        <v>1955.6140999999996</v>
      </c>
      <c r="Q26" s="27">
        <f>R25+D25/1000-D26/1000</f>
        <v>1956.5810999999994</v>
      </c>
      <c r="R26" s="27">
        <f t="shared" ref="R26" si="91">P26-F26</f>
        <v>1955.3480999999995</v>
      </c>
      <c r="S26" s="27">
        <f t="shared" ref="S26" si="92">M26-Q26</f>
        <v>3.3189000000006672</v>
      </c>
      <c r="T26" s="29">
        <f t="shared" ref="T26" si="93">N26-R26</f>
        <v>3.451900000000478</v>
      </c>
      <c r="U26" s="43">
        <f t="shared" ref="U26:U27" si="94">(M26-N26)/B26</f>
        <v>2.6763990267643224E-3</v>
      </c>
      <c r="V26" s="44" t="s">
        <v>71</v>
      </c>
    </row>
    <row r="27" spans="1:22" x14ac:dyDescent="0.15">
      <c r="A27" s="6" t="s">
        <v>35</v>
      </c>
      <c r="B27" s="20">
        <v>130</v>
      </c>
      <c r="C27" s="5">
        <v>353.38</v>
      </c>
      <c r="D27" s="2">
        <v>900</v>
      </c>
      <c r="E27" s="29">
        <v>0.38</v>
      </c>
      <c r="F27" s="29">
        <f t="shared" ref="F27" si="95">E27*(D27/1000)</f>
        <v>0.34200000000000003</v>
      </c>
      <c r="G27" s="33">
        <v>2.3E-3</v>
      </c>
      <c r="H27" s="29">
        <f t="shared" si="63"/>
        <v>1.2000796497498301</v>
      </c>
      <c r="I27" s="27">
        <f t="shared" ref="I27" si="96">(D27/1000)^2/8*(4*ASIN((E27)^0.5)-SIN(4*(ASIN((E27)^0.5))))</f>
        <v>0.22182760898567541</v>
      </c>
      <c r="J27" s="27">
        <f t="shared" ref="J27" si="97">(D27/4000)*(1-SIN((4*ASIN(E27^0.5)))/(4*ASIN((E27^0.5))))</f>
        <v>0.18553859279307791</v>
      </c>
      <c r="K27" s="27">
        <f t="shared" si="89"/>
        <v>266.21079929637159</v>
      </c>
      <c r="L27" s="27">
        <f t="shared" ref="L27" si="98">G27*B27</f>
        <v>0.29899999999999999</v>
      </c>
      <c r="M27" s="22">
        <v>1958.8</v>
      </c>
      <c r="N27" s="22">
        <v>1958.5</v>
      </c>
      <c r="O27" s="27">
        <f>P26</f>
        <v>1955.6140999999996</v>
      </c>
      <c r="P27" s="27">
        <f t="shared" ref="P27" si="99">O27-L27</f>
        <v>1955.3150999999996</v>
      </c>
      <c r="Q27" s="27">
        <f>R26+D26/1000-D27/1000</f>
        <v>1955.1480999999994</v>
      </c>
      <c r="R27" s="27">
        <f t="shared" ref="R27" si="100">P27-F27</f>
        <v>1954.9730999999995</v>
      </c>
      <c r="S27" s="27">
        <f t="shared" ref="S27" si="101">M27-Q27</f>
        <v>3.6519000000005235</v>
      </c>
      <c r="T27" s="29">
        <f t="shared" ref="T27" si="102">N27-R27</f>
        <v>3.5269000000005235</v>
      </c>
      <c r="U27" s="43">
        <f t="shared" si="94"/>
        <v>2.3076923076919579E-3</v>
      </c>
    </row>
  </sheetData>
  <mergeCells count="17">
    <mergeCell ref="M1:N1"/>
    <mergeCell ref="V1:V2"/>
    <mergeCell ref="G1:G2"/>
    <mergeCell ref="A1:A2"/>
    <mergeCell ref="B1:B2"/>
    <mergeCell ref="C1:C2"/>
    <mergeCell ref="D1:D2"/>
    <mergeCell ref="E1:F1"/>
    <mergeCell ref="O1:P1"/>
    <mergeCell ref="Q1:R1"/>
    <mergeCell ref="S1:T1"/>
    <mergeCell ref="U1:U2"/>
    <mergeCell ref="H1:H2"/>
    <mergeCell ref="I1:I2"/>
    <mergeCell ref="J1:J2"/>
    <mergeCell ref="K1:K2"/>
    <mergeCell ref="L1:L2"/>
  </mergeCells>
  <phoneticPr fontId="1" type="noConversion"/>
  <pageMargins left="0.7" right="0.7" top="0.75" bottom="0.75" header="0.3" footer="0.3"/>
  <pageSetup paperSize="9" orientation="portrait" r:id="rId1"/>
  <ignoredErrors>
    <ignoredError sqref="Q9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opLeftCell="G2" workbookViewId="0">
      <selection activeCell="X2" sqref="X2:Y3"/>
    </sheetView>
  </sheetViews>
  <sheetFormatPr defaultRowHeight="13.5" x14ac:dyDescent="0.15"/>
  <cols>
    <col min="1" max="2" width="6.25" style="1" customWidth="1"/>
    <col min="3" max="3" width="8.125" style="77" customWidth="1"/>
    <col min="4" max="4" width="12.75" style="77" customWidth="1"/>
    <col min="5" max="5" width="8.125" style="29" customWidth="1"/>
    <col min="6" max="6" width="8.375" style="77" customWidth="1"/>
    <col min="7" max="7" width="6.25" style="77" customWidth="1"/>
    <col min="8" max="8" width="5.875" style="77" customWidth="1"/>
    <col min="9" max="9" width="9.125" style="77" customWidth="1"/>
    <col min="10" max="10" width="7.625" style="83" customWidth="1"/>
    <col min="11" max="11" width="6.125" style="57" customWidth="1"/>
    <col min="12" max="12" width="7.75" style="59" customWidth="1"/>
    <col min="13" max="13" width="7.5" style="29" customWidth="1"/>
    <col min="14" max="14" width="7.875" style="29" customWidth="1"/>
    <col min="15" max="15" width="7.125" style="29" customWidth="1"/>
    <col min="16" max="16" width="10" style="29" customWidth="1"/>
    <col min="17" max="17" width="6.75" style="29" customWidth="1"/>
    <col min="18" max="18" width="8.625" style="77" customWidth="1"/>
    <col min="19" max="19" width="9.25" style="77" customWidth="1"/>
    <col min="20" max="20" width="9.125" style="29" customWidth="1"/>
    <col min="21" max="21" width="8.625" style="29" customWidth="1"/>
    <col min="22" max="22" width="6.5" style="77" customWidth="1"/>
    <col min="23" max="23" width="6.5" style="29" customWidth="1"/>
    <col min="24" max="24" width="7.75" style="77" customWidth="1"/>
    <col min="25" max="25" width="10.25" style="77" customWidth="1"/>
    <col min="26" max="16384" width="9" style="1"/>
  </cols>
  <sheetData>
    <row r="1" spans="1:25" ht="46.5" customHeight="1" x14ac:dyDescent="0.15">
      <c r="A1" s="113" t="s">
        <v>68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5"/>
    </row>
    <row r="2" spans="1:25" s="16" customFormat="1" ht="20.25" customHeight="1" x14ac:dyDescent="0.15">
      <c r="A2" s="96" t="s">
        <v>42</v>
      </c>
      <c r="B2" s="96" t="s">
        <v>62</v>
      </c>
      <c r="C2" s="96" t="s">
        <v>63</v>
      </c>
      <c r="D2" s="96" t="s">
        <v>64</v>
      </c>
      <c r="E2" s="96"/>
      <c r="F2" s="111" t="s">
        <v>74</v>
      </c>
      <c r="G2" s="111" t="s">
        <v>75</v>
      </c>
      <c r="H2" s="111" t="s">
        <v>76</v>
      </c>
      <c r="I2" s="96" t="s">
        <v>65</v>
      </c>
      <c r="J2" s="105" t="s">
        <v>44</v>
      </c>
      <c r="K2" s="107" t="s">
        <v>45</v>
      </c>
      <c r="L2" s="109" t="s">
        <v>47</v>
      </c>
      <c r="M2" s="102" t="s">
        <v>48</v>
      </c>
      <c r="N2" s="102" t="s">
        <v>49</v>
      </c>
      <c r="O2" s="102" t="s">
        <v>50</v>
      </c>
      <c r="P2" s="102" t="s">
        <v>51</v>
      </c>
      <c r="Q2" s="102" t="s">
        <v>52</v>
      </c>
      <c r="R2" s="97" t="s">
        <v>53</v>
      </c>
      <c r="S2" s="97"/>
      <c r="T2" s="103" t="s">
        <v>55</v>
      </c>
      <c r="U2" s="103"/>
      <c r="V2" s="97" t="s">
        <v>56</v>
      </c>
      <c r="W2" s="97"/>
      <c r="X2" s="97" t="s">
        <v>57</v>
      </c>
      <c r="Y2" s="92" t="s">
        <v>117</v>
      </c>
    </row>
    <row r="3" spans="1:25" s="16" customFormat="1" ht="21.75" customHeight="1" x14ac:dyDescent="0.15">
      <c r="A3" s="97"/>
      <c r="B3" s="97"/>
      <c r="C3" s="96"/>
      <c r="D3" s="75" t="s">
        <v>66</v>
      </c>
      <c r="E3" s="56" t="s">
        <v>67</v>
      </c>
      <c r="F3" s="112"/>
      <c r="G3" s="112"/>
      <c r="H3" s="112"/>
      <c r="I3" s="96"/>
      <c r="J3" s="106"/>
      <c r="K3" s="108"/>
      <c r="L3" s="110"/>
      <c r="M3" s="103"/>
      <c r="N3" s="103"/>
      <c r="O3" s="103"/>
      <c r="P3" s="103"/>
      <c r="Q3" s="103"/>
      <c r="R3" s="74" t="s">
        <v>60</v>
      </c>
      <c r="S3" s="74" t="s">
        <v>61</v>
      </c>
      <c r="T3" s="76" t="s">
        <v>60</v>
      </c>
      <c r="U3" s="76" t="s">
        <v>61</v>
      </c>
      <c r="V3" s="74" t="s">
        <v>60</v>
      </c>
      <c r="W3" s="76" t="s">
        <v>61</v>
      </c>
      <c r="X3" s="97"/>
      <c r="Y3" s="93"/>
    </row>
    <row r="4" spans="1:25" s="82" customFormat="1" x14ac:dyDescent="0.15">
      <c r="A4" s="18">
        <v>1</v>
      </c>
      <c r="B4" s="18">
        <v>2</v>
      </c>
      <c r="C4" s="18">
        <v>3</v>
      </c>
      <c r="D4" s="81">
        <v>4</v>
      </c>
      <c r="E4" s="81">
        <v>5</v>
      </c>
      <c r="F4" s="81">
        <v>6</v>
      </c>
      <c r="G4" s="81">
        <v>7</v>
      </c>
      <c r="H4" s="81">
        <v>8</v>
      </c>
      <c r="I4" s="81">
        <v>9</v>
      </c>
      <c r="J4" s="81">
        <v>10</v>
      </c>
      <c r="K4" s="81">
        <v>11</v>
      </c>
      <c r="L4" s="81">
        <v>12</v>
      </c>
      <c r="M4" s="81">
        <v>13</v>
      </c>
      <c r="N4" s="81">
        <v>14</v>
      </c>
      <c r="O4" s="81">
        <v>15</v>
      </c>
      <c r="P4" s="81">
        <v>16</v>
      </c>
      <c r="Q4" s="81">
        <v>17</v>
      </c>
      <c r="R4" s="81">
        <v>18</v>
      </c>
      <c r="S4" s="81">
        <v>19</v>
      </c>
      <c r="T4" s="81">
        <v>20</v>
      </c>
      <c r="U4" s="81">
        <v>21</v>
      </c>
      <c r="V4" s="81">
        <v>22</v>
      </c>
      <c r="W4" s="81">
        <v>23</v>
      </c>
      <c r="X4" s="81">
        <v>24</v>
      </c>
      <c r="Y4" s="81">
        <v>25</v>
      </c>
    </row>
    <row r="5" spans="1:25" s="54" customFormat="1" x14ac:dyDescent="0.15">
      <c r="A5" s="6" t="s">
        <v>24</v>
      </c>
      <c r="B5" s="20">
        <v>54</v>
      </c>
      <c r="C5" s="12">
        <v>2.31</v>
      </c>
      <c r="D5" s="12">
        <v>0</v>
      </c>
      <c r="E5" s="25">
        <f t="shared" ref="E5:E16" si="0">B5/(60*M5)</f>
        <v>0.65528218347396971</v>
      </c>
      <c r="F5" s="12">
        <v>11</v>
      </c>
      <c r="G5" s="12">
        <v>2</v>
      </c>
      <c r="H5" s="12">
        <v>0.67</v>
      </c>
      <c r="I5" s="12">
        <f>1206.09/(21.247+D5)^0.649</f>
        <v>165.94476736444466</v>
      </c>
      <c r="J5" s="55">
        <f t="shared" ref="J5:J16" si="1">I5*C5</f>
        <v>383.33241261186714</v>
      </c>
      <c r="K5" s="57">
        <v>600</v>
      </c>
      <c r="L5" s="59">
        <v>4.0000000000000001E-3</v>
      </c>
      <c r="M5" s="25">
        <f t="shared" ref="M5:M16" si="2">1/0.013*O5^(2/3)*L5^0.5</f>
        <v>1.3734540976357117</v>
      </c>
      <c r="N5" s="25">
        <f t="shared" ref="N5:N16" si="3">1/4*3.14*(K5/1000)^2</f>
        <v>0.28260000000000002</v>
      </c>
      <c r="O5" s="25">
        <f t="shared" ref="O5:O16" si="4">K5/4000</f>
        <v>0.15</v>
      </c>
      <c r="P5" s="25">
        <f t="shared" ref="P5:P16" si="5">N5*M5*1000</f>
        <v>388.13812799185217</v>
      </c>
      <c r="Q5" s="25">
        <f t="shared" ref="Q5:Q16" si="6">L5*B5</f>
        <v>0.216</v>
      </c>
      <c r="R5" s="78">
        <v>1965.9</v>
      </c>
      <c r="S5" s="78">
        <f t="shared" ref="S5:S8" si="7">R6</f>
        <v>1965.7</v>
      </c>
      <c r="T5" s="28">
        <f>R5-V5</f>
        <v>1964.7</v>
      </c>
      <c r="U5" s="25">
        <f t="shared" ref="U5:U13" si="8">T5-Q5</f>
        <v>1964.4840000000002</v>
      </c>
      <c r="V5" s="12">
        <v>1.2</v>
      </c>
      <c r="W5" s="25">
        <f t="shared" ref="W5:W13" si="9">S5-U5</f>
        <v>1.2159999999998945</v>
      </c>
      <c r="X5" s="14">
        <f t="shared" ref="X5:X13" si="10">(R5-S5)/B5</f>
        <v>3.7037037037045456E-3</v>
      </c>
      <c r="Y5" s="14"/>
    </row>
    <row r="6" spans="1:25" s="16" customFormat="1" x14ac:dyDescent="0.15">
      <c r="A6" s="6" t="s">
        <v>25</v>
      </c>
      <c r="B6" s="20">
        <v>144</v>
      </c>
      <c r="C6" s="12">
        <v>4.6500000000000004</v>
      </c>
      <c r="D6" s="12">
        <f t="shared" ref="D6:D16" si="11">D5+E5</f>
        <v>0.65528218347396971</v>
      </c>
      <c r="E6" s="25">
        <f t="shared" si="0"/>
        <v>1.5880991999838483</v>
      </c>
      <c r="F6" s="12">
        <v>11</v>
      </c>
      <c r="G6" s="12">
        <v>2</v>
      </c>
      <c r="H6" s="12">
        <v>0.67</v>
      </c>
      <c r="I6" s="12">
        <f t="shared" ref="I6:I26" si="12">1206.09/(21.247+D6)^0.649</f>
        <v>162.70545567292643</v>
      </c>
      <c r="J6" s="55">
        <f t="shared" si="1"/>
        <v>756.58036887910794</v>
      </c>
      <c r="K6" s="57">
        <v>800</v>
      </c>
      <c r="L6" s="59">
        <v>3.3E-3</v>
      </c>
      <c r="M6" s="25">
        <f t="shared" si="2"/>
        <v>1.5112406076549936</v>
      </c>
      <c r="N6" s="25">
        <f t="shared" si="3"/>
        <v>0.50240000000000007</v>
      </c>
      <c r="O6" s="25">
        <f t="shared" si="4"/>
        <v>0.2</v>
      </c>
      <c r="P6" s="25">
        <f t="shared" si="5"/>
        <v>759.24728128586878</v>
      </c>
      <c r="Q6" s="25">
        <f t="shared" si="6"/>
        <v>0.47520000000000001</v>
      </c>
      <c r="R6" s="78">
        <v>1965.7</v>
      </c>
      <c r="S6" s="78">
        <f t="shared" si="7"/>
        <v>1965.2</v>
      </c>
      <c r="T6" s="25">
        <f>U5+K5/1000-K6/1000</f>
        <v>1964.2840000000001</v>
      </c>
      <c r="U6" s="25">
        <f t="shared" si="8"/>
        <v>1963.8088</v>
      </c>
      <c r="V6" s="12">
        <f>R6-T6</f>
        <v>1.41599999999994</v>
      </c>
      <c r="W6" s="25">
        <f t="shared" si="9"/>
        <v>1.3912000000000262</v>
      </c>
      <c r="X6" s="14">
        <f t="shared" si="10"/>
        <v>3.472222222222222E-3</v>
      </c>
      <c r="Y6" s="14" t="s">
        <v>77</v>
      </c>
    </row>
    <row r="7" spans="1:25" s="16" customFormat="1" x14ac:dyDescent="0.15">
      <c r="A7" s="6" t="s">
        <v>26</v>
      </c>
      <c r="B7" s="20">
        <v>121</v>
      </c>
      <c r="C7" s="12">
        <v>4.6500000000000004</v>
      </c>
      <c r="D7" s="12">
        <f t="shared" si="11"/>
        <v>2.2433813834578178</v>
      </c>
      <c r="E7" s="25">
        <f t="shared" si="0"/>
        <v>1.5846771497684848</v>
      </c>
      <c r="F7" s="12">
        <v>11</v>
      </c>
      <c r="G7" s="12">
        <v>2</v>
      </c>
      <c r="H7" s="12">
        <v>0.67</v>
      </c>
      <c r="I7" s="12">
        <f t="shared" si="12"/>
        <v>155.47911593912002</v>
      </c>
      <c r="J7" s="55">
        <f t="shared" si="1"/>
        <v>722.97788911690816</v>
      </c>
      <c r="K7" s="57">
        <v>900</v>
      </c>
      <c r="L7" s="59">
        <v>2E-3</v>
      </c>
      <c r="M7" s="25">
        <f t="shared" si="2"/>
        <v>1.2726041181077759</v>
      </c>
      <c r="N7" s="25">
        <f t="shared" si="3"/>
        <v>0.63585000000000003</v>
      </c>
      <c r="O7" s="25">
        <f t="shared" si="4"/>
        <v>0.22500000000000001</v>
      </c>
      <c r="P7" s="25">
        <f t="shared" si="5"/>
        <v>809.18532849882934</v>
      </c>
      <c r="Q7" s="25">
        <f t="shared" si="6"/>
        <v>0.24199999999999999</v>
      </c>
      <c r="R7" s="78">
        <v>1965.2</v>
      </c>
      <c r="S7" s="78">
        <f t="shared" si="7"/>
        <v>1965</v>
      </c>
      <c r="T7" s="25">
        <f>U6+K6/1000-K7/1000</f>
        <v>1963.7087999999999</v>
      </c>
      <c r="U7" s="25">
        <f t="shared" si="8"/>
        <v>1963.4667999999999</v>
      </c>
      <c r="V7" s="12">
        <f>R7-T7</f>
        <v>1.4912000000001626</v>
      </c>
      <c r="W7" s="25">
        <f t="shared" si="9"/>
        <v>1.5332000000000789</v>
      </c>
      <c r="X7" s="14">
        <f t="shared" si="10"/>
        <v>1.6528925619838468E-3</v>
      </c>
      <c r="Y7" s="14" t="s">
        <v>77</v>
      </c>
    </row>
    <row r="8" spans="1:25" s="16" customFormat="1" x14ac:dyDescent="0.15">
      <c r="A8" s="6" t="s">
        <v>27</v>
      </c>
      <c r="B8" s="20">
        <v>117</v>
      </c>
      <c r="C8" s="12">
        <v>12.13</v>
      </c>
      <c r="D8" s="12">
        <f t="shared" si="11"/>
        <v>3.8280585332263026</v>
      </c>
      <c r="E8" s="25">
        <f t="shared" si="0"/>
        <v>1.0132629095450421</v>
      </c>
      <c r="F8" s="12">
        <v>11</v>
      </c>
      <c r="G8" s="12">
        <v>2</v>
      </c>
      <c r="H8" s="12">
        <v>0.67</v>
      </c>
      <c r="I8" s="12">
        <f t="shared" si="12"/>
        <v>149.02930891438831</v>
      </c>
      <c r="J8" s="55">
        <f t="shared" si="1"/>
        <v>1807.7255171315303</v>
      </c>
      <c r="K8" s="57">
        <v>1100</v>
      </c>
      <c r="L8" s="59">
        <v>3.5000000000000001E-3</v>
      </c>
      <c r="M8" s="25">
        <f t="shared" si="2"/>
        <v>1.9244758508683155</v>
      </c>
      <c r="N8" s="25">
        <f t="shared" si="3"/>
        <v>0.94985000000000019</v>
      </c>
      <c r="O8" s="25">
        <f t="shared" si="4"/>
        <v>0.27500000000000002</v>
      </c>
      <c r="P8" s="25">
        <f t="shared" si="5"/>
        <v>1827.9633869472698</v>
      </c>
      <c r="Q8" s="25">
        <f t="shared" si="6"/>
        <v>0.40950000000000003</v>
      </c>
      <c r="R8" s="78">
        <v>1965</v>
      </c>
      <c r="S8" s="78">
        <f t="shared" si="7"/>
        <v>1964.8</v>
      </c>
      <c r="T8" s="25">
        <f>U7+K7/1000-K8/1000</f>
        <v>1963.2668000000001</v>
      </c>
      <c r="U8" s="25">
        <f t="shared" si="8"/>
        <v>1962.8573000000001</v>
      </c>
      <c r="V8" s="12">
        <f>R8-T8</f>
        <v>1.733199999999897</v>
      </c>
      <c r="W8" s="25">
        <f t="shared" si="9"/>
        <v>1.9426999999998316</v>
      </c>
      <c r="X8" s="14">
        <f t="shared" si="10"/>
        <v>1.709401709402098E-3</v>
      </c>
      <c r="Y8" s="14" t="s">
        <v>77</v>
      </c>
    </row>
    <row r="9" spans="1:25" s="45" customFormat="1" x14ac:dyDescent="0.15">
      <c r="A9" s="34" t="s">
        <v>28</v>
      </c>
      <c r="B9" s="35">
        <v>109</v>
      </c>
      <c r="C9" s="36">
        <v>13.6</v>
      </c>
      <c r="D9" s="36">
        <f t="shared" si="11"/>
        <v>4.8413214427713447</v>
      </c>
      <c r="E9" s="42">
        <f t="shared" si="0"/>
        <v>0.78979031139887612</v>
      </c>
      <c r="F9" s="36">
        <v>11</v>
      </c>
      <c r="G9" s="36">
        <v>2</v>
      </c>
      <c r="H9" s="36">
        <v>0.67</v>
      </c>
      <c r="I9" s="36">
        <f t="shared" si="12"/>
        <v>145.24666647333186</v>
      </c>
      <c r="J9" s="57">
        <f t="shared" si="1"/>
        <v>1975.3546640373131</v>
      </c>
      <c r="K9" s="57">
        <v>1100</v>
      </c>
      <c r="L9" s="59">
        <v>5.0000000000000001E-3</v>
      </c>
      <c r="M9" s="42">
        <f t="shared" si="2"/>
        <v>2.3001885949309604</v>
      </c>
      <c r="N9" s="42">
        <f t="shared" si="3"/>
        <v>0.94985000000000019</v>
      </c>
      <c r="O9" s="42">
        <f t="shared" si="4"/>
        <v>0.27500000000000002</v>
      </c>
      <c r="P9" s="42">
        <f t="shared" si="5"/>
        <v>2184.8341368951733</v>
      </c>
      <c r="Q9" s="42">
        <f t="shared" si="6"/>
        <v>0.54500000000000004</v>
      </c>
      <c r="R9" s="36">
        <v>1964.8</v>
      </c>
      <c r="S9" s="36">
        <f>R20</f>
        <v>1964.3</v>
      </c>
      <c r="T9" s="42">
        <f>U8+K8/1000-K9/1000</f>
        <v>1962.8573000000001</v>
      </c>
      <c r="U9" s="42">
        <f t="shared" si="8"/>
        <v>1962.3123000000001</v>
      </c>
      <c r="V9" s="36">
        <f>R9-T9</f>
        <v>1.9426999999998316</v>
      </c>
      <c r="W9" s="42">
        <f t="shared" si="9"/>
        <v>1.9876999999999043</v>
      </c>
      <c r="X9" s="58">
        <f t="shared" si="10"/>
        <v>4.5871559633027525E-3</v>
      </c>
      <c r="Y9" s="58" t="s">
        <v>77</v>
      </c>
    </row>
    <row r="10" spans="1:25" s="16" customFormat="1" x14ac:dyDescent="0.15">
      <c r="A10" s="34" t="s">
        <v>18</v>
      </c>
      <c r="B10" s="35">
        <v>75</v>
      </c>
      <c r="C10" s="12">
        <v>1.79</v>
      </c>
      <c r="D10" s="12">
        <f t="shared" si="11"/>
        <v>5.6311117541702211</v>
      </c>
      <c r="E10" s="25">
        <f t="shared" si="0"/>
        <v>1.0509092917329503</v>
      </c>
      <c r="F10" s="12">
        <v>11</v>
      </c>
      <c r="G10" s="12">
        <v>2</v>
      </c>
      <c r="H10" s="12">
        <v>0.67</v>
      </c>
      <c r="I10" s="12">
        <f t="shared" si="12"/>
        <v>142.46229109129493</v>
      </c>
      <c r="J10" s="55">
        <f t="shared" si="1"/>
        <v>255.00750105341794</v>
      </c>
      <c r="K10" s="57">
        <v>600</v>
      </c>
      <c r="L10" s="59">
        <v>3.0000000000000001E-3</v>
      </c>
      <c r="M10" s="25">
        <f t="shared" si="2"/>
        <v>1.1894461394843592</v>
      </c>
      <c r="N10" s="25">
        <f t="shared" si="3"/>
        <v>0.28260000000000002</v>
      </c>
      <c r="O10" s="25">
        <f t="shared" si="4"/>
        <v>0.15</v>
      </c>
      <c r="P10" s="25">
        <f t="shared" si="5"/>
        <v>336.13747901827998</v>
      </c>
      <c r="Q10" s="25">
        <f t="shared" si="6"/>
        <v>0.22500000000000001</v>
      </c>
      <c r="R10" s="36">
        <v>1969</v>
      </c>
      <c r="S10" s="36">
        <v>1968.8</v>
      </c>
      <c r="T10" s="25">
        <f>R10-V10</f>
        <v>1967.8</v>
      </c>
      <c r="U10" s="25">
        <f t="shared" si="8"/>
        <v>1967.575</v>
      </c>
      <c r="V10" s="12">
        <v>1.2</v>
      </c>
      <c r="W10" s="25">
        <f t="shared" si="9"/>
        <v>1.2249999999999091</v>
      </c>
      <c r="X10" s="14">
        <f t="shared" si="10"/>
        <v>2.6666666666672729E-3</v>
      </c>
      <c r="Y10" s="14"/>
    </row>
    <row r="11" spans="1:25" x14ac:dyDescent="0.15">
      <c r="A11" s="6" t="s">
        <v>19</v>
      </c>
      <c r="B11" s="19">
        <v>131</v>
      </c>
      <c r="C11" s="77">
        <v>3.97</v>
      </c>
      <c r="D11" s="12">
        <f t="shared" si="11"/>
        <v>6.6820210459031717</v>
      </c>
      <c r="E11" s="25">
        <f t="shared" si="0"/>
        <v>1.5120057685433483</v>
      </c>
      <c r="F11" s="12">
        <v>11</v>
      </c>
      <c r="G11" s="12">
        <v>2</v>
      </c>
      <c r="H11" s="12">
        <v>0.67</v>
      </c>
      <c r="I11" s="12">
        <f t="shared" si="12"/>
        <v>138.95992105247581</v>
      </c>
      <c r="J11" s="55">
        <f t="shared" si="1"/>
        <v>551.67088657832903</v>
      </c>
      <c r="K11" s="57">
        <v>700</v>
      </c>
      <c r="L11" s="59">
        <v>3.5999999999999999E-3</v>
      </c>
      <c r="M11" s="29">
        <f t="shared" si="2"/>
        <v>1.4439980182329168</v>
      </c>
      <c r="N11" s="29">
        <f t="shared" si="3"/>
        <v>0.38464999999999999</v>
      </c>
      <c r="O11" s="29">
        <f t="shared" si="4"/>
        <v>0.17499999999999999</v>
      </c>
      <c r="P11" s="29">
        <f t="shared" si="5"/>
        <v>555.4338377132915</v>
      </c>
      <c r="Q11" s="29">
        <f t="shared" si="6"/>
        <v>0.47159999999999996</v>
      </c>
      <c r="R11" s="78">
        <f>S10</f>
        <v>1968.8</v>
      </c>
      <c r="S11" s="78">
        <v>1968.1</v>
      </c>
      <c r="T11" s="29">
        <f>U10+K10/1000-K11/1000</f>
        <v>1967.4749999999999</v>
      </c>
      <c r="U11" s="29">
        <f t="shared" si="8"/>
        <v>1967.0033999999998</v>
      </c>
      <c r="V11" s="78">
        <f>R11-T11</f>
        <v>1.3250000000000455</v>
      </c>
      <c r="W11" s="29">
        <f t="shared" si="9"/>
        <v>1.0966000000000804</v>
      </c>
      <c r="X11" s="14">
        <f t="shared" si="10"/>
        <v>5.3435114503820264E-3</v>
      </c>
      <c r="Y11" s="14" t="s">
        <v>77</v>
      </c>
    </row>
    <row r="12" spans="1:25" x14ac:dyDescent="0.15">
      <c r="A12" s="6" t="s">
        <v>20</v>
      </c>
      <c r="B12" s="19">
        <v>129</v>
      </c>
      <c r="C12" s="77">
        <v>7.01</v>
      </c>
      <c r="D12" s="12">
        <f t="shared" si="11"/>
        <v>8.19402681444652</v>
      </c>
      <c r="E12" s="25">
        <f t="shared" si="0"/>
        <v>1.4278451733820521</v>
      </c>
      <c r="F12" s="12">
        <v>11</v>
      </c>
      <c r="G12" s="12">
        <v>2</v>
      </c>
      <c r="H12" s="12">
        <v>0.67</v>
      </c>
      <c r="I12" s="12">
        <f t="shared" si="12"/>
        <v>134.28554010137321</v>
      </c>
      <c r="J12" s="55">
        <f t="shared" si="1"/>
        <v>941.34163611062615</v>
      </c>
      <c r="K12" s="57">
        <v>900</v>
      </c>
      <c r="L12" s="59">
        <v>2.8E-3</v>
      </c>
      <c r="M12" s="29">
        <f t="shared" si="2"/>
        <v>1.5057654990053457</v>
      </c>
      <c r="N12" s="29">
        <f t="shared" si="3"/>
        <v>0.63585000000000003</v>
      </c>
      <c r="O12" s="29">
        <f t="shared" si="4"/>
        <v>0.22500000000000001</v>
      </c>
      <c r="P12" s="29">
        <f t="shared" si="5"/>
        <v>957.44099254254911</v>
      </c>
      <c r="Q12" s="29">
        <f t="shared" si="6"/>
        <v>0.36120000000000002</v>
      </c>
      <c r="R12" s="78">
        <f>S11</f>
        <v>1968.1</v>
      </c>
      <c r="S12" s="78">
        <f>R13</f>
        <v>1967.8</v>
      </c>
      <c r="T12" s="29">
        <f>U11+K11/1000-K12/1000</f>
        <v>1966.8033999999998</v>
      </c>
      <c r="U12" s="29">
        <f t="shared" si="8"/>
        <v>1966.4421999999997</v>
      </c>
      <c r="V12" s="78">
        <f>R12-T12</f>
        <v>1.2966000000001259</v>
      </c>
      <c r="W12" s="29">
        <f t="shared" si="9"/>
        <v>1.3578000000002248</v>
      </c>
      <c r="X12" s="14">
        <f t="shared" si="10"/>
        <v>2.3255813953484846E-3</v>
      </c>
      <c r="Y12" s="14" t="s">
        <v>77</v>
      </c>
    </row>
    <row r="13" spans="1:25" x14ac:dyDescent="0.15">
      <c r="A13" s="6" t="s">
        <v>21</v>
      </c>
      <c r="B13" s="19">
        <v>128</v>
      </c>
      <c r="C13" s="77">
        <v>9.19</v>
      </c>
      <c r="D13" s="12">
        <f t="shared" si="11"/>
        <v>9.6218719878285714</v>
      </c>
      <c r="E13" s="25">
        <f t="shared" si="0"/>
        <v>1.1301967512569175</v>
      </c>
      <c r="F13" s="12">
        <v>11</v>
      </c>
      <c r="G13" s="12">
        <v>2</v>
      </c>
      <c r="H13" s="12">
        <v>0.67</v>
      </c>
      <c r="I13" s="12">
        <f t="shared" si="12"/>
        <v>130.22091528412864</v>
      </c>
      <c r="J13" s="55">
        <f t="shared" si="1"/>
        <v>1196.7302114611421</v>
      </c>
      <c r="K13" s="57">
        <v>900</v>
      </c>
      <c r="L13" s="59">
        <v>4.4000000000000003E-3</v>
      </c>
      <c r="M13" s="29">
        <f t="shared" si="2"/>
        <v>1.8875769470765196</v>
      </c>
      <c r="N13" s="29">
        <f t="shared" si="3"/>
        <v>0.63585000000000003</v>
      </c>
      <c r="O13" s="29">
        <f t="shared" si="4"/>
        <v>0.22500000000000001</v>
      </c>
      <c r="P13" s="29">
        <f t="shared" si="5"/>
        <v>1200.2158017986051</v>
      </c>
      <c r="Q13" s="29">
        <f t="shared" si="6"/>
        <v>0.56320000000000003</v>
      </c>
      <c r="R13" s="78">
        <v>1967.8</v>
      </c>
      <c r="S13" s="78">
        <f>R14</f>
        <v>1967.2</v>
      </c>
      <c r="T13" s="29">
        <f>U12+K12/1000-K13/1000</f>
        <v>1966.4421999999997</v>
      </c>
      <c r="U13" s="29">
        <f t="shared" si="8"/>
        <v>1965.8789999999997</v>
      </c>
      <c r="V13" s="78">
        <f>R13-T13</f>
        <v>1.3578000000002248</v>
      </c>
      <c r="W13" s="29">
        <f t="shared" si="9"/>
        <v>1.3210000000003674</v>
      </c>
      <c r="X13" s="14">
        <f t="shared" si="10"/>
        <v>4.6874999999992895E-3</v>
      </c>
      <c r="Y13" s="14" t="s">
        <v>77</v>
      </c>
    </row>
    <row r="14" spans="1:25" x14ac:dyDescent="0.15">
      <c r="A14" s="6" t="s">
        <v>22</v>
      </c>
      <c r="B14" s="19">
        <v>146</v>
      </c>
      <c r="C14" s="77">
        <v>11.37</v>
      </c>
      <c r="D14" s="12">
        <f t="shared" si="11"/>
        <v>10.752068739085489</v>
      </c>
      <c r="E14" s="25">
        <f t="shared" si="0"/>
        <v>1.3104408513890751</v>
      </c>
      <c r="F14" s="12">
        <v>11</v>
      </c>
      <c r="G14" s="12">
        <v>2</v>
      </c>
      <c r="H14" s="12">
        <v>0.67</v>
      </c>
      <c r="I14" s="12">
        <f t="shared" si="12"/>
        <v>127.2171269736839</v>
      </c>
      <c r="J14" s="55">
        <f t="shared" si="1"/>
        <v>1446.4587336907859</v>
      </c>
      <c r="K14" s="57">
        <v>1000</v>
      </c>
      <c r="L14" s="59">
        <v>3.7000000000000002E-3</v>
      </c>
      <c r="M14" s="29">
        <f t="shared" si="2"/>
        <v>1.8568814691284887</v>
      </c>
      <c r="N14" s="29">
        <f t="shared" si="3"/>
        <v>0.78500000000000003</v>
      </c>
      <c r="O14" s="29">
        <f t="shared" si="4"/>
        <v>0.25</v>
      </c>
      <c r="P14" s="29">
        <f t="shared" si="5"/>
        <v>1457.6519532658635</v>
      </c>
      <c r="Q14" s="29">
        <f t="shared" si="6"/>
        <v>0.54020000000000001</v>
      </c>
      <c r="R14" s="78">
        <v>1967.2</v>
      </c>
      <c r="S14" s="78">
        <f>R15</f>
        <v>1966.7</v>
      </c>
      <c r="T14" s="29">
        <f t="shared" ref="T14:T15" si="13">U13+K13/1000-K14/1000</f>
        <v>1965.7789999999998</v>
      </c>
      <c r="U14" s="29">
        <f t="shared" ref="U14:U15" si="14">T14-Q14</f>
        <v>1965.2387999999999</v>
      </c>
      <c r="V14" s="78">
        <f t="shared" ref="V14:V15" si="15">R14-T14</f>
        <v>1.4210000000002765</v>
      </c>
      <c r="W14" s="29">
        <f t="shared" ref="W14:W15" si="16">S14-U14</f>
        <v>1.4612000000001899</v>
      </c>
      <c r="X14" s="14">
        <f t="shared" ref="X14:X15" si="17">(R14-S14)/B14</f>
        <v>3.4246575342465752E-3</v>
      </c>
      <c r="Y14" s="14" t="s">
        <v>77</v>
      </c>
    </row>
    <row r="15" spans="1:25" x14ac:dyDescent="0.15">
      <c r="A15" s="6" t="s">
        <v>23</v>
      </c>
      <c r="B15" s="19">
        <v>146</v>
      </c>
      <c r="C15" s="77">
        <v>24.59</v>
      </c>
      <c r="D15" s="12">
        <f t="shared" si="11"/>
        <v>12.062509590474564</v>
      </c>
      <c r="E15" s="25">
        <f t="shared" si="0"/>
        <v>1.0580983928217891</v>
      </c>
      <c r="F15" s="12">
        <v>11</v>
      </c>
      <c r="G15" s="12">
        <v>2</v>
      </c>
      <c r="H15" s="12">
        <v>0.67</v>
      </c>
      <c r="I15" s="12">
        <f t="shared" si="12"/>
        <v>123.94611814981714</v>
      </c>
      <c r="J15" s="55">
        <f t="shared" si="1"/>
        <v>3047.8350453040034</v>
      </c>
      <c r="K15" s="57">
        <v>1300</v>
      </c>
      <c r="L15" s="59">
        <v>4.0000000000000001E-3</v>
      </c>
      <c r="M15" s="29">
        <f t="shared" si="2"/>
        <v>2.2997231163389253</v>
      </c>
      <c r="N15" s="29">
        <f t="shared" si="3"/>
        <v>1.3266500000000001</v>
      </c>
      <c r="O15" s="29">
        <f t="shared" si="4"/>
        <v>0.32500000000000001</v>
      </c>
      <c r="P15" s="29">
        <f t="shared" si="5"/>
        <v>3050.9276722910354</v>
      </c>
      <c r="Q15" s="29">
        <f t="shared" si="6"/>
        <v>0.58399999999999996</v>
      </c>
      <c r="R15" s="78">
        <v>1966.7</v>
      </c>
      <c r="S15" s="78">
        <f>R16</f>
        <v>1966.3</v>
      </c>
      <c r="T15" s="29">
        <f t="shared" si="13"/>
        <v>1964.9387999999999</v>
      </c>
      <c r="U15" s="29">
        <f t="shared" si="14"/>
        <v>1964.3547999999998</v>
      </c>
      <c r="V15" s="78">
        <f t="shared" si="15"/>
        <v>1.7612000000001444</v>
      </c>
      <c r="W15" s="29">
        <f t="shared" si="16"/>
        <v>1.9452000000001135</v>
      </c>
      <c r="X15" s="14">
        <f t="shared" si="17"/>
        <v>2.7397260273978831E-3</v>
      </c>
      <c r="Y15" s="14" t="s">
        <v>77</v>
      </c>
    </row>
    <row r="16" spans="1:25" x14ac:dyDescent="0.15">
      <c r="A16" s="6" t="s">
        <v>36</v>
      </c>
      <c r="B16" s="19">
        <v>102</v>
      </c>
      <c r="C16" s="77">
        <v>32.64</v>
      </c>
      <c r="D16" s="12">
        <f t="shared" si="11"/>
        <v>13.120607983296352</v>
      </c>
      <c r="E16" s="25">
        <f t="shared" si="0"/>
        <v>0.65609691387614255</v>
      </c>
      <c r="F16" s="12">
        <v>11</v>
      </c>
      <c r="G16" s="12">
        <v>2</v>
      </c>
      <c r="H16" s="12">
        <v>0.67</v>
      </c>
      <c r="I16" s="12">
        <f t="shared" si="12"/>
        <v>121.45595609873244</v>
      </c>
      <c r="J16" s="55">
        <f t="shared" si="1"/>
        <v>3964.322407062627</v>
      </c>
      <c r="K16" s="57">
        <v>1400</v>
      </c>
      <c r="L16" s="59">
        <v>4.5999999999999999E-3</v>
      </c>
      <c r="M16" s="29">
        <f t="shared" si="2"/>
        <v>2.5910806224595726</v>
      </c>
      <c r="N16" s="29">
        <f t="shared" si="3"/>
        <v>1.5386</v>
      </c>
      <c r="O16" s="29">
        <f t="shared" si="4"/>
        <v>0.35</v>
      </c>
      <c r="P16" s="29">
        <f t="shared" si="5"/>
        <v>3986.6366457162985</v>
      </c>
      <c r="Q16" s="29">
        <f t="shared" si="6"/>
        <v>0.46920000000000001</v>
      </c>
      <c r="R16" s="78">
        <v>1966.3</v>
      </c>
      <c r="S16" s="78">
        <f t="shared" ref="S16" si="18">R17</f>
        <v>1966</v>
      </c>
      <c r="T16" s="29">
        <f t="shared" ref="T16" si="19">U15+K15/1000-K16/1000</f>
        <v>1964.2547999999997</v>
      </c>
      <c r="U16" s="29">
        <f t="shared" ref="U16" si="20">T16-Q16</f>
        <v>1963.7855999999997</v>
      </c>
      <c r="V16" s="78">
        <f t="shared" ref="V16" si="21">R16-T16</f>
        <v>2.0452000000002499</v>
      </c>
      <c r="W16" s="29">
        <f t="shared" ref="W16" si="22">S16-U16</f>
        <v>2.2144000000002961</v>
      </c>
      <c r="X16" s="14">
        <f t="shared" ref="X16" si="23">(R16-S16)/B16</f>
        <v>2.9411764705877894E-3</v>
      </c>
      <c r="Y16" s="14" t="s">
        <v>77</v>
      </c>
    </row>
    <row r="17" spans="1:25" x14ac:dyDescent="0.15">
      <c r="A17" s="34" t="s">
        <v>37</v>
      </c>
      <c r="B17" s="35">
        <v>173</v>
      </c>
      <c r="C17" s="77">
        <v>32.64</v>
      </c>
      <c r="D17" s="12">
        <f t="shared" ref="D17:D19" si="24">D16+E16</f>
        <v>13.776704897172495</v>
      </c>
      <c r="E17" s="25">
        <f t="shared" ref="E17:E19" si="25">B17/(60*M17)</f>
        <v>1.4720420080546925</v>
      </c>
      <c r="F17" s="12">
        <v>11</v>
      </c>
      <c r="G17" s="12">
        <v>2</v>
      </c>
      <c r="H17" s="12">
        <v>0.67</v>
      </c>
      <c r="I17" s="12">
        <f t="shared" si="12"/>
        <v>119.97443779611778</v>
      </c>
      <c r="J17" s="55">
        <f t="shared" ref="J17:J19" si="26">I17*C17</f>
        <v>3915.9656496652847</v>
      </c>
      <c r="K17" s="57">
        <v>1600</v>
      </c>
      <c r="L17" s="59">
        <v>2.2000000000000001E-3</v>
      </c>
      <c r="M17" s="29">
        <f t="shared" ref="M17:M21" si="27">1/0.013*O17^(2/3)*L17^0.5</f>
        <v>1.9587303334798618</v>
      </c>
      <c r="N17" s="29">
        <f t="shared" ref="N17:N21" si="28">1/4*3.14*(K17/1000)^2</f>
        <v>2.0096000000000003</v>
      </c>
      <c r="O17" s="29">
        <f t="shared" ref="O17:O21" si="29">K17/4000</f>
        <v>0.4</v>
      </c>
      <c r="P17" s="29">
        <f t="shared" ref="P17:P21" si="30">N17*M17*1000</f>
        <v>3936.2644781611307</v>
      </c>
      <c r="Q17" s="29">
        <f t="shared" ref="Q17:Q21" si="31">L17*B17</f>
        <v>0.38060000000000005</v>
      </c>
      <c r="R17" s="36">
        <v>1966</v>
      </c>
      <c r="S17" s="36">
        <f>R18</f>
        <v>1965.9</v>
      </c>
      <c r="T17" s="29">
        <f t="shared" ref="T17:T19" si="32">U16+K16/1000-K17/1000</f>
        <v>1963.5855999999999</v>
      </c>
      <c r="U17" s="29">
        <f t="shared" ref="U17:U19" si="33">T17-Q17</f>
        <v>1963.2049999999999</v>
      </c>
      <c r="V17" s="78">
        <f t="shared" ref="V17:V19" si="34">R17-T17</f>
        <v>2.4144000000001142</v>
      </c>
      <c r="W17" s="29">
        <f t="shared" ref="W17:W19" si="35">S17-U17</f>
        <v>2.6950000000001637</v>
      </c>
      <c r="X17" s="14">
        <f t="shared" ref="X17:X19" si="36">(R17-S17)/B17</f>
        <v>5.7803468208039916E-4</v>
      </c>
      <c r="Y17" s="14" t="s">
        <v>77</v>
      </c>
    </row>
    <row r="18" spans="1:25" x14ac:dyDescent="0.15">
      <c r="A18" s="34" t="s">
        <v>38</v>
      </c>
      <c r="B18" s="35">
        <v>318</v>
      </c>
      <c r="C18" s="77">
        <v>32.64</v>
      </c>
      <c r="D18" s="12">
        <f t="shared" si="24"/>
        <v>15.248746905227188</v>
      </c>
      <c r="E18" s="25">
        <f t="shared" si="25"/>
        <v>2.7695098472210691</v>
      </c>
      <c r="F18" s="12">
        <v>11</v>
      </c>
      <c r="G18" s="12">
        <v>2</v>
      </c>
      <c r="H18" s="12">
        <v>0.67</v>
      </c>
      <c r="I18" s="12">
        <f t="shared" si="12"/>
        <v>116.8112018649613</v>
      </c>
      <c r="J18" s="55">
        <f t="shared" si="26"/>
        <v>3812.7176288723372</v>
      </c>
      <c r="K18" s="57">
        <v>1600</v>
      </c>
      <c r="L18" s="59">
        <v>2.0999999999999999E-3</v>
      </c>
      <c r="M18" s="29">
        <f t="shared" si="27"/>
        <v>1.9136960301181198</v>
      </c>
      <c r="N18" s="29">
        <f t="shared" si="28"/>
        <v>2.0096000000000003</v>
      </c>
      <c r="O18" s="29">
        <f t="shared" si="29"/>
        <v>0.4</v>
      </c>
      <c r="P18" s="29">
        <f t="shared" si="30"/>
        <v>3845.763542125374</v>
      </c>
      <c r="Q18" s="29">
        <f t="shared" si="31"/>
        <v>0.66779999999999995</v>
      </c>
      <c r="R18" s="36">
        <v>1965.9</v>
      </c>
      <c r="S18" s="36">
        <f>R19</f>
        <v>1965.5</v>
      </c>
      <c r="T18" s="29">
        <f t="shared" si="32"/>
        <v>1963.2049999999999</v>
      </c>
      <c r="U18" s="29">
        <f t="shared" si="33"/>
        <v>1962.5372</v>
      </c>
      <c r="V18" s="78">
        <f t="shared" si="34"/>
        <v>2.6950000000001637</v>
      </c>
      <c r="W18" s="29">
        <f t="shared" si="35"/>
        <v>2.9628000000000156</v>
      </c>
      <c r="X18" s="14">
        <f t="shared" si="36"/>
        <v>1.2578616352204117E-3</v>
      </c>
      <c r="Y18" s="14" t="s">
        <v>77</v>
      </c>
    </row>
    <row r="19" spans="1:25" x14ac:dyDescent="0.15">
      <c r="A19" s="34" t="s">
        <v>39</v>
      </c>
      <c r="B19" s="35">
        <v>204</v>
      </c>
      <c r="C19" s="77">
        <v>32.64</v>
      </c>
      <c r="D19" s="12">
        <f t="shared" si="24"/>
        <v>18.018256752448256</v>
      </c>
      <c r="E19" s="25">
        <f t="shared" si="25"/>
        <v>1.8678362855968982</v>
      </c>
      <c r="F19" s="12">
        <v>11</v>
      </c>
      <c r="G19" s="12">
        <v>2</v>
      </c>
      <c r="H19" s="12">
        <v>0.67</v>
      </c>
      <c r="I19" s="12">
        <f t="shared" si="12"/>
        <v>111.39565155249115</v>
      </c>
      <c r="J19" s="55">
        <f t="shared" si="26"/>
        <v>3635.954066673311</v>
      </c>
      <c r="K19" s="57">
        <v>1600</v>
      </c>
      <c r="L19" s="59">
        <v>1.9E-3</v>
      </c>
      <c r="M19" s="29">
        <f t="shared" si="27"/>
        <v>1.8202880125082663</v>
      </c>
      <c r="N19" s="29">
        <f t="shared" si="28"/>
        <v>2.0096000000000003</v>
      </c>
      <c r="O19" s="29">
        <f t="shared" si="29"/>
        <v>0.4</v>
      </c>
      <c r="P19" s="29">
        <f t="shared" si="30"/>
        <v>3658.0507899366125</v>
      </c>
      <c r="Q19" s="29">
        <f t="shared" si="31"/>
        <v>0.3876</v>
      </c>
      <c r="R19" s="36">
        <v>1965.5</v>
      </c>
      <c r="S19" s="36">
        <f t="shared" ref="S19:S26" si="37">R20</f>
        <v>1964.3</v>
      </c>
      <c r="T19" s="29">
        <f t="shared" si="32"/>
        <v>1962.5372</v>
      </c>
      <c r="U19" s="29">
        <f t="shared" si="33"/>
        <v>1962.1496</v>
      </c>
      <c r="V19" s="78">
        <f t="shared" si="34"/>
        <v>2.9628000000000156</v>
      </c>
      <c r="W19" s="29">
        <f t="shared" si="35"/>
        <v>2.1503999999999905</v>
      </c>
      <c r="X19" s="14">
        <f t="shared" si="36"/>
        <v>5.8823529411766934E-3</v>
      </c>
      <c r="Y19" s="14" t="s">
        <v>77</v>
      </c>
    </row>
    <row r="20" spans="1:25" x14ac:dyDescent="0.15">
      <c r="A20" s="34" t="s">
        <v>29</v>
      </c>
      <c r="B20" s="35">
        <v>45</v>
      </c>
      <c r="C20" s="77">
        <v>46.24</v>
      </c>
      <c r="D20" s="12">
        <f>D19+E19+D9+E9</f>
        <v>25.517204792215374</v>
      </c>
      <c r="E20" s="25">
        <f t="shared" ref="E20" si="38">B20/(60*M20)</f>
        <v>0.32256490011986122</v>
      </c>
      <c r="F20" s="12">
        <v>11</v>
      </c>
      <c r="G20" s="12">
        <v>2</v>
      </c>
      <c r="H20" s="12">
        <v>0.67</v>
      </c>
      <c r="I20" s="12">
        <f t="shared" si="12"/>
        <v>99.45023650332881</v>
      </c>
      <c r="J20" s="55">
        <f t="shared" ref="J20" si="39">I20*C20</f>
        <v>4598.5789359139244</v>
      </c>
      <c r="K20" s="57">
        <v>1600</v>
      </c>
      <c r="L20" s="59">
        <v>3.0999999999999999E-3</v>
      </c>
      <c r="M20" s="29">
        <f t="shared" si="27"/>
        <v>2.3251134879254041</v>
      </c>
      <c r="N20" s="29">
        <f t="shared" si="28"/>
        <v>2.0096000000000003</v>
      </c>
      <c r="O20" s="29">
        <f t="shared" si="29"/>
        <v>0.4</v>
      </c>
      <c r="P20" s="29">
        <f t="shared" si="30"/>
        <v>4672.5480653348932</v>
      </c>
      <c r="Q20" s="29">
        <f t="shared" si="31"/>
        <v>0.13949999999999999</v>
      </c>
      <c r="R20" s="36">
        <v>1964.3</v>
      </c>
      <c r="S20" s="36">
        <f t="shared" si="37"/>
        <v>1964</v>
      </c>
      <c r="T20" s="29">
        <f t="shared" ref="T20" si="40">U19+K19/1000-K20/1000</f>
        <v>1962.1496</v>
      </c>
      <c r="U20" s="29">
        <f t="shared" ref="U20" si="41">T20-Q20</f>
        <v>1962.0101</v>
      </c>
      <c r="V20" s="78">
        <f t="shared" ref="V20" si="42">R20-T20</f>
        <v>2.1503999999999905</v>
      </c>
      <c r="W20" s="29">
        <f t="shared" ref="W20" si="43">S20-U20</f>
        <v>1.9899000000000342</v>
      </c>
      <c r="X20" s="14">
        <f t="shared" ref="X20" si="44">(R20-S20)/B20</f>
        <v>6.6666666666656558E-3</v>
      </c>
      <c r="Y20" s="14" t="s">
        <v>77</v>
      </c>
    </row>
    <row r="21" spans="1:25" x14ac:dyDescent="0.15">
      <c r="A21" s="6" t="s">
        <v>30</v>
      </c>
      <c r="B21" s="20">
        <v>203</v>
      </c>
      <c r="C21" s="77">
        <v>82.1</v>
      </c>
      <c r="D21" s="12">
        <f t="shared" ref="D21:D22" si="45">D20+E20</f>
        <v>25.839769692335235</v>
      </c>
      <c r="E21" s="25">
        <f t="shared" ref="E21:E23" si="46">B21/(60*M21)</f>
        <v>1.1720170647186698</v>
      </c>
      <c r="F21" s="12">
        <v>11</v>
      </c>
      <c r="G21" s="12">
        <v>2</v>
      </c>
      <c r="H21" s="12">
        <v>0.67</v>
      </c>
      <c r="I21" s="12">
        <f t="shared" si="12"/>
        <v>99.007554200534514</v>
      </c>
      <c r="J21" s="55">
        <f t="shared" ref="J21:J22" si="47">I21*C21</f>
        <v>8128.5201998638831</v>
      </c>
      <c r="K21" s="57">
        <v>1900</v>
      </c>
      <c r="L21" s="59">
        <v>3.8E-3</v>
      </c>
      <c r="M21" s="29">
        <f t="shared" si="27"/>
        <v>2.8867611532136408</v>
      </c>
      <c r="N21" s="29">
        <f t="shared" si="28"/>
        <v>2.83385</v>
      </c>
      <c r="O21" s="29">
        <f t="shared" si="29"/>
        <v>0.47499999999999998</v>
      </c>
      <c r="P21" s="29">
        <f t="shared" si="30"/>
        <v>8180.6480940344763</v>
      </c>
      <c r="Q21" s="29">
        <f t="shared" si="31"/>
        <v>0.77139999999999997</v>
      </c>
      <c r="R21" s="78">
        <v>1964</v>
      </c>
      <c r="S21" s="78">
        <f t="shared" si="37"/>
        <v>1963.3</v>
      </c>
      <c r="T21" s="29">
        <f t="shared" ref="T21" si="48">U20+K20/1000-K21/1000</f>
        <v>1961.7100999999998</v>
      </c>
      <c r="U21" s="29">
        <f t="shared" ref="U21" si="49">T21-Q21</f>
        <v>1960.9386999999997</v>
      </c>
      <c r="V21" s="78">
        <f t="shared" ref="V21" si="50">R21-T21</f>
        <v>2.2899000000002161</v>
      </c>
      <c r="W21" s="29">
        <f t="shared" ref="W21" si="51">S21-U21</f>
        <v>2.3613000000002557</v>
      </c>
      <c r="X21" s="14">
        <f t="shared" ref="X21" si="52">(R21-S21)/B21</f>
        <v>3.4482758620691897E-3</v>
      </c>
      <c r="Y21" s="14" t="s">
        <v>77</v>
      </c>
    </row>
    <row r="22" spans="1:25" x14ac:dyDescent="0.15">
      <c r="A22" s="6" t="s">
        <v>31</v>
      </c>
      <c r="B22" s="20">
        <v>75</v>
      </c>
      <c r="C22" s="77">
        <v>97.07</v>
      </c>
      <c r="D22" s="12">
        <f t="shared" si="45"/>
        <v>27.011786757053905</v>
      </c>
      <c r="E22" s="25">
        <f t="shared" si="46"/>
        <v>0.37377123097158155</v>
      </c>
      <c r="F22" s="12">
        <v>11</v>
      </c>
      <c r="G22" s="12">
        <v>2</v>
      </c>
      <c r="H22" s="12">
        <v>0.67</v>
      </c>
      <c r="I22" s="12">
        <f t="shared" si="12"/>
        <v>97.440304717100361</v>
      </c>
      <c r="J22" s="55">
        <f t="shared" si="47"/>
        <v>9458.5303788889305</v>
      </c>
      <c r="K22" s="57">
        <v>1900</v>
      </c>
      <c r="L22" s="59">
        <v>5.1000000000000004E-3</v>
      </c>
      <c r="M22" s="29">
        <f t="shared" ref="M22:M23" si="53">1/0.013*O22^(2/3)*L22^0.5</f>
        <v>3.3442916319448881</v>
      </c>
      <c r="N22" s="29">
        <f t="shared" ref="N22:N23" si="54">1/4*3.14*(K22/1000)^2</f>
        <v>2.83385</v>
      </c>
      <c r="O22" s="29">
        <f t="shared" ref="O22:O23" si="55">K22/4000</f>
        <v>0.47499999999999998</v>
      </c>
      <c r="P22" s="29">
        <f t="shared" ref="P22" si="56">N22*M22*1000</f>
        <v>9477.2208411870215</v>
      </c>
      <c r="Q22" s="29">
        <f t="shared" ref="Q22" si="57">L22*B22</f>
        <v>0.38250000000000001</v>
      </c>
      <c r="R22" s="78">
        <v>1963.3</v>
      </c>
      <c r="S22" s="78">
        <f t="shared" si="37"/>
        <v>1962.9</v>
      </c>
      <c r="T22" s="29">
        <f t="shared" ref="T22:T23" si="58">U21+K21/1000-K22/1000</f>
        <v>1960.9386999999997</v>
      </c>
      <c r="U22" s="29">
        <f t="shared" ref="U22:U23" si="59">T22-Q22</f>
        <v>1960.5561999999998</v>
      </c>
      <c r="V22" s="78">
        <f t="shared" ref="V22:V23" si="60">R22-T22</f>
        <v>2.3613000000002557</v>
      </c>
      <c r="W22" s="29">
        <f t="shared" ref="W22:W23" si="61">S22-U22</f>
        <v>2.3438000000003285</v>
      </c>
      <c r="X22" s="14">
        <f t="shared" ref="X22:X23" si="62">(R22-S22)/B22</f>
        <v>5.3333333333315143E-3</v>
      </c>
      <c r="Y22" s="14" t="s">
        <v>77</v>
      </c>
    </row>
    <row r="23" spans="1:25" x14ac:dyDescent="0.15">
      <c r="A23" s="6" t="s">
        <v>32</v>
      </c>
      <c r="B23" s="20">
        <v>264</v>
      </c>
      <c r="C23" s="77">
        <v>127.6</v>
      </c>
      <c r="D23" s="12">
        <f t="shared" ref="D23" si="63">D22+E22</f>
        <v>27.385557988025486</v>
      </c>
      <c r="E23" s="25">
        <f t="shared" si="46"/>
        <v>1.3472791022710209</v>
      </c>
      <c r="F23" s="12">
        <v>11</v>
      </c>
      <c r="G23" s="12">
        <v>2</v>
      </c>
      <c r="H23" s="12">
        <v>0.67</v>
      </c>
      <c r="I23" s="12">
        <f t="shared" si="12"/>
        <v>96.953617976260873</v>
      </c>
      <c r="J23" s="55">
        <f t="shared" ref="J23" si="64">I23*C23</f>
        <v>12371.281653770886</v>
      </c>
      <c r="K23" s="57">
        <v>2200</v>
      </c>
      <c r="L23" s="59">
        <v>4.0000000000000001E-3</v>
      </c>
      <c r="M23" s="29">
        <f t="shared" si="53"/>
        <v>3.2658414968236396</v>
      </c>
      <c r="N23" s="29">
        <f t="shared" si="54"/>
        <v>3.7994000000000008</v>
      </c>
      <c r="O23" s="29">
        <f t="shared" si="55"/>
        <v>0.55000000000000004</v>
      </c>
      <c r="P23" s="29">
        <f t="shared" ref="P23" si="65">N23*M23*1000</f>
        <v>12408.238183031737</v>
      </c>
      <c r="Q23" s="29">
        <f t="shared" ref="Q23" si="66">L23*B23</f>
        <v>1.056</v>
      </c>
      <c r="R23" s="78">
        <v>1962.9</v>
      </c>
      <c r="S23" s="78">
        <f t="shared" si="37"/>
        <v>1962</v>
      </c>
      <c r="T23" s="29">
        <f t="shared" si="58"/>
        <v>1960.2561999999998</v>
      </c>
      <c r="U23" s="29">
        <f t="shared" si="59"/>
        <v>1959.2001999999998</v>
      </c>
      <c r="V23" s="78">
        <f t="shared" si="60"/>
        <v>2.643800000000283</v>
      </c>
      <c r="W23" s="29">
        <f t="shared" si="61"/>
        <v>2.7998000000002321</v>
      </c>
      <c r="X23" s="14">
        <f t="shared" si="62"/>
        <v>3.4090909090912537E-3</v>
      </c>
      <c r="Y23" s="14" t="s">
        <v>77</v>
      </c>
    </row>
    <row r="24" spans="1:25" x14ac:dyDescent="0.15">
      <c r="A24" s="6" t="s">
        <v>33</v>
      </c>
      <c r="B24" s="20">
        <v>189</v>
      </c>
      <c r="C24" s="77">
        <v>146.04</v>
      </c>
      <c r="D24" s="12">
        <f t="shared" ref="D24" si="67">D23+E23</f>
        <v>28.732837090296506</v>
      </c>
      <c r="E24" s="25">
        <f t="shared" ref="E24" si="68">B24/(60*M24)</f>
        <v>0.93636537793985364</v>
      </c>
      <c r="F24" s="12">
        <v>11</v>
      </c>
      <c r="G24" s="12">
        <v>2</v>
      </c>
      <c r="H24" s="12">
        <v>0.67</v>
      </c>
      <c r="I24" s="12">
        <f t="shared" si="12"/>
        <v>95.249316506558671</v>
      </c>
      <c r="J24" s="55">
        <f t="shared" ref="J24" si="69">I24*C24</f>
        <v>13910.210182617828</v>
      </c>
      <c r="K24" s="57">
        <v>2300</v>
      </c>
      <c r="L24" s="59">
        <v>4.0000000000000001E-3</v>
      </c>
      <c r="M24" s="29">
        <f t="shared" ref="M24" si="70">1/0.013*O24^(2/3)*L24^0.5</f>
        <v>3.3640714129461724</v>
      </c>
      <c r="N24" s="29">
        <f t="shared" ref="N24" si="71">1/4*3.14*(K24/1000)^2</f>
        <v>4.1526499999999995</v>
      </c>
      <c r="O24" s="29">
        <f t="shared" ref="O24" si="72">K24/4000</f>
        <v>0.57499999999999996</v>
      </c>
      <c r="P24" s="29">
        <f t="shared" ref="P24" si="73">N24*M24*1000</f>
        <v>13969.81115297092</v>
      </c>
      <c r="Q24" s="29">
        <f t="shared" ref="Q24" si="74">L24*B24</f>
        <v>0.75600000000000001</v>
      </c>
      <c r="R24" s="78">
        <v>1962</v>
      </c>
      <c r="S24" s="78">
        <f t="shared" si="37"/>
        <v>1961.3</v>
      </c>
      <c r="T24" s="29">
        <f t="shared" ref="T24" si="75">U23+K23/1000-K24/1000</f>
        <v>1959.1001999999999</v>
      </c>
      <c r="U24" s="29">
        <f t="shared" ref="U24" si="76">T24-Q24</f>
        <v>1958.3441999999998</v>
      </c>
      <c r="V24" s="78">
        <f t="shared" ref="V24" si="77">R24-T24</f>
        <v>2.8998000000001412</v>
      </c>
      <c r="W24" s="29">
        <f t="shared" ref="W24" si="78">S24-U24</f>
        <v>2.9558000000001812</v>
      </c>
      <c r="X24" s="14">
        <f t="shared" ref="X24" si="79">(R24-S24)/B24</f>
        <v>3.7037037037039441E-3</v>
      </c>
      <c r="Y24" s="14" t="s">
        <v>77</v>
      </c>
    </row>
    <row r="25" spans="1:25" x14ac:dyDescent="0.15">
      <c r="A25" s="6" t="s">
        <v>34</v>
      </c>
      <c r="B25" s="20">
        <v>336</v>
      </c>
      <c r="C25" s="77">
        <v>184.75</v>
      </c>
      <c r="D25" s="12">
        <f t="shared" ref="D25:D26" si="80">D24+E24</f>
        <v>29.66920246823636</v>
      </c>
      <c r="E25" s="25">
        <f t="shared" ref="E25:E26" si="81">B25/(60*M25)</f>
        <v>1.688880177094938</v>
      </c>
      <c r="F25" s="12">
        <v>11</v>
      </c>
      <c r="G25" s="12">
        <v>2</v>
      </c>
      <c r="H25" s="12">
        <v>0.67</v>
      </c>
      <c r="I25" s="12">
        <f t="shared" si="12"/>
        <v>94.108785664650071</v>
      </c>
      <c r="J25" s="55">
        <f t="shared" ref="J25:J26" si="82">I25*C25</f>
        <v>17386.598151544102</v>
      </c>
      <c r="K25" s="57">
        <v>2600</v>
      </c>
      <c r="L25" s="59">
        <v>3.3E-3</v>
      </c>
      <c r="M25" s="29">
        <f t="shared" ref="M25:M27" si="83">1/0.013*O25^(2/3)*L25^0.5</f>
        <v>3.3158065776061294</v>
      </c>
      <c r="N25" s="29">
        <f t="shared" ref="N25:N27" si="84">1/4*3.14*(K25/1000)^2</f>
        <v>5.3066000000000004</v>
      </c>
      <c r="O25" s="29">
        <f t="shared" ref="O25:O27" si="85">K25/4000</f>
        <v>0.65</v>
      </c>
      <c r="P25" s="29">
        <f t="shared" ref="P25:P27" si="86">N25*M25*1000</f>
        <v>17595.659184724689</v>
      </c>
      <c r="Q25" s="29">
        <f t="shared" ref="Q25:Q27" si="87">L25*B25</f>
        <v>1.1088</v>
      </c>
      <c r="R25" s="78">
        <v>1961.3</v>
      </c>
      <c r="S25" s="78">
        <f t="shared" si="37"/>
        <v>1960.5</v>
      </c>
      <c r="T25" s="29">
        <f t="shared" ref="T25:T26" si="88">U24+K24/1000-K25/1000</f>
        <v>1958.0441999999998</v>
      </c>
      <c r="U25" s="29">
        <f t="shared" ref="U25:U26" si="89">T25-Q25</f>
        <v>1956.9353999999998</v>
      </c>
      <c r="V25" s="78">
        <f t="shared" ref="V25:V26" si="90">R25-T25</f>
        <v>3.2558000000001357</v>
      </c>
      <c r="W25" s="29">
        <f t="shared" ref="W25:W26" si="91">S25-U25</f>
        <v>3.564600000000155</v>
      </c>
      <c r="X25" s="14">
        <f t="shared" ref="X25:X27" si="92">(R25-S25)/B25</f>
        <v>2.3809523809522454E-3</v>
      </c>
      <c r="Y25" s="14" t="s">
        <v>77</v>
      </c>
    </row>
    <row r="26" spans="1:25" x14ac:dyDescent="0.15">
      <c r="A26" s="6" t="s">
        <v>40</v>
      </c>
      <c r="B26" s="20">
        <v>243</v>
      </c>
      <c r="C26" s="77">
        <v>197.19</v>
      </c>
      <c r="D26" s="12">
        <f t="shared" si="80"/>
        <v>31.358082645331297</v>
      </c>
      <c r="E26" s="25">
        <f t="shared" si="81"/>
        <v>1.1694227922102189</v>
      </c>
      <c r="F26" s="12">
        <v>11</v>
      </c>
      <c r="G26" s="12">
        <v>2</v>
      </c>
      <c r="H26" s="12">
        <v>0.67</v>
      </c>
      <c r="I26" s="12">
        <f t="shared" si="12"/>
        <v>92.136717243883069</v>
      </c>
      <c r="J26" s="55">
        <f t="shared" si="82"/>
        <v>18168.439273321303</v>
      </c>
      <c r="K26" s="57">
        <v>2600</v>
      </c>
      <c r="L26" s="59">
        <v>3.5999999999999999E-3</v>
      </c>
      <c r="M26" s="29">
        <f t="shared" si="83"/>
        <v>3.4632470197929579</v>
      </c>
      <c r="N26" s="29">
        <f t="shared" si="84"/>
        <v>5.3066000000000004</v>
      </c>
      <c r="O26" s="29">
        <f t="shared" si="85"/>
        <v>0.65</v>
      </c>
      <c r="P26" s="29">
        <f t="shared" si="86"/>
        <v>18378.066635233314</v>
      </c>
      <c r="Q26" s="29">
        <f t="shared" si="87"/>
        <v>0.87480000000000002</v>
      </c>
      <c r="R26" s="78">
        <v>1960.5</v>
      </c>
      <c r="S26" s="78">
        <f t="shared" si="37"/>
        <v>1959.9</v>
      </c>
      <c r="T26" s="29">
        <f t="shared" si="88"/>
        <v>1956.9353999999998</v>
      </c>
      <c r="U26" s="29">
        <f t="shared" si="89"/>
        <v>1956.0605999999998</v>
      </c>
      <c r="V26" s="78">
        <f t="shared" si="90"/>
        <v>3.564600000000155</v>
      </c>
      <c r="W26" s="29">
        <f t="shared" si="91"/>
        <v>3.8394000000002961</v>
      </c>
      <c r="X26" s="14">
        <f t="shared" si="92"/>
        <v>2.4691358024687615E-3</v>
      </c>
      <c r="Y26" s="14" t="s">
        <v>77</v>
      </c>
    </row>
    <row r="27" spans="1:25" x14ac:dyDescent="0.15">
      <c r="A27" s="6" t="s">
        <v>69</v>
      </c>
      <c r="B27" s="20">
        <v>667</v>
      </c>
      <c r="C27" s="77">
        <v>197.19</v>
      </c>
      <c r="D27" s="12">
        <f t="shared" ref="D27" si="93">D26+E26</f>
        <v>32.527505437541514</v>
      </c>
      <c r="E27" s="25">
        <f t="shared" ref="E27" si="94">B27/(60*M27)</f>
        <v>3.2554298592170365</v>
      </c>
      <c r="F27" s="12">
        <v>11</v>
      </c>
      <c r="G27" s="12">
        <v>2</v>
      </c>
      <c r="H27" s="12">
        <v>0.67</v>
      </c>
      <c r="I27" s="12">
        <f t="shared" ref="I27" si="95">1206.09/(21.247+D27)^0.649</f>
        <v>90.831318178563308</v>
      </c>
      <c r="J27" s="55">
        <f t="shared" ref="J27" si="96">I27*C27</f>
        <v>17911.027631630899</v>
      </c>
      <c r="K27" s="57">
        <v>2600</v>
      </c>
      <c r="L27" s="59">
        <v>3.5000000000000001E-3</v>
      </c>
      <c r="M27" s="29">
        <f t="shared" si="83"/>
        <v>3.414807612946186</v>
      </c>
      <c r="N27" s="29">
        <f t="shared" si="84"/>
        <v>5.3066000000000004</v>
      </c>
      <c r="O27" s="29">
        <f t="shared" si="85"/>
        <v>0.65</v>
      </c>
      <c r="P27" s="29">
        <f t="shared" si="86"/>
        <v>18121.01807886023</v>
      </c>
      <c r="Q27" s="29">
        <f t="shared" si="87"/>
        <v>2.3345000000000002</v>
      </c>
      <c r="R27" s="78">
        <v>1959.9</v>
      </c>
      <c r="S27" s="78">
        <v>1958</v>
      </c>
      <c r="T27" s="29">
        <f t="shared" ref="T27" si="97">U26+K26/1000-K27/1000</f>
        <v>1956.0605999999998</v>
      </c>
      <c r="U27" s="29">
        <f t="shared" ref="U27" si="98">T27-Q27</f>
        <v>1953.7260999999999</v>
      </c>
      <c r="V27" s="78">
        <f t="shared" ref="V27" si="99">R27-T27</f>
        <v>3.8394000000002961</v>
      </c>
      <c r="W27" s="29">
        <f t="shared" ref="W27" si="100">S27-U27</f>
        <v>4.2739000000001397</v>
      </c>
      <c r="X27" s="14">
        <f t="shared" si="92"/>
        <v>2.8485757121440645E-3</v>
      </c>
    </row>
    <row r="28" spans="1:25" x14ac:dyDescent="0.15">
      <c r="A28" s="6"/>
      <c r="B28" s="20"/>
    </row>
  </sheetData>
  <mergeCells count="22">
    <mergeCell ref="A1:Y1"/>
    <mergeCell ref="Y2:Y3"/>
    <mergeCell ref="X2:X3"/>
    <mergeCell ref="N2:N3"/>
    <mergeCell ref="O2:O3"/>
    <mergeCell ref="P2:P3"/>
    <mergeCell ref="Q2:Q3"/>
    <mergeCell ref="R2:S2"/>
    <mergeCell ref="T2:U2"/>
    <mergeCell ref="J2:J3"/>
    <mergeCell ref="K2:K3"/>
    <mergeCell ref="L2:L3"/>
    <mergeCell ref="M2:M3"/>
    <mergeCell ref="V2:W2"/>
    <mergeCell ref="A2:A3"/>
    <mergeCell ref="B2:B3"/>
    <mergeCell ref="C2:C3"/>
    <mergeCell ref="D2:E2"/>
    <mergeCell ref="I2:I3"/>
    <mergeCell ref="F2:F3"/>
    <mergeCell ref="G2:G3"/>
    <mergeCell ref="H2:H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sqref="A1:E24"/>
    </sheetView>
  </sheetViews>
  <sheetFormatPr defaultRowHeight="13.5" x14ac:dyDescent="0.15"/>
  <cols>
    <col min="1" max="1" width="13.625" style="61" customWidth="1"/>
    <col min="2" max="2" width="17.25" style="61" customWidth="1"/>
    <col min="3" max="3" width="14" style="62" customWidth="1"/>
    <col min="4" max="4" width="13.75" style="62" customWidth="1"/>
    <col min="5" max="5" width="12.25" style="63" customWidth="1"/>
  </cols>
  <sheetData>
    <row r="1" spans="1:5" x14ac:dyDescent="0.15">
      <c r="A1" s="2" t="s">
        <v>78</v>
      </c>
      <c r="B1" s="2" t="s">
        <v>79</v>
      </c>
      <c r="C1" s="5" t="s">
        <v>80</v>
      </c>
      <c r="D1" s="5" t="s">
        <v>81</v>
      </c>
      <c r="E1" s="29" t="s">
        <v>82</v>
      </c>
    </row>
    <row r="2" spans="1:5" x14ac:dyDescent="0.15">
      <c r="A2" s="6" t="s">
        <v>24</v>
      </c>
      <c r="B2" s="2">
        <v>30</v>
      </c>
      <c r="C2" s="5">
        <v>2.31</v>
      </c>
      <c r="D2" s="5">
        <v>0</v>
      </c>
      <c r="E2" s="25">
        <v>2.31</v>
      </c>
    </row>
    <row r="3" spans="1:5" x14ac:dyDescent="0.15">
      <c r="A3" s="6" t="s">
        <v>25</v>
      </c>
      <c r="B3" s="2">
        <v>27</v>
      </c>
      <c r="C3" s="5">
        <v>2.34</v>
      </c>
      <c r="D3" s="5">
        <v>2.31</v>
      </c>
      <c r="E3" s="25">
        <v>4.6500000000000004</v>
      </c>
    </row>
    <row r="4" spans="1:5" x14ac:dyDescent="0.15">
      <c r="A4" s="6" t="s">
        <v>26</v>
      </c>
      <c r="B4" s="2"/>
      <c r="C4" s="5">
        <v>0</v>
      </c>
      <c r="D4" s="5">
        <v>4.6500000000000004</v>
      </c>
      <c r="E4" s="25">
        <v>4.6500000000000004</v>
      </c>
    </row>
    <row r="5" spans="1:5" x14ac:dyDescent="0.15">
      <c r="A5" s="6" t="s">
        <v>27</v>
      </c>
      <c r="B5" s="2">
        <v>25</v>
      </c>
      <c r="C5" s="5">
        <v>2.62</v>
      </c>
      <c r="D5" s="5">
        <v>9.51</v>
      </c>
      <c r="E5" s="25">
        <v>12.13</v>
      </c>
    </row>
    <row r="6" spans="1:5" x14ac:dyDescent="0.15">
      <c r="A6" s="34" t="s">
        <v>28</v>
      </c>
      <c r="B6" s="2"/>
      <c r="C6" s="5">
        <v>0</v>
      </c>
      <c r="D6" s="5">
        <v>13.6</v>
      </c>
      <c r="E6" s="42">
        <v>13.6</v>
      </c>
    </row>
    <row r="7" spans="1:5" x14ac:dyDescent="0.15">
      <c r="A7" s="34" t="s">
        <v>18</v>
      </c>
      <c r="B7" s="2">
        <v>36</v>
      </c>
      <c r="C7" s="5">
        <v>1.79</v>
      </c>
      <c r="D7" s="5">
        <v>0</v>
      </c>
      <c r="E7" s="25">
        <v>1.79</v>
      </c>
    </row>
    <row r="8" spans="1:5" x14ac:dyDescent="0.15">
      <c r="A8" s="6" t="s">
        <v>19</v>
      </c>
      <c r="B8" s="2">
        <v>35</v>
      </c>
      <c r="C8" s="5">
        <v>2.1800000000000002</v>
      </c>
      <c r="D8" s="5">
        <v>1.79</v>
      </c>
      <c r="E8" s="29">
        <v>3.97</v>
      </c>
    </row>
    <row r="9" spans="1:5" x14ac:dyDescent="0.15">
      <c r="A9" s="6" t="s">
        <v>20</v>
      </c>
      <c r="B9" s="2">
        <v>34</v>
      </c>
      <c r="C9" s="5">
        <v>3.04</v>
      </c>
      <c r="D9" s="5">
        <v>3.97</v>
      </c>
      <c r="E9" s="29">
        <v>7.01</v>
      </c>
    </row>
    <row r="10" spans="1:5" x14ac:dyDescent="0.15">
      <c r="A10" s="6" t="s">
        <v>21</v>
      </c>
      <c r="B10" s="2">
        <v>33</v>
      </c>
      <c r="C10" s="5">
        <v>2.1800000000000002</v>
      </c>
      <c r="D10" s="5">
        <v>7.01</v>
      </c>
      <c r="E10" s="29">
        <v>9.19</v>
      </c>
    </row>
    <row r="11" spans="1:5" x14ac:dyDescent="0.15">
      <c r="A11" s="6" t="s">
        <v>22</v>
      </c>
      <c r="B11" s="2">
        <v>32</v>
      </c>
      <c r="C11" s="5">
        <v>2.1800000000000002</v>
      </c>
      <c r="D11" s="5">
        <v>9.19</v>
      </c>
      <c r="E11" s="29">
        <v>11.37</v>
      </c>
    </row>
    <row r="12" spans="1:5" x14ac:dyDescent="0.15">
      <c r="A12" s="6" t="s">
        <v>23</v>
      </c>
      <c r="B12" s="2">
        <v>31</v>
      </c>
      <c r="C12" s="5">
        <v>2.57</v>
      </c>
      <c r="D12" s="5">
        <v>22.02</v>
      </c>
      <c r="E12" s="29">
        <v>24.59</v>
      </c>
    </row>
    <row r="13" spans="1:5" x14ac:dyDescent="0.15">
      <c r="A13" s="6" t="s">
        <v>36</v>
      </c>
      <c r="B13" s="2"/>
      <c r="C13" s="5">
        <v>0</v>
      </c>
      <c r="D13" s="5">
        <v>32.64</v>
      </c>
      <c r="E13" s="29">
        <v>32.64</v>
      </c>
    </row>
    <row r="14" spans="1:5" x14ac:dyDescent="0.15">
      <c r="A14" s="34" t="s">
        <v>37</v>
      </c>
      <c r="B14" s="2"/>
      <c r="C14" s="5">
        <v>0</v>
      </c>
      <c r="D14" s="5">
        <v>32.64</v>
      </c>
      <c r="E14" s="29">
        <v>32.64</v>
      </c>
    </row>
    <row r="15" spans="1:5" x14ac:dyDescent="0.15">
      <c r="A15" s="34" t="s">
        <v>38</v>
      </c>
      <c r="B15" s="2"/>
      <c r="C15" s="5">
        <v>0</v>
      </c>
      <c r="D15" s="5">
        <v>32.64</v>
      </c>
      <c r="E15" s="29">
        <v>32.64</v>
      </c>
    </row>
    <row r="16" spans="1:5" x14ac:dyDescent="0.15">
      <c r="A16" s="34" t="s">
        <v>39</v>
      </c>
      <c r="B16" s="2"/>
      <c r="C16" s="5">
        <v>0</v>
      </c>
      <c r="D16" s="5">
        <v>32.64</v>
      </c>
      <c r="E16" s="29">
        <v>32.64</v>
      </c>
    </row>
    <row r="17" spans="1:5" x14ac:dyDescent="0.15">
      <c r="A17" s="34" t="s">
        <v>29</v>
      </c>
      <c r="B17" s="2"/>
      <c r="C17" s="5">
        <v>0</v>
      </c>
      <c r="D17" s="5">
        <v>46.24</v>
      </c>
      <c r="E17" s="29">
        <v>46.24</v>
      </c>
    </row>
    <row r="18" spans="1:5" x14ac:dyDescent="0.15">
      <c r="A18" s="6" t="s">
        <v>30</v>
      </c>
      <c r="B18" s="2">
        <v>22</v>
      </c>
      <c r="C18" s="5">
        <v>5.45</v>
      </c>
      <c r="D18" s="5">
        <v>76.650000000000006</v>
      </c>
      <c r="E18" s="29">
        <v>82.1</v>
      </c>
    </row>
    <row r="19" spans="1:5" x14ac:dyDescent="0.15">
      <c r="A19" s="6" t="s">
        <v>31</v>
      </c>
      <c r="B19" s="2">
        <v>15</v>
      </c>
      <c r="C19" s="5">
        <v>5.22</v>
      </c>
      <c r="D19" s="5">
        <v>91.85</v>
      </c>
      <c r="E19" s="29">
        <v>97.07</v>
      </c>
    </row>
    <row r="20" spans="1:5" x14ac:dyDescent="0.15">
      <c r="A20" s="6" t="s">
        <v>32</v>
      </c>
      <c r="B20" s="2">
        <v>8</v>
      </c>
      <c r="C20" s="5">
        <v>10.49</v>
      </c>
      <c r="D20" s="5">
        <v>117.11</v>
      </c>
      <c r="E20" s="29">
        <v>127.6</v>
      </c>
    </row>
    <row r="21" spans="1:5" x14ac:dyDescent="0.15">
      <c r="A21" s="6" t="s">
        <v>33</v>
      </c>
      <c r="B21" s="2">
        <v>5</v>
      </c>
      <c r="C21" s="5">
        <v>8.98</v>
      </c>
      <c r="D21" s="5">
        <v>137.06</v>
      </c>
      <c r="E21" s="29">
        <v>146.04</v>
      </c>
    </row>
    <row r="22" spans="1:5" x14ac:dyDescent="0.15">
      <c r="A22" s="6" t="s">
        <v>34</v>
      </c>
      <c r="B22" s="2">
        <v>1</v>
      </c>
      <c r="C22" s="5">
        <v>6.79</v>
      </c>
      <c r="D22" s="5">
        <v>177.96</v>
      </c>
      <c r="E22" s="29">
        <v>184.75</v>
      </c>
    </row>
    <row r="23" spans="1:5" x14ac:dyDescent="0.15">
      <c r="A23" s="6" t="s">
        <v>40</v>
      </c>
      <c r="B23" s="2"/>
      <c r="C23" s="5">
        <v>0</v>
      </c>
      <c r="D23" s="5">
        <v>197.19</v>
      </c>
      <c r="E23" s="29">
        <v>197.19</v>
      </c>
    </row>
    <row r="24" spans="1:5" x14ac:dyDescent="0.15">
      <c r="A24" s="6" t="s">
        <v>69</v>
      </c>
      <c r="B24" s="2"/>
      <c r="C24" s="5">
        <v>0</v>
      </c>
      <c r="D24" s="5">
        <v>197.19</v>
      </c>
      <c r="E24" s="29">
        <v>197.19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3" sqref="D13"/>
    </sheetView>
  </sheetViews>
  <sheetFormatPr defaultRowHeight="13.5" x14ac:dyDescent="0.15"/>
  <cols>
    <col min="1" max="1" width="11" style="66" customWidth="1"/>
    <col min="2" max="2" width="12.625" style="61" customWidth="1"/>
    <col min="3" max="3" width="0.5" style="61" customWidth="1"/>
    <col min="4" max="4" width="12.375" style="61" customWidth="1"/>
    <col min="5" max="5" width="12.625" style="61" customWidth="1"/>
  </cols>
  <sheetData>
    <row r="1" spans="1:5" x14ac:dyDescent="0.15">
      <c r="A1" s="116" t="s">
        <v>92</v>
      </c>
      <c r="B1" s="116"/>
      <c r="C1" s="116"/>
      <c r="D1" s="116"/>
      <c r="E1" s="116"/>
    </row>
    <row r="2" spans="1:5" x14ac:dyDescent="0.15">
      <c r="A2" s="64" t="s">
        <v>84</v>
      </c>
      <c r="B2" s="2" t="s">
        <v>90</v>
      </c>
      <c r="C2" s="2"/>
      <c r="D2" s="2" t="s">
        <v>84</v>
      </c>
      <c r="E2" s="2" t="s">
        <v>91</v>
      </c>
    </row>
    <row r="3" spans="1:5" x14ac:dyDescent="0.15">
      <c r="A3" s="64" t="s">
        <v>85</v>
      </c>
      <c r="B3" s="2">
        <v>0.1</v>
      </c>
      <c r="C3" s="2"/>
      <c r="D3" s="2" t="s">
        <v>88</v>
      </c>
      <c r="E3" s="2">
        <v>0.3</v>
      </c>
    </row>
    <row r="4" spans="1:5" x14ac:dyDescent="0.15">
      <c r="A4" s="64" t="s">
        <v>86</v>
      </c>
      <c r="B4" s="2">
        <v>0.25</v>
      </c>
      <c r="C4" s="2"/>
      <c r="D4" s="2" t="s">
        <v>89</v>
      </c>
      <c r="E4" s="2">
        <v>0.4</v>
      </c>
    </row>
    <row r="5" spans="1:5" x14ac:dyDescent="0.15">
      <c r="A5" s="64" t="s">
        <v>87</v>
      </c>
      <c r="B5" s="2">
        <v>0.4</v>
      </c>
      <c r="C5" s="2"/>
      <c r="D5" s="2" t="s">
        <v>93</v>
      </c>
      <c r="E5" s="2">
        <v>1.2</v>
      </c>
    </row>
    <row r="6" spans="1:5" x14ac:dyDescent="0.15">
      <c r="A6" s="64" t="s">
        <v>94</v>
      </c>
      <c r="B6" s="2">
        <v>1.5</v>
      </c>
      <c r="C6" s="2"/>
      <c r="D6" s="2" t="s">
        <v>95</v>
      </c>
      <c r="E6" s="2">
        <v>0.59</v>
      </c>
    </row>
    <row r="7" spans="1:5" x14ac:dyDescent="0.15">
      <c r="A7" s="64" t="s">
        <v>96</v>
      </c>
      <c r="B7" s="2">
        <v>0.2</v>
      </c>
      <c r="C7" s="2"/>
      <c r="D7" s="2" t="s">
        <v>116</v>
      </c>
      <c r="E7" s="2">
        <v>0.91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D14" sqref="D14"/>
    </sheetView>
  </sheetViews>
  <sheetFormatPr defaultRowHeight="13.5" x14ac:dyDescent="0.15"/>
  <cols>
    <col min="1" max="1" width="21.25" style="61" customWidth="1"/>
    <col min="2" max="2" width="10.5" style="61" customWidth="1"/>
    <col min="3" max="3" width="7.5" style="61" customWidth="1"/>
    <col min="4" max="4" width="8.125" style="61" customWidth="1"/>
    <col min="5" max="5" width="6.25" style="61" customWidth="1"/>
    <col min="6" max="6" width="4.625" style="61" customWidth="1"/>
    <col min="7" max="7" width="8.75" style="62" customWidth="1"/>
    <col min="8" max="8" width="9" style="62"/>
    <col min="9" max="9" width="17.625" style="62" customWidth="1"/>
  </cols>
  <sheetData>
    <row r="1" spans="1:9" x14ac:dyDescent="0.15">
      <c r="A1" s="88" t="s">
        <v>119</v>
      </c>
      <c r="B1" s="88" t="s">
        <v>97</v>
      </c>
      <c r="C1" s="116" t="s">
        <v>98</v>
      </c>
      <c r="D1" s="116"/>
      <c r="E1" s="116"/>
      <c r="F1" s="79"/>
      <c r="G1" s="117" t="s">
        <v>91</v>
      </c>
      <c r="H1" s="117"/>
      <c r="I1" s="117"/>
    </row>
    <row r="2" spans="1:9" x14ac:dyDescent="0.15">
      <c r="A2" s="88"/>
      <c r="B2" s="88"/>
      <c r="C2" s="79" t="s">
        <v>99</v>
      </c>
      <c r="D2" s="79" t="s">
        <v>100</v>
      </c>
      <c r="E2" s="79" t="s">
        <v>101</v>
      </c>
      <c r="F2" s="69" t="s">
        <v>107</v>
      </c>
      <c r="G2" s="80" t="s">
        <v>120</v>
      </c>
      <c r="H2" s="80" t="s">
        <v>108</v>
      </c>
      <c r="I2" s="80" t="s">
        <v>102</v>
      </c>
    </row>
    <row r="3" spans="1:9" x14ac:dyDescent="0.15">
      <c r="A3" s="79" t="s">
        <v>103</v>
      </c>
      <c r="B3" s="79">
        <v>506</v>
      </c>
      <c r="C3" s="79">
        <v>1000</v>
      </c>
      <c r="D3" s="79">
        <v>0.7</v>
      </c>
      <c r="E3" s="79">
        <v>124</v>
      </c>
      <c r="F3" s="79">
        <v>1.1000000000000001</v>
      </c>
      <c r="G3" s="80">
        <f>10.666*(B3/1000)^1.85*E3/(120^1.85*(C3/1000)^4.87)</f>
        <v>5.3409242135207875E-2</v>
      </c>
      <c r="H3" s="80">
        <f>F3*D3*D3/(2*9.8)</f>
        <v>2.7499999999999993E-2</v>
      </c>
      <c r="I3" s="80">
        <f>G3+H3</f>
        <v>8.0909242135207865E-2</v>
      </c>
    </row>
    <row r="4" spans="1:9" x14ac:dyDescent="0.15">
      <c r="A4" s="79" t="s">
        <v>104</v>
      </c>
      <c r="B4" s="79">
        <v>506</v>
      </c>
      <c r="C4" s="79">
        <v>1000</v>
      </c>
      <c r="D4" s="79">
        <v>0.7</v>
      </c>
      <c r="E4" s="79">
        <v>37</v>
      </c>
      <c r="F4" s="79">
        <v>2.1</v>
      </c>
      <c r="G4" s="80">
        <f t="shared" ref="G4:G6" si="0">10.666*(B4/1000)^1.85*E4/(120^1.85*(C4/1000)^4.87)</f>
        <v>1.5936628701634609E-2</v>
      </c>
      <c r="H4" s="80">
        <f t="shared" ref="H4:H6" si="1">F4*D4*D4/(2*9.8)</f>
        <v>5.2499999999999991E-2</v>
      </c>
      <c r="I4" s="80">
        <f t="shared" ref="I4:I6" si="2">G4+H4</f>
        <v>6.8436628701634597E-2</v>
      </c>
    </row>
    <row r="5" spans="1:9" x14ac:dyDescent="0.15">
      <c r="A5" s="79" t="s">
        <v>105</v>
      </c>
      <c r="B5" s="79">
        <v>253</v>
      </c>
      <c r="C5" s="79">
        <v>500</v>
      </c>
      <c r="D5" s="79">
        <v>0.7</v>
      </c>
      <c r="E5" s="79">
        <v>105</v>
      </c>
      <c r="F5" s="79">
        <v>4.0999999999999996</v>
      </c>
      <c r="G5" s="80">
        <f t="shared" si="0"/>
        <v>0.36685514670945046</v>
      </c>
      <c r="H5" s="80">
        <f t="shared" si="1"/>
        <v>0.10249999999999997</v>
      </c>
      <c r="I5" s="80">
        <f t="shared" si="2"/>
        <v>0.46935514670945044</v>
      </c>
    </row>
    <row r="6" spans="1:9" x14ac:dyDescent="0.15">
      <c r="A6" s="79" t="s">
        <v>106</v>
      </c>
      <c r="B6" s="79">
        <v>126.5</v>
      </c>
      <c r="C6" s="79">
        <v>250</v>
      </c>
      <c r="D6" s="79">
        <v>0.7</v>
      </c>
      <c r="E6" s="79">
        <v>86</v>
      </c>
      <c r="F6" s="79">
        <v>3.3</v>
      </c>
      <c r="G6" s="80">
        <f t="shared" si="0"/>
        <v>2.4373301195854919</v>
      </c>
      <c r="H6" s="80">
        <f t="shared" si="1"/>
        <v>8.2499999999999976E-2</v>
      </c>
      <c r="I6" s="80">
        <f t="shared" si="2"/>
        <v>2.519830119585492</v>
      </c>
    </row>
    <row r="14" spans="1:9" x14ac:dyDescent="0.15">
      <c r="H14" s="67"/>
    </row>
  </sheetData>
  <mergeCells count="4">
    <mergeCell ref="C1:E1"/>
    <mergeCell ref="G1:I1"/>
    <mergeCell ref="A1:A2"/>
    <mergeCell ref="B1:B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1" sqref="E1:E1048576"/>
    </sheetView>
  </sheetViews>
  <sheetFormatPr defaultRowHeight="13.5" x14ac:dyDescent="0.15"/>
  <cols>
    <col min="1" max="1" width="7.875" style="61" customWidth="1"/>
    <col min="2" max="2" width="20.625" style="61" customWidth="1"/>
    <col min="3" max="3" width="11.5" customWidth="1"/>
    <col min="4" max="4" width="11.375" customWidth="1"/>
    <col min="5" max="5" width="11.25" style="120" customWidth="1"/>
    <col min="6" max="6" width="9.875" customWidth="1"/>
  </cols>
  <sheetData>
    <row r="1" spans="1:7" s="65" customFormat="1" ht="32.25" customHeight="1" x14ac:dyDescent="0.15">
      <c r="A1" s="73" t="s">
        <v>109</v>
      </c>
      <c r="B1" s="73" t="s">
        <v>110</v>
      </c>
      <c r="C1" s="70" t="s">
        <v>111</v>
      </c>
      <c r="D1" s="70" t="s">
        <v>112</v>
      </c>
      <c r="E1" s="118" t="s">
        <v>113</v>
      </c>
      <c r="F1" s="70" t="s">
        <v>114</v>
      </c>
      <c r="G1" s="68"/>
    </row>
    <row r="2" spans="1:7" s="65" customFormat="1" x14ac:dyDescent="0.15">
      <c r="A2" s="72">
        <v>1</v>
      </c>
      <c r="B2" s="72" t="s">
        <v>103</v>
      </c>
      <c r="C2" s="71">
        <f>D2+0.08</f>
        <v>1956.1799999999998</v>
      </c>
      <c r="D2" s="71">
        <v>1956.1</v>
      </c>
      <c r="E2" s="119"/>
      <c r="F2" s="71">
        <v>1958.5</v>
      </c>
    </row>
    <row r="3" spans="1:7" s="65" customFormat="1" x14ac:dyDescent="0.15">
      <c r="A3" s="72">
        <v>2</v>
      </c>
      <c r="B3" s="72" t="s">
        <v>88</v>
      </c>
      <c r="C3" s="71">
        <f>D3+0.3</f>
        <v>1956.4799999999998</v>
      </c>
      <c r="D3" s="71">
        <f t="shared" ref="D3:D9" si="0">C2</f>
        <v>1956.1799999999998</v>
      </c>
      <c r="E3" s="119">
        <f>(C3+D3)/2</f>
        <v>1956.33</v>
      </c>
      <c r="F3" s="71">
        <v>1958.5</v>
      </c>
    </row>
    <row r="4" spans="1:7" s="65" customFormat="1" x14ac:dyDescent="0.15">
      <c r="A4" s="72">
        <v>3</v>
      </c>
      <c r="B4" s="72" t="s">
        <v>104</v>
      </c>
      <c r="C4" s="71">
        <f>D4+0.07</f>
        <v>1956.5499999999997</v>
      </c>
      <c r="D4" s="71">
        <f t="shared" si="0"/>
        <v>1956.4799999999998</v>
      </c>
      <c r="E4" s="119"/>
      <c r="F4" s="71">
        <v>1958.5</v>
      </c>
    </row>
    <row r="5" spans="1:7" s="65" customFormat="1" x14ac:dyDescent="0.15">
      <c r="A5" s="72">
        <v>4</v>
      </c>
      <c r="B5" s="72" t="s">
        <v>87</v>
      </c>
      <c r="C5" s="71">
        <f>D5+0.4</f>
        <v>1956.9499999999998</v>
      </c>
      <c r="D5" s="71">
        <f t="shared" si="0"/>
        <v>1956.5499999999997</v>
      </c>
      <c r="E5" s="119">
        <f>(C5+D5)/2</f>
        <v>1956.7499999999998</v>
      </c>
      <c r="F5" s="71">
        <v>1958.5</v>
      </c>
    </row>
    <row r="6" spans="1:7" s="65" customFormat="1" x14ac:dyDescent="0.15">
      <c r="A6" s="72">
        <v>5</v>
      </c>
      <c r="B6" s="72" t="s">
        <v>105</v>
      </c>
      <c r="C6" s="71">
        <f>D6+0.47</f>
        <v>1957.4199999999998</v>
      </c>
      <c r="D6" s="71">
        <f t="shared" si="0"/>
        <v>1956.9499999999998</v>
      </c>
      <c r="E6" s="119"/>
      <c r="F6" s="71">
        <v>1958.5</v>
      </c>
    </row>
    <row r="7" spans="1:7" s="65" customFormat="1" x14ac:dyDescent="0.15">
      <c r="A7" s="72">
        <v>6</v>
      </c>
      <c r="B7" s="72" t="s">
        <v>93</v>
      </c>
      <c r="C7" s="71">
        <f>D7+1.2</f>
        <v>1958.62</v>
      </c>
      <c r="D7" s="71">
        <f t="shared" si="0"/>
        <v>1957.4199999999998</v>
      </c>
      <c r="E7" s="119">
        <f>(C7+D7)/2</f>
        <v>1958.02</v>
      </c>
      <c r="F7" s="71">
        <v>1958.5</v>
      </c>
    </row>
    <row r="8" spans="1:7" s="65" customFormat="1" x14ac:dyDescent="0.15">
      <c r="A8" s="72">
        <v>7</v>
      </c>
      <c r="B8" s="72" t="s">
        <v>106</v>
      </c>
      <c r="C8" s="71">
        <f>D8+2.52</f>
        <v>1961.1399999999999</v>
      </c>
      <c r="D8" s="71">
        <f t="shared" si="0"/>
        <v>1958.62</v>
      </c>
      <c r="E8" s="119"/>
      <c r="F8" s="71">
        <v>1958.5</v>
      </c>
    </row>
    <row r="9" spans="1:7" s="65" customFormat="1" x14ac:dyDescent="0.15">
      <c r="A9" s="72">
        <v>8</v>
      </c>
      <c r="B9" s="72" t="s">
        <v>86</v>
      </c>
      <c r="C9" s="71">
        <f>D9+0.25</f>
        <v>1961.3899999999999</v>
      </c>
      <c r="D9" s="71">
        <f t="shared" si="0"/>
        <v>1961.1399999999999</v>
      </c>
      <c r="E9" s="119">
        <f>(C9+D9)/2</f>
        <v>1961.2649999999999</v>
      </c>
      <c r="F9" s="71">
        <v>1958.5</v>
      </c>
    </row>
    <row r="10" spans="1:7" s="65" customFormat="1" x14ac:dyDescent="0.15">
      <c r="A10" s="72">
        <v>9</v>
      </c>
      <c r="B10" s="72" t="s">
        <v>115</v>
      </c>
      <c r="C10" s="71">
        <f>D11</f>
        <v>1955.22</v>
      </c>
      <c r="D10" s="71">
        <f>C9+0.2</f>
        <v>1961.59</v>
      </c>
      <c r="E10" s="119">
        <f>(C10+D10)/2-0.5</f>
        <v>1957.905</v>
      </c>
      <c r="F10" s="71">
        <v>1958.5</v>
      </c>
    </row>
    <row r="11" spans="1:7" s="65" customFormat="1" x14ac:dyDescent="0.15">
      <c r="A11" s="72">
        <v>10</v>
      </c>
      <c r="B11" s="72" t="s">
        <v>85</v>
      </c>
      <c r="C11" s="71">
        <v>1955.32</v>
      </c>
      <c r="D11" s="71">
        <f>C11-0.1</f>
        <v>1955.22</v>
      </c>
      <c r="E11" s="119">
        <f>(C11+D11)/2</f>
        <v>1955.27</v>
      </c>
      <c r="F11" s="71">
        <v>1958.5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A1:C5"/>
    </sheetView>
  </sheetViews>
  <sheetFormatPr defaultRowHeight="13.5" x14ac:dyDescent="0.15"/>
  <cols>
    <col min="1" max="1" width="18.5" customWidth="1"/>
    <col min="2" max="2" width="21" customWidth="1"/>
    <col min="3" max="3" width="15.75" customWidth="1"/>
  </cols>
  <sheetData/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流量计算</vt:lpstr>
      <vt:lpstr>设计流量计算</vt:lpstr>
      <vt:lpstr>污水干管主干管水力计算</vt:lpstr>
      <vt:lpstr>雨水干管的水力计算</vt:lpstr>
      <vt:lpstr>汇水面积计算表</vt:lpstr>
      <vt:lpstr>构筑物水头损失</vt:lpstr>
      <vt:lpstr>水头损失</vt:lpstr>
      <vt:lpstr>标高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2015-05-17T15:03:30Z</dcterms:modified>
</cp:coreProperties>
</file>